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drawings/drawing17.xml" ContentType="application/vnd.openxmlformats-officedocument.drawing+xml"/>
  <Override PartName="/xl/charts/chart2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25.xml" ContentType="application/vnd.openxmlformats-officedocument.drawingml.chart+xml"/>
  <Override PartName="/xl/drawings/drawing20.xml" ContentType="application/vnd.openxmlformats-officedocument.drawing+xml"/>
  <Override PartName="/xl/charts/chart26.xml" ContentType="application/vnd.openxmlformats-officedocument.drawingml.chart+xml"/>
  <Override PartName="/xl/drawings/drawing21.xml" ContentType="application/vnd.openxmlformats-officedocument.drawing+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codeName="ThisWorkbook" defaultThemeVersion="124226"/>
  <xr:revisionPtr revIDLastSave="0" documentId="13_ncr:1_{75364C1C-9319-4DEA-9CB3-6DBD3A98A190}" xr6:coauthVersionLast="43" xr6:coauthVersionMax="43" xr10:uidLastSave="{00000000-0000-0000-0000-000000000000}"/>
  <bookViews>
    <workbookView xWindow="47880" yWindow="4740" windowWidth="29040" windowHeight="15840" firstSheet="21" xr2:uid="{00000000-000D-0000-FFFF-FFFF00000000}"/>
  </bookViews>
  <sheets>
    <sheet name="Menu" sheetId="1" r:id="rId1"/>
    <sheet name="A3 Template" sheetId="16" r:id="rId2"/>
    <sheet name="Boxplot" sheetId="6" r:id="rId3"/>
    <sheet name="C chart Data and calculations" sheetId="32" r:id="rId4"/>
    <sheet name="c-chart" sheetId="33" r:id="rId5"/>
    <sheet name="Control plan" sheetId="8" r:id="rId6"/>
    <sheet name="FMEA" sheetId="55" r:id="rId7"/>
    <sheet name="GRR Instructions" sheetId="47" r:id="rId8"/>
    <sheet name="GRR AIAG GR&amp;R" sheetId="48" r:id="rId9"/>
    <sheet name="GRR Graphical Summary" sheetId="49" r:id="rId10"/>
    <sheet name="GRR Numerical Summary" sheetId="50" r:id="rId11"/>
    <sheet name="GRR Calculations" sheetId="52" state="hidden" r:id="rId12"/>
    <sheet name="Hist 10 bars" sheetId="56" r:id="rId13"/>
    <sheet name="IMR Data and calculations" sheetId="29" r:id="rId14"/>
    <sheet name="IMR x-chart" sheetId="30" r:id="rId15"/>
    <sheet name="IMR Moving range chart" sheetId="31" r:id="rId16"/>
    <sheet name="Ishikawa" sheetId="13" r:id="rId17"/>
    <sheet name="np Data and calculations" sheetId="34" r:id="rId18"/>
    <sheet name="np-chart" sheetId="35" r:id="rId19"/>
    <sheet name="p Data and calculations" sheetId="36" r:id="rId20"/>
    <sheet name="p-chart" sheetId="37" r:id="rId21"/>
    <sheet name="p-chart (approx. ctl. limits)" sheetId="38" r:id="rId22"/>
    <sheet name="Pareto" sheetId="10" r:id="rId23"/>
    <sheet name="Proc. Cap Table" sheetId="9" r:id="rId24"/>
    <sheet name="Pugh Matrix" sheetId="25" r:id="rId25"/>
    <sheet name="Sigma Boxplot" sheetId="7" r:id="rId26"/>
    <sheet name="Simple data collection" sheetId="41" r:id="rId27"/>
    <sheet name="SIPOC" sheetId="23" r:id="rId28"/>
    <sheet name="Xbar R chart data" sheetId="17" r:id="rId29"/>
    <sheet name="X-bar chart" sheetId="18" r:id="rId30"/>
    <sheet name="R-chart" sheetId="19" r:id="rId31"/>
    <sheet name="u Data and calculations" sheetId="39" r:id="rId32"/>
    <sheet name="u-chart" sheetId="40" r:id="rId33"/>
    <sheet name="Sheet3" sheetId="3" r:id="rId34"/>
    <sheet name="Sheet2" sheetId="2" r:id="rId35"/>
  </sheets>
  <externalReferences>
    <externalReference r:id="rId36"/>
    <externalReference r:id="rId37"/>
    <externalReference r:id="rId38"/>
  </externalReferences>
  <definedNames>
    <definedName name="Aone" localSheetId="6">OFFSET('[1]GRR Calculations'!$AF$74,0,0,SUM('[1]GRR Calculations'!$X$13:$X$13))</definedName>
    <definedName name="Aone" localSheetId="12">OFFSET('[1]GRR Calculations'!$AF$74,0,0,SUM('[1]GRR Calculations'!$X$13:$X$13))</definedName>
    <definedName name="Aone">OFFSET('GRR Calculations'!$AF$74,0,0,SUM('GRR Calculations'!$X$13:$X$13))</definedName>
    <definedName name="Athree" localSheetId="6">OFFSET('[1]GRR Calculations'!$AH$74,0,0,SUM('[1]GRR Calculations'!$X$13:$X$13))</definedName>
    <definedName name="Athree" localSheetId="12">OFFSET('[1]GRR Calculations'!$AH$74,0,0,SUM('[1]GRR Calculations'!$X$13:$X$13))</definedName>
    <definedName name="Athree">OFFSET('GRR Calculations'!$AH$74,0,0,SUM('GRR Calculations'!$X$13:$X$13))</definedName>
    <definedName name="Atwo" localSheetId="6">OFFSET('[1]GRR Calculations'!$AG$74,0,0,SUM('[1]GRR Calculations'!$X$13:$X$13))</definedName>
    <definedName name="Atwo" localSheetId="12">OFFSET('[1]GRR Calculations'!$AG$74,0,0,SUM('[1]GRR Calculations'!$X$13:$X$13))</definedName>
    <definedName name="Atwo">OFFSET('GRR Calculations'!$AG$74,0,0,SUM('GRR Calculations'!$X$13:$X$13))</definedName>
    <definedName name="AvgTen" localSheetId="6">OFFSET('[1]GRR Calculations'!$AO$74,0,0,SUM('[1]GRR Calculations'!$X$13:$X$13))</definedName>
    <definedName name="AvgTen" localSheetId="12">OFFSET('[1]GRR Calculations'!$AO$74,0,0,SUM('[1]GRR Calculations'!$X$13:$X$13))</definedName>
    <definedName name="AvgTen">OFFSET('GRR Calculations'!$AO$74,0,0,SUM('GRR Calculations'!$X$13:$X$13))</definedName>
    <definedName name="Bone" localSheetId="6">OFFSET('[1]GRR Calculations'!$AI$74,0,0,SUM('[1]GRR Calculations'!$X$13:$X$13))</definedName>
    <definedName name="Bone" localSheetId="12">OFFSET('[1]GRR Calculations'!$AI$74,0,0,SUM('[1]GRR Calculations'!$X$13:$X$13))</definedName>
    <definedName name="Bone">OFFSET('GRR Calculations'!$AI$74,0,0,SUM('GRR Calculations'!$X$13:$X$13))</definedName>
    <definedName name="Bthree" localSheetId="6">OFFSET('[1]GRR Calculations'!$AK$74,0,0,SUM('[1]GRR Calculations'!$X$13:$X$13))</definedName>
    <definedName name="Bthree" localSheetId="12">OFFSET('[1]GRR Calculations'!$AK$74,0,0,SUM('[1]GRR Calculations'!$X$13:$X$13))</definedName>
    <definedName name="Bthree">OFFSET('GRR Calculations'!$AK$74,0,0,SUM('GRR Calculations'!$X$13:$X$13))</definedName>
    <definedName name="Btwo" localSheetId="6">OFFSET('[1]GRR Calculations'!$AJ$74,0,0,SUM('[1]GRR Calculations'!$X$13:$X$13))</definedName>
    <definedName name="Btwo" localSheetId="12">OFFSET('[1]GRR Calculations'!$AJ$74,0,0,SUM('[1]GRR Calculations'!$X$13:$X$13))</definedName>
    <definedName name="Btwo">OFFSET('GRR Calculations'!$AJ$74,0,0,SUM('GRR Calculations'!$X$13:$X$13))</definedName>
    <definedName name="Cone" localSheetId="6">OFFSET('[1]GRR Calculations'!$AL$74,0,0,SUM('[1]GRR Calculations'!$X$13:$X$13))</definedName>
    <definedName name="Cone" localSheetId="12">OFFSET('[1]GRR Calculations'!$AL$74,0,0,SUM('[1]GRR Calculations'!$X$13:$X$13))</definedName>
    <definedName name="Cone">OFFSET('GRR Calculations'!$AL$74,0,0,SUM('GRR Calculations'!$X$13:$X$13))</definedName>
    <definedName name="Cthree" localSheetId="6">OFFSET('[1]GRR Calculations'!$AN$74,0,0,SUM('[1]GRR Calculations'!$X$13:$X$13))</definedName>
    <definedName name="Cthree" localSheetId="12">OFFSET('[1]GRR Calculations'!$AN$74,0,0,SUM('[1]GRR Calculations'!$X$13:$X$13))</definedName>
    <definedName name="Cthree">OFFSET('GRR Calculations'!$AN$74,0,0,SUM('GRR Calculations'!$X$13:$X$13))</definedName>
    <definedName name="Ctwo" localSheetId="6">OFFSET('[1]GRR Calculations'!$AM$74,0,0,SUM('[1]GRR Calculations'!$X$13:$X$13))</definedName>
    <definedName name="Ctwo" localSheetId="12">OFFSET('[1]GRR Calculations'!$AM$74,0,0,SUM('[1]GRR Calculations'!$X$13:$X$13))</definedName>
    <definedName name="Ctwo">OFFSET('GRR Calculations'!$AM$74,0,0,SUM('GRR Calculations'!$X$13:$X$13))</definedName>
    <definedName name="eight" localSheetId="6">OFFSET('[1]GRR Calculations'!$AZ$72,0,0,SUM('[1]GRR Calculations'!$X$12))</definedName>
    <definedName name="eight" localSheetId="12">OFFSET('[1]GRR Calculations'!$AZ$72,0,0,SUM('[1]GRR Calculations'!$X$12))</definedName>
    <definedName name="eight">OFFSET('GRR Calculations'!$AZ$72,0,0,SUM('GRR Calculations'!$X$12))</definedName>
    <definedName name="eighteen" localSheetId="6">OFFSET('[1]GRR Calculations'!$BJ$72,0,0,SUM('[1]GRR Calculations'!$X$12))</definedName>
    <definedName name="eighteen" localSheetId="12">OFFSET('[1]GRR Calculations'!$BJ$72,0,0,SUM('[1]GRR Calculations'!$X$12))</definedName>
    <definedName name="eighteen">OFFSET('GRR Calculations'!$BJ$72,0,0,SUM('GRR Calculations'!$X$12))</definedName>
    <definedName name="eleven" localSheetId="6">OFFSET('[1]GRR Calculations'!$BC$72,0,0,SUM('[1]GRR Calculations'!$X$12))</definedName>
    <definedName name="eleven" localSheetId="12">OFFSET('[1]GRR Calculations'!$BC$72,0,0,SUM('[1]GRR Calculations'!$X$12))</definedName>
    <definedName name="eleven">OFFSET('GRR Calculations'!$BC$72,0,0,SUM('GRR Calculations'!$X$12))</definedName>
    <definedName name="fifteen" localSheetId="6">OFFSET('[1]GRR Calculations'!$BG$72,0,0,SUM('[1]GRR Calculations'!$X$12))</definedName>
    <definedName name="fifteen" localSheetId="12">OFFSET('[1]GRR Calculations'!$BG$72,0,0,SUM('[1]GRR Calculations'!$X$12))</definedName>
    <definedName name="fifteen">OFFSET('GRR Calculations'!$BG$72,0,0,SUM('GRR Calculations'!$X$12))</definedName>
    <definedName name="five" localSheetId="6">OFFSET('[1]GRR Calculations'!$AW$72,0,0,SUM('[1]GRR Calculations'!$X$12))</definedName>
    <definedName name="five" localSheetId="12">OFFSET('[1]GRR Calculations'!$AW$72,0,0,SUM('[1]GRR Calculations'!$X$12))</definedName>
    <definedName name="five">OFFSET('GRR Calculations'!$AW$72,0,0,SUM('GRR Calculations'!$X$12))</definedName>
    <definedName name="four" localSheetId="6">OFFSET('[1]GRR Calculations'!$AV$72,0,0,SUM('[1]GRR Calculations'!$X$12))</definedName>
    <definedName name="four" localSheetId="12">OFFSET('[1]GRR Calculations'!$AV$72,0,0,SUM('[1]GRR Calculations'!$X$12))</definedName>
    <definedName name="four">OFFSET('GRR Calculations'!$AV$72,0,0,SUM('GRR Calculations'!$X$12))</definedName>
    <definedName name="fourteen" localSheetId="6">OFFSET('[1]GRR Calculations'!$BF$72,0,0,SUM('[1]GRR Calculations'!$X$12))</definedName>
    <definedName name="fourteen" localSheetId="12">OFFSET('[1]GRR Calculations'!$BF$72,0,0,SUM('[1]GRR Calculations'!$X$12))</definedName>
    <definedName name="fourteen">OFFSET('GRR Calculations'!$BF$72,0,0,SUM('GRR Calculations'!$X$12))</definedName>
    <definedName name="gdf" localSheetId="6">[2]df!$C$28</definedName>
    <definedName name="gdf" localSheetId="12">[2]df!$C$28</definedName>
    <definedName name="gdf">[3]df!$C$28</definedName>
    <definedName name="LCLx" localSheetId="6">OFFSET('[1]GRR Calculations'!$Y$108,0,0,SUM('[1]GRR Calculations'!$AC$111:$AC$111))</definedName>
    <definedName name="LCLx" localSheetId="12">OFFSET('[1]GRR Calculations'!$Y$108,0,0,SUM('[1]GRR Calculations'!$AC$111:$AC$111))</definedName>
    <definedName name="LCLx">OFFSET('GRR Calculations'!$Y$108,0,0,SUM('GRR Calculations'!$AC$111:$AC$111))</definedName>
    <definedName name="List1" localSheetId="6">OFFSET(#REF!,,,FMEA!Singles,1)</definedName>
    <definedName name="List1" localSheetId="12">OFFSET(#REF!,,,'Hist 10 bars'!Singles,1)</definedName>
    <definedName name="List1">OFFSET(#REF!,,,[0]!Singles,1)</definedName>
    <definedName name="List2" localSheetId="6">OFFSET(#REF!,,,FMEA!Singles-1,1)</definedName>
    <definedName name="List2" localSheetId="12">OFFSET(#REF!,,,'Hist 10 bars'!Singles-1,1)</definedName>
    <definedName name="List2">OFFSET(#REF!,,,[0]!Singles-1,1)</definedName>
    <definedName name="mdf" localSheetId="6">[2]df!$C$27</definedName>
    <definedName name="mdf" localSheetId="12">[2]df!$C$27</definedName>
    <definedName name="mdf">[3]df!$C$27</definedName>
    <definedName name="nine" localSheetId="6">OFFSET('[1]GRR Calculations'!$BA$72,0,0,SUM('[1]GRR Calculations'!$X$12))</definedName>
    <definedName name="nine" localSheetId="12">OFFSET('[1]GRR Calculations'!$BA$72,0,0,SUM('[1]GRR Calculations'!$X$12))</definedName>
    <definedName name="nine">OFFSET('GRR Calculations'!$BA$72,0,0,SUM('GRR Calculations'!$X$12))</definedName>
    <definedName name="nineteen" localSheetId="6">OFFSET('[1]GRR Calculations'!$BK$72,0,0,SUM('[1]GRR Calculations'!$X$12))</definedName>
    <definedName name="nineteen" localSheetId="12">OFFSET('[1]GRR Calculations'!$BK$72,0,0,SUM('[1]GRR Calculations'!$X$12))</definedName>
    <definedName name="nineteen">OFFSET('GRR Calculations'!$BK$72,0,0,SUM('GRR Calculations'!$X$12))</definedName>
    <definedName name="one" localSheetId="6">OFFSET('[1]GRR Calculations'!$AS$72,0,0,SUM('[1]GRR Calculations'!$X$12))</definedName>
    <definedName name="one" localSheetId="12">OFFSET('[1]GRR Calculations'!$AS$72,0,0,SUM('[1]GRR Calculations'!$X$12))</definedName>
    <definedName name="one">OFFSET('GRR Calculations'!$AS$72,0,0,SUM('GRR Calculations'!$X$12))</definedName>
    <definedName name="OpA" localSheetId="6">OFFSET('[1]GRR Calculations'!$AO$84,0,0,SUM('[1]GRR Calculations'!$X$13:$X$13))</definedName>
    <definedName name="OpA" localSheetId="12">OFFSET('[1]GRR Calculations'!$AO$84,0,0,SUM('[1]GRR Calculations'!$X$13:$X$13))</definedName>
    <definedName name="OpA">OFFSET('GRR Calculations'!$AO$84,0,0,SUM('GRR Calculations'!$X$13:$X$13))</definedName>
    <definedName name="OpB" localSheetId="6">OFFSET('[1]GRR Calculations'!$AP$84,0,0,SUM('[1]GRR Calculations'!$X$13:$X$13))</definedName>
    <definedName name="OpB" localSheetId="12">OFFSET('[1]GRR Calculations'!$AP$84,0,0,SUM('[1]GRR Calculations'!$X$13:$X$13))</definedName>
    <definedName name="OpB">OFFSET('GRR Calculations'!$AP$84,0,0,SUM('GRR Calculations'!$X$13:$X$13))</definedName>
    <definedName name="OpC" localSheetId="6">OFFSET('[1]GRR Calculations'!$AQ$84,0,0,SUM('[1]GRR Calculations'!$X$13:$X$13))</definedName>
    <definedName name="OpC" localSheetId="12">OFFSET('[1]GRR Calculations'!$AQ$84,0,0,SUM('[1]GRR Calculations'!$X$13:$X$13))</definedName>
    <definedName name="OpC">OFFSET('GRR Calculations'!$AQ$84,0,0,SUM('GRR Calculations'!$X$13:$X$13))</definedName>
    <definedName name="OperatorA" localSheetId="6">OFFSET('[1]GRR Calculations'!$O$108,0,0,SUM('[1]GRR Calculations'!$AC$111:$AC$111))</definedName>
    <definedName name="OperatorA" localSheetId="12">OFFSET('[1]GRR Calculations'!$O$108,0,0,SUM('[1]GRR Calculations'!$AC$111:$AC$111))</definedName>
    <definedName name="OperatorA">OFFSET('GRR Calculations'!$O$108,0,0,SUM('GRR Calculations'!$AC$111:$AC$111))</definedName>
    <definedName name="OperatorA_R" localSheetId="6">OFFSET('[1]GRR Calculations'!$R$108,0,0,SUM('[1]GRR Calculations'!$AC$111:$AC$111))</definedName>
    <definedName name="OperatorA_R" localSheetId="12">OFFSET('[1]GRR Calculations'!$R$108,0,0,SUM('[1]GRR Calculations'!$AC$111:$AC$111))</definedName>
    <definedName name="OperatorA_R">OFFSET('GRR Calculations'!$R$108,0,0,SUM('GRR Calculations'!$AC$111:$AC$111))</definedName>
    <definedName name="OperatorB" localSheetId="6">OFFSET('[1]GRR Calculations'!$P$108,0,0,SUM('[1]GRR Calculations'!$AC$111:$AC$111))</definedName>
    <definedName name="OperatorB" localSheetId="12">OFFSET('[1]GRR Calculations'!$P$108,0,0,SUM('[1]GRR Calculations'!$AC$111:$AC$111))</definedName>
    <definedName name="OperatorB">OFFSET('GRR Calculations'!$P$108,0,0,SUM('GRR Calculations'!$AC$111:$AC$111))</definedName>
    <definedName name="OperatorB_R" localSheetId="6">OFFSET('[1]GRR Calculations'!$S$108,0,0,SUM('[1]GRR Calculations'!$AC$111:$AC$111))</definedName>
    <definedName name="OperatorB_R" localSheetId="12">OFFSET('[1]GRR Calculations'!$S$108,0,0,SUM('[1]GRR Calculations'!$AC$111:$AC$111))</definedName>
    <definedName name="OperatorB_R">OFFSET('GRR Calculations'!$S$108,0,0,SUM('GRR Calculations'!$AC$111:$AC$111))</definedName>
    <definedName name="OperatorC" localSheetId="6">OFFSET('[1]GRR Calculations'!$Q$108,0,0,SUM('[1]GRR Calculations'!$AC$111:$AC$111))</definedName>
    <definedName name="OperatorC" localSheetId="12">OFFSET('[1]GRR Calculations'!$Q$108,0,0,SUM('[1]GRR Calculations'!$AC$111:$AC$111))</definedName>
    <definedName name="OperatorC">OFFSET('GRR Calculations'!$Q$108,0,0,SUM('GRR Calculations'!$AC$111:$AC$111))</definedName>
    <definedName name="OperatorC_R" localSheetId="6">OFFSET('[1]GRR Calculations'!$T$108,0,0,SUM('[1]GRR Calculations'!$AC$111:$AC$111))</definedName>
    <definedName name="OperatorC_R" localSheetId="12">OFFSET('[1]GRR Calculations'!$T$108,0,0,SUM('[1]GRR Calculations'!$AC$111:$AC$111))</definedName>
    <definedName name="OperatorC_R">OFFSET('GRR Calculations'!$T$108,0,0,SUM('GRR Calculations'!$AC$111:$AC$111))</definedName>
    <definedName name="_xlnm.Print_Area" localSheetId="1">'A3 Template'!$B$1:$P$49</definedName>
    <definedName name="_xlnm.Print_Area" localSheetId="8">'GRR AIAG GR&amp;R'!$1:$101</definedName>
    <definedName name="_xlnm.Print_Area" localSheetId="11">'GRR Calculations'!$A$1:$W$45</definedName>
    <definedName name="_xlnm.Print_Area" localSheetId="9">'GRR Graphical Summary'!$A$1:$R$45</definedName>
    <definedName name="_xlnm.Print_Area" localSheetId="7">'GRR Instructions'!$A$1:$J$50</definedName>
    <definedName name="_xlnm.Print_Area" localSheetId="12">'Hist 10 bars'!$F$4:$Q$31</definedName>
    <definedName name="_xlnm.Print_Area" localSheetId="22">Pareto!$A$1:$J$38</definedName>
    <definedName name="_xlnm.Print_Area" localSheetId="27">SIPOC!$A$4:$E$35</definedName>
    <definedName name="_xlnm.Print_Titles" localSheetId="6">FMEA!$1:$1</definedName>
    <definedName name="Rbar" localSheetId="6">OFFSET('[1]GRR Calculations'!$W$108,0,0,SUM('[1]GRR Calculations'!$AC$111:$AC$111))</definedName>
    <definedName name="Rbar" localSheetId="12">OFFSET('[1]GRR Calculations'!$W$108,0,0,SUM('[1]GRR Calculations'!$AC$111:$AC$111))</definedName>
    <definedName name="Rbar">OFFSET('GRR Calculations'!$W$108,0,0,SUM('GRR Calculations'!$AC$111:$AC$111))</definedName>
    <definedName name="_xlnm.Recorder" localSheetId="6">#REF!</definedName>
    <definedName name="_xlnm.Recorder" localSheetId="12">#REF!</definedName>
    <definedName name="_xlnm.Recorder">#REF!</definedName>
    <definedName name="seven" localSheetId="6">OFFSET('[1]GRR Calculations'!$AY$72,0,0,SUM('[1]GRR Calculations'!$X$12))</definedName>
    <definedName name="seven" localSheetId="12">OFFSET('[1]GRR Calculations'!$AY$72,0,0,SUM('[1]GRR Calculations'!$X$12))</definedName>
    <definedName name="seven">OFFSET('GRR Calculations'!$AY$72,0,0,SUM('GRR Calculations'!$X$12))</definedName>
    <definedName name="seventeen" localSheetId="6">OFFSET('[1]GRR Calculations'!$BI$72,0,0,SUM('[1]GRR Calculations'!$X$12))</definedName>
    <definedName name="seventeen" localSheetId="12">OFFSET('[1]GRR Calculations'!$BI$72,0,0,SUM('[1]GRR Calculations'!$X$12))</definedName>
    <definedName name="seventeen">OFFSET('GRR Calculations'!$BI$72,0,0,SUM('GRR Calculations'!$X$12))</definedName>
    <definedName name="SheetName" localSheetId="6">#REF!</definedName>
    <definedName name="SheetName" localSheetId="12">#REF!</definedName>
    <definedName name="SheetName">#REF!</definedName>
    <definedName name="Singles" localSheetId="6">#REF!</definedName>
    <definedName name="Singles" localSheetId="12">#REF!</definedName>
    <definedName name="Singles">#REF!</definedName>
    <definedName name="six" localSheetId="6">OFFSET('[1]GRR Calculations'!$AX$72,0,0,SUM('[1]GRR Calculations'!$X$12))</definedName>
    <definedName name="six" localSheetId="12">OFFSET('[1]GRR Calculations'!$AX$72,0,0,SUM('[1]GRR Calculations'!$X$12))</definedName>
    <definedName name="six">OFFSET('GRR Calculations'!$AX$72,0,0,SUM('GRR Calculations'!$X$12))</definedName>
    <definedName name="sixteen" localSheetId="6">OFFSET('[1]GRR Calculations'!$BH$72,0,0,SUM('[1]GRR Calculations'!$X$12))</definedName>
    <definedName name="sixteen" localSheetId="12">OFFSET('[1]GRR Calculations'!$BH$72,0,0,SUM('[1]GRR Calculations'!$X$12))</definedName>
    <definedName name="sixteen">OFFSET('GRR Calculations'!$BH$72,0,0,SUM('GRR Calculations'!$X$12))</definedName>
    <definedName name="ten" localSheetId="6">OFFSET('[1]GRR Calculations'!$BB$72,0,0,SUM('[1]GRR Calculations'!$X$12))</definedName>
    <definedName name="ten" localSheetId="12">OFFSET('[1]GRR Calculations'!$BB$72,0,0,SUM('[1]GRR Calculations'!$X$12))</definedName>
    <definedName name="ten">OFFSET('GRR Calculations'!$BB$72,0,0,SUM('GRR Calculations'!$X$12))</definedName>
    <definedName name="thirteen" localSheetId="6">OFFSET('[1]GRR Calculations'!$BE$72,0,0,SUM('[1]GRR Calculations'!$X$12))</definedName>
    <definedName name="thirteen" localSheetId="12">OFFSET('[1]GRR Calculations'!$BE$72,0,0,SUM('[1]GRR Calculations'!$X$12))</definedName>
    <definedName name="thirteen">OFFSET('GRR Calculations'!$BE$72,0,0,SUM('GRR Calculations'!$X$12))</definedName>
    <definedName name="thirty" localSheetId="6">OFFSET('[1]GRR Calculations'!$BV$72,0,0,SUM('[1]GRR Calculations'!$X$12))</definedName>
    <definedName name="thirty" localSheetId="12">OFFSET('[1]GRR Calculations'!$BV$72,0,0,SUM('[1]GRR Calculations'!$X$12))</definedName>
    <definedName name="thirty">OFFSET('GRR Calculations'!$BV$72,0,0,SUM('GRR Calculations'!$X$12))</definedName>
    <definedName name="thirtyone" localSheetId="6">OFFSET('[1]GRR Calculations'!$BW$72,0,0,SUM('[1]GRR Calculations'!$X$12))</definedName>
    <definedName name="thirtyone" localSheetId="12">OFFSET('[1]GRR Calculations'!$BW$72,0,0,SUM('[1]GRR Calculations'!$X$12))</definedName>
    <definedName name="thirtyone">OFFSET('GRR Calculations'!$BW$72,0,0,SUM('GRR Calculations'!$X$12))</definedName>
    <definedName name="three" localSheetId="6">OFFSET('[1]GRR Calculations'!$AU$72,0,0,SUM('[1]GRR Calculations'!$X$12))</definedName>
    <definedName name="three" localSheetId="12">OFFSET('[1]GRR Calculations'!$AU$72,0,0,SUM('[1]GRR Calculations'!$X$12))</definedName>
    <definedName name="three">OFFSET('GRR Calculations'!$AU$72,0,0,SUM('GRR Calculations'!$X$12))</definedName>
    <definedName name="twelve" localSheetId="6">OFFSET('[1]GRR Calculations'!$BD$72,0,0,SUM('[1]GRR Calculations'!$X$12))</definedName>
    <definedName name="twelve" localSheetId="12">OFFSET('[1]GRR Calculations'!$BD$72,0,0,SUM('[1]GRR Calculations'!$X$12))</definedName>
    <definedName name="twelve">OFFSET('GRR Calculations'!$BD$72,0,0,SUM('GRR Calculations'!$X$12))</definedName>
    <definedName name="twenty" localSheetId="6">OFFSET('[1]GRR Calculations'!$BL$72,0,0,SUM('[1]GRR Calculations'!$X$12))</definedName>
    <definedName name="twenty" localSheetId="12">OFFSET('[1]GRR Calculations'!$BL$72,0,0,SUM('[1]GRR Calculations'!$X$12))</definedName>
    <definedName name="twenty">OFFSET('GRR Calculations'!$BL$72,0,0,SUM('GRR Calculations'!$X$12))</definedName>
    <definedName name="twentyeight" localSheetId="6">OFFSET('[1]GRR Calculations'!$BT$72,0,0,SUM('[1]GRR Calculations'!$X$12))</definedName>
    <definedName name="twentyeight" localSheetId="12">OFFSET('[1]GRR Calculations'!$BT$72,0,0,SUM('[1]GRR Calculations'!$X$12))</definedName>
    <definedName name="twentyeight">OFFSET('GRR Calculations'!$BT$72,0,0,SUM('GRR Calculations'!$X$12))</definedName>
    <definedName name="twentyfive" localSheetId="6">OFFSET('[1]GRR Calculations'!$BQ$72,0,0,SUM('[1]GRR Calculations'!$X$12))</definedName>
    <definedName name="twentyfive" localSheetId="12">OFFSET('[1]GRR Calculations'!$BQ$72,0,0,SUM('[1]GRR Calculations'!$X$12))</definedName>
    <definedName name="twentyfive">OFFSET('GRR Calculations'!$BQ$72,0,0,SUM('GRR Calculations'!$X$12))</definedName>
    <definedName name="twentyfour" localSheetId="6">OFFSET('[1]GRR Calculations'!$BP$72,0,0,SUM('[1]GRR Calculations'!$X$12))</definedName>
    <definedName name="twentyfour" localSheetId="12">OFFSET('[1]GRR Calculations'!$BP$72,0,0,SUM('[1]GRR Calculations'!$X$12))</definedName>
    <definedName name="twentyfour">OFFSET('GRR Calculations'!$BP$72,0,0,SUM('GRR Calculations'!$X$12))</definedName>
    <definedName name="twentynine" localSheetId="6">OFFSET('[1]GRR Calculations'!$BU$72,0,0,SUM('[1]GRR Calculations'!$X$12))</definedName>
    <definedName name="twentynine" localSheetId="12">OFFSET('[1]GRR Calculations'!$BU$72,0,0,SUM('[1]GRR Calculations'!$X$12))</definedName>
    <definedName name="twentynine">OFFSET('GRR Calculations'!$BU$72,0,0,SUM('GRR Calculations'!$X$12))</definedName>
    <definedName name="twentyone" localSheetId="6">OFFSET('[1]GRR Calculations'!$BM$72,0,0,SUM('[1]GRR Calculations'!$X$12))</definedName>
    <definedName name="twentyone" localSheetId="12">OFFSET('[1]GRR Calculations'!$BM$72,0,0,SUM('[1]GRR Calculations'!$X$12))</definedName>
    <definedName name="twentyone">OFFSET('GRR Calculations'!$BM$72,0,0,SUM('GRR Calculations'!$X$12))</definedName>
    <definedName name="twentyseven" localSheetId="6">OFFSET('[1]GRR Calculations'!$BS$72,0,0,SUM('[1]GRR Calculations'!$X$12))</definedName>
    <definedName name="twentyseven" localSheetId="12">OFFSET('[1]GRR Calculations'!$BS$72,0,0,SUM('[1]GRR Calculations'!$X$12))</definedName>
    <definedName name="twentyseven">OFFSET('GRR Calculations'!$BS$72,0,0,SUM('GRR Calculations'!$X$12))</definedName>
    <definedName name="twentysix" localSheetId="6">OFFSET('[1]GRR Calculations'!$BR$72,0,0,SUM('[1]GRR Calculations'!$X$12))</definedName>
    <definedName name="twentysix" localSheetId="12">OFFSET('[1]GRR Calculations'!$BR$72,0,0,SUM('[1]GRR Calculations'!$X$12))</definedName>
    <definedName name="twentysix">OFFSET('GRR Calculations'!$BR$72,0,0,SUM('GRR Calculations'!$X$12))</definedName>
    <definedName name="twentythree" localSheetId="6">OFFSET('[1]GRR Calculations'!$BO$72,0,0,SUM('[1]GRR Calculations'!$X$12))</definedName>
    <definedName name="twentythree" localSheetId="12">OFFSET('[1]GRR Calculations'!$BO$72,0,0,SUM('[1]GRR Calculations'!$X$12))</definedName>
    <definedName name="twentythree">OFFSET('GRR Calculations'!$BO$72,0,0,SUM('GRR Calculations'!$X$12))</definedName>
    <definedName name="twentytwo" localSheetId="6">OFFSET('[1]GRR Calculations'!$BN$72,0,0,SUM('[1]GRR Calculations'!$X$12))</definedName>
    <definedName name="twentytwo" localSheetId="12">OFFSET('[1]GRR Calculations'!$BN$72,0,0,SUM('[1]GRR Calculations'!$X$12))</definedName>
    <definedName name="twentytwo">OFFSET('GRR Calculations'!$BN$72,0,0,SUM('GRR Calculations'!$X$12))</definedName>
    <definedName name="two" localSheetId="6">OFFSET('[1]GRR Calculations'!$AT$72,0,0,SUM('[1]GRR Calculations'!$X$12))</definedName>
    <definedName name="two" localSheetId="12">OFFSET('[1]GRR Calculations'!$AT$72,0,0,SUM('[1]GRR Calculations'!$X$12))</definedName>
    <definedName name="two">OFFSET('GRR Calculations'!$AT$72,0,0,SUM('GRR Calculations'!$X$12))</definedName>
    <definedName name="UCLr" localSheetId="6">OFFSET('[1]GRR Calculations'!$Z$108,0,0,SUM('[1]GRR Calculations'!$AC$111:$AC$111))</definedName>
    <definedName name="UCLr" localSheetId="12">OFFSET('[1]GRR Calculations'!$Z$108,0,0,SUM('[1]GRR Calculations'!$AC$111:$AC$111))</definedName>
    <definedName name="UCLr">OFFSET('GRR Calculations'!$Z$108,0,0,SUM('GRR Calculations'!$AC$111:$AC$111))</definedName>
    <definedName name="UCLx" localSheetId="6">OFFSET('[1]GRR Calculations'!$X$108,0,0,SUM('[1]GRR Calculations'!$AC$111:$AC$111))</definedName>
    <definedName name="UCLx" localSheetId="12">OFFSET('[1]GRR Calculations'!$X$108,0,0,SUM('[1]GRR Calculations'!$AC$111:$AC$111))</definedName>
    <definedName name="UCLx">OFFSET('GRR Calculations'!$X$108,0,0,SUM('GRR Calculations'!$AC$111:$AC$111))</definedName>
    <definedName name="Xaxis" localSheetId="6">OFFSET('[1]GRR Calculations'!$N$108,0,0,SUM('[1]GRR Calculations'!$AC$111:$AC$111))</definedName>
    <definedName name="Xaxis" localSheetId="12">OFFSET('[1]GRR Calculations'!$N$108,0,0,SUM('[1]GRR Calculations'!$AC$111:$AC$111))</definedName>
    <definedName name="Xaxis">OFFSET('GRR Calculations'!$N$108,0,0,SUM('GRR Calculations'!$AC$111:$AC$111))</definedName>
    <definedName name="Xbarbar" localSheetId="6">OFFSET('[1]GRR Calculations'!$V$108,0,0,SUM('[1]GRR Calculations'!$AC$111:$AC$111))</definedName>
    <definedName name="Xbarbar" localSheetId="12">OFFSET('[1]GRR Calculations'!$V$108,0,0,SUM('[1]GRR Calculations'!$AC$111:$AC$111))</definedName>
    <definedName name="Xbarbar">OFFSET('GRR Calculations'!$V$108,0,0,SUM('GRR Calculations'!$AC$111:$AC$111))</definedName>
    <definedName name="zero" localSheetId="6">OFFSET('[1]GRR Calculations'!$AR$72,0,0,SUM('[1]GRR Calculations'!$X$12))</definedName>
    <definedName name="zero" localSheetId="12">OFFSET('[1]GRR Calculations'!$AR$72,0,0,SUM('[1]GRR Calculations'!$X$12))</definedName>
    <definedName name="zero">OFFSET('GRR Calculations'!$AR$72,0,0,SUM('GRR Calculations'!$X$12))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 i="56" l="1"/>
  <c r="H26" i="56"/>
  <c r="L25" i="56" s="1"/>
  <c r="H28" i="56"/>
  <c r="H27" i="56"/>
  <c r="U2" i="56"/>
  <c r="U12" i="56"/>
  <c r="Q101" i="55"/>
  <c r="J101" i="55"/>
  <c r="A3" i="55"/>
  <c r="A4" i="55" s="1"/>
  <c r="A5" i="55" s="1"/>
  <c r="A6" i="55" s="1"/>
  <c r="A7" i="55" s="1"/>
  <c r="A8" i="55" s="1"/>
  <c r="A9" i="55" s="1"/>
  <c r="A10" i="55" s="1"/>
  <c r="A11" i="55"/>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Q100" i="55"/>
  <c r="J100" i="55"/>
  <c r="Q99" i="55"/>
  <c r="J99" i="55"/>
  <c r="Q98" i="55"/>
  <c r="J98" i="55"/>
  <c r="Q97" i="55"/>
  <c r="J97" i="55"/>
  <c r="Q96" i="55"/>
  <c r="J96" i="55"/>
  <c r="Q95" i="55"/>
  <c r="J95" i="55"/>
  <c r="Q94" i="55"/>
  <c r="J94" i="55"/>
  <c r="Q93" i="55"/>
  <c r="J93" i="55"/>
  <c r="Q92" i="55"/>
  <c r="J92" i="55"/>
  <c r="Q91" i="55"/>
  <c r="J91" i="55"/>
  <c r="Q90" i="55"/>
  <c r="J90" i="55"/>
  <c r="Q89" i="55"/>
  <c r="J89" i="55"/>
  <c r="Q88" i="55"/>
  <c r="J88" i="55"/>
  <c r="Q87" i="55"/>
  <c r="J87" i="55"/>
  <c r="Q86" i="55"/>
  <c r="J86" i="55"/>
  <c r="Q85" i="55"/>
  <c r="J85" i="55"/>
  <c r="Q84" i="55"/>
  <c r="J84" i="55"/>
  <c r="Q83" i="55"/>
  <c r="J83" i="55"/>
  <c r="Q82" i="55"/>
  <c r="J82" i="55"/>
  <c r="Q81" i="55"/>
  <c r="J81" i="55"/>
  <c r="Q80" i="55"/>
  <c r="J80" i="55"/>
  <c r="Q79" i="55"/>
  <c r="J79" i="55"/>
  <c r="Q78" i="55"/>
  <c r="J78" i="55"/>
  <c r="Q77" i="55"/>
  <c r="J77" i="55"/>
  <c r="Q76" i="55"/>
  <c r="J76" i="55"/>
  <c r="Q75" i="55"/>
  <c r="J75" i="55"/>
  <c r="Q74" i="55"/>
  <c r="J74" i="55"/>
  <c r="Q73" i="55"/>
  <c r="J73" i="55"/>
  <c r="Q72" i="55"/>
  <c r="J72" i="55"/>
  <c r="Q71" i="55"/>
  <c r="J71" i="55"/>
  <c r="Q70" i="55"/>
  <c r="J70" i="55"/>
  <c r="Q69" i="55"/>
  <c r="J69" i="55"/>
  <c r="Q68" i="55"/>
  <c r="J68" i="55"/>
  <c r="Q67" i="55"/>
  <c r="J67" i="55"/>
  <c r="Q66" i="55"/>
  <c r="J66" i="55"/>
  <c r="Q65" i="55"/>
  <c r="J65" i="55"/>
  <c r="Q64" i="55"/>
  <c r="J64" i="55"/>
  <c r="Q63" i="55"/>
  <c r="J63" i="55"/>
  <c r="Q62" i="55"/>
  <c r="J62" i="55"/>
  <c r="Q61" i="55"/>
  <c r="J61" i="55"/>
  <c r="Q60" i="55"/>
  <c r="J60" i="55"/>
  <c r="Q59" i="55"/>
  <c r="J59" i="55"/>
  <c r="Q58" i="55"/>
  <c r="J58" i="55"/>
  <c r="Q57" i="55"/>
  <c r="J57" i="55"/>
  <c r="Q56" i="55"/>
  <c r="J56" i="55"/>
  <c r="Q55" i="55"/>
  <c r="J55" i="55"/>
  <c r="Q54" i="55"/>
  <c r="J54" i="55"/>
  <c r="Q53" i="55"/>
  <c r="J53" i="55"/>
  <c r="Q52" i="55"/>
  <c r="J52" i="55"/>
  <c r="Q51" i="55"/>
  <c r="J51" i="55"/>
  <c r="Q50" i="55"/>
  <c r="J50" i="55"/>
  <c r="Q49" i="55"/>
  <c r="J49" i="55"/>
  <c r="Q48" i="55"/>
  <c r="J48" i="55"/>
  <c r="Q47" i="55"/>
  <c r="J47" i="55"/>
  <c r="Q46" i="55"/>
  <c r="J46" i="55"/>
  <c r="Q45" i="55"/>
  <c r="J45" i="55"/>
  <c r="Q44" i="55"/>
  <c r="J44" i="55"/>
  <c r="Q43" i="55"/>
  <c r="J43" i="55"/>
  <c r="Q42" i="55"/>
  <c r="J42" i="55"/>
  <c r="Q41" i="55"/>
  <c r="J41" i="55"/>
  <c r="Q40" i="55"/>
  <c r="J40" i="55"/>
  <c r="Q39" i="55"/>
  <c r="J39" i="55"/>
  <c r="Q38" i="55"/>
  <c r="J38" i="55"/>
  <c r="Q37" i="55"/>
  <c r="J37" i="55"/>
  <c r="Q36" i="55"/>
  <c r="J36" i="55"/>
  <c r="Q35" i="55"/>
  <c r="J35" i="55"/>
  <c r="Q34" i="55"/>
  <c r="J34" i="55"/>
  <c r="Q33" i="55"/>
  <c r="J33" i="55"/>
  <c r="Q32" i="55"/>
  <c r="J32" i="55"/>
  <c r="Q31" i="55"/>
  <c r="J31" i="55"/>
  <c r="Q30" i="55"/>
  <c r="J30" i="55"/>
  <c r="Q29" i="55"/>
  <c r="J29" i="55"/>
  <c r="Q28" i="55"/>
  <c r="J28" i="55"/>
  <c r="Q27" i="55"/>
  <c r="J27" i="55"/>
  <c r="Q26" i="55"/>
  <c r="J26" i="55"/>
  <c r="Q25" i="55"/>
  <c r="J25" i="55"/>
  <c r="Q24" i="55"/>
  <c r="J24" i="55"/>
  <c r="Q23" i="55"/>
  <c r="J23" i="55"/>
  <c r="Q22" i="55"/>
  <c r="J22" i="55"/>
  <c r="Q21" i="55"/>
  <c r="J21" i="55"/>
  <c r="Q20" i="55"/>
  <c r="J20" i="55"/>
  <c r="Q19" i="55"/>
  <c r="J19" i="55"/>
  <c r="Q18" i="55"/>
  <c r="J18" i="55"/>
  <c r="Q17" i="55"/>
  <c r="J17" i="55"/>
  <c r="Q16" i="55"/>
  <c r="J16" i="55"/>
  <c r="Q15" i="55"/>
  <c r="J15" i="55"/>
  <c r="Q14" i="55"/>
  <c r="J14" i="55"/>
  <c r="Q13" i="55"/>
  <c r="J13" i="55"/>
  <c r="Q12" i="55"/>
  <c r="J12" i="55"/>
  <c r="Q11" i="55"/>
  <c r="J11" i="55"/>
  <c r="Q10" i="55"/>
  <c r="J10" i="55"/>
  <c r="Q9" i="55"/>
  <c r="J9" i="55"/>
  <c r="Q8" i="55"/>
  <c r="J8" i="55"/>
  <c r="Q7" i="55"/>
  <c r="J7" i="55"/>
  <c r="Q6" i="55"/>
  <c r="J6" i="55"/>
  <c r="Q5" i="55"/>
  <c r="J5" i="55"/>
  <c r="Q4" i="55"/>
  <c r="J4" i="55"/>
  <c r="Q3" i="55"/>
  <c r="J3" i="55"/>
  <c r="Q2" i="55"/>
  <c r="J2" i="55"/>
  <c r="CF70" i="52"/>
  <c r="CE70" i="52"/>
  <c r="CD70" i="52"/>
  <c r="CC70" i="52"/>
  <c r="CB70" i="52"/>
  <c r="CA70" i="52"/>
  <c r="BX70" i="52"/>
  <c r="BW70" i="52"/>
  <c r="BV70" i="52"/>
  <c r="BU70" i="52"/>
  <c r="BT70" i="52"/>
  <c r="BS70" i="52"/>
  <c r="BP70" i="52"/>
  <c r="BO70" i="52"/>
  <c r="BN70" i="52"/>
  <c r="BM70" i="52"/>
  <c r="BL70" i="52"/>
  <c r="BK70" i="52"/>
  <c r="BH70" i="52"/>
  <c r="BG70" i="52"/>
  <c r="BF70" i="52"/>
  <c r="BE70" i="52"/>
  <c r="BD70" i="52"/>
  <c r="BC70" i="52"/>
  <c r="AZ70" i="52"/>
  <c r="AY70" i="52"/>
  <c r="AX70" i="52"/>
  <c r="AW70" i="52"/>
  <c r="AV70" i="52"/>
  <c r="AU70" i="52"/>
  <c r="AR70" i="52"/>
  <c r="AQ70" i="52"/>
  <c r="AP70" i="52"/>
  <c r="AO70" i="52"/>
  <c r="AN70" i="52"/>
  <c r="AM70" i="52"/>
  <c r="AJ70" i="52"/>
  <c r="AI70" i="52"/>
  <c r="AH70" i="52"/>
  <c r="AG70" i="52"/>
  <c r="AF70" i="52"/>
  <c r="AE70" i="52"/>
  <c r="AB70" i="52"/>
  <c r="AA70" i="52"/>
  <c r="Z70" i="52"/>
  <c r="Y70" i="52"/>
  <c r="X70" i="52"/>
  <c r="W70" i="52"/>
  <c r="S70" i="52"/>
  <c r="R70" i="52"/>
  <c r="P70" i="52"/>
  <c r="O70" i="52"/>
  <c r="I70" i="52"/>
  <c r="H70" i="52"/>
  <c r="G70" i="52"/>
  <c r="Q70" i="52"/>
  <c r="CF69" i="52"/>
  <c r="CE69" i="52"/>
  <c r="CD69" i="52"/>
  <c r="CC69" i="52"/>
  <c r="CB69" i="52"/>
  <c r="CA69" i="52"/>
  <c r="BX69" i="52"/>
  <c r="BW69" i="52"/>
  <c r="BV69" i="52"/>
  <c r="BU69" i="52"/>
  <c r="BT69" i="52"/>
  <c r="BS69" i="52"/>
  <c r="BP69" i="52"/>
  <c r="BO69" i="52"/>
  <c r="BN69" i="52"/>
  <c r="BM69" i="52"/>
  <c r="BL69" i="52"/>
  <c r="BK69" i="52"/>
  <c r="BH69" i="52"/>
  <c r="BG69" i="52"/>
  <c r="BF69" i="52"/>
  <c r="BE69" i="52"/>
  <c r="BD69" i="52"/>
  <c r="BC69" i="52"/>
  <c r="AZ69" i="52"/>
  <c r="AY69" i="52"/>
  <c r="AX69" i="52"/>
  <c r="AW69" i="52"/>
  <c r="AV69" i="52"/>
  <c r="AU69" i="52"/>
  <c r="AR69" i="52"/>
  <c r="AQ69" i="52"/>
  <c r="AP69" i="52"/>
  <c r="AO69" i="52"/>
  <c r="AN69" i="52"/>
  <c r="AM69" i="52"/>
  <c r="AJ69" i="52"/>
  <c r="AI69" i="52"/>
  <c r="AH69" i="52"/>
  <c r="AG69" i="52"/>
  <c r="AF69" i="52"/>
  <c r="AE69" i="52"/>
  <c r="AB69" i="52"/>
  <c r="AA69" i="52"/>
  <c r="Z69" i="52"/>
  <c r="Y69" i="52"/>
  <c r="X69" i="52"/>
  <c r="W69" i="52"/>
  <c r="S69" i="52"/>
  <c r="R69" i="52"/>
  <c r="Z67" i="52" s="1"/>
  <c r="P69" i="52"/>
  <c r="X67" i="52" s="1"/>
  <c r="O69" i="52"/>
  <c r="I69" i="52"/>
  <c r="E29" i="52" s="1"/>
  <c r="P29" i="52" s="1"/>
  <c r="H69" i="52"/>
  <c r="AM82" i="52"/>
  <c r="G69" i="52"/>
  <c r="L69" i="52"/>
  <c r="CF68" i="52"/>
  <c r="CE68" i="52"/>
  <c r="CD68" i="52"/>
  <c r="CC68" i="52"/>
  <c r="CB68" i="52"/>
  <c r="CA68" i="52"/>
  <c r="BX68" i="52"/>
  <c r="BW68" i="52"/>
  <c r="BV68" i="52"/>
  <c r="BU68" i="52"/>
  <c r="BT68" i="52"/>
  <c r="BS68" i="52"/>
  <c r="BP68" i="52"/>
  <c r="BO68" i="52"/>
  <c r="BN68" i="52"/>
  <c r="BM68" i="52"/>
  <c r="BL68" i="52"/>
  <c r="BK68" i="52"/>
  <c r="BH68" i="52"/>
  <c r="BG68" i="52"/>
  <c r="BF68" i="52"/>
  <c r="BE68" i="52"/>
  <c r="BD68" i="52"/>
  <c r="BC68" i="52"/>
  <c r="AZ68" i="52"/>
  <c r="AY68" i="52"/>
  <c r="AX68" i="52"/>
  <c r="AW68" i="52"/>
  <c r="AV68" i="52"/>
  <c r="AU68" i="52"/>
  <c r="AR68" i="52"/>
  <c r="AQ68" i="52"/>
  <c r="AP68" i="52"/>
  <c r="AO68" i="52"/>
  <c r="AN68" i="52"/>
  <c r="AM68" i="52"/>
  <c r="AJ68" i="52"/>
  <c r="AI68" i="52"/>
  <c r="AH68" i="52"/>
  <c r="AG68" i="52"/>
  <c r="AF68" i="52"/>
  <c r="AE68" i="52"/>
  <c r="AB68" i="52"/>
  <c r="AA68" i="52"/>
  <c r="Z68" i="52"/>
  <c r="Y68" i="52"/>
  <c r="X68" i="52"/>
  <c r="W68" i="52"/>
  <c r="S68" i="52"/>
  <c r="R68" i="52"/>
  <c r="Z66" i="52" s="1"/>
  <c r="P68" i="52"/>
  <c r="X66" i="52" s="1"/>
  <c r="O68" i="52"/>
  <c r="I68" i="52"/>
  <c r="AN81" i="52" s="1"/>
  <c r="H68" i="52"/>
  <c r="AM81" i="52"/>
  <c r="G68" i="52"/>
  <c r="CF67" i="52"/>
  <c r="CE67" i="52"/>
  <c r="CD67" i="52"/>
  <c r="CC67" i="52"/>
  <c r="CB67" i="52"/>
  <c r="CA67" i="52"/>
  <c r="BX67" i="52"/>
  <c r="BW67" i="52"/>
  <c r="BV67" i="52"/>
  <c r="BU67" i="52"/>
  <c r="BT67" i="52"/>
  <c r="BS67" i="52"/>
  <c r="BP67" i="52"/>
  <c r="BO67" i="52"/>
  <c r="BN67" i="52"/>
  <c r="BM67" i="52"/>
  <c r="BL67" i="52"/>
  <c r="BK67" i="52"/>
  <c r="BH67" i="52"/>
  <c r="BG67" i="52"/>
  <c r="BF67" i="52"/>
  <c r="BE67" i="52"/>
  <c r="BD67" i="52"/>
  <c r="BC67" i="52"/>
  <c r="AZ67" i="52"/>
  <c r="AY67" i="52"/>
  <c r="AX67" i="52"/>
  <c r="AW67" i="52"/>
  <c r="AV67" i="52"/>
  <c r="AU67" i="52"/>
  <c r="AR67" i="52"/>
  <c r="AQ67" i="52"/>
  <c r="AP67" i="52"/>
  <c r="AO67" i="52"/>
  <c r="AN67" i="52"/>
  <c r="AM67" i="52"/>
  <c r="AJ67" i="52"/>
  <c r="AI67" i="52"/>
  <c r="AH67" i="52"/>
  <c r="AG67" i="52"/>
  <c r="AF67" i="52"/>
  <c r="AE67" i="52"/>
  <c r="AA67" i="52"/>
  <c r="W67" i="52"/>
  <c r="S67" i="52"/>
  <c r="R67" i="52"/>
  <c r="P67" i="52"/>
  <c r="X65" i="52" s="1"/>
  <c r="O67" i="52"/>
  <c r="I67" i="52"/>
  <c r="BM74" i="52"/>
  <c r="H67" i="52"/>
  <c r="BL74" i="52" s="1"/>
  <c r="G67" i="52"/>
  <c r="CF66" i="52"/>
  <c r="CE66" i="52"/>
  <c r="CD66" i="52"/>
  <c r="CC66" i="52"/>
  <c r="CB66" i="52"/>
  <c r="CA66" i="52"/>
  <c r="BX66" i="52"/>
  <c r="BW66" i="52"/>
  <c r="BV66" i="52"/>
  <c r="BU66" i="52"/>
  <c r="BT66" i="52"/>
  <c r="BS66" i="52"/>
  <c r="BP66" i="52"/>
  <c r="BO66" i="52"/>
  <c r="BN66" i="52"/>
  <c r="BM66" i="52"/>
  <c r="BL66" i="52"/>
  <c r="BK66" i="52"/>
  <c r="BH66" i="52"/>
  <c r="BG66" i="52"/>
  <c r="BF66" i="52"/>
  <c r="BE66" i="52"/>
  <c r="BD66" i="52"/>
  <c r="BC66" i="52"/>
  <c r="AZ66" i="52"/>
  <c r="AY66" i="52"/>
  <c r="AX66" i="52"/>
  <c r="AW66" i="52"/>
  <c r="AV66" i="52"/>
  <c r="AU66" i="52"/>
  <c r="AR66" i="52"/>
  <c r="AQ66" i="52"/>
  <c r="AP66" i="52"/>
  <c r="AO66" i="52"/>
  <c r="AN66" i="52"/>
  <c r="AM66" i="52"/>
  <c r="AJ66" i="52"/>
  <c r="AI66" i="52"/>
  <c r="AH66" i="52"/>
  <c r="AG66" i="52"/>
  <c r="AF66" i="52"/>
  <c r="AE66" i="52"/>
  <c r="AA66" i="52"/>
  <c r="S66" i="52"/>
  <c r="AA64" i="52"/>
  <c r="R66" i="52"/>
  <c r="AX58" i="52" s="1"/>
  <c r="P66" i="52"/>
  <c r="O66" i="52"/>
  <c r="AE62" i="52" s="1"/>
  <c r="I66" i="52"/>
  <c r="H66" i="52"/>
  <c r="AM79" i="52" s="1"/>
  <c r="G66" i="52"/>
  <c r="Q66" i="52"/>
  <c r="CF65" i="52"/>
  <c r="CE65" i="52"/>
  <c r="CD65" i="52"/>
  <c r="CC65" i="52"/>
  <c r="CB65" i="52"/>
  <c r="CA65" i="52"/>
  <c r="BX65" i="52"/>
  <c r="BW65" i="52"/>
  <c r="BV65" i="52"/>
  <c r="BU65" i="52"/>
  <c r="BT65" i="52"/>
  <c r="BS65" i="52"/>
  <c r="BP65" i="52"/>
  <c r="BO65" i="52"/>
  <c r="BN65" i="52"/>
  <c r="BM65" i="52"/>
  <c r="BL65" i="52"/>
  <c r="BK65" i="52"/>
  <c r="BH65" i="52"/>
  <c r="BG65" i="52"/>
  <c r="BF65" i="52"/>
  <c r="BE65" i="52"/>
  <c r="BD65" i="52"/>
  <c r="BC65" i="52"/>
  <c r="AZ65" i="52"/>
  <c r="AY65" i="52"/>
  <c r="AX65" i="52"/>
  <c r="AW65" i="52"/>
  <c r="AV65" i="52"/>
  <c r="AU65" i="52"/>
  <c r="AR65" i="52"/>
  <c r="AQ65" i="52"/>
  <c r="AP65" i="52"/>
  <c r="AO65" i="52"/>
  <c r="AN65" i="52"/>
  <c r="AM65" i="52"/>
  <c r="AJ65" i="52"/>
  <c r="AI65" i="52"/>
  <c r="AH65" i="52"/>
  <c r="AG65" i="52"/>
  <c r="AF65" i="52"/>
  <c r="AE65" i="52"/>
  <c r="Z65" i="52"/>
  <c r="S65" i="52"/>
  <c r="R65" i="52"/>
  <c r="P65" i="52"/>
  <c r="O65" i="52"/>
  <c r="I65" i="52"/>
  <c r="H65" i="52"/>
  <c r="AM78" i="52" s="1"/>
  <c r="G65" i="52"/>
  <c r="Q65" i="52" s="1"/>
  <c r="T65" i="52"/>
  <c r="CF64" i="52"/>
  <c r="CE64" i="52"/>
  <c r="CD64" i="52"/>
  <c r="CC64" i="52"/>
  <c r="CB64" i="52"/>
  <c r="CA64" i="52"/>
  <c r="BX64" i="52"/>
  <c r="BW64" i="52"/>
  <c r="BV64" i="52"/>
  <c r="BU64" i="52"/>
  <c r="BT64" i="52"/>
  <c r="BS64" i="52"/>
  <c r="BP64" i="52"/>
  <c r="BO64" i="52"/>
  <c r="BN64" i="52"/>
  <c r="BM64" i="52"/>
  <c r="BL64" i="52"/>
  <c r="BK64" i="52"/>
  <c r="BH64" i="52"/>
  <c r="BG64" i="52"/>
  <c r="BF64" i="52"/>
  <c r="BE64" i="52"/>
  <c r="BD64" i="52"/>
  <c r="BC64" i="52"/>
  <c r="AZ64" i="52"/>
  <c r="AY64" i="52"/>
  <c r="AX64" i="52"/>
  <c r="AW64" i="52"/>
  <c r="AV64" i="52"/>
  <c r="AU64" i="52"/>
  <c r="AR64" i="52"/>
  <c r="AQ64" i="52"/>
  <c r="AP64" i="52"/>
  <c r="AO64" i="52"/>
  <c r="AN64" i="52"/>
  <c r="AM64" i="52"/>
  <c r="AI64" i="52"/>
  <c r="AF64" i="52"/>
  <c r="X64" i="52"/>
  <c r="W64" i="52"/>
  <c r="S64" i="52"/>
  <c r="R64" i="52"/>
  <c r="AP58" i="52" s="1"/>
  <c r="BF54" i="52"/>
  <c r="P64" i="52"/>
  <c r="O64" i="52"/>
  <c r="I64" i="52"/>
  <c r="AN87" i="52"/>
  <c r="H64" i="52"/>
  <c r="G64" i="52"/>
  <c r="Q64" i="52"/>
  <c r="CF63" i="52"/>
  <c r="CE63" i="52"/>
  <c r="CD63" i="52"/>
  <c r="CC63" i="52"/>
  <c r="CB63" i="52"/>
  <c r="CA63" i="52"/>
  <c r="BX63" i="52"/>
  <c r="BW63" i="52"/>
  <c r="BV63" i="52"/>
  <c r="BU63" i="52"/>
  <c r="BT63" i="52"/>
  <c r="BS63" i="52"/>
  <c r="BP63" i="52"/>
  <c r="BO63" i="52"/>
  <c r="BN63" i="52"/>
  <c r="BM63" i="52"/>
  <c r="BL63" i="52"/>
  <c r="BK63" i="52"/>
  <c r="BH63" i="52"/>
  <c r="BG63" i="52"/>
  <c r="BF63" i="52"/>
  <c r="BE63" i="52"/>
  <c r="BD63" i="52"/>
  <c r="BC63" i="52"/>
  <c r="AZ63" i="52"/>
  <c r="AY63" i="52"/>
  <c r="AX63" i="52"/>
  <c r="AW63" i="52"/>
  <c r="AV63" i="52"/>
  <c r="AU63" i="52"/>
  <c r="AR63" i="52"/>
  <c r="AQ63" i="52"/>
  <c r="AP63" i="52"/>
  <c r="AO63" i="52"/>
  <c r="AN63" i="52"/>
  <c r="AM63" i="52"/>
  <c r="AE63" i="52"/>
  <c r="Z63" i="52"/>
  <c r="X63" i="52"/>
  <c r="W63" i="52"/>
  <c r="S63" i="52"/>
  <c r="R63" i="52"/>
  <c r="AH59" i="52" s="1"/>
  <c r="P63" i="52"/>
  <c r="O63" i="52"/>
  <c r="I63" i="52"/>
  <c r="BA74" i="52"/>
  <c r="H63" i="52"/>
  <c r="L10" i="52" s="1"/>
  <c r="AM76" i="52"/>
  <c r="G63" i="52"/>
  <c r="Q63" i="52"/>
  <c r="CF62" i="52"/>
  <c r="CE62" i="52"/>
  <c r="CD62" i="52"/>
  <c r="CC62" i="52"/>
  <c r="CB62" i="52"/>
  <c r="CA62" i="52"/>
  <c r="BX62" i="52"/>
  <c r="BW62" i="52"/>
  <c r="BV62" i="52"/>
  <c r="BU62" i="52"/>
  <c r="BT62" i="52"/>
  <c r="BS62" i="52"/>
  <c r="BP62" i="52"/>
  <c r="BO62" i="52"/>
  <c r="BN62" i="52"/>
  <c r="BM62" i="52"/>
  <c r="BL62" i="52"/>
  <c r="BK62" i="52"/>
  <c r="BH62" i="52"/>
  <c r="BG62" i="52"/>
  <c r="BF62" i="52"/>
  <c r="BE62" i="52"/>
  <c r="BD62" i="52"/>
  <c r="BC62" i="52"/>
  <c r="AZ62" i="52"/>
  <c r="AY62" i="52"/>
  <c r="AX62" i="52"/>
  <c r="AW62" i="52"/>
  <c r="AV62" i="52"/>
  <c r="AU62" i="52"/>
  <c r="AR62" i="52"/>
  <c r="AQ62" i="52"/>
  <c r="AP62" i="52"/>
  <c r="AO62" i="52"/>
  <c r="AN62" i="52"/>
  <c r="AM62" i="52"/>
  <c r="AH62" i="52"/>
  <c r="AF62" i="52"/>
  <c r="AA62" i="52"/>
  <c r="Z62" i="52"/>
  <c r="X62" i="52"/>
  <c r="W62" i="52"/>
  <c r="S62" i="52"/>
  <c r="R62" i="52"/>
  <c r="P62" i="52"/>
  <c r="O62" i="52"/>
  <c r="I62" i="52"/>
  <c r="H62" i="52"/>
  <c r="AW74" i="52"/>
  <c r="G62" i="52"/>
  <c r="AV74" i="52"/>
  <c r="CF61" i="52"/>
  <c r="CE61" i="52"/>
  <c r="CD61" i="52"/>
  <c r="CC61" i="52"/>
  <c r="CB61" i="52"/>
  <c r="CA61" i="52"/>
  <c r="BX61" i="52"/>
  <c r="BW61" i="52"/>
  <c r="BV61" i="52"/>
  <c r="BU61" i="52"/>
  <c r="BT61" i="52"/>
  <c r="BS61" i="52"/>
  <c r="BP61" i="52"/>
  <c r="BO61" i="52"/>
  <c r="BN61" i="52"/>
  <c r="BM61" i="52"/>
  <c r="BL61" i="52"/>
  <c r="BK61" i="52"/>
  <c r="BH61" i="52"/>
  <c r="BG61" i="52"/>
  <c r="BF61" i="52"/>
  <c r="BE61" i="52"/>
  <c r="BD61" i="52"/>
  <c r="BC61" i="52"/>
  <c r="AZ61" i="52"/>
  <c r="AY61" i="52"/>
  <c r="AX61" i="52"/>
  <c r="AW61" i="52"/>
  <c r="AV61" i="52"/>
  <c r="AU61" i="52"/>
  <c r="AH61" i="52"/>
  <c r="AF61" i="52"/>
  <c r="AA61" i="52"/>
  <c r="S61" i="52"/>
  <c r="R61" i="52"/>
  <c r="P61" i="52"/>
  <c r="O61" i="52"/>
  <c r="AM55" i="52" s="1"/>
  <c r="I61" i="52"/>
  <c r="AN84" i="52"/>
  <c r="H61" i="52"/>
  <c r="G61" i="52"/>
  <c r="L61" i="52"/>
  <c r="CF60" i="52"/>
  <c r="CE60" i="52"/>
  <c r="CD60" i="52"/>
  <c r="CC60" i="52"/>
  <c r="CB60" i="52"/>
  <c r="CA60" i="52"/>
  <c r="BX60" i="52"/>
  <c r="BW60" i="52"/>
  <c r="BV60" i="52"/>
  <c r="BU60" i="52"/>
  <c r="BT60" i="52"/>
  <c r="BS60" i="52"/>
  <c r="BP60" i="52"/>
  <c r="BO60" i="52"/>
  <c r="BN60" i="52"/>
  <c r="BM60" i="52"/>
  <c r="BL60" i="52"/>
  <c r="BK60" i="52"/>
  <c r="BH60" i="52"/>
  <c r="BG60" i="52"/>
  <c r="BF60" i="52"/>
  <c r="BE60" i="52"/>
  <c r="BD60" i="52"/>
  <c r="BC60" i="52"/>
  <c r="AZ60" i="52"/>
  <c r="AY60" i="52"/>
  <c r="AX60" i="52"/>
  <c r="AW60" i="52"/>
  <c r="AV60" i="52"/>
  <c r="AU60" i="52"/>
  <c r="AQ60" i="52"/>
  <c r="AP60" i="52"/>
  <c r="AN60" i="52"/>
  <c r="AI60" i="52"/>
  <c r="AE60" i="52"/>
  <c r="W60" i="52"/>
  <c r="T60" i="52"/>
  <c r="R60" i="52"/>
  <c r="Q60" i="52"/>
  <c r="O60" i="52"/>
  <c r="I60" i="52"/>
  <c r="H60" i="52"/>
  <c r="G60" i="52"/>
  <c r="CF59" i="52"/>
  <c r="CE59" i="52"/>
  <c r="CD59" i="52"/>
  <c r="CC59" i="52"/>
  <c r="CB59" i="52"/>
  <c r="CA59" i="52"/>
  <c r="BX59" i="52"/>
  <c r="BW59" i="52"/>
  <c r="BV59" i="52"/>
  <c r="BU59" i="52"/>
  <c r="BT59" i="52"/>
  <c r="BS59" i="52"/>
  <c r="BP59" i="52"/>
  <c r="BO59" i="52"/>
  <c r="BN59" i="52"/>
  <c r="BM59" i="52"/>
  <c r="BL59" i="52"/>
  <c r="BK59" i="52"/>
  <c r="BH59" i="52"/>
  <c r="BG59" i="52"/>
  <c r="BF59" i="52"/>
  <c r="BE59" i="52"/>
  <c r="BD59" i="52"/>
  <c r="BC59" i="52"/>
  <c r="AZ59" i="52"/>
  <c r="AY59" i="52"/>
  <c r="AX59" i="52"/>
  <c r="AW59" i="52"/>
  <c r="AV59" i="52"/>
  <c r="AU59" i="52"/>
  <c r="AQ59" i="52"/>
  <c r="AP59" i="52"/>
  <c r="AN59" i="52"/>
  <c r="AI59" i="52"/>
  <c r="X59" i="52"/>
  <c r="T59" i="52"/>
  <c r="R59" i="52"/>
  <c r="Z58" i="52" s="1"/>
  <c r="Q59" i="52"/>
  <c r="Y58" i="52" s="1"/>
  <c r="O59" i="52"/>
  <c r="W58" i="52" s="1"/>
  <c r="I59" i="52"/>
  <c r="D29" i="52" s="1"/>
  <c r="O29" i="52" s="1"/>
  <c r="H59" i="52"/>
  <c r="G59" i="52"/>
  <c r="BQ73" i="52"/>
  <c r="CF58" i="52"/>
  <c r="CE58" i="52"/>
  <c r="CD58" i="52"/>
  <c r="CC58" i="52"/>
  <c r="CB58" i="52"/>
  <c r="CA58" i="52"/>
  <c r="BX58" i="52"/>
  <c r="BW58" i="52"/>
  <c r="BV58" i="52"/>
  <c r="BU58" i="52"/>
  <c r="BT58" i="52"/>
  <c r="BS58" i="52"/>
  <c r="BP58" i="52"/>
  <c r="BO58" i="52"/>
  <c r="BN58" i="52"/>
  <c r="BM58" i="52"/>
  <c r="BL58" i="52"/>
  <c r="BK58" i="52"/>
  <c r="BH58" i="52"/>
  <c r="BG58" i="52"/>
  <c r="BF58" i="52"/>
  <c r="BE58" i="52"/>
  <c r="BD58" i="52"/>
  <c r="BC58" i="52"/>
  <c r="AV58" i="52"/>
  <c r="AU58" i="52"/>
  <c r="AQ58" i="52"/>
  <c r="AM58" i="52"/>
  <c r="AI58" i="52"/>
  <c r="AE58" i="52"/>
  <c r="AB58" i="52"/>
  <c r="T58" i="52"/>
  <c r="AB57" i="52" s="1"/>
  <c r="R58" i="52"/>
  <c r="Z57" i="52" s="1"/>
  <c r="Q58" i="52"/>
  <c r="Y57" i="52" s="1"/>
  <c r="O58" i="52"/>
  <c r="AE56" i="52" s="1"/>
  <c r="I58" i="52"/>
  <c r="H58" i="52"/>
  <c r="D25" i="52"/>
  <c r="O25" i="52" s="1"/>
  <c r="G58" i="52"/>
  <c r="CF57" i="52"/>
  <c r="CE57" i="52"/>
  <c r="CD57" i="52"/>
  <c r="CC57" i="52"/>
  <c r="CB57" i="52"/>
  <c r="CA57" i="52"/>
  <c r="BX57" i="52"/>
  <c r="BW57" i="52"/>
  <c r="BV57" i="52"/>
  <c r="BU57" i="52"/>
  <c r="BT57" i="52"/>
  <c r="BS57" i="52"/>
  <c r="BP57" i="52"/>
  <c r="BO57" i="52"/>
  <c r="BN57" i="52"/>
  <c r="BM57" i="52"/>
  <c r="BL57" i="52"/>
  <c r="BK57" i="52"/>
  <c r="BH57" i="52"/>
  <c r="BG57" i="52"/>
  <c r="BF57" i="52"/>
  <c r="BE57" i="52"/>
  <c r="BD57" i="52"/>
  <c r="BC57" i="52"/>
  <c r="AY57" i="52"/>
  <c r="AX57" i="52"/>
  <c r="AV57" i="52"/>
  <c r="AQ57" i="52"/>
  <c r="W57" i="52"/>
  <c r="T57" i="52"/>
  <c r="R57" i="52"/>
  <c r="AH55" i="52" s="1"/>
  <c r="Q57" i="52"/>
  <c r="O57" i="52"/>
  <c r="AM54" i="52" s="1"/>
  <c r="I57" i="52"/>
  <c r="H57" i="52"/>
  <c r="G57" i="52"/>
  <c r="CF56" i="52"/>
  <c r="CE56" i="52"/>
  <c r="CD56" i="52"/>
  <c r="CC56" i="52"/>
  <c r="CB56" i="52"/>
  <c r="CA56" i="52"/>
  <c r="BX56" i="52"/>
  <c r="BW56" i="52"/>
  <c r="BV56" i="52"/>
  <c r="BU56" i="52"/>
  <c r="BT56" i="52"/>
  <c r="BS56" i="52"/>
  <c r="BP56" i="52"/>
  <c r="BO56" i="52"/>
  <c r="BN56" i="52"/>
  <c r="BM56" i="52"/>
  <c r="BL56" i="52"/>
  <c r="BK56" i="52"/>
  <c r="BH56" i="52"/>
  <c r="BG56" i="52"/>
  <c r="BF56" i="52"/>
  <c r="BE56" i="52"/>
  <c r="BD56" i="52"/>
  <c r="BC56" i="52"/>
  <c r="AY56" i="52"/>
  <c r="AW56" i="52"/>
  <c r="AU56" i="52"/>
  <c r="AM56" i="52"/>
  <c r="AJ56" i="52"/>
  <c r="Z56" i="52"/>
  <c r="T56" i="52"/>
  <c r="R56" i="52"/>
  <c r="Q56" i="52"/>
  <c r="O56" i="52"/>
  <c r="W55" i="52"/>
  <c r="I56" i="52"/>
  <c r="H56" i="52"/>
  <c r="BI73" i="52" s="1"/>
  <c r="G56" i="52"/>
  <c r="CF55" i="52"/>
  <c r="CE55" i="52"/>
  <c r="CD55" i="52"/>
  <c r="CC55" i="52"/>
  <c r="CB55" i="52"/>
  <c r="CA55" i="52"/>
  <c r="BX55" i="52"/>
  <c r="BW55" i="52"/>
  <c r="BV55" i="52"/>
  <c r="BU55" i="52"/>
  <c r="BT55" i="52"/>
  <c r="BS55" i="52"/>
  <c r="BP55" i="52"/>
  <c r="BO55" i="52"/>
  <c r="BN55" i="52"/>
  <c r="BM55" i="52"/>
  <c r="BL55" i="52"/>
  <c r="BK55" i="52"/>
  <c r="BF55" i="52"/>
  <c r="BD55" i="52"/>
  <c r="BC55" i="52"/>
  <c r="AY55" i="52"/>
  <c r="AX55" i="52"/>
  <c r="Y55" i="52"/>
  <c r="T55" i="52"/>
  <c r="AB54" i="52" s="1"/>
  <c r="R55" i="52"/>
  <c r="AP52" i="52" s="1"/>
  <c r="Q55" i="52"/>
  <c r="O55" i="52"/>
  <c r="AU51" i="52" s="1"/>
  <c r="I55" i="52"/>
  <c r="H55" i="52"/>
  <c r="G55" i="52"/>
  <c r="CF54" i="52"/>
  <c r="CE54" i="52"/>
  <c r="CD54" i="52"/>
  <c r="CC54" i="52"/>
  <c r="CB54" i="52"/>
  <c r="CA54" i="52"/>
  <c r="BX54" i="52"/>
  <c r="BW54" i="52"/>
  <c r="BV54" i="52"/>
  <c r="BU54" i="52"/>
  <c r="BT54" i="52"/>
  <c r="BS54" i="52"/>
  <c r="BP54" i="52"/>
  <c r="BO54" i="52"/>
  <c r="BN54" i="52"/>
  <c r="BM54" i="52"/>
  <c r="BL54" i="52"/>
  <c r="BK54" i="52"/>
  <c r="BG54" i="52"/>
  <c r="BC54" i="52"/>
  <c r="AU54" i="52"/>
  <c r="AP54" i="52"/>
  <c r="AG54" i="52"/>
  <c r="W54" i="52"/>
  <c r="T54" i="52"/>
  <c r="AJ52" i="52" s="1"/>
  <c r="AB53" i="52"/>
  <c r="R54" i="52"/>
  <c r="Q54" i="52"/>
  <c r="O54" i="52"/>
  <c r="BK48" i="52" s="1"/>
  <c r="I54" i="52"/>
  <c r="H54" i="52"/>
  <c r="D13" i="52" s="1"/>
  <c r="O13" i="52" s="1"/>
  <c r="G54" i="52"/>
  <c r="CF53" i="52"/>
  <c r="CE53" i="52"/>
  <c r="CD53" i="52"/>
  <c r="CC53" i="52"/>
  <c r="CB53" i="52"/>
  <c r="CA53" i="52"/>
  <c r="BX53" i="52"/>
  <c r="BW53" i="52"/>
  <c r="BV53" i="52"/>
  <c r="BU53" i="52"/>
  <c r="BT53" i="52"/>
  <c r="BS53" i="52"/>
  <c r="BP53" i="52"/>
  <c r="BO53" i="52"/>
  <c r="BN53" i="52"/>
  <c r="BM53" i="52"/>
  <c r="BL53" i="52"/>
  <c r="BK53" i="52"/>
  <c r="BG53" i="52"/>
  <c r="AM53" i="52"/>
  <c r="Z53" i="52"/>
  <c r="T53" i="52"/>
  <c r="R53" i="52"/>
  <c r="Q53" i="52"/>
  <c r="O53" i="52"/>
  <c r="AU49" i="52" s="1"/>
  <c r="I53" i="52"/>
  <c r="H53" i="52"/>
  <c r="G53" i="52"/>
  <c r="AI76" i="52" s="1"/>
  <c r="CF52" i="52"/>
  <c r="CE52" i="52"/>
  <c r="CD52" i="52"/>
  <c r="CC52" i="52"/>
  <c r="CB52" i="52"/>
  <c r="CA52" i="52"/>
  <c r="BX52" i="52"/>
  <c r="BW52" i="52"/>
  <c r="BV52" i="52"/>
  <c r="BU52" i="52"/>
  <c r="BT52" i="52"/>
  <c r="BS52" i="52"/>
  <c r="BO52" i="52"/>
  <c r="BL52" i="52"/>
  <c r="BK52" i="52"/>
  <c r="BC52" i="52"/>
  <c r="AU52" i="52"/>
  <c r="W52" i="52"/>
  <c r="T52" i="52"/>
  <c r="R52" i="52"/>
  <c r="Z51" i="52" s="1"/>
  <c r="Q52" i="52"/>
  <c r="BU45" i="52" s="1"/>
  <c r="AO49" i="52"/>
  <c r="O52" i="52"/>
  <c r="I52" i="52"/>
  <c r="H52" i="52"/>
  <c r="D7" i="52"/>
  <c r="O7" i="52" s="1"/>
  <c r="G52" i="52"/>
  <c r="D6" i="52"/>
  <c r="O6" i="52"/>
  <c r="CF51" i="52"/>
  <c r="CE51" i="52"/>
  <c r="CD51" i="52"/>
  <c r="CC51" i="52"/>
  <c r="CB51" i="52"/>
  <c r="CA51" i="52"/>
  <c r="BX51" i="52"/>
  <c r="BW51" i="52"/>
  <c r="BV51" i="52"/>
  <c r="BU51" i="52"/>
  <c r="BT51" i="52"/>
  <c r="BS51" i="52"/>
  <c r="BO51" i="52"/>
  <c r="AZ51" i="52"/>
  <c r="AX51" i="52"/>
  <c r="AO51" i="52"/>
  <c r="T51" i="52"/>
  <c r="AB50" i="52" s="1"/>
  <c r="R51" i="52"/>
  <c r="AX47" i="52" s="1"/>
  <c r="Q51" i="52"/>
  <c r="O51" i="52"/>
  <c r="I51" i="52"/>
  <c r="H51" i="52"/>
  <c r="G51" i="52"/>
  <c r="CF50" i="52"/>
  <c r="CE50" i="52"/>
  <c r="CD50" i="52"/>
  <c r="CC50" i="52"/>
  <c r="CB50" i="52"/>
  <c r="CA50" i="52"/>
  <c r="BX50" i="52"/>
  <c r="BW50" i="52"/>
  <c r="BV50" i="52"/>
  <c r="BU50" i="52"/>
  <c r="BT50" i="52"/>
  <c r="BS50" i="52"/>
  <c r="BK50" i="52"/>
  <c r="BH50" i="52"/>
  <c r="BC50" i="52"/>
  <c r="AZ50" i="52"/>
  <c r="AX50" i="52"/>
  <c r="AW50" i="52"/>
  <c r="AH50" i="52"/>
  <c r="T50" i="52"/>
  <c r="S50" i="52"/>
  <c r="R50" i="52"/>
  <c r="Q50" i="52"/>
  <c r="P50" i="52"/>
  <c r="I50" i="52"/>
  <c r="H50" i="52"/>
  <c r="G50" i="52"/>
  <c r="K50" i="52" s="1"/>
  <c r="CF49" i="52"/>
  <c r="CE49" i="52"/>
  <c r="CD49" i="52"/>
  <c r="CC49" i="52"/>
  <c r="CB49" i="52"/>
  <c r="CA49" i="52"/>
  <c r="BW49" i="52"/>
  <c r="BF49" i="52"/>
  <c r="AP49" i="52"/>
  <c r="AM49" i="52"/>
  <c r="AA49" i="52"/>
  <c r="T49" i="52"/>
  <c r="AB49" i="52" s="1"/>
  <c r="S49" i="52"/>
  <c r="Q49" i="52"/>
  <c r="Y49" i="52"/>
  <c r="P49" i="52"/>
  <c r="X49" i="52" s="1"/>
  <c r="I49" i="52"/>
  <c r="H49" i="52"/>
  <c r="G49" i="52"/>
  <c r="CF48" i="52"/>
  <c r="CE48" i="52"/>
  <c r="CD48" i="52"/>
  <c r="CC48" i="52"/>
  <c r="CB48" i="52"/>
  <c r="CA48" i="52"/>
  <c r="BS48" i="52"/>
  <c r="BP48" i="52"/>
  <c r="BC48" i="52"/>
  <c r="AX48" i="52"/>
  <c r="T48" i="52"/>
  <c r="AB48" i="52"/>
  <c r="S48" i="52"/>
  <c r="Q48" i="52"/>
  <c r="P48" i="52"/>
  <c r="AF48" i="52" s="1"/>
  <c r="X48" i="52"/>
  <c r="I48" i="52"/>
  <c r="H48" i="52"/>
  <c r="C25" i="52"/>
  <c r="N25" i="52"/>
  <c r="G48" i="52"/>
  <c r="CF47" i="52"/>
  <c r="CE47" i="52"/>
  <c r="CD47" i="52"/>
  <c r="CC47" i="52"/>
  <c r="CB47" i="52"/>
  <c r="CA47" i="52"/>
  <c r="BT47" i="52"/>
  <c r="BK47" i="52"/>
  <c r="BF47" i="52"/>
  <c r="T47" i="52"/>
  <c r="S47" i="52"/>
  <c r="R47" i="52"/>
  <c r="Z47" i="52" s="1"/>
  <c r="Q47" i="52"/>
  <c r="AO47" i="52" s="1"/>
  <c r="AG47" i="52"/>
  <c r="P47" i="52"/>
  <c r="L47" i="52"/>
  <c r="I47" i="52"/>
  <c r="C23" i="52" s="1"/>
  <c r="N23" i="52" s="1"/>
  <c r="H47" i="52"/>
  <c r="G47" i="52"/>
  <c r="O47" i="52"/>
  <c r="AE47" i="52" s="1"/>
  <c r="CD46" i="52"/>
  <c r="CA46" i="52"/>
  <c r="BS46" i="52"/>
  <c r="BN46" i="52"/>
  <c r="BH46" i="52"/>
  <c r="BE46" i="52"/>
  <c r="BC46" i="52"/>
  <c r="AA46" i="52"/>
  <c r="T46" i="52"/>
  <c r="AZ46" i="52"/>
  <c r="S46" i="52"/>
  <c r="AQ46" i="52" s="1"/>
  <c r="AI46" i="52"/>
  <c r="Q46" i="52"/>
  <c r="AW46" i="52"/>
  <c r="P46" i="52"/>
  <c r="AV46" i="52"/>
  <c r="I46" i="52"/>
  <c r="C20" i="52" s="1"/>
  <c r="N20" i="52" s="1"/>
  <c r="H46" i="52"/>
  <c r="C19" i="52"/>
  <c r="N19" i="52" s="1"/>
  <c r="G46" i="52"/>
  <c r="CB45" i="52"/>
  <c r="BV45" i="52"/>
  <c r="BS45" i="52"/>
  <c r="BP45" i="52"/>
  <c r="BG45" i="52"/>
  <c r="T45" i="52"/>
  <c r="AZ45" i="52" s="1"/>
  <c r="S45" i="52"/>
  <c r="Q45" i="52"/>
  <c r="P45" i="52"/>
  <c r="I45" i="52"/>
  <c r="H45" i="52"/>
  <c r="G45" i="52"/>
  <c r="CD44" i="52"/>
  <c r="CA44" i="52"/>
  <c r="BX44" i="52"/>
  <c r="T44" i="52"/>
  <c r="S44" i="52"/>
  <c r="Q44" i="52"/>
  <c r="P44" i="52"/>
  <c r="AN44" i="52" s="1"/>
  <c r="I44" i="52"/>
  <c r="C14" i="52" s="1"/>
  <c r="H44" i="52"/>
  <c r="G44" i="52"/>
  <c r="CF43" i="52"/>
  <c r="CD43" i="52"/>
  <c r="BD43" i="52"/>
  <c r="T43" i="52"/>
  <c r="S43" i="52"/>
  <c r="AQ43" i="52" s="1"/>
  <c r="AY43" i="52"/>
  <c r="Q43" i="52"/>
  <c r="AO43" i="52" s="1"/>
  <c r="P43" i="52"/>
  <c r="AN43" i="52" s="1"/>
  <c r="BL43" i="52"/>
  <c r="I43" i="52"/>
  <c r="H43" i="52"/>
  <c r="C10" i="52" s="1"/>
  <c r="N10" i="52" s="1"/>
  <c r="G43" i="52"/>
  <c r="C9" i="52"/>
  <c r="AR42" i="52"/>
  <c r="T42" i="52"/>
  <c r="AB42" i="52" s="1"/>
  <c r="BP42" i="52"/>
  <c r="S42" i="52"/>
  <c r="Q42" i="52"/>
  <c r="P42" i="52"/>
  <c r="BL42" i="52" s="1"/>
  <c r="CB42" i="52"/>
  <c r="I42" i="52"/>
  <c r="H42" i="52"/>
  <c r="C7" i="52"/>
  <c r="N7" i="52"/>
  <c r="G42" i="52"/>
  <c r="AQ41" i="52"/>
  <c r="T41" i="52"/>
  <c r="BH41" i="52"/>
  <c r="S41" i="52"/>
  <c r="CE41" i="52"/>
  <c r="Q41" i="52"/>
  <c r="BU41" i="52" s="1"/>
  <c r="CC41" i="52"/>
  <c r="P41" i="52"/>
  <c r="AN41" i="52" s="1"/>
  <c r="BL41" i="52"/>
  <c r="I41" i="52"/>
  <c r="H41" i="52"/>
  <c r="G41" i="52"/>
  <c r="W38" i="52"/>
  <c r="AE38" i="52" s="1"/>
  <c r="AM38" i="52" s="1"/>
  <c r="AU38" i="52" s="1"/>
  <c r="BC38" i="52"/>
  <c r="BK38" i="52" s="1"/>
  <c r="BS38" i="52" s="1"/>
  <c r="CA38" i="52" s="1"/>
  <c r="H31" i="52"/>
  <c r="D31" i="52"/>
  <c r="O31" i="52"/>
  <c r="E30" i="52"/>
  <c r="P30" i="52"/>
  <c r="C30" i="52"/>
  <c r="N30" i="52" s="1"/>
  <c r="C29" i="52"/>
  <c r="N29" i="52" s="1"/>
  <c r="L28" i="52"/>
  <c r="E28" i="52"/>
  <c r="P28" i="52"/>
  <c r="C28" i="52"/>
  <c r="N28" i="52" s="1"/>
  <c r="E27" i="52"/>
  <c r="P27" i="52"/>
  <c r="D27" i="52"/>
  <c r="O27" i="52" s="1"/>
  <c r="E26" i="52"/>
  <c r="P26" i="52" s="1"/>
  <c r="C26" i="52"/>
  <c r="N26" i="52" s="1"/>
  <c r="E25" i="52"/>
  <c r="P25" i="52" s="1"/>
  <c r="C24" i="52"/>
  <c r="N24" i="52" s="1"/>
  <c r="E23" i="52"/>
  <c r="P23" i="52"/>
  <c r="L22" i="52"/>
  <c r="J22" i="52"/>
  <c r="H22" i="52"/>
  <c r="E22" i="52"/>
  <c r="P22" i="52"/>
  <c r="D22" i="52"/>
  <c r="O22" i="52"/>
  <c r="C21" i="52"/>
  <c r="N21" i="52"/>
  <c r="D19" i="52"/>
  <c r="O19" i="52"/>
  <c r="E18" i="52"/>
  <c r="P18" i="52" s="1"/>
  <c r="D18" i="52"/>
  <c r="E17" i="52"/>
  <c r="P17" i="52" s="1"/>
  <c r="D17" i="52"/>
  <c r="O17" i="52"/>
  <c r="C17" i="52"/>
  <c r="N17" i="52" s="1"/>
  <c r="E16" i="52"/>
  <c r="P16" i="52" s="1"/>
  <c r="E15" i="52"/>
  <c r="P15" i="52" s="1"/>
  <c r="N14" i="52"/>
  <c r="E14" i="52"/>
  <c r="P14" i="52"/>
  <c r="G13" i="52"/>
  <c r="E12" i="52"/>
  <c r="P12" i="52" s="1"/>
  <c r="D12" i="52"/>
  <c r="O12" i="52"/>
  <c r="C12" i="52"/>
  <c r="N12" i="52" s="1"/>
  <c r="E11" i="52"/>
  <c r="P11" i="52"/>
  <c r="D11" i="52"/>
  <c r="O11" i="52" s="1"/>
  <c r="E9" i="52"/>
  <c r="P9" i="52"/>
  <c r="D9" i="52"/>
  <c r="O9" i="52"/>
  <c r="E8" i="52"/>
  <c r="P8" i="52"/>
  <c r="D8" i="52"/>
  <c r="O8" i="52" s="1"/>
  <c r="L7" i="52"/>
  <c r="E7" i="52"/>
  <c r="P7" i="52" s="1"/>
  <c r="E6" i="52"/>
  <c r="P6" i="52"/>
  <c r="O5" i="52"/>
  <c r="E5" i="52"/>
  <c r="P5" i="52" s="1"/>
  <c r="D5" i="52"/>
  <c r="C5" i="52"/>
  <c r="N5" i="52" s="1"/>
  <c r="E4" i="52"/>
  <c r="P4" i="52" s="1"/>
  <c r="J4" i="50"/>
  <c r="D4" i="50"/>
  <c r="P3" i="50"/>
  <c r="J3" i="50"/>
  <c r="D3" i="50"/>
  <c r="P2" i="50"/>
  <c r="J2" i="50"/>
  <c r="D2" i="50"/>
  <c r="A1" i="50"/>
  <c r="J4" i="49"/>
  <c r="D4" i="49"/>
  <c r="P3" i="49"/>
  <c r="J3" i="49"/>
  <c r="D3" i="49"/>
  <c r="P2" i="49"/>
  <c r="J2" i="49"/>
  <c r="D2" i="49"/>
  <c r="A1" i="49"/>
  <c r="C100" i="48"/>
  <c r="C99" i="48"/>
  <c r="C83" i="48"/>
  <c r="C73" i="48"/>
  <c r="C72" i="48"/>
  <c r="H70" i="48"/>
  <c r="C70" i="48"/>
  <c r="M69" i="48"/>
  <c r="H69" i="48"/>
  <c r="C69" i="48"/>
  <c r="M68" i="48"/>
  <c r="H68" i="48"/>
  <c r="C68" i="48"/>
  <c r="C48" i="48"/>
  <c r="C38" i="48"/>
  <c r="C37" i="48"/>
  <c r="H35" i="48"/>
  <c r="C35" i="48"/>
  <c r="M34" i="48"/>
  <c r="H34" i="48"/>
  <c r="C34" i="48"/>
  <c r="M33" i="48"/>
  <c r="H33" i="48"/>
  <c r="C33" i="48"/>
  <c r="M24" i="48"/>
  <c r="M23" i="48"/>
  <c r="M22" i="48"/>
  <c r="M19" i="48"/>
  <c r="M14" i="48"/>
  <c r="F8" i="48"/>
  <c r="AC112" i="52" s="1"/>
  <c r="C8" i="48"/>
  <c r="M18" i="50" s="1"/>
  <c r="D20" i="50" s="1"/>
  <c r="F7" i="48"/>
  <c r="F6" i="48"/>
  <c r="M6" i="48" s="1"/>
  <c r="BM43" i="52"/>
  <c r="AG43" i="52"/>
  <c r="AF47" i="52"/>
  <c r="AN47" i="52"/>
  <c r="X47" i="52"/>
  <c r="AB47" i="52"/>
  <c r="AJ47" i="52"/>
  <c r="AR47" i="52"/>
  <c r="Y50" i="52"/>
  <c r="CC43" i="52"/>
  <c r="AY54" i="52"/>
  <c r="BG52" i="52"/>
  <c r="BO50" i="52"/>
  <c r="AA60" i="52"/>
  <c r="CE46" i="52"/>
  <c r="AQ56" i="52"/>
  <c r="BW48" i="52"/>
  <c r="AJ61" i="52"/>
  <c r="Y51" i="52"/>
  <c r="AW48" i="52"/>
  <c r="BM46" i="52"/>
  <c r="AG50" i="52"/>
  <c r="BE47" i="52"/>
  <c r="CC44" i="52"/>
  <c r="AR50" i="52"/>
  <c r="BX46" i="52"/>
  <c r="AZ49" i="52"/>
  <c r="BE50" i="52"/>
  <c r="AE55" i="52"/>
  <c r="W56" i="52"/>
  <c r="D32" i="52"/>
  <c r="O32" i="52" s="1"/>
  <c r="K31" i="52"/>
  <c r="AP57" i="52"/>
  <c r="BN51" i="52"/>
  <c r="BF53" i="52"/>
  <c r="BV49" i="52"/>
  <c r="AZ52" i="52"/>
  <c r="AB55" i="52"/>
  <c r="K57" i="52"/>
  <c r="P57" i="52"/>
  <c r="D21" i="52"/>
  <c r="O21" i="52" s="1"/>
  <c r="Z61" i="52"/>
  <c r="CF41" i="52"/>
  <c r="AB41" i="52"/>
  <c r="BX41" i="52"/>
  <c r="BP41" i="52"/>
  <c r="AR41" i="52"/>
  <c r="AJ41" i="52"/>
  <c r="BW42" i="52"/>
  <c r="BP44" i="52"/>
  <c r="AR44" i="52"/>
  <c r="AB44" i="52"/>
  <c r="BH44" i="52"/>
  <c r="Y48" i="52"/>
  <c r="AG48" i="52"/>
  <c r="AM51" i="52"/>
  <c r="AE52" i="52"/>
  <c r="BC49" i="52"/>
  <c r="W53" i="52"/>
  <c r="AU50" i="52"/>
  <c r="AE57" i="52"/>
  <c r="CA45" i="52"/>
  <c r="BC51" i="52"/>
  <c r="BS47" i="52"/>
  <c r="AU53" i="52"/>
  <c r="BK49" i="52"/>
  <c r="CE45" i="52"/>
  <c r="BG51" i="52"/>
  <c r="BW47" i="52"/>
  <c r="BO49" i="52"/>
  <c r="Y62" i="52"/>
  <c r="AO58" i="52"/>
  <c r="BE54" i="52"/>
  <c r="BM52" i="52"/>
  <c r="AG60" i="52"/>
  <c r="L64" i="52"/>
  <c r="BE74" i="52"/>
  <c r="X41" i="52"/>
  <c r="BM41" i="52"/>
  <c r="BW41" i="52"/>
  <c r="AF42" i="52"/>
  <c r="BD42" i="52"/>
  <c r="AB43" i="52"/>
  <c r="BT43" i="52"/>
  <c r="X44" i="52"/>
  <c r="AB46" i="52"/>
  <c r="AR46" i="52"/>
  <c r="K56" i="52"/>
  <c r="AX56" i="52"/>
  <c r="S60" i="52"/>
  <c r="T61" i="52"/>
  <c r="K65" i="52"/>
  <c r="T70" i="52"/>
  <c r="Y41" i="52"/>
  <c r="X42" i="52"/>
  <c r="BT42" i="52"/>
  <c r="BH43" i="52"/>
  <c r="AR45" i="52"/>
  <c r="AJ46" i="52"/>
  <c r="L56" i="52"/>
  <c r="AY58" i="52"/>
  <c r="AH60" i="52"/>
  <c r="AI62" i="52"/>
  <c r="T64" i="52"/>
  <c r="AL74" i="52"/>
  <c r="BP74" i="52"/>
  <c r="L104" i="52"/>
  <c r="AO41" i="52"/>
  <c r="BE41" i="52"/>
  <c r="BT41" i="52"/>
  <c r="AN42" i="52"/>
  <c r="BH42" i="52"/>
  <c r="BX42" i="52"/>
  <c r="X43" i="52"/>
  <c r="AJ43" i="52"/>
  <c r="BW43" i="52"/>
  <c r="BL44" i="52"/>
  <c r="X45" i="52"/>
  <c r="X46" i="52"/>
  <c r="AN46" i="52"/>
  <c r="BN52" i="52"/>
  <c r="K64" i="52"/>
  <c r="BT74" i="52"/>
  <c r="D15" i="52"/>
  <c r="O15" i="52" s="1"/>
  <c r="K10" i="52"/>
  <c r="K44" i="52"/>
  <c r="O44" i="52" s="1"/>
  <c r="D4" i="52"/>
  <c r="O4" i="52" s="1"/>
  <c r="K7" i="52"/>
  <c r="H27" i="48"/>
  <c r="F72" i="48"/>
  <c r="D15" i="48"/>
  <c r="M37" i="48"/>
  <c r="F25" i="48"/>
  <c r="C26" i="48"/>
  <c r="N26" i="48" s="1"/>
  <c r="F26" i="48"/>
  <c r="F39" i="48"/>
  <c r="C27" i="48"/>
  <c r="AU44" i="52"/>
  <c r="N9" i="52"/>
  <c r="J25" i="48"/>
  <c r="L27" i="48"/>
  <c r="I21" i="48"/>
  <c r="P4" i="50"/>
  <c r="AI41" i="52"/>
  <c r="BO41" i="52"/>
  <c r="AT106" i="52"/>
  <c r="L106" i="52"/>
  <c r="AW72" i="52"/>
  <c r="AG85" i="52"/>
  <c r="AG75" i="52"/>
  <c r="AY42" i="52"/>
  <c r="AI43" i="52"/>
  <c r="BO43" i="52"/>
  <c r="AG77" i="52"/>
  <c r="AO45" i="52"/>
  <c r="BE45" i="52"/>
  <c r="Y45" i="52"/>
  <c r="AG45" i="52"/>
  <c r="AW45" i="52"/>
  <c r="BN45" i="52"/>
  <c r="AQ114" i="52"/>
  <c r="K144" i="52"/>
  <c r="J144" i="52"/>
  <c r="AS114" i="52"/>
  <c r="K114" i="52"/>
  <c r="AR114" i="52"/>
  <c r="J114" i="52"/>
  <c r="L84" i="52"/>
  <c r="J84" i="52"/>
  <c r="AF93" i="52"/>
  <c r="AO93" i="52" s="1"/>
  <c r="AF83" i="52"/>
  <c r="BT72" i="52"/>
  <c r="K84" i="52"/>
  <c r="AE83" i="52"/>
  <c r="O50" i="52"/>
  <c r="K145" i="52"/>
  <c r="AS115" i="52"/>
  <c r="AI74" i="52"/>
  <c r="AS73" i="52"/>
  <c r="AT116" i="52"/>
  <c r="L116" i="52"/>
  <c r="AJ85" i="52"/>
  <c r="AJ75" i="52"/>
  <c r="AW73" i="52"/>
  <c r="AU120" i="52"/>
  <c r="BJ73" i="52"/>
  <c r="AJ54" i="52"/>
  <c r="AR53" i="52"/>
  <c r="W102" i="52"/>
  <c r="V95" i="52"/>
  <c r="T88" i="52"/>
  <c r="AB96" i="52"/>
  <c r="Y90" i="52"/>
  <c r="Z91" i="52"/>
  <c r="R89" i="52"/>
  <c r="S99" i="52"/>
  <c r="O91" i="52"/>
  <c r="R79" i="52"/>
  <c r="V84" i="52"/>
  <c r="V78" i="52"/>
  <c r="W95" i="52"/>
  <c r="S84" i="52"/>
  <c r="S80" i="52"/>
  <c r="S76" i="52"/>
  <c r="P86" i="52"/>
  <c r="W81" i="52"/>
  <c r="S102" i="52"/>
  <c r="Y93" i="52"/>
  <c r="Q84" i="52"/>
  <c r="Q80" i="52"/>
  <c r="P74" i="52"/>
  <c r="O102" i="52"/>
  <c r="Q100" i="52"/>
  <c r="P84" i="52"/>
  <c r="R86" i="52"/>
  <c r="T75" i="52"/>
  <c r="F15" i="48"/>
  <c r="C16" i="48"/>
  <c r="K16" i="48"/>
  <c r="J21" i="48"/>
  <c r="D25" i="48"/>
  <c r="L25" i="48"/>
  <c r="F27" i="48"/>
  <c r="F37" i="48"/>
  <c r="J19" i="52"/>
  <c r="AV41" i="52"/>
  <c r="CB41" i="52"/>
  <c r="AU106" i="52"/>
  <c r="AZ42" i="52"/>
  <c r="CF42" i="52"/>
  <c r="AV43" i="52"/>
  <c r="L138" i="52"/>
  <c r="AU108" i="52"/>
  <c r="AH87" i="52"/>
  <c r="AH77" i="52"/>
  <c r="BD72" i="52"/>
  <c r="AZ44" i="52"/>
  <c r="BV44" i="52"/>
  <c r="AJ48" i="52"/>
  <c r="AT115" i="52"/>
  <c r="L115" i="52"/>
  <c r="AJ74" i="52"/>
  <c r="AT73" i="52"/>
  <c r="AJ84" i="52"/>
  <c r="L146" i="52"/>
  <c r="AU116" i="52"/>
  <c r="AK85" i="52"/>
  <c r="AK75" i="52"/>
  <c r="AX73" i="52"/>
  <c r="AU117" i="52"/>
  <c r="L147" i="52"/>
  <c r="AK86" i="52"/>
  <c r="AK76" i="52"/>
  <c r="BA73" i="52"/>
  <c r="K54" i="52"/>
  <c r="P54" i="52" s="1"/>
  <c r="AF52" i="52" s="1"/>
  <c r="AE53" i="52"/>
  <c r="AM52" i="52"/>
  <c r="D20" i="48"/>
  <c r="H6" i="48"/>
  <c r="H8" i="48"/>
  <c r="G15" i="48"/>
  <c r="D16" i="48"/>
  <c r="L16" i="48"/>
  <c r="F20" i="48"/>
  <c r="C21" i="48"/>
  <c r="K21" i="48"/>
  <c r="E25" i="48"/>
  <c r="G27" i="48"/>
  <c r="C39" i="48"/>
  <c r="AA41" i="52"/>
  <c r="AW41" i="52"/>
  <c r="BG41" i="52"/>
  <c r="AG42" i="52"/>
  <c r="AQ42" i="52"/>
  <c r="BM42" i="52"/>
  <c r="AA43" i="52"/>
  <c r="BG43" i="52"/>
  <c r="AG44" i="52"/>
  <c r="BM44" i="52"/>
  <c r="AB45" i="52"/>
  <c r="AJ45" i="52"/>
  <c r="BC47" i="52"/>
  <c r="AE50" i="52"/>
  <c r="W51" i="52"/>
  <c r="BK46" i="52"/>
  <c r="X11" i="52"/>
  <c r="J135" i="52"/>
  <c r="AS105" i="52"/>
  <c r="AR105" i="52"/>
  <c r="K135" i="52"/>
  <c r="K105" i="52"/>
  <c r="J105" i="52"/>
  <c r="AF74" i="52"/>
  <c r="AE74" i="52"/>
  <c r="AQ105" i="52"/>
  <c r="L75" i="52"/>
  <c r="AS72" i="52"/>
  <c r="AF84" i="52"/>
  <c r="K75" i="52"/>
  <c r="J75" i="52"/>
  <c r="K137" i="52"/>
  <c r="AS107" i="52"/>
  <c r="J137" i="52"/>
  <c r="AR107" i="52"/>
  <c r="K107" i="52"/>
  <c r="J107" i="52"/>
  <c r="AQ107" i="52"/>
  <c r="J77" i="52"/>
  <c r="AF86" i="52"/>
  <c r="AF76" i="52"/>
  <c r="L77" i="52"/>
  <c r="AE76" i="52"/>
  <c r="AY72" i="52"/>
  <c r="K77" i="52"/>
  <c r="AT109" i="52"/>
  <c r="L109" i="52"/>
  <c r="AG78" i="52"/>
  <c r="BF72" i="52"/>
  <c r="AG88" i="52"/>
  <c r="Y46" i="52"/>
  <c r="AO46" i="52"/>
  <c r="AG46" i="52"/>
  <c r="AT112" i="52"/>
  <c r="AG91" i="52"/>
  <c r="L112" i="52"/>
  <c r="AG81" i="52"/>
  <c r="BO72" i="52"/>
  <c r="Z54" i="52"/>
  <c r="BF50" i="52"/>
  <c r="AH53" i="52"/>
  <c r="AC111" i="52"/>
  <c r="AO82" i="52"/>
  <c r="AO80" i="52"/>
  <c r="AO78" i="52"/>
  <c r="AO79" i="52"/>
  <c r="AO77" i="52"/>
  <c r="AO74" i="52"/>
  <c r="M13" i="48"/>
  <c r="I15" i="48"/>
  <c r="F16" i="48"/>
  <c r="M17" i="48"/>
  <c r="H20" i="48"/>
  <c r="E21" i="48"/>
  <c r="G25" i="48"/>
  <c r="D26" i="48"/>
  <c r="L26" i="48"/>
  <c r="I27" i="48"/>
  <c r="C74" i="48"/>
  <c r="AT105" i="52"/>
  <c r="AG84" i="52"/>
  <c r="AT72" i="52"/>
  <c r="AG74" i="52"/>
  <c r="AY41" i="52"/>
  <c r="Y42" i="52"/>
  <c r="BE42" i="52"/>
  <c r="AT107" i="52"/>
  <c r="AG86" i="52"/>
  <c r="AG76" i="52"/>
  <c r="L107" i="52"/>
  <c r="AZ72" i="52"/>
  <c r="BE44" i="52"/>
  <c r="Y77" i="52"/>
  <c r="L139" i="52"/>
  <c r="AU109" i="52"/>
  <c r="AH88" i="52"/>
  <c r="AH78" i="52"/>
  <c r="BG72" i="52"/>
  <c r="AP47" i="52"/>
  <c r="AH47" i="52"/>
  <c r="L142" i="52"/>
  <c r="AU112" i="52"/>
  <c r="AH91" i="52"/>
  <c r="AH81" i="52"/>
  <c r="BP72" i="52"/>
  <c r="BK45" i="52"/>
  <c r="AM48" i="52"/>
  <c r="AE49" i="52"/>
  <c r="BE49" i="52"/>
  <c r="Y82" i="52" s="1"/>
  <c r="AG52" i="52"/>
  <c r="Y53" i="52"/>
  <c r="BM48" i="52"/>
  <c r="Y61" i="52"/>
  <c r="AG59" i="52"/>
  <c r="AO57" i="52"/>
  <c r="AW55" i="52"/>
  <c r="BE53" i="52"/>
  <c r="BM51" i="52"/>
  <c r="BU49" i="52"/>
  <c r="H7" i="48"/>
  <c r="J15" i="48"/>
  <c r="G16" i="48"/>
  <c r="M18" i="48"/>
  <c r="I20" i="48"/>
  <c r="F21" i="48"/>
  <c r="H25" i="48"/>
  <c r="E26" i="48"/>
  <c r="J27" i="48"/>
  <c r="F74" i="48"/>
  <c r="C3" i="52"/>
  <c r="G4" i="52"/>
  <c r="C16" i="52"/>
  <c r="N16" i="52"/>
  <c r="C35" i="52"/>
  <c r="L135" i="52"/>
  <c r="AH84" i="52"/>
  <c r="AU105" i="52"/>
  <c r="AU72" i="52"/>
  <c r="AH74" i="52"/>
  <c r="AF41" i="52"/>
  <c r="AZ41" i="52"/>
  <c r="AJ42" i="52"/>
  <c r="AV42" i="52"/>
  <c r="L137" i="52"/>
  <c r="AU107" i="52"/>
  <c r="AH76" i="52"/>
  <c r="BA72" i="52"/>
  <c r="AH86" i="52"/>
  <c r="AF43" i="52"/>
  <c r="AJ44" i="52"/>
  <c r="K45" i="52"/>
  <c r="O45" i="52" s="1"/>
  <c r="J140" i="52"/>
  <c r="K140" i="52"/>
  <c r="AS110" i="52"/>
  <c r="AR110" i="52"/>
  <c r="AQ110" i="52"/>
  <c r="K110" i="52"/>
  <c r="AF89" i="52"/>
  <c r="AO89" i="52" s="1"/>
  <c r="L80" i="52"/>
  <c r="J110" i="52"/>
  <c r="J80" i="52"/>
  <c r="AF79" i="52"/>
  <c r="K80" i="52"/>
  <c r="AE79" i="52"/>
  <c r="O46" i="52"/>
  <c r="BH72" i="52"/>
  <c r="AS111" i="52"/>
  <c r="K141" i="52"/>
  <c r="AR111" i="52"/>
  <c r="K111" i="52"/>
  <c r="J141" i="52"/>
  <c r="AQ111" i="52"/>
  <c r="J111" i="52"/>
  <c r="AF90" i="52"/>
  <c r="AO90" i="52" s="1"/>
  <c r="J81" i="52"/>
  <c r="AF80" i="52"/>
  <c r="L81" i="52"/>
  <c r="K81" i="52"/>
  <c r="K47" i="52"/>
  <c r="AE80" i="52"/>
  <c r="BK72" i="52"/>
  <c r="AQ47" i="52"/>
  <c r="AA47" i="52"/>
  <c r="AI47" i="52"/>
  <c r="AU48" i="52"/>
  <c r="BM47" i="52"/>
  <c r="AO50" i="52"/>
  <c r="AG51" i="52"/>
  <c r="BU46" i="52"/>
  <c r="AH52" i="52"/>
  <c r="BN48" i="52"/>
  <c r="AP51" i="52"/>
  <c r="X12" i="52"/>
  <c r="S4" i="52"/>
  <c r="C37" i="52"/>
  <c r="K41" i="52"/>
  <c r="AW42" i="52"/>
  <c r="K43" i="52"/>
  <c r="O43" i="52" s="1"/>
  <c r="L45" i="52"/>
  <c r="R45" i="52" s="1"/>
  <c r="BF45" i="52" s="1"/>
  <c r="Z78" i="52" s="1"/>
  <c r="R112" i="52" s="1"/>
  <c r="L110" i="52"/>
  <c r="AG89" i="52"/>
  <c r="AT110" i="52"/>
  <c r="AG79" i="52"/>
  <c r="BI72" i="52"/>
  <c r="L111" i="52"/>
  <c r="AG90" i="52"/>
  <c r="AG80" i="52"/>
  <c r="AT111" i="52"/>
  <c r="BL72" i="52"/>
  <c r="BF46" i="52"/>
  <c r="Z79" i="52"/>
  <c r="AH49" i="52"/>
  <c r="Z50" i="52"/>
  <c r="J148" i="52"/>
  <c r="AQ118" i="52"/>
  <c r="K88" i="52"/>
  <c r="AS118" i="52"/>
  <c r="K118" i="52"/>
  <c r="J88" i="52"/>
  <c r="K148" i="52"/>
  <c r="AR118" i="52"/>
  <c r="J118" i="52"/>
  <c r="AI87" i="52"/>
  <c r="L88" i="52"/>
  <c r="BB73" i="52"/>
  <c r="AI77" i="52"/>
  <c r="AR119" i="52"/>
  <c r="J119" i="52"/>
  <c r="K149" i="52"/>
  <c r="AQ119" i="52"/>
  <c r="J149" i="52"/>
  <c r="AS119" i="52"/>
  <c r="K119" i="52"/>
  <c r="L89" i="52"/>
  <c r="J89" i="52"/>
  <c r="AI88" i="52"/>
  <c r="K89" i="52"/>
  <c r="BE73" i="52"/>
  <c r="AI78" i="52"/>
  <c r="AG55" i="52"/>
  <c r="Y56" i="52"/>
  <c r="AO54" i="52"/>
  <c r="G26" i="48"/>
  <c r="D27" i="48"/>
  <c r="J10" i="52"/>
  <c r="C22" i="52"/>
  <c r="N22" i="52" s="1"/>
  <c r="J25" i="52"/>
  <c r="L41" i="52"/>
  <c r="K136" i="52"/>
  <c r="K106" i="52"/>
  <c r="AF85" i="52"/>
  <c r="AV72" i="52"/>
  <c r="L43" i="52"/>
  <c r="R43" i="52"/>
  <c r="J138" i="52"/>
  <c r="K138" i="52"/>
  <c r="AS108" i="52"/>
  <c r="AR108" i="52"/>
  <c r="J108" i="52"/>
  <c r="AQ108" i="52"/>
  <c r="K108" i="52"/>
  <c r="L78" i="52"/>
  <c r="AF87" i="52"/>
  <c r="J78" i="52"/>
  <c r="BB72" i="52"/>
  <c r="AF77" i="52"/>
  <c r="AE77" i="52"/>
  <c r="K78" i="52"/>
  <c r="AF45" i="52"/>
  <c r="AV45" i="52"/>
  <c r="AU113" i="52"/>
  <c r="L143" i="52"/>
  <c r="AH92" i="52"/>
  <c r="AH82" i="52"/>
  <c r="BS72" i="52"/>
  <c r="BP46" i="52"/>
  <c r="AR49" i="52"/>
  <c r="AJ50" i="52"/>
  <c r="BH48" i="52"/>
  <c r="AJ51" i="52"/>
  <c r="AB52" i="52"/>
  <c r="BP47" i="52"/>
  <c r="BF73" i="52"/>
  <c r="Y64" i="52"/>
  <c r="AG62" i="52"/>
  <c r="AO60" i="52"/>
  <c r="AW58" i="52"/>
  <c r="AY46" i="52"/>
  <c r="K143" i="52"/>
  <c r="AR113" i="52"/>
  <c r="J113" i="52"/>
  <c r="AQ113" i="52"/>
  <c r="AS113" i="52"/>
  <c r="K113" i="52"/>
  <c r="AF92" i="52"/>
  <c r="AO92" i="52"/>
  <c r="J143" i="52"/>
  <c r="J83" i="52"/>
  <c r="AF82" i="52"/>
  <c r="L83" i="52"/>
  <c r="BQ72" i="52"/>
  <c r="R49" i="52"/>
  <c r="Z49" i="52" s="1"/>
  <c r="AU115" i="52"/>
  <c r="L145" i="52"/>
  <c r="AU73" i="52"/>
  <c r="AK84" i="52"/>
  <c r="AT118" i="52"/>
  <c r="L118" i="52"/>
  <c r="AJ87" i="52"/>
  <c r="AJ77" i="52"/>
  <c r="BC73" i="52"/>
  <c r="AE54" i="52"/>
  <c r="AJ55" i="52"/>
  <c r="AG56" i="52"/>
  <c r="K151" i="52"/>
  <c r="AR121" i="52"/>
  <c r="J121" i="52"/>
  <c r="AQ121" i="52"/>
  <c r="J151" i="52"/>
  <c r="L91" i="52"/>
  <c r="K91" i="52"/>
  <c r="J91" i="52"/>
  <c r="AS121" i="52"/>
  <c r="K121" i="52"/>
  <c r="AI90" i="52"/>
  <c r="AP90" i="52" s="1"/>
  <c r="BK73" i="52"/>
  <c r="AU123" i="52"/>
  <c r="L153" i="52"/>
  <c r="AK92" i="52"/>
  <c r="AK82" i="52"/>
  <c r="BS73" i="52"/>
  <c r="AT126" i="52"/>
  <c r="L126" i="52"/>
  <c r="K159" i="52"/>
  <c r="AR129" i="52"/>
  <c r="J129" i="52"/>
  <c r="AQ129" i="52"/>
  <c r="J159" i="52"/>
  <c r="AS129" i="52"/>
  <c r="K129" i="52"/>
  <c r="L99" i="52"/>
  <c r="K99" i="52"/>
  <c r="J99" i="52"/>
  <c r="AL88" i="52"/>
  <c r="AQ88" i="52" s="1"/>
  <c r="AL78" i="52"/>
  <c r="AU131" i="52"/>
  <c r="L161" i="52"/>
  <c r="AN90" i="52"/>
  <c r="AN80" i="52"/>
  <c r="J163" i="52"/>
  <c r="AR133" i="52"/>
  <c r="J133" i="52"/>
  <c r="AQ133" i="52"/>
  <c r="L103" i="52"/>
  <c r="K103" i="52"/>
  <c r="J103" i="52"/>
  <c r="AL92" i="52"/>
  <c r="AQ92" i="52" s="1"/>
  <c r="K163" i="52"/>
  <c r="AS133" i="52"/>
  <c r="K133" i="52"/>
  <c r="Q69" i="52"/>
  <c r="Y67" i="52"/>
  <c r="AL82" i="52"/>
  <c r="K69" i="52"/>
  <c r="T69" i="52"/>
  <c r="AB67" i="52"/>
  <c r="AZ74" i="52"/>
  <c r="AL75" i="52"/>
  <c r="K79" i="52"/>
  <c r="AM85" i="52"/>
  <c r="AI45" i="52"/>
  <c r="L140" i="52"/>
  <c r="AH89" i="52"/>
  <c r="AU110" i="52"/>
  <c r="AH79" i="52"/>
  <c r="BJ72" i="52"/>
  <c r="AF46" i="52"/>
  <c r="L48" i="52"/>
  <c r="AT113" i="52"/>
  <c r="AG82" i="52"/>
  <c r="L113" i="52"/>
  <c r="AG92" i="52"/>
  <c r="BR72" i="52"/>
  <c r="J146" i="52"/>
  <c r="AQ116" i="52"/>
  <c r="K146" i="52"/>
  <c r="AS116" i="52"/>
  <c r="K116" i="52"/>
  <c r="AR116" i="52"/>
  <c r="J116" i="52"/>
  <c r="L86" i="52"/>
  <c r="K86" i="52"/>
  <c r="J86" i="52"/>
  <c r="L148" i="52"/>
  <c r="AU118" i="52"/>
  <c r="AK87" i="52"/>
  <c r="AK77" i="52"/>
  <c r="X56" i="52"/>
  <c r="AH56" i="52"/>
  <c r="AJ90" i="52"/>
  <c r="AT121" i="52"/>
  <c r="L121" i="52"/>
  <c r="AJ80" i="52"/>
  <c r="S57" i="52"/>
  <c r="K59" i="52"/>
  <c r="J154" i="52"/>
  <c r="AQ124" i="52"/>
  <c r="K154" i="52"/>
  <c r="L94" i="52"/>
  <c r="K94" i="52"/>
  <c r="AI93" i="52"/>
  <c r="AP93" i="52" s="1"/>
  <c r="AS124" i="52"/>
  <c r="K124" i="52"/>
  <c r="AR124" i="52"/>
  <c r="J124" i="52"/>
  <c r="J94" i="52"/>
  <c r="L156" i="52"/>
  <c r="AU126" i="52"/>
  <c r="AX74" i="52"/>
  <c r="AN85" i="52"/>
  <c r="AN75" i="52"/>
  <c r="T62" i="52"/>
  <c r="AH64" i="52"/>
  <c r="AM88" i="52"/>
  <c r="AT129" i="52"/>
  <c r="L129" i="52"/>
  <c r="BF74" i="52"/>
  <c r="K68" i="52"/>
  <c r="AT133" i="52"/>
  <c r="L133" i="52"/>
  <c r="AM92" i="52"/>
  <c r="BR74" i="52"/>
  <c r="AT134" i="52"/>
  <c r="L134" i="52"/>
  <c r="AM93" i="52"/>
  <c r="BQ74" i="52"/>
  <c r="AM75" i="52"/>
  <c r="AE82" i="52"/>
  <c r="AI83" i="52"/>
  <c r="AU121" i="52"/>
  <c r="L151" i="52"/>
  <c r="AK90" i="52"/>
  <c r="AK80" i="52"/>
  <c r="AT124" i="52"/>
  <c r="L124" i="52"/>
  <c r="AJ83" i="52"/>
  <c r="AJ93" i="52"/>
  <c r="K62" i="52"/>
  <c r="AR127" i="52"/>
  <c r="J127" i="52"/>
  <c r="K157" i="52"/>
  <c r="AQ127" i="52"/>
  <c r="J157" i="52"/>
  <c r="AS127" i="52"/>
  <c r="K127" i="52"/>
  <c r="J97" i="52"/>
  <c r="L97" i="52"/>
  <c r="AY74" i="52"/>
  <c r="AL76" i="52"/>
  <c r="K97" i="52"/>
  <c r="AU129" i="52"/>
  <c r="L159" i="52"/>
  <c r="AN88" i="52"/>
  <c r="BG74" i="52"/>
  <c r="AN78" i="52"/>
  <c r="L164" i="52"/>
  <c r="AU134" i="52"/>
  <c r="BV74" i="52"/>
  <c r="AN93" i="52"/>
  <c r="AN83" i="52"/>
  <c r="AV73" i="52"/>
  <c r="BL73" i="52"/>
  <c r="AK74" i="52"/>
  <c r="BD74" i="52"/>
  <c r="AI82" i="52"/>
  <c r="AQ122" i="52"/>
  <c r="K152" i="52"/>
  <c r="J152" i="52"/>
  <c r="AS122" i="52"/>
  <c r="K122" i="52"/>
  <c r="AR122" i="52"/>
  <c r="J122" i="52"/>
  <c r="K92" i="52"/>
  <c r="J92" i="52"/>
  <c r="AI91" i="52"/>
  <c r="AP91" i="52"/>
  <c r="L92" i="52"/>
  <c r="BN73" i="52"/>
  <c r="L154" i="52"/>
  <c r="AU124" i="52"/>
  <c r="AK93" i="52"/>
  <c r="AK83" i="52"/>
  <c r="BV73" i="52"/>
  <c r="L62" i="52"/>
  <c r="L127" i="52"/>
  <c r="AM86" i="52"/>
  <c r="AT127" i="52"/>
  <c r="AQ130" i="52"/>
  <c r="K160" i="52"/>
  <c r="J160" i="52"/>
  <c r="AS130" i="52"/>
  <c r="K130" i="52"/>
  <c r="AR130" i="52"/>
  <c r="J130" i="52"/>
  <c r="K100" i="52"/>
  <c r="J100" i="52"/>
  <c r="AL89" i="52"/>
  <c r="AQ89" i="52" s="1"/>
  <c r="L100" i="52"/>
  <c r="AL79" i="52"/>
  <c r="BM73" i="52"/>
  <c r="AI81" i="52"/>
  <c r="J139" i="52"/>
  <c r="AS109" i="52"/>
  <c r="K109" i="52"/>
  <c r="AR109" i="52"/>
  <c r="J109" i="52"/>
  <c r="AF88" i="52"/>
  <c r="AO88" i="52" s="1"/>
  <c r="K139" i="52"/>
  <c r="AQ109" i="52"/>
  <c r="J79" i="52"/>
  <c r="AF78" i="52"/>
  <c r="BE72" i="52"/>
  <c r="L79" i="52"/>
  <c r="L141" i="52"/>
  <c r="AU111" i="52"/>
  <c r="AH90" i="52"/>
  <c r="AH80" i="52"/>
  <c r="BM72" i="52"/>
  <c r="L49" i="52"/>
  <c r="AT114" i="52"/>
  <c r="AG83" i="52"/>
  <c r="K52" i="52"/>
  <c r="P52" i="52" s="1"/>
  <c r="J147" i="52"/>
  <c r="AR117" i="52"/>
  <c r="J117" i="52"/>
  <c r="AQ117" i="52"/>
  <c r="AS117" i="52"/>
  <c r="K117" i="52"/>
  <c r="AY73" i="52"/>
  <c r="K147" i="52"/>
  <c r="L87" i="52"/>
  <c r="K87" i="52"/>
  <c r="J87" i="52"/>
  <c r="AI86" i="52"/>
  <c r="AU119" i="52"/>
  <c r="L149" i="52"/>
  <c r="BG73" i="52"/>
  <c r="AK88" i="52"/>
  <c r="AK78" i="52"/>
  <c r="L57" i="52"/>
  <c r="AT122" i="52"/>
  <c r="L122" i="52"/>
  <c r="AJ91" i="52"/>
  <c r="BO73" i="52"/>
  <c r="AJ81" i="52"/>
  <c r="S58" i="52"/>
  <c r="P59" i="52"/>
  <c r="X58" i="52" s="1"/>
  <c r="K60" i="52"/>
  <c r="J155" i="52"/>
  <c r="AR125" i="52"/>
  <c r="J125" i="52"/>
  <c r="AQ125" i="52"/>
  <c r="L95" i="52"/>
  <c r="K95" i="52"/>
  <c r="J95" i="52"/>
  <c r="AS125" i="52"/>
  <c r="K125" i="52"/>
  <c r="K155" i="52"/>
  <c r="AL84" i="52"/>
  <c r="AQ84" i="52"/>
  <c r="AN61" i="52"/>
  <c r="AU127" i="52"/>
  <c r="L157" i="52"/>
  <c r="AN86" i="52"/>
  <c r="AN76" i="52"/>
  <c r="T63" i="52"/>
  <c r="AF63" i="52"/>
  <c r="L65" i="52"/>
  <c r="AT130" i="52"/>
  <c r="L130" i="52"/>
  <c r="AM89" i="52"/>
  <c r="BH74" i="52"/>
  <c r="AI80" i="52"/>
  <c r="K83" i="52"/>
  <c r="K142" i="52"/>
  <c r="K112" i="52"/>
  <c r="J112" i="52"/>
  <c r="AF91" i="52"/>
  <c r="AO91" i="52" s="1"/>
  <c r="AS112" i="52"/>
  <c r="AR112" i="52"/>
  <c r="BN72" i="52"/>
  <c r="L82" i="52"/>
  <c r="J142" i="52"/>
  <c r="AQ112" i="52"/>
  <c r="J82" i="52"/>
  <c r="AF81" i="52"/>
  <c r="R48" i="52"/>
  <c r="O49" i="52"/>
  <c r="W49" i="52"/>
  <c r="AU114" i="52"/>
  <c r="L144" i="52"/>
  <c r="AH93" i="52"/>
  <c r="BV72" i="52"/>
  <c r="AH83" i="52"/>
  <c r="L52" i="52"/>
  <c r="S52" i="52" s="1"/>
  <c r="AJ86" i="52"/>
  <c r="AP86" i="52" s="1"/>
  <c r="AQ120" i="52"/>
  <c r="K150" i="52"/>
  <c r="AI89" i="52"/>
  <c r="AP89" i="52" s="1"/>
  <c r="J150" i="52"/>
  <c r="AS120" i="52"/>
  <c r="K120" i="52"/>
  <c r="L90" i="52"/>
  <c r="AR120" i="52"/>
  <c r="J120" i="52"/>
  <c r="K90" i="52"/>
  <c r="AK81" i="52"/>
  <c r="L60" i="52"/>
  <c r="AT125" i="52"/>
  <c r="AM74" i="52"/>
  <c r="L125" i="52"/>
  <c r="AM84" i="52"/>
  <c r="AT74" i="52"/>
  <c r="K63" i="52"/>
  <c r="AQ128" i="52"/>
  <c r="K158" i="52"/>
  <c r="AS128" i="52"/>
  <c r="K128" i="52"/>
  <c r="L98" i="52"/>
  <c r="AR128" i="52"/>
  <c r="J128" i="52"/>
  <c r="K98" i="52"/>
  <c r="J158" i="52"/>
  <c r="AL87" i="52"/>
  <c r="AQ87" i="52" s="1"/>
  <c r="AL77" i="52"/>
  <c r="J98" i="52"/>
  <c r="BB74" i="52"/>
  <c r="AU130" i="52"/>
  <c r="L160" i="52"/>
  <c r="AN89" i="52"/>
  <c r="AN79" i="52"/>
  <c r="BJ74" i="52"/>
  <c r="T66" i="52"/>
  <c r="AS74" i="52"/>
  <c r="BW74" i="52" s="1"/>
  <c r="BI74" i="52"/>
  <c r="AE78" i="52"/>
  <c r="AI79" i="52"/>
  <c r="AM80" i="52"/>
  <c r="K82" i="52"/>
  <c r="AT120" i="52"/>
  <c r="L120" i="52"/>
  <c r="AJ89" i="52"/>
  <c r="AJ79" i="52"/>
  <c r="K58" i="52"/>
  <c r="K153" i="52"/>
  <c r="J153" i="52"/>
  <c r="AR123" i="52"/>
  <c r="J123" i="52"/>
  <c r="AQ123" i="52"/>
  <c r="AS123" i="52"/>
  <c r="K123" i="52"/>
  <c r="J93" i="52"/>
  <c r="AI92" i="52"/>
  <c r="AP92" i="52" s="1"/>
  <c r="L93" i="52"/>
  <c r="K93" i="52"/>
  <c r="AU125" i="52"/>
  <c r="L155" i="52"/>
  <c r="AN74" i="52"/>
  <c r="AU74" i="52"/>
  <c r="Q62" i="52"/>
  <c r="L63" i="52"/>
  <c r="AT128" i="52"/>
  <c r="L128" i="52"/>
  <c r="AM87" i="52"/>
  <c r="BC74" i="52"/>
  <c r="K66" i="52"/>
  <c r="J162" i="52"/>
  <c r="AS132" i="52"/>
  <c r="K132" i="52"/>
  <c r="AQ132" i="52"/>
  <c r="K162" i="52"/>
  <c r="AR132" i="52"/>
  <c r="L102" i="52"/>
  <c r="K102" i="52"/>
  <c r="J132" i="52"/>
  <c r="J102" i="52"/>
  <c r="AL81" i="52"/>
  <c r="T68" i="52"/>
  <c r="AL91" i="52"/>
  <c r="AQ91" i="52" s="1"/>
  <c r="BN74" i="52"/>
  <c r="BD73" i="52"/>
  <c r="BT73" i="52"/>
  <c r="J90" i="52"/>
  <c r="AJ92" i="52"/>
  <c r="AT123" i="52"/>
  <c r="L123" i="52"/>
  <c r="AJ82" i="52"/>
  <c r="BR73" i="52"/>
  <c r="J156" i="52"/>
  <c r="AQ126" i="52"/>
  <c r="K96" i="52"/>
  <c r="AS126" i="52"/>
  <c r="K126" i="52"/>
  <c r="J96" i="52"/>
  <c r="AR126" i="52"/>
  <c r="J126" i="52"/>
  <c r="K156" i="52"/>
  <c r="AL85" i="52"/>
  <c r="AQ85" i="52" s="1"/>
  <c r="L96" i="52"/>
  <c r="L158" i="52"/>
  <c r="AU128" i="52"/>
  <c r="AN77" i="52"/>
  <c r="L66" i="52"/>
  <c r="AM90" i="52"/>
  <c r="AT131" i="52"/>
  <c r="L131" i="52"/>
  <c r="BU73" i="52"/>
  <c r="AI75" i="52"/>
  <c r="AI85" i="52"/>
  <c r="AL86" i="52"/>
  <c r="AQ86" i="52" s="1"/>
  <c r="K161" i="52"/>
  <c r="J161" i="52"/>
  <c r="AR131" i="52"/>
  <c r="J131" i="52"/>
  <c r="AQ131" i="52"/>
  <c r="AS131" i="52"/>
  <c r="K131" i="52"/>
  <c r="AL90" i="52"/>
  <c r="AQ90" i="52"/>
  <c r="L101" i="52"/>
  <c r="J101" i="52"/>
  <c r="AU133" i="52"/>
  <c r="L163" i="52"/>
  <c r="AN92" i="52"/>
  <c r="AS134" i="52"/>
  <c r="K134" i="52"/>
  <c r="K164" i="52"/>
  <c r="J164" i="52"/>
  <c r="AQ134" i="52"/>
  <c r="K104" i="52"/>
  <c r="J104" i="52"/>
  <c r="AL93" i="52"/>
  <c r="AQ93" i="52" s="1"/>
  <c r="J134" i="52"/>
  <c r="AR134" i="52"/>
  <c r="BK74" i="52"/>
  <c r="BS74" i="52"/>
  <c r="AL80" i="52"/>
  <c r="K101" i="52"/>
  <c r="L67" i="52"/>
  <c r="AT132" i="52"/>
  <c r="L132" i="52"/>
  <c r="AM91" i="52"/>
  <c r="K70" i="52"/>
  <c r="AN82" i="52"/>
  <c r="L162" i="52"/>
  <c r="AU132" i="52"/>
  <c r="AN91" i="52"/>
  <c r="L70" i="52"/>
  <c r="BO74" i="52"/>
  <c r="AL83" i="52"/>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5" i="9"/>
  <c r="C83" i="9"/>
  <c r="A83" i="9"/>
  <c r="F83" i="9"/>
  <c r="B83" i="9" s="1"/>
  <c r="G83" i="9" s="1"/>
  <c r="C76" i="9"/>
  <c r="A76" i="9"/>
  <c r="F76" i="9"/>
  <c r="B76" i="9" s="1"/>
  <c r="G76" i="9" s="1"/>
  <c r="H76" i="9" s="1"/>
  <c r="I76" i="9" s="1"/>
  <c r="J76" i="9" s="1"/>
  <c r="K76" i="9" s="1"/>
  <c r="C77" i="9"/>
  <c r="A77" i="9"/>
  <c r="F77" i="9"/>
  <c r="B77" i="9" s="1"/>
  <c r="G77" i="9" s="1"/>
  <c r="H77" i="9" s="1"/>
  <c r="C78" i="9"/>
  <c r="A78" i="9" s="1"/>
  <c r="F78" i="9"/>
  <c r="B78" i="9" s="1"/>
  <c r="G78" i="9" s="1"/>
  <c r="H78" i="9" s="1"/>
  <c r="I78" i="9" s="1"/>
  <c r="J78" i="9" s="1"/>
  <c r="K78" i="9" s="1"/>
  <c r="C79" i="9"/>
  <c r="A79" i="9"/>
  <c r="F79" i="9"/>
  <c r="B79" i="9" s="1"/>
  <c r="G79" i="9" s="1"/>
  <c r="H79" i="9" s="1"/>
  <c r="I79" i="9" s="1"/>
  <c r="J79" i="9" s="1"/>
  <c r="K79" i="9" s="1"/>
  <c r="C80" i="9"/>
  <c r="A80" i="9"/>
  <c r="F80" i="9"/>
  <c r="B80" i="9" s="1"/>
  <c r="G80" i="9" s="1"/>
  <c r="H80" i="9" s="1"/>
  <c r="I80" i="9" s="1"/>
  <c r="J80" i="9" s="1"/>
  <c r="K80" i="9" s="1"/>
  <c r="C81" i="9"/>
  <c r="A81" i="9" s="1"/>
  <c r="F81" i="9"/>
  <c r="B81" i="9" s="1"/>
  <c r="G81" i="9" s="1"/>
  <c r="C82" i="9"/>
  <c r="A82" i="9" s="1"/>
  <c r="F82" i="9"/>
  <c r="B82" i="9" s="1"/>
  <c r="G82" i="9" s="1"/>
  <c r="H82" i="9" s="1"/>
  <c r="I82" i="9" s="1"/>
  <c r="J82" i="9" s="1"/>
  <c r="K82" i="9" s="1"/>
  <c r="C56" i="9"/>
  <c r="A56" i="9" s="1"/>
  <c r="F56" i="9"/>
  <c r="B56" i="9" s="1"/>
  <c r="G56" i="9" s="1"/>
  <c r="C57" i="9"/>
  <c r="A57" i="9" s="1"/>
  <c r="F57" i="9"/>
  <c r="B57" i="9"/>
  <c r="C58" i="9"/>
  <c r="A58" i="9" s="1"/>
  <c r="F58" i="9"/>
  <c r="B58" i="9"/>
  <c r="G58" i="9" s="1"/>
  <c r="H58" i="9" s="1"/>
  <c r="I58" i="9" s="1"/>
  <c r="J58" i="9" s="1"/>
  <c r="K58" i="9" s="1"/>
  <c r="C59" i="9"/>
  <c r="A59" i="9" s="1"/>
  <c r="F59" i="9"/>
  <c r="B59" i="9"/>
  <c r="G59" i="9" s="1"/>
  <c r="H59" i="9" s="1"/>
  <c r="I59" i="9" s="1"/>
  <c r="J59" i="9" s="1"/>
  <c r="K59" i="9" s="1"/>
  <c r="C60" i="9"/>
  <c r="A60" i="9" s="1"/>
  <c r="F60" i="9"/>
  <c r="B60" i="9"/>
  <c r="C61" i="9"/>
  <c r="A61" i="9" s="1"/>
  <c r="F61" i="9"/>
  <c r="B61" i="9"/>
  <c r="G61" i="9" s="1"/>
  <c r="H61" i="9"/>
  <c r="I61" i="9" s="1"/>
  <c r="J61" i="9" s="1"/>
  <c r="K61" i="9" s="1"/>
  <c r="C62" i="9"/>
  <c r="A62" i="9" s="1"/>
  <c r="F62" i="9"/>
  <c r="B62" i="9" s="1"/>
  <c r="G62" i="9"/>
  <c r="H62" i="9" s="1"/>
  <c r="I62" i="9" s="1"/>
  <c r="J62" i="9" s="1"/>
  <c r="K62" i="9" s="1"/>
  <c r="C63" i="9"/>
  <c r="A63" i="9" s="1"/>
  <c r="F63" i="9"/>
  <c r="B63" i="9"/>
  <c r="G63" i="9" s="1"/>
  <c r="H63" i="9" s="1"/>
  <c r="C64" i="9"/>
  <c r="A64" i="9" s="1"/>
  <c r="F64" i="9"/>
  <c r="B64" i="9" s="1"/>
  <c r="G64" i="9" s="1"/>
  <c r="H64" i="9" s="1"/>
  <c r="I64" i="9" s="1"/>
  <c r="J64" i="9" s="1"/>
  <c r="K64" i="9" s="1"/>
  <c r="C65" i="9"/>
  <c r="A65" i="9"/>
  <c r="F65" i="9"/>
  <c r="B65" i="9" s="1"/>
  <c r="G65" i="9" s="1"/>
  <c r="H65" i="9" s="1"/>
  <c r="I65" i="9" s="1"/>
  <c r="J65" i="9" s="1"/>
  <c r="K65" i="9" s="1"/>
  <c r="C66" i="9"/>
  <c r="A66" i="9"/>
  <c r="F66" i="9"/>
  <c r="B66" i="9" s="1"/>
  <c r="G66" i="9" s="1"/>
  <c r="H66" i="9" s="1"/>
  <c r="I66" i="9" s="1"/>
  <c r="J66" i="9" s="1"/>
  <c r="K66" i="9" s="1"/>
  <c r="C67" i="9"/>
  <c r="A67" i="9"/>
  <c r="F67" i="9"/>
  <c r="B67" i="9" s="1"/>
  <c r="G67" i="9" s="1"/>
  <c r="H67" i="9" s="1"/>
  <c r="I67" i="9" s="1"/>
  <c r="J67" i="9" s="1"/>
  <c r="K67" i="9" s="1"/>
  <c r="C68" i="9"/>
  <c r="A68" i="9"/>
  <c r="F68" i="9"/>
  <c r="B68" i="9" s="1"/>
  <c r="G68" i="9" s="1"/>
  <c r="H68" i="9" s="1"/>
  <c r="I68" i="9" s="1"/>
  <c r="J68" i="9" s="1"/>
  <c r="K68" i="9" s="1"/>
  <c r="C69" i="9"/>
  <c r="A69" i="9" s="1"/>
  <c r="F69" i="9"/>
  <c r="B69" i="9" s="1"/>
  <c r="G69" i="9" s="1"/>
  <c r="H69" i="9" s="1"/>
  <c r="I69" i="9" s="1"/>
  <c r="J69" i="9" s="1"/>
  <c r="K69" i="9" s="1"/>
  <c r="C70" i="9"/>
  <c r="A70" i="9" s="1"/>
  <c r="F70" i="9"/>
  <c r="B70" i="9"/>
  <c r="G70" i="9" s="1"/>
  <c r="H70" i="9" s="1"/>
  <c r="I70" i="9" s="1"/>
  <c r="J70" i="9" s="1"/>
  <c r="K70" i="9" s="1"/>
  <c r="C71" i="9"/>
  <c r="A71" i="9" s="1"/>
  <c r="F71" i="9"/>
  <c r="B71" i="9" s="1"/>
  <c r="G71" i="9" s="1"/>
  <c r="H71" i="9" s="1"/>
  <c r="I71" i="9" s="1"/>
  <c r="C72" i="9"/>
  <c r="A72" i="9"/>
  <c r="F72" i="9"/>
  <c r="B72" i="9" s="1"/>
  <c r="G72" i="9" s="1"/>
  <c r="H72" i="9" s="1"/>
  <c r="I72" i="9" s="1"/>
  <c r="J72" i="9" s="1"/>
  <c r="K72" i="9" s="1"/>
  <c r="C73" i="9"/>
  <c r="A73" i="9" s="1"/>
  <c r="F73" i="9"/>
  <c r="B73" i="9" s="1"/>
  <c r="G73" i="9" s="1"/>
  <c r="H73" i="9" s="1"/>
  <c r="I73" i="9" s="1"/>
  <c r="J73" i="9" s="1"/>
  <c r="K73" i="9" s="1"/>
  <c r="C74" i="9"/>
  <c r="A74" i="9" s="1"/>
  <c r="F74" i="9"/>
  <c r="B74" i="9" s="1"/>
  <c r="G74" i="9" s="1"/>
  <c r="C75" i="9"/>
  <c r="A75" i="9" s="1"/>
  <c r="F75" i="9"/>
  <c r="B75" i="9" s="1"/>
  <c r="G75" i="9" s="1"/>
  <c r="H75" i="9" s="1"/>
  <c r="I75" i="9" s="1"/>
  <c r="J75" i="9" s="1"/>
  <c r="K75" i="9" s="1"/>
  <c r="BH51" i="52"/>
  <c r="AB84" i="52" s="1"/>
  <c r="T118" i="52" s="1"/>
  <c r="BX47" i="52"/>
  <c r="AZ53" i="52"/>
  <c r="BP49" i="52"/>
  <c r="AB59" i="52"/>
  <c r="AR55" i="52"/>
  <c r="CF45" i="52"/>
  <c r="AJ57" i="52"/>
  <c r="AF55" i="52"/>
  <c r="AN54" i="52"/>
  <c r="AZ56" i="52"/>
  <c r="AB62" i="52"/>
  <c r="AR58" i="52"/>
  <c r="BH54" i="52"/>
  <c r="AB87" i="52"/>
  <c r="T121" i="52" s="1"/>
  <c r="BP52" i="52"/>
  <c r="AJ60" i="52"/>
  <c r="AO86" i="52"/>
  <c r="AP85" i="52"/>
  <c r="M72" i="48"/>
  <c r="AH43" i="52"/>
  <c r="BF43" i="52"/>
  <c r="Z76" i="52" s="1"/>
  <c r="R110" i="52" s="1"/>
  <c r="AM45" i="52"/>
  <c r="BC43" i="52"/>
  <c r="W76" i="52" s="1"/>
  <c r="O110" i="52" s="1"/>
  <c r="BK43" i="52"/>
  <c r="AU43" i="52"/>
  <c r="D52" i="50"/>
  <c r="AO84" i="52"/>
  <c r="CB44" i="52"/>
  <c r="BW72" i="52"/>
  <c r="AQ49" i="52"/>
  <c r="AB60" i="52"/>
  <c r="AJ58" i="52"/>
  <c r="AR56" i="52"/>
  <c r="AZ54" i="52"/>
  <c r="BH52" i="52"/>
  <c r="AB85" i="52"/>
  <c r="T119" i="52" s="1"/>
  <c r="BP50" i="52"/>
  <c r="BX48" i="52"/>
  <c r="CF46" i="52"/>
  <c r="N3" i="52"/>
  <c r="N129" i="52"/>
  <c r="N118" i="52"/>
  <c r="N112" i="52"/>
  <c r="N102" i="52"/>
  <c r="N94" i="52"/>
  <c r="N101" i="52"/>
  <c r="N89" i="52"/>
  <c r="N100" i="52"/>
  <c r="N92" i="52"/>
  <c r="N98" i="52"/>
  <c r="N90" i="52"/>
  <c r="N97" i="52"/>
  <c r="N93" i="52"/>
  <c r="N96" i="52"/>
  <c r="N88" i="52"/>
  <c r="N84" i="52"/>
  <c r="N82" i="52"/>
  <c r="N80" i="52"/>
  <c r="N78" i="52"/>
  <c r="N76" i="52"/>
  <c r="N87" i="52"/>
  <c r="N103" i="52"/>
  <c r="N99" i="52"/>
  <c r="N85" i="52"/>
  <c r="N95" i="52"/>
  <c r="N83" i="52"/>
  <c r="N81" i="52"/>
  <c r="N79" i="52"/>
  <c r="N77" i="52"/>
  <c r="N75" i="52"/>
  <c r="N91" i="52"/>
  <c r="N86" i="52"/>
  <c r="N74" i="52"/>
  <c r="Y60" i="52"/>
  <c r="AG58" i="52"/>
  <c r="AO56" i="52"/>
  <c r="AW54" i="52"/>
  <c r="BU48" i="52"/>
  <c r="BE52" i="52"/>
  <c r="Y85" i="52"/>
  <c r="Q119" i="52" s="1"/>
  <c r="CC46" i="52"/>
  <c r="BM50" i="52"/>
  <c r="H39" i="48"/>
  <c r="H74" i="48"/>
  <c r="AH48" i="52"/>
  <c r="Z48" i="52"/>
  <c r="AI56" i="52"/>
  <c r="AA57" i="52"/>
  <c r="AA56" i="52"/>
  <c r="AI55" i="52"/>
  <c r="AQ54" i="52"/>
  <c r="H38" i="48"/>
  <c r="H73" i="48"/>
  <c r="R41" i="52"/>
  <c r="BW73" i="52"/>
  <c r="O41" i="52"/>
  <c r="AB64" i="52"/>
  <c r="AJ62" i="52"/>
  <c r="AR60" i="52"/>
  <c r="AZ58" i="52"/>
  <c r="AH45" i="52"/>
  <c r="AB61" i="52"/>
  <c r="AJ59" i="52"/>
  <c r="AR57" i="52"/>
  <c r="AZ55" i="52"/>
  <c r="BH53" i="52"/>
  <c r="AB86" i="52" s="1"/>
  <c r="T120" i="52" s="1"/>
  <c r="BP51" i="52"/>
  <c r="BX49" i="52"/>
  <c r="AU46" i="52"/>
  <c r="AE46" i="52"/>
  <c r="W46" i="52"/>
  <c r="AM46" i="52"/>
  <c r="G57" i="9"/>
  <c r="H57" i="9" s="1"/>
  <c r="I57" i="9" s="1"/>
  <c r="J57" i="9"/>
  <c r="K57" i="9" s="1"/>
  <c r="H74" i="9"/>
  <c r="I74" i="9" s="1"/>
  <c r="J74" i="9" s="1"/>
  <c r="K74" i="9" s="1"/>
  <c r="G60" i="9"/>
  <c r="H60" i="9" s="1"/>
  <c r="I60" i="9" s="1"/>
  <c r="J60" i="9" s="1"/>
  <c r="K60" i="9" s="1"/>
  <c r="H83" i="9"/>
  <c r="I83" i="9" s="1"/>
  <c r="J83" i="9" s="1"/>
  <c r="K83" i="9" s="1"/>
  <c r="H56" i="9"/>
  <c r="I56" i="9" s="1"/>
  <c r="J56" i="9" s="1"/>
  <c r="K56" i="9" s="1"/>
  <c r="I77" i="9"/>
  <c r="J77" i="9" s="1"/>
  <c r="K77" i="9" s="1"/>
  <c r="I63" i="9"/>
  <c r="J63" i="9" s="1"/>
  <c r="K63" i="9" s="1"/>
  <c r="H81" i="9"/>
  <c r="I81" i="9" s="1"/>
  <c r="J81" i="9" s="1"/>
  <c r="K81" i="9" s="1"/>
  <c r="J71" i="9"/>
  <c r="K71" i="9" s="1"/>
  <c r="H84" i="39"/>
  <c r="G84" i="39"/>
  <c r="F84" i="39"/>
  <c r="E84" i="39"/>
  <c r="D84" i="39"/>
  <c r="H83" i="39"/>
  <c r="G83" i="39"/>
  <c r="F83" i="39"/>
  <c r="E83" i="39"/>
  <c r="D83" i="39"/>
  <c r="H82" i="39"/>
  <c r="G82" i="39"/>
  <c r="F82" i="39"/>
  <c r="E82" i="39"/>
  <c r="D82" i="39"/>
  <c r="H81" i="39"/>
  <c r="G81" i="39"/>
  <c r="F81" i="39"/>
  <c r="E81" i="39"/>
  <c r="D81" i="39"/>
  <c r="H80" i="39"/>
  <c r="G80" i="39"/>
  <c r="F80" i="39"/>
  <c r="E80" i="39"/>
  <c r="D80" i="39"/>
  <c r="H79" i="39"/>
  <c r="G79" i="39"/>
  <c r="F79" i="39"/>
  <c r="E79" i="39"/>
  <c r="D79" i="39"/>
  <c r="H78" i="39"/>
  <c r="G78" i="39"/>
  <c r="F78" i="39"/>
  <c r="E78" i="39"/>
  <c r="D78" i="39"/>
  <c r="H77" i="39"/>
  <c r="G77" i="39"/>
  <c r="F77" i="39"/>
  <c r="E77" i="39"/>
  <c r="D77" i="39"/>
  <c r="H76" i="39"/>
  <c r="G76" i="39"/>
  <c r="F76" i="39"/>
  <c r="E76" i="39"/>
  <c r="D76" i="39"/>
  <c r="H75" i="39"/>
  <c r="G75" i="39"/>
  <c r="F75" i="39"/>
  <c r="E75" i="39"/>
  <c r="D75" i="39"/>
  <c r="H74" i="39"/>
  <c r="G74" i="39"/>
  <c r="F74" i="39"/>
  <c r="E74" i="39"/>
  <c r="D74" i="39"/>
  <c r="H73" i="39"/>
  <c r="G73" i="39"/>
  <c r="F73" i="39"/>
  <c r="E73" i="39"/>
  <c r="D73" i="39"/>
  <c r="H72" i="39"/>
  <c r="G72" i="39"/>
  <c r="F72" i="39"/>
  <c r="E72" i="39"/>
  <c r="D72" i="39"/>
  <c r="H71" i="39"/>
  <c r="G71" i="39"/>
  <c r="F71" i="39"/>
  <c r="E71" i="39"/>
  <c r="D71" i="39"/>
  <c r="H70" i="39"/>
  <c r="G70" i="39"/>
  <c r="F70" i="39"/>
  <c r="E70" i="39"/>
  <c r="D70" i="39"/>
  <c r="H69" i="39"/>
  <c r="G69" i="39"/>
  <c r="F69" i="39"/>
  <c r="E69" i="39"/>
  <c r="D69" i="39"/>
  <c r="H68" i="39"/>
  <c r="G68" i="39"/>
  <c r="F68" i="39"/>
  <c r="E68" i="39"/>
  <c r="D68" i="39"/>
  <c r="H67" i="39"/>
  <c r="G67" i="39"/>
  <c r="F67" i="39"/>
  <c r="E67" i="39"/>
  <c r="D67" i="39"/>
  <c r="H66" i="39"/>
  <c r="G66" i="39"/>
  <c r="F66" i="39"/>
  <c r="E66" i="39"/>
  <c r="D66" i="39"/>
  <c r="H65" i="39"/>
  <c r="G65" i="39"/>
  <c r="F65" i="39"/>
  <c r="E65" i="39"/>
  <c r="D65" i="39"/>
  <c r="H64" i="39"/>
  <c r="G64" i="39"/>
  <c r="F64" i="39"/>
  <c r="E64" i="39"/>
  <c r="D64" i="39"/>
  <c r="H63" i="39"/>
  <c r="G63" i="39"/>
  <c r="F63" i="39"/>
  <c r="E63" i="39"/>
  <c r="D63" i="39"/>
  <c r="H62" i="39"/>
  <c r="G62" i="39"/>
  <c r="F62" i="39"/>
  <c r="E62" i="39"/>
  <c r="D62" i="39"/>
  <c r="H61" i="39"/>
  <c r="G61" i="39"/>
  <c r="F61" i="39"/>
  <c r="E61" i="39"/>
  <c r="D61" i="39"/>
  <c r="H60" i="39"/>
  <c r="G60" i="39"/>
  <c r="F60" i="39"/>
  <c r="E60" i="39"/>
  <c r="D60" i="39"/>
  <c r="H59" i="39"/>
  <c r="G59" i="39"/>
  <c r="F59" i="39"/>
  <c r="E59" i="39"/>
  <c r="D59" i="39"/>
  <c r="H58" i="39"/>
  <c r="G58" i="39"/>
  <c r="F58" i="39"/>
  <c r="E58" i="39"/>
  <c r="D58" i="39"/>
  <c r="H57" i="39"/>
  <c r="G57" i="39"/>
  <c r="F57" i="39"/>
  <c r="E57" i="39"/>
  <c r="D57" i="39"/>
  <c r="H56" i="39"/>
  <c r="G56" i="39"/>
  <c r="F56" i="39"/>
  <c r="E56" i="39"/>
  <c r="D56" i="39"/>
  <c r="H55" i="39"/>
  <c r="G55" i="39"/>
  <c r="F55" i="39"/>
  <c r="E55" i="39"/>
  <c r="D55" i="39"/>
  <c r="H54" i="39"/>
  <c r="G54" i="39"/>
  <c r="F54" i="39"/>
  <c r="E54" i="39"/>
  <c r="D54" i="39"/>
  <c r="H53" i="39"/>
  <c r="G53" i="39"/>
  <c r="F53" i="39"/>
  <c r="E53" i="39"/>
  <c r="D53" i="39"/>
  <c r="H52" i="39"/>
  <c r="G52" i="39"/>
  <c r="F52" i="39"/>
  <c r="E52" i="39"/>
  <c r="D52" i="39"/>
  <c r="H51" i="39"/>
  <c r="G51" i="39"/>
  <c r="F51" i="39"/>
  <c r="E51" i="39"/>
  <c r="D51" i="39"/>
  <c r="H50" i="39"/>
  <c r="G50" i="39"/>
  <c r="F50" i="39"/>
  <c r="E50" i="39"/>
  <c r="D50" i="39"/>
  <c r="H49" i="39"/>
  <c r="G49" i="39"/>
  <c r="F49" i="39"/>
  <c r="E49" i="39"/>
  <c r="D49" i="39"/>
  <c r="H48" i="39"/>
  <c r="G48" i="39"/>
  <c r="F48" i="39"/>
  <c r="E48" i="39"/>
  <c r="D48" i="39"/>
  <c r="H47" i="39"/>
  <c r="G47" i="39"/>
  <c r="F47" i="39"/>
  <c r="E47" i="39"/>
  <c r="D47" i="39"/>
  <c r="H46" i="39"/>
  <c r="G46" i="39"/>
  <c r="F46" i="39"/>
  <c r="E46" i="39"/>
  <c r="D46" i="39"/>
  <c r="H45" i="39"/>
  <c r="G45" i="39"/>
  <c r="F45" i="39"/>
  <c r="E45" i="39"/>
  <c r="D45" i="39"/>
  <c r="H44" i="39"/>
  <c r="G44" i="39"/>
  <c r="F44" i="39"/>
  <c r="E44" i="39"/>
  <c r="D44" i="39"/>
  <c r="H43" i="39"/>
  <c r="G43" i="39"/>
  <c r="F43" i="39"/>
  <c r="E43" i="39"/>
  <c r="D43" i="39"/>
  <c r="H42" i="39"/>
  <c r="G42" i="39"/>
  <c r="F42" i="39"/>
  <c r="E42" i="39"/>
  <c r="D42" i="39"/>
  <c r="H41" i="39"/>
  <c r="G41" i="39"/>
  <c r="F41" i="39"/>
  <c r="E41" i="39"/>
  <c r="D41" i="39"/>
  <c r="H40" i="39"/>
  <c r="G40" i="39"/>
  <c r="F40" i="39"/>
  <c r="E40" i="39"/>
  <c r="D40" i="39"/>
  <c r="H39" i="39"/>
  <c r="G39" i="39"/>
  <c r="F39" i="39"/>
  <c r="E39" i="39"/>
  <c r="D39" i="39"/>
  <c r="H38" i="39"/>
  <c r="G38" i="39"/>
  <c r="F38" i="39"/>
  <c r="E38" i="39"/>
  <c r="D38" i="39"/>
  <c r="H37" i="39"/>
  <c r="G37" i="39"/>
  <c r="F37" i="39"/>
  <c r="E37" i="39"/>
  <c r="D37" i="39"/>
  <c r="H36" i="39"/>
  <c r="G36" i="39"/>
  <c r="F36" i="39"/>
  <c r="E36" i="39"/>
  <c r="D36" i="39"/>
  <c r="H35" i="39"/>
  <c r="G35" i="39"/>
  <c r="F35" i="39"/>
  <c r="E35" i="39"/>
  <c r="D35" i="39"/>
  <c r="H34" i="39"/>
  <c r="G34" i="39"/>
  <c r="F34" i="39"/>
  <c r="E34" i="39"/>
  <c r="D34" i="39"/>
  <c r="H33" i="39"/>
  <c r="G33" i="39"/>
  <c r="F33" i="39"/>
  <c r="E33" i="39"/>
  <c r="D33" i="39"/>
  <c r="H32" i="39"/>
  <c r="G32" i="39"/>
  <c r="F32" i="39"/>
  <c r="E32" i="39"/>
  <c r="D32" i="39"/>
  <c r="H31" i="39"/>
  <c r="G31" i="39"/>
  <c r="F31" i="39"/>
  <c r="E31" i="39"/>
  <c r="D31" i="39"/>
  <c r="H30" i="39"/>
  <c r="G30" i="39"/>
  <c r="F30" i="39"/>
  <c r="E30" i="39"/>
  <c r="D30" i="39"/>
  <c r="H29" i="39"/>
  <c r="G29" i="39"/>
  <c r="F29" i="39"/>
  <c r="E29" i="39"/>
  <c r="D29" i="39"/>
  <c r="H28" i="39"/>
  <c r="G28" i="39"/>
  <c r="F28" i="39"/>
  <c r="E28" i="39"/>
  <c r="D28" i="39"/>
  <c r="H27" i="39"/>
  <c r="G27" i="39"/>
  <c r="F27" i="39"/>
  <c r="E27" i="39"/>
  <c r="D27" i="39"/>
  <c r="H26" i="39"/>
  <c r="G26" i="39"/>
  <c r="F26" i="39"/>
  <c r="E26" i="39"/>
  <c r="D26" i="39"/>
  <c r="H25" i="39"/>
  <c r="G25" i="39"/>
  <c r="F25" i="39"/>
  <c r="E25" i="39"/>
  <c r="D25" i="39"/>
  <c r="H24" i="39"/>
  <c r="G24" i="39"/>
  <c r="F24" i="39"/>
  <c r="E24" i="39"/>
  <c r="D24" i="39"/>
  <c r="H23" i="39"/>
  <c r="G23" i="39"/>
  <c r="F23" i="39"/>
  <c r="E23" i="39"/>
  <c r="D23" i="39"/>
  <c r="H22" i="39"/>
  <c r="G22" i="39"/>
  <c r="F22" i="39"/>
  <c r="E22" i="39"/>
  <c r="D22" i="39"/>
  <c r="H21" i="39"/>
  <c r="G21" i="39"/>
  <c r="F21" i="39"/>
  <c r="E21" i="39"/>
  <c r="D21" i="39"/>
  <c r="H20" i="39"/>
  <c r="G20" i="39"/>
  <c r="F20" i="39"/>
  <c r="E20" i="39"/>
  <c r="D20" i="39"/>
  <c r="H19" i="39"/>
  <c r="G19" i="39"/>
  <c r="F19" i="39"/>
  <c r="E19" i="39"/>
  <c r="D19" i="39"/>
  <c r="H18" i="39"/>
  <c r="G18" i="39"/>
  <c r="F18" i="39"/>
  <c r="E18" i="39"/>
  <c r="D18" i="39"/>
  <c r="H17" i="39"/>
  <c r="G17" i="39"/>
  <c r="F17" i="39"/>
  <c r="E17" i="39"/>
  <c r="D17" i="39"/>
  <c r="H16" i="39"/>
  <c r="G16" i="39"/>
  <c r="F16" i="39"/>
  <c r="E16" i="39"/>
  <c r="D16" i="39"/>
  <c r="H15" i="39"/>
  <c r="G15" i="39"/>
  <c r="F15" i="39"/>
  <c r="E15" i="39"/>
  <c r="D15" i="39"/>
  <c r="H14" i="39"/>
  <c r="G14" i="39"/>
  <c r="F14" i="39"/>
  <c r="E14" i="39"/>
  <c r="D14" i="39"/>
  <c r="D13" i="39"/>
  <c r="D12" i="39"/>
  <c r="D11" i="39"/>
  <c r="D10" i="39"/>
  <c r="C5" i="39"/>
  <c r="E11" i="39" s="1"/>
  <c r="L59" i="36"/>
  <c r="K59" i="36"/>
  <c r="J59" i="36"/>
  <c r="H59" i="36"/>
  <c r="G59" i="36"/>
  <c r="F59" i="36"/>
  <c r="E59" i="36"/>
  <c r="D59" i="36"/>
  <c r="L58" i="36"/>
  <c r="K58" i="36"/>
  <c r="J58" i="36"/>
  <c r="H58" i="36"/>
  <c r="G58" i="36"/>
  <c r="F58" i="36"/>
  <c r="E58" i="36"/>
  <c r="D58" i="36"/>
  <c r="L57" i="36"/>
  <c r="K57" i="36"/>
  <c r="J57" i="36"/>
  <c r="H57" i="36"/>
  <c r="G57" i="36"/>
  <c r="F57" i="36"/>
  <c r="E57" i="36"/>
  <c r="D57" i="36"/>
  <c r="L56" i="36"/>
  <c r="K56" i="36"/>
  <c r="J56" i="36"/>
  <c r="H56" i="36"/>
  <c r="G56" i="36"/>
  <c r="F56" i="36"/>
  <c r="E56" i="36"/>
  <c r="D56" i="36"/>
  <c r="L55" i="36"/>
  <c r="K55" i="36"/>
  <c r="J55" i="36"/>
  <c r="H55" i="36"/>
  <c r="G55" i="36"/>
  <c r="F55" i="36"/>
  <c r="E55" i="36"/>
  <c r="D55" i="36"/>
  <c r="L54" i="36"/>
  <c r="K54" i="36"/>
  <c r="J54" i="36"/>
  <c r="H54" i="36"/>
  <c r="G54" i="36"/>
  <c r="F54" i="36"/>
  <c r="E54" i="36"/>
  <c r="D54" i="36"/>
  <c r="L53" i="36"/>
  <c r="K53" i="36"/>
  <c r="J53" i="36"/>
  <c r="H53" i="36"/>
  <c r="G53" i="36"/>
  <c r="F53" i="36"/>
  <c r="E53" i="36"/>
  <c r="D53" i="36"/>
  <c r="L52" i="36"/>
  <c r="K52" i="36"/>
  <c r="J52" i="36"/>
  <c r="H52" i="36"/>
  <c r="G52" i="36"/>
  <c r="F52" i="36"/>
  <c r="E52" i="36"/>
  <c r="D52" i="36"/>
  <c r="L51" i="36"/>
  <c r="K51" i="36"/>
  <c r="J51" i="36"/>
  <c r="H51" i="36"/>
  <c r="G51" i="36"/>
  <c r="F51" i="36"/>
  <c r="E51" i="36"/>
  <c r="D51" i="36"/>
  <c r="L50" i="36"/>
  <c r="K50" i="36"/>
  <c r="J50" i="36"/>
  <c r="H50" i="36"/>
  <c r="G50" i="36"/>
  <c r="F50" i="36"/>
  <c r="E50" i="36"/>
  <c r="D50" i="36"/>
  <c r="L49" i="36"/>
  <c r="K49" i="36"/>
  <c r="J49" i="36"/>
  <c r="H49" i="36"/>
  <c r="G49" i="36"/>
  <c r="F49" i="36"/>
  <c r="E49" i="36"/>
  <c r="D49" i="36"/>
  <c r="L48" i="36"/>
  <c r="K48" i="36"/>
  <c r="J48" i="36"/>
  <c r="H48" i="36"/>
  <c r="G48" i="36"/>
  <c r="F48" i="36"/>
  <c r="E48" i="36"/>
  <c r="D48" i="36"/>
  <c r="L47" i="36"/>
  <c r="K47" i="36"/>
  <c r="J47" i="36"/>
  <c r="H47" i="36"/>
  <c r="G47" i="36"/>
  <c r="F47" i="36"/>
  <c r="E47" i="36"/>
  <c r="D47" i="36"/>
  <c r="L46" i="36"/>
  <c r="K46" i="36"/>
  <c r="J46" i="36"/>
  <c r="H46" i="36"/>
  <c r="G46" i="36"/>
  <c r="F46" i="36"/>
  <c r="E46" i="36"/>
  <c r="D46" i="36"/>
  <c r="L45" i="36"/>
  <c r="K45" i="36"/>
  <c r="J45" i="36"/>
  <c r="H45" i="36"/>
  <c r="G45" i="36"/>
  <c r="F45" i="36"/>
  <c r="E45" i="36"/>
  <c r="D45" i="36"/>
  <c r="L44" i="36"/>
  <c r="K44" i="36"/>
  <c r="J44" i="36"/>
  <c r="H44" i="36"/>
  <c r="G44" i="36"/>
  <c r="F44" i="36"/>
  <c r="E44" i="36"/>
  <c r="D44" i="36"/>
  <c r="L43" i="36"/>
  <c r="K43" i="36"/>
  <c r="J43" i="36"/>
  <c r="H43" i="36"/>
  <c r="G43" i="36"/>
  <c r="F43" i="36"/>
  <c r="E43" i="36"/>
  <c r="D43" i="36"/>
  <c r="L42" i="36"/>
  <c r="K42" i="36"/>
  <c r="J42" i="36"/>
  <c r="H42" i="36"/>
  <c r="G42" i="36"/>
  <c r="F42" i="36"/>
  <c r="E42" i="36"/>
  <c r="D42" i="36"/>
  <c r="L41" i="36"/>
  <c r="K41" i="36"/>
  <c r="J41" i="36"/>
  <c r="H41" i="36"/>
  <c r="G41" i="36"/>
  <c r="F41" i="36"/>
  <c r="E41" i="36"/>
  <c r="D41" i="36"/>
  <c r="L40" i="36"/>
  <c r="K40" i="36"/>
  <c r="J40" i="36"/>
  <c r="H40" i="36"/>
  <c r="G40" i="36"/>
  <c r="F40" i="36"/>
  <c r="E40" i="36"/>
  <c r="D40" i="36"/>
  <c r="L39" i="36"/>
  <c r="K39" i="36"/>
  <c r="J39" i="36"/>
  <c r="H39" i="36"/>
  <c r="G39" i="36"/>
  <c r="F39" i="36"/>
  <c r="E39" i="36"/>
  <c r="D39" i="36"/>
  <c r="L38" i="36"/>
  <c r="K38" i="36"/>
  <c r="J38" i="36"/>
  <c r="H38" i="36"/>
  <c r="G38" i="36"/>
  <c r="F38" i="36"/>
  <c r="E38" i="36"/>
  <c r="D38" i="36"/>
  <c r="L37" i="36"/>
  <c r="K37" i="36"/>
  <c r="J37" i="36"/>
  <c r="H37" i="36"/>
  <c r="G37" i="36"/>
  <c r="F37" i="36"/>
  <c r="E37" i="36"/>
  <c r="D37" i="36"/>
  <c r="L36" i="36"/>
  <c r="K36" i="36"/>
  <c r="J36" i="36"/>
  <c r="H36" i="36"/>
  <c r="G36" i="36"/>
  <c r="F36" i="36"/>
  <c r="E36" i="36"/>
  <c r="D36" i="36"/>
  <c r="L35" i="36"/>
  <c r="K35" i="36"/>
  <c r="J35" i="36"/>
  <c r="H35" i="36"/>
  <c r="G35" i="36"/>
  <c r="F35" i="36"/>
  <c r="E35" i="36"/>
  <c r="D35" i="36"/>
  <c r="L34" i="36"/>
  <c r="K34" i="36"/>
  <c r="J34" i="36"/>
  <c r="H34" i="36"/>
  <c r="G34" i="36"/>
  <c r="F34" i="36"/>
  <c r="E34" i="36"/>
  <c r="D34" i="36"/>
  <c r="L33" i="36"/>
  <c r="K33" i="36"/>
  <c r="J33" i="36"/>
  <c r="H33" i="36"/>
  <c r="G33" i="36"/>
  <c r="F33" i="36"/>
  <c r="E33" i="36"/>
  <c r="D33" i="36"/>
  <c r="L32" i="36"/>
  <c r="K32" i="36"/>
  <c r="J32" i="36"/>
  <c r="H32" i="36"/>
  <c r="G32" i="36"/>
  <c r="F32" i="36"/>
  <c r="E32" i="36"/>
  <c r="D32" i="36"/>
  <c r="L31" i="36"/>
  <c r="K31" i="36"/>
  <c r="J31" i="36"/>
  <c r="H31" i="36"/>
  <c r="G31" i="36"/>
  <c r="F31" i="36"/>
  <c r="E31" i="36"/>
  <c r="D31" i="36"/>
  <c r="L30" i="36"/>
  <c r="K30" i="36"/>
  <c r="J30" i="36"/>
  <c r="H30" i="36"/>
  <c r="G30" i="36"/>
  <c r="F30" i="36"/>
  <c r="E30" i="36"/>
  <c r="D30" i="36"/>
  <c r="L29" i="36"/>
  <c r="K29" i="36"/>
  <c r="J29" i="36"/>
  <c r="H29" i="36"/>
  <c r="G29" i="36"/>
  <c r="F29" i="36"/>
  <c r="E29" i="36"/>
  <c r="D29" i="36"/>
  <c r="L28" i="36"/>
  <c r="K28" i="36"/>
  <c r="J28" i="36"/>
  <c r="H28" i="36"/>
  <c r="G28" i="36"/>
  <c r="F28" i="36"/>
  <c r="E28" i="36"/>
  <c r="D28" i="36"/>
  <c r="L27" i="36"/>
  <c r="K27" i="36"/>
  <c r="J27" i="36"/>
  <c r="H27" i="36"/>
  <c r="G27" i="36"/>
  <c r="F27" i="36"/>
  <c r="E27" i="36"/>
  <c r="D27" i="36"/>
  <c r="L26" i="36"/>
  <c r="K26" i="36"/>
  <c r="J26" i="36"/>
  <c r="H26" i="36"/>
  <c r="G26" i="36"/>
  <c r="F26" i="36"/>
  <c r="E26" i="36"/>
  <c r="D26" i="36"/>
  <c r="L25" i="36"/>
  <c r="K25" i="36"/>
  <c r="J25" i="36"/>
  <c r="H25" i="36"/>
  <c r="G25" i="36"/>
  <c r="F25" i="36"/>
  <c r="E25" i="36"/>
  <c r="D25" i="36"/>
  <c r="L24" i="36"/>
  <c r="K24" i="36"/>
  <c r="J24" i="36"/>
  <c r="H24" i="36"/>
  <c r="G24" i="36"/>
  <c r="F24" i="36"/>
  <c r="E24" i="36"/>
  <c r="D24" i="36"/>
  <c r="L23" i="36"/>
  <c r="K23" i="36"/>
  <c r="J23" i="36"/>
  <c r="H23" i="36"/>
  <c r="G23" i="36"/>
  <c r="F23" i="36"/>
  <c r="E23" i="36"/>
  <c r="D23" i="36"/>
  <c r="L22" i="36"/>
  <c r="K22" i="36"/>
  <c r="J22" i="36"/>
  <c r="H22" i="36"/>
  <c r="G22" i="36"/>
  <c r="F22" i="36"/>
  <c r="E22" i="36"/>
  <c r="D22" i="36"/>
  <c r="L21" i="36"/>
  <c r="K21" i="36"/>
  <c r="J21" i="36"/>
  <c r="H21" i="36"/>
  <c r="G21" i="36"/>
  <c r="F21" i="36"/>
  <c r="E21" i="36"/>
  <c r="D21" i="36"/>
  <c r="L20" i="36"/>
  <c r="K20" i="36"/>
  <c r="J20" i="36"/>
  <c r="H20" i="36"/>
  <c r="G20" i="36"/>
  <c r="F20" i="36"/>
  <c r="E20" i="36"/>
  <c r="D20" i="36"/>
  <c r="L19" i="36"/>
  <c r="K19" i="36"/>
  <c r="J19" i="36"/>
  <c r="H19" i="36"/>
  <c r="G19" i="36"/>
  <c r="F19" i="36"/>
  <c r="E19" i="36"/>
  <c r="D19" i="36"/>
  <c r="L18" i="36"/>
  <c r="K18" i="36"/>
  <c r="J18" i="36"/>
  <c r="H18" i="36"/>
  <c r="G18" i="36"/>
  <c r="F18" i="36"/>
  <c r="E18" i="36"/>
  <c r="D18" i="36"/>
  <c r="L17" i="36"/>
  <c r="K17" i="36"/>
  <c r="J17" i="36"/>
  <c r="H17" i="36"/>
  <c r="G17" i="36"/>
  <c r="F17" i="36"/>
  <c r="E17" i="36"/>
  <c r="D17" i="36"/>
  <c r="L16" i="36"/>
  <c r="K16" i="36"/>
  <c r="J16" i="36"/>
  <c r="H16" i="36"/>
  <c r="G16" i="36"/>
  <c r="F16" i="36"/>
  <c r="E16" i="36"/>
  <c r="D16" i="36"/>
  <c r="L15" i="36"/>
  <c r="K15" i="36"/>
  <c r="J15" i="36"/>
  <c r="H15" i="36"/>
  <c r="G15" i="36"/>
  <c r="F15" i="36"/>
  <c r="E15" i="36"/>
  <c r="D15" i="36"/>
  <c r="L14" i="36"/>
  <c r="K14" i="36"/>
  <c r="J14" i="36"/>
  <c r="H14" i="36"/>
  <c r="G14" i="36"/>
  <c r="F14" i="36"/>
  <c r="E14" i="36"/>
  <c r="D14" i="36"/>
  <c r="D13" i="36"/>
  <c r="D12" i="36"/>
  <c r="D11" i="36"/>
  <c r="D10" i="36"/>
  <c r="C6" i="36"/>
  <c r="C5" i="36"/>
  <c r="E62" i="34"/>
  <c r="D62" i="34"/>
  <c r="C62" i="34"/>
  <c r="E61" i="34"/>
  <c r="D61" i="34"/>
  <c r="C61" i="34"/>
  <c r="E60" i="34"/>
  <c r="D60" i="34"/>
  <c r="C60" i="34"/>
  <c r="E59" i="34"/>
  <c r="D59" i="34"/>
  <c r="C59" i="34"/>
  <c r="E58" i="34"/>
  <c r="D58" i="34"/>
  <c r="C58" i="34"/>
  <c r="E57" i="34"/>
  <c r="D57" i="34"/>
  <c r="C57" i="34"/>
  <c r="E56" i="34"/>
  <c r="D56" i="34"/>
  <c r="C56" i="34"/>
  <c r="E55" i="34"/>
  <c r="D55" i="34"/>
  <c r="C55" i="34"/>
  <c r="E54" i="34"/>
  <c r="D54" i="34"/>
  <c r="C54" i="34"/>
  <c r="E53" i="34"/>
  <c r="D53" i="34"/>
  <c r="C53" i="34"/>
  <c r="E52" i="34"/>
  <c r="D52" i="34"/>
  <c r="C52" i="34"/>
  <c r="E51" i="34"/>
  <c r="D51" i="34"/>
  <c r="C51" i="34"/>
  <c r="E50" i="34"/>
  <c r="D50" i="34"/>
  <c r="C50" i="34"/>
  <c r="E49" i="34"/>
  <c r="D49" i="34"/>
  <c r="C49" i="34"/>
  <c r="E48" i="34"/>
  <c r="D48" i="34"/>
  <c r="C48" i="34"/>
  <c r="E47" i="34"/>
  <c r="D47" i="34"/>
  <c r="C47" i="34"/>
  <c r="E46" i="34"/>
  <c r="D46" i="34"/>
  <c r="C46" i="34"/>
  <c r="E45" i="34"/>
  <c r="D45" i="34"/>
  <c r="C45" i="34"/>
  <c r="E44" i="34"/>
  <c r="D44" i="34"/>
  <c r="C44" i="34"/>
  <c r="E43" i="34"/>
  <c r="D43" i="34"/>
  <c r="C43" i="34"/>
  <c r="E42" i="34"/>
  <c r="D42" i="34"/>
  <c r="C42" i="34"/>
  <c r="E41" i="34"/>
  <c r="D41" i="34"/>
  <c r="C41" i="34"/>
  <c r="E40" i="34"/>
  <c r="D40" i="34"/>
  <c r="C40" i="34"/>
  <c r="E39" i="34"/>
  <c r="D39" i="34"/>
  <c r="C39" i="34"/>
  <c r="E38" i="34"/>
  <c r="D38" i="34"/>
  <c r="C38" i="34"/>
  <c r="E37" i="34"/>
  <c r="D37" i="34"/>
  <c r="C37" i="34"/>
  <c r="E36" i="34"/>
  <c r="D36" i="34"/>
  <c r="C36" i="34"/>
  <c r="E35" i="34"/>
  <c r="D35" i="34"/>
  <c r="C35" i="34"/>
  <c r="E34" i="34"/>
  <c r="D34" i="34"/>
  <c r="C34" i="34"/>
  <c r="E33" i="34"/>
  <c r="D33" i="34"/>
  <c r="C33" i="34"/>
  <c r="E32" i="34"/>
  <c r="D32" i="34"/>
  <c r="C32" i="34"/>
  <c r="E31" i="34"/>
  <c r="D31" i="34"/>
  <c r="C31" i="34"/>
  <c r="E30" i="34"/>
  <c r="D30" i="34"/>
  <c r="C30" i="34"/>
  <c r="E29" i="34"/>
  <c r="D29" i="34"/>
  <c r="C29" i="34"/>
  <c r="E28" i="34"/>
  <c r="D28" i="34"/>
  <c r="C28" i="34"/>
  <c r="E27" i="34"/>
  <c r="D27" i="34"/>
  <c r="C27" i="34"/>
  <c r="E26" i="34"/>
  <c r="D26" i="34"/>
  <c r="C26" i="34"/>
  <c r="E25" i="34"/>
  <c r="D25" i="34"/>
  <c r="C25" i="34"/>
  <c r="E24" i="34"/>
  <c r="D24" i="34"/>
  <c r="C24" i="34"/>
  <c r="E23" i="34"/>
  <c r="D23" i="34"/>
  <c r="C23" i="34"/>
  <c r="E22" i="34"/>
  <c r="D22" i="34"/>
  <c r="C22" i="34"/>
  <c r="E21" i="34"/>
  <c r="D21" i="34"/>
  <c r="C21" i="34"/>
  <c r="C8" i="34"/>
  <c r="D20" i="34" s="1"/>
  <c r="E59" i="32"/>
  <c r="D59" i="32"/>
  <c r="C59" i="32"/>
  <c r="E58" i="32"/>
  <c r="D58" i="32"/>
  <c r="C58" i="32"/>
  <c r="E57" i="32"/>
  <c r="D57" i="32"/>
  <c r="C57" i="32"/>
  <c r="E56" i="32"/>
  <c r="D56" i="32"/>
  <c r="C56" i="32"/>
  <c r="E55" i="32"/>
  <c r="D55" i="32"/>
  <c r="C55" i="32"/>
  <c r="E54" i="32"/>
  <c r="D54" i="32"/>
  <c r="C54" i="32"/>
  <c r="E53" i="32"/>
  <c r="D53" i="32"/>
  <c r="C53" i="32"/>
  <c r="E52" i="32"/>
  <c r="D52" i="32"/>
  <c r="C52" i="32"/>
  <c r="E51" i="32"/>
  <c r="D51" i="32"/>
  <c r="C51" i="32"/>
  <c r="E50" i="32"/>
  <c r="D50" i="32"/>
  <c r="C50" i="32"/>
  <c r="E49" i="32"/>
  <c r="D49" i="32"/>
  <c r="C49" i="32"/>
  <c r="E48" i="32"/>
  <c r="D48" i="32"/>
  <c r="C48" i="32"/>
  <c r="E47" i="32"/>
  <c r="D47" i="32"/>
  <c r="C47" i="32"/>
  <c r="E46" i="32"/>
  <c r="D46" i="32"/>
  <c r="C46" i="32"/>
  <c r="E45" i="32"/>
  <c r="D45" i="32"/>
  <c r="C45" i="32"/>
  <c r="E44" i="32"/>
  <c r="D44" i="32"/>
  <c r="C44" i="32"/>
  <c r="E43" i="32"/>
  <c r="D43" i="32"/>
  <c r="C43" i="32"/>
  <c r="E42" i="32"/>
  <c r="D42" i="32"/>
  <c r="C42" i="32"/>
  <c r="E41" i="32"/>
  <c r="D41" i="32"/>
  <c r="C41" i="32"/>
  <c r="E40" i="32"/>
  <c r="D40" i="32"/>
  <c r="C40" i="32"/>
  <c r="E39" i="32"/>
  <c r="D39" i="32"/>
  <c r="C39" i="32"/>
  <c r="E38" i="32"/>
  <c r="D38" i="32"/>
  <c r="C38" i="32"/>
  <c r="E37" i="32"/>
  <c r="D37" i="32"/>
  <c r="C37" i="32"/>
  <c r="E36" i="32"/>
  <c r="D36" i="32"/>
  <c r="C36" i="32"/>
  <c r="E35" i="32"/>
  <c r="D35" i="32"/>
  <c r="C35" i="32"/>
  <c r="E34" i="32"/>
  <c r="D34" i="32"/>
  <c r="C34" i="32"/>
  <c r="E33" i="32"/>
  <c r="D33" i="32"/>
  <c r="C33" i="32"/>
  <c r="E32" i="32"/>
  <c r="D32" i="32"/>
  <c r="C32" i="32"/>
  <c r="E31" i="32"/>
  <c r="D31" i="32"/>
  <c r="C31" i="32"/>
  <c r="E30" i="32"/>
  <c r="D30" i="32"/>
  <c r="C30" i="32"/>
  <c r="E29" i="32"/>
  <c r="D29" i="32"/>
  <c r="C29" i="32"/>
  <c r="E28" i="32"/>
  <c r="D28" i="32"/>
  <c r="C28" i="32"/>
  <c r="E27" i="32"/>
  <c r="D27" i="32"/>
  <c r="C27" i="32"/>
  <c r="E26" i="32"/>
  <c r="D26" i="32"/>
  <c r="C26" i="32"/>
  <c r="E25" i="32"/>
  <c r="D25" i="32"/>
  <c r="C25" i="32"/>
  <c r="E24" i="32"/>
  <c r="D24" i="32"/>
  <c r="C24" i="32"/>
  <c r="E23" i="32"/>
  <c r="D23" i="32"/>
  <c r="C23" i="32"/>
  <c r="E22" i="32"/>
  <c r="D22" i="32"/>
  <c r="C22" i="32"/>
  <c r="E21" i="32"/>
  <c r="D21" i="32"/>
  <c r="C21" i="32"/>
  <c r="E20" i="32"/>
  <c r="D20" i="32"/>
  <c r="C20" i="32"/>
  <c r="E19" i="32"/>
  <c r="D19" i="32"/>
  <c r="C19" i="32"/>
  <c r="E18" i="32"/>
  <c r="D18" i="32"/>
  <c r="C18" i="32"/>
  <c r="C5" i="32"/>
  <c r="H50" i="31"/>
  <c r="H50" i="30"/>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G10" i="29"/>
  <c r="F10" i="29"/>
  <c r="E10" i="29"/>
  <c r="C9" i="29"/>
  <c r="G12" i="39"/>
  <c r="E10" i="36"/>
  <c r="H10" i="36" s="1"/>
  <c r="G11" i="39"/>
  <c r="G10" i="39"/>
  <c r="G13" i="39"/>
  <c r="E11" i="36"/>
  <c r="E12" i="39"/>
  <c r="H12" i="39"/>
  <c r="BC41" i="52"/>
  <c r="W74" i="52" s="1"/>
  <c r="O108" i="52" s="1"/>
  <c r="W41" i="52"/>
  <c r="BK41" i="52"/>
  <c r="AE41" i="52"/>
  <c r="BS41" i="52"/>
  <c r="AM41" i="52"/>
  <c r="CA41" i="52"/>
  <c r="AU41" i="52"/>
  <c r="BN41" i="52"/>
  <c r="AH41" i="52"/>
  <c r="BV41" i="52"/>
  <c r="AP41" i="52"/>
  <c r="CD41" i="52"/>
  <c r="AX41" i="52"/>
  <c r="BF41" i="52"/>
  <c r="Z74" i="52" s="1"/>
  <c r="R108" i="52" s="1"/>
  <c r="Z41" i="52"/>
  <c r="D17" i="32"/>
  <c r="D16" i="32"/>
  <c r="D15" i="32"/>
  <c r="D11" i="32"/>
  <c r="D14" i="32"/>
  <c r="E13" i="39"/>
  <c r="E10" i="39"/>
  <c r="F10" i="39" s="1"/>
  <c r="F12" i="39"/>
  <c r="J10" i="36"/>
  <c r="K13" i="36"/>
  <c r="D18" i="34"/>
  <c r="C6" i="32"/>
  <c r="D12" i="32"/>
  <c r="D10" i="32"/>
  <c r="D13" i="32"/>
  <c r="C10" i="29"/>
  <c r="C74" i="29" s="1"/>
  <c r="D16" i="29"/>
  <c r="D24" i="29"/>
  <c r="D32" i="29"/>
  <c r="D40" i="29"/>
  <c r="D48" i="29"/>
  <c r="D56" i="29"/>
  <c r="D64" i="29"/>
  <c r="D72" i="29"/>
  <c r="D80" i="29"/>
  <c r="D88" i="29"/>
  <c r="D22" i="29"/>
  <c r="D30" i="29"/>
  <c r="D38" i="29"/>
  <c r="D46" i="29"/>
  <c r="D54" i="29"/>
  <c r="D62" i="29"/>
  <c r="D70" i="29"/>
  <c r="D78" i="29"/>
  <c r="D86" i="29"/>
  <c r="D15" i="29"/>
  <c r="D63" i="29"/>
  <c r="D21" i="29"/>
  <c r="D29" i="29"/>
  <c r="D37" i="29"/>
  <c r="D45" i="29"/>
  <c r="D53" i="29"/>
  <c r="D61" i="29"/>
  <c r="D69" i="29"/>
  <c r="D77" i="29"/>
  <c r="D85" i="29"/>
  <c r="D23" i="29"/>
  <c r="D20" i="29"/>
  <c r="D28" i="29"/>
  <c r="D36" i="29"/>
  <c r="D44" i="29"/>
  <c r="D52" i="29"/>
  <c r="D60" i="29"/>
  <c r="D68" i="29"/>
  <c r="D76" i="29"/>
  <c r="D84" i="29"/>
  <c r="D71" i="29"/>
  <c r="D19" i="29"/>
  <c r="D27" i="29"/>
  <c r="D35" i="29"/>
  <c r="D43" i="29"/>
  <c r="D51" i="29"/>
  <c r="D59" i="29"/>
  <c r="D67" i="29"/>
  <c r="D75" i="29"/>
  <c r="D83" i="29"/>
  <c r="D87" i="29"/>
  <c r="D14" i="29"/>
  <c r="D18" i="29"/>
  <c r="D26" i="29"/>
  <c r="D34" i="29"/>
  <c r="D42" i="29"/>
  <c r="D50" i="29"/>
  <c r="D58" i="29"/>
  <c r="D66" i="29"/>
  <c r="D74" i="29"/>
  <c r="D82" i="29"/>
  <c r="D31" i="29"/>
  <c r="D39" i="29"/>
  <c r="D47" i="29"/>
  <c r="D55" i="29"/>
  <c r="D79" i="29"/>
  <c r="D17" i="29"/>
  <c r="D25" i="29"/>
  <c r="D33" i="29"/>
  <c r="D41" i="29"/>
  <c r="D49" i="29"/>
  <c r="D57" i="29"/>
  <c r="D65" i="29"/>
  <c r="D73" i="29"/>
  <c r="D81" i="29"/>
  <c r="C12" i="32"/>
  <c r="H10" i="39"/>
  <c r="G85" i="29"/>
  <c r="E49" i="29"/>
  <c r="E45" i="29"/>
  <c r="I37" i="29"/>
  <c r="G26" i="29"/>
  <c r="H47" i="29"/>
  <c r="G25" i="29"/>
  <c r="E55" i="29"/>
  <c r="C43" i="29"/>
  <c r="C57" i="29"/>
  <c r="H41" i="29"/>
  <c r="G86" i="29"/>
  <c r="I50" i="29"/>
  <c r="I21" i="29"/>
  <c r="P40" i="25"/>
  <c r="O40" i="25"/>
  <c r="N40" i="25"/>
  <c r="M40" i="25"/>
  <c r="L40" i="25"/>
  <c r="K40" i="25"/>
  <c r="J40" i="25"/>
  <c r="J41" i="25" s="1"/>
  <c r="I40" i="25"/>
  <c r="H40" i="25"/>
  <c r="G40" i="25"/>
  <c r="F40" i="25"/>
  <c r="P39" i="25"/>
  <c r="O39" i="25"/>
  <c r="O41" i="25"/>
  <c r="N39" i="25"/>
  <c r="N41" i="25" s="1"/>
  <c r="M39" i="25"/>
  <c r="M41" i="25"/>
  <c r="L39" i="25"/>
  <c r="L41" i="25" s="1"/>
  <c r="K39" i="25"/>
  <c r="K41" i="25" s="1"/>
  <c r="J39" i="25"/>
  <c r="I39" i="25"/>
  <c r="I41" i="25"/>
  <c r="H39" i="25"/>
  <c r="G39" i="25"/>
  <c r="F39" i="25"/>
  <c r="P38" i="25"/>
  <c r="O38" i="25"/>
  <c r="N38" i="25"/>
  <c r="M38" i="25"/>
  <c r="L38" i="25"/>
  <c r="K38" i="25"/>
  <c r="J38" i="25"/>
  <c r="I38" i="25"/>
  <c r="H38" i="25"/>
  <c r="G38" i="25"/>
  <c r="F38" i="25"/>
  <c r="P37" i="25"/>
  <c r="O37" i="25"/>
  <c r="N37" i="25"/>
  <c r="M37" i="25"/>
  <c r="L37" i="25"/>
  <c r="K37" i="25"/>
  <c r="J37" i="25"/>
  <c r="I37" i="25"/>
  <c r="H37" i="25"/>
  <c r="G37" i="25"/>
  <c r="F37" i="25"/>
  <c r="P36" i="25"/>
  <c r="O36" i="25"/>
  <c r="N36" i="25"/>
  <c r="M36" i="25"/>
  <c r="L36" i="25"/>
  <c r="K36" i="25"/>
  <c r="J36" i="25"/>
  <c r="I36" i="25"/>
  <c r="H36" i="25"/>
  <c r="G36" i="25"/>
  <c r="F36" i="25"/>
  <c r="B7" i="25"/>
  <c r="B8" i="25"/>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C9" i="17" s="1"/>
  <c r="H10" i="17"/>
  <c r="G10" i="17"/>
  <c r="F10" i="17"/>
  <c r="AW29" i="17" s="1"/>
  <c r="E10" i="17"/>
  <c r="C10" i="17"/>
  <c r="D31" i="17" s="1"/>
  <c r="AN29" i="17"/>
  <c r="AG29" i="17"/>
  <c r="AU30" i="17"/>
  <c r="R29" i="17"/>
  <c r="AF30" i="17"/>
  <c r="F31" i="17"/>
  <c r="N31" i="17"/>
  <c r="AT31" i="17"/>
  <c r="C29" i="17"/>
  <c r="AI29" i="17"/>
  <c r="I30" i="17"/>
  <c r="Q30" i="17"/>
  <c r="AW30" i="17"/>
  <c r="W31" i="17"/>
  <c r="AE31" i="17"/>
  <c r="L29" i="17"/>
  <c r="AJ29" i="17"/>
  <c r="AR29" i="17"/>
  <c r="Z30" i="17"/>
  <c r="AX30" i="17"/>
  <c r="H31" i="17"/>
  <c r="AN31" i="17"/>
  <c r="U29" i="17"/>
  <c r="AC29" i="17"/>
  <c r="K30" i="17"/>
  <c r="AI30" i="17"/>
  <c r="AQ30" i="17"/>
  <c r="Y31" i="17"/>
  <c r="AW31" i="17"/>
  <c r="AD29" i="17"/>
  <c r="D30" i="17"/>
  <c r="L30" i="17"/>
  <c r="AR30" i="17"/>
  <c r="R31" i="17"/>
  <c r="Z31" i="17"/>
  <c r="O29" i="17"/>
  <c r="W29" i="17"/>
  <c r="AE29" i="17"/>
  <c r="E30" i="17"/>
  <c r="M30" i="17"/>
  <c r="U30" i="17"/>
  <c r="AK30" i="17"/>
  <c r="C31" i="17"/>
  <c r="K31" i="17"/>
  <c r="AA31" i="17"/>
  <c r="AI31" i="17"/>
  <c r="AQ31" i="17"/>
  <c r="B20" i="10"/>
  <c r="C18" i="10" s="1"/>
  <c r="F55" i="9"/>
  <c r="B55" i="9" s="1"/>
  <c r="C55" i="9"/>
  <c r="A55" i="9" s="1"/>
  <c r="F54" i="9"/>
  <c r="B54" i="9" s="1"/>
  <c r="G54" i="9" s="1"/>
  <c r="H54" i="9" s="1"/>
  <c r="I54" i="9" s="1"/>
  <c r="J54" i="9" s="1"/>
  <c r="K54" i="9" s="1"/>
  <c r="C54" i="9"/>
  <c r="A54" i="9" s="1"/>
  <c r="F53" i="9"/>
  <c r="B53" i="9" s="1"/>
  <c r="G53" i="9" s="1"/>
  <c r="H53" i="9" s="1"/>
  <c r="I53" i="9" s="1"/>
  <c r="J53" i="9" s="1"/>
  <c r="K53" i="9" s="1"/>
  <c r="C53" i="9"/>
  <c r="A53" i="9"/>
  <c r="F52" i="9"/>
  <c r="B52" i="9"/>
  <c r="G52" i="9" s="1"/>
  <c r="H52" i="9" s="1"/>
  <c r="I52" i="9" s="1"/>
  <c r="J52" i="9" s="1"/>
  <c r="K52" i="9" s="1"/>
  <c r="C52" i="9"/>
  <c r="A52" i="9" s="1"/>
  <c r="F51" i="9"/>
  <c r="B51" i="9" s="1"/>
  <c r="C51" i="9"/>
  <c r="A51" i="9" s="1"/>
  <c r="F50" i="9"/>
  <c r="B50" i="9" s="1"/>
  <c r="C50" i="9"/>
  <c r="A50" i="9" s="1"/>
  <c r="F49" i="9"/>
  <c r="B49" i="9" s="1"/>
  <c r="G49" i="9" s="1"/>
  <c r="H49" i="9" s="1"/>
  <c r="I49" i="9" s="1"/>
  <c r="J49" i="9" s="1"/>
  <c r="K49" i="9" s="1"/>
  <c r="C49" i="9"/>
  <c r="A49" i="9"/>
  <c r="F48" i="9"/>
  <c r="B48" i="9" s="1"/>
  <c r="G48" i="9" s="1"/>
  <c r="H48" i="9" s="1"/>
  <c r="I48" i="9" s="1"/>
  <c r="J48" i="9" s="1"/>
  <c r="K48" i="9" s="1"/>
  <c r="C48" i="9"/>
  <c r="A48" i="9" s="1"/>
  <c r="F47" i="9"/>
  <c r="B47" i="9" s="1"/>
  <c r="G47" i="9"/>
  <c r="H47" i="9" s="1"/>
  <c r="I47" i="9" s="1"/>
  <c r="J47" i="9" s="1"/>
  <c r="K47" i="9" s="1"/>
  <c r="C47" i="9"/>
  <c r="A47" i="9"/>
  <c r="F46" i="9"/>
  <c r="B46" i="9"/>
  <c r="G46" i="9" s="1"/>
  <c r="H46" i="9" s="1"/>
  <c r="I46" i="9" s="1"/>
  <c r="J46" i="9"/>
  <c r="K46" i="9" s="1"/>
  <c r="C46" i="9"/>
  <c r="A46" i="9" s="1"/>
  <c r="F45" i="9"/>
  <c r="B45" i="9" s="1"/>
  <c r="G45" i="9" s="1"/>
  <c r="H45" i="9" s="1"/>
  <c r="I45" i="9"/>
  <c r="J45" i="9" s="1"/>
  <c r="K45" i="9" s="1"/>
  <c r="C45" i="9"/>
  <c r="A45" i="9"/>
  <c r="F44" i="9"/>
  <c r="B44" i="9"/>
  <c r="G44" i="9" s="1"/>
  <c r="H44" i="9" s="1"/>
  <c r="I44" i="9" s="1"/>
  <c r="J44" i="9" s="1"/>
  <c r="K44" i="9" s="1"/>
  <c r="C44" i="9"/>
  <c r="A44" i="9" s="1"/>
  <c r="F43" i="9"/>
  <c r="B43" i="9" s="1"/>
  <c r="G43" i="9" s="1"/>
  <c r="H43" i="9" s="1"/>
  <c r="I43" i="9" s="1"/>
  <c r="J43" i="9" s="1"/>
  <c r="K43" i="9" s="1"/>
  <c r="C43" i="9"/>
  <c r="A43" i="9"/>
  <c r="F42" i="9"/>
  <c r="B42" i="9"/>
  <c r="G42" i="9" s="1"/>
  <c r="H42" i="9" s="1"/>
  <c r="I42" i="9" s="1"/>
  <c r="J42" i="9" s="1"/>
  <c r="K42" i="9" s="1"/>
  <c r="C42" i="9"/>
  <c r="A42" i="9"/>
  <c r="F41" i="9"/>
  <c r="B41" i="9"/>
  <c r="G41" i="9" s="1"/>
  <c r="H41" i="9" s="1"/>
  <c r="I41" i="9" s="1"/>
  <c r="J41" i="9" s="1"/>
  <c r="K41" i="9" s="1"/>
  <c r="C41" i="9"/>
  <c r="A41" i="9" s="1"/>
  <c r="F40" i="9"/>
  <c r="B40" i="9" s="1"/>
  <c r="C40" i="9"/>
  <c r="A40" i="9" s="1"/>
  <c r="F39" i="9"/>
  <c r="B39" i="9" s="1"/>
  <c r="G39" i="9" s="1"/>
  <c r="H39" i="9" s="1"/>
  <c r="I39" i="9" s="1"/>
  <c r="J39" i="9" s="1"/>
  <c r="K39" i="9" s="1"/>
  <c r="C39" i="9"/>
  <c r="A39" i="9"/>
  <c r="F38" i="9"/>
  <c r="B38" i="9" s="1"/>
  <c r="G38" i="9" s="1"/>
  <c r="H38" i="9" s="1"/>
  <c r="I38" i="9" s="1"/>
  <c r="J38" i="9" s="1"/>
  <c r="K38" i="9" s="1"/>
  <c r="C38" i="9"/>
  <c r="A38" i="9"/>
  <c r="F37" i="9"/>
  <c r="B37" i="9" s="1"/>
  <c r="G37" i="9" s="1"/>
  <c r="H37" i="9" s="1"/>
  <c r="I37" i="9" s="1"/>
  <c r="J37" i="9" s="1"/>
  <c r="K37" i="9" s="1"/>
  <c r="C37" i="9"/>
  <c r="A37" i="9" s="1"/>
  <c r="F36" i="9"/>
  <c r="B36" i="9" s="1"/>
  <c r="C36" i="9"/>
  <c r="A36" i="9" s="1"/>
  <c r="F35" i="9"/>
  <c r="B35" i="9" s="1"/>
  <c r="C35" i="9"/>
  <c r="A35" i="9"/>
  <c r="F34" i="9"/>
  <c r="B34" i="9" s="1"/>
  <c r="G34" i="9" s="1"/>
  <c r="H34" i="9" s="1"/>
  <c r="I34" i="9" s="1"/>
  <c r="J34" i="9" s="1"/>
  <c r="K34" i="9" s="1"/>
  <c r="C34" i="9"/>
  <c r="A34" i="9" s="1"/>
  <c r="F33" i="9"/>
  <c r="B33" i="9" s="1"/>
  <c r="G33" i="9" s="1"/>
  <c r="H33" i="9" s="1"/>
  <c r="I33" i="9" s="1"/>
  <c r="J33" i="9" s="1"/>
  <c r="K33" i="9" s="1"/>
  <c r="C33" i="9"/>
  <c r="A33" i="9" s="1"/>
  <c r="F32" i="9"/>
  <c r="B32" i="9"/>
  <c r="G32" i="9" s="1"/>
  <c r="H32" i="9" s="1"/>
  <c r="I32" i="9" s="1"/>
  <c r="J32" i="9" s="1"/>
  <c r="K32" i="9" s="1"/>
  <c r="C32" i="9"/>
  <c r="A32" i="9"/>
  <c r="F31" i="9"/>
  <c r="B31" i="9"/>
  <c r="C31" i="9"/>
  <c r="A31" i="9"/>
  <c r="F30" i="9"/>
  <c r="B30" i="9"/>
  <c r="G30" i="9" s="1"/>
  <c r="H30" i="9" s="1"/>
  <c r="I30" i="9" s="1"/>
  <c r="J30" i="9" s="1"/>
  <c r="K30" i="9" s="1"/>
  <c r="C30" i="9"/>
  <c r="A30" i="9"/>
  <c r="F29" i="9"/>
  <c r="B29" i="9"/>
  <c r="G29" i="9" s="1"/>
  <c r="H29" i="9" s="1"/>
  <c r="I29" i="9" s="1"/>
  <c r="J29" i="9" s="1"/>
  <c r="K29" i="9" s="1"/>
  <c r="C29" i="9"/>
  <c r="A29" i="9"/>
  <c r="F28" i="9"/>
  <c r="B28" i="9"/>
  <c r="G28" i="9" s="1"/>
  <c r="H28" i="9" s="1"/>
  <c r="I28" i="9" s="1"/>
  <c r="J28" i="9" s="1"/>
  <c r="K28" i="9" s="1"/>
  <c r="C28" i="9"/>
  <c r="A28" i="9" s="1"/>
  <c r="F27" i="9"/>
  <c r="B27" i="9" s="1"/>
  <c r="C27" i="9"/>
  <c r="A27" i="9"/>
  <c r="F26" i="9"/>
  <c r="B26" i="9" s="1"/>
  <c r="G26" i="9" s="1"/>
  <c r="H26" i="9" s="1"/>
  <c r="I26" i="9" s="1"/>
  <c r="J26" i="9" s="1"/>
  <c r="K26" i="9" s="1"/>
  <c r="C26" i="9"/>
  <c r="A26" i="9"/>
  <c r="F25" i="9"/>
  <c r="B25" i="9" s="1"/>
  <c r="G25" i="9" s="1"/>
  <c r="H25" i="9" s="1"/>
  <c r="I25" i="9" s="1"/>
  <c r="J25" i="9" s="1"/>
  <c r="K25" i="9" s="1"/>
  <c r="C25" i="9"/>
  <c r="A25" i="9"/>
  <c r="F24" i="9"/>
  <c r="B24" i="9" s="1"/>
  <c r="G24" i="9" s="1"/>
  <c r="H24" i="9" s="1"/>
  <c r="I24" i="9" s="1"/>
  <c r="J24" i="9" s="1"/>
  <c r="K24" i="9" s="1"/>
  <c r="C24" i="9"/>
  <c r="A24" i="9" s="1"/>
  <c r="F23" i="9"/>
  <c r="B23" i="9"/>
  <c r="G23" i="9"/>
  <c r="H23" i="9" s="1"/>
  <c r="I23" i="9" s="1"/>
  <c r="J23" i="9" s="1"/>
  <c r="K23" i="9" s="1"/>
  <c r="C23" i="9"/>
  <c r="A23" i="9" s="1"/>
  <c r="F22" i="9"/>
  <c r="B22" i="9"/>
  <c r="C22" i="9"/>
  <c r="A22" i="9" s="1"/>
  <c r="F21" i="9"/>
  <c r="B21" i="9" s="1"/>
  <c r="G21" i="9" s="1"/>
  <c r="H21" i="9" s="1"/>
  <c r="I21" i="9" s="1"/>
  <c r="J21" i="9" s="1"/>
  <c r="K21" i="9" s="1"/>
  <c r="C21" i="9"/>
  <c r="A21" i="9" s="1"/>
  <c r="F20" i="9"/>
  <c r="B20" i="9"/>
  <c r="G20" i="9" s="1"/>
  <c r="H20" i="9" s="1"/>
  <c r="I20" i="9" s="1"/>
  <c r="J20" i="9" s="1"/>
  <c r="K20" i="9" s="1"/>
  <c r="C20" i="9"/>
  <c r="A20" i="9" s="1"/>
  <c r="F19" i="9"/>
  <c r="B19" i="9"/>
  <c r="G19" i="9" s="1"/>
  <c r="H19" i="9" s="1"/>
  <c r="I19" i="9" s="1"/>
  <c r="J19" i="9" s="1"/>
  <c r="K19" i="9" s="1"/>
  <c r="C19" i="9"/>
  <c r="A19" i="9" s="1"/>
  <c r="F18" i="9"/>
  <c r="B18" i="9" s="1"/>
  <c r="G18" i="9" s="1"/>
  <c r="H18" i="9" s="1"/>
  <c r="I18" i="9" s="1"/>
  <c r="J18" i="9" s="1"/>
  <c r="K18" i="9" s="1"/>
  <c r="C18" i="9"/>
  <c r="A18" i="9"/>
  <c r="F17" i="9"/>
  <c r="B17" i="9" s="1"/>
  <c r="G17" i="9" s="1"/>
  <c r="H17" i="9" s="1"/>
  <c r="I17" i="9" s="1"/>
  <c r="J17" i="9" s="1"/>
  <c r="K17" i="9" s="1"/>
  <c r="C17" i="9"/>
  <c r="A17" i="9"/>
  <c r="F16" i="9"/>
  <c r="B16" i="9" s="1"/>
  <c r="G16" i="9" s="1"/>
  <c r="H16" i="9" s="1"/>
  <c r="I16" i="9" s="1"/>
  <c r="J16" i="9" s="1"/>
  <c r="K16" i="9" s="1"/>
  <c r="C16" i="9"/>
  <c r="A16" i="9"/>
  <c r="F15" i="9"/>
  <c r="B15" i="9" s="1"/>
  <c r="G15" i="9" s="1"/>
  <c r="H15" i="9" s="1"/>
  <c r="I15" i="9" s="1"/>
  <c r="J15" i="9" s="1"/>
  <c r="K15" i="9" s="1"/>
  <c r="C15" i="9"/>
  <c r="A15" i="9" s="1"/>
  <c r="F14" i="9"/>
  <c r="B14" i="9"/>
  <c r="G14" i="9"/>
  <c r="H14" i="9" s="1"/>
  <c r="I14" i="9" s="1"/>
  <c r="J14" i="9" s="1"/>
  <c r="K14" i="9" s="1"/>
  <c r="C14" i="9"/>
  <c r="A14" i="9" s="1"/>
  <c r="F13" i="9"/>
  <c r="B13" i="9"/>
  <c r="G13" i="9" s="1"/>
  <c r="H13" i="9" s="1"/>
  <c r="I13" i="9" s="1"/>
  <c r="J13" i="9" s="1"/>
  <c r="K13" i="9" s="1"/>
  <c r="C13" i="9"/>
  <c r="A13" i="9"/>
  <c r="F12" i="9"/>
  <c r="B12" i="9" s="1"/>
  <c r="G12" i="9" s="1"/>
  <c r="H12" i="9" s="1"/>
  <c r="I12" i="9" s="1"/>
  <c r="J12" i="9" s="1"/>
  <c r="K12" i="9" s="1"/>
  <c r="C12" i="9"/>
  <c r="A12" i="9"/>
  <c r="F11" i="9"/>
  <c r="B11" i="9" s="1"/>
  <c r="G11" i="9" s="1"/>
  <c r="H11" i="9" s="1"/>
  <c r="I11" i="9" s="1"/>
  <c r="J11" i="9" s="1"/>
  <c r="K11" i="9" s="1"/>
  <c r="C11" i="9"/>
  <c r="A11" i="9" s="1"/>
  <c r="F10" i="9"/>
  <c r="B10" i="9"/>
  <c r="G10" i="9"/>
  <c r="H10" i="9" s="1"/>
  <c r="I10" i="9" s="1"/>
  <c r="J10" i="9" s="1"/>
  <c r="K10" i="9" s="1"/>
  <c r="C10" i="9"/>
  <c r="A10" i="9" s="1"/>
  <c r="F9" i="9"/>
  <c r="B9" i="9"/>
  <c r="G9" i="9" s="1"/>
  <c r="H9" i="9" s="1"/>
  <c r="I9" i="9" s="1"/>
  <c r="J9" i="9" s="1"/>
  <c r="K9" i="9" s="1"/>
  <c r="C9" i="9"/>
  <c r="A9" i="9" s="1"/>
  <c r="F8" i="9"/>
  <c r="B8" i="9" s="1"/>
  <c r="G8" i="9" s="1"/>
  <c r="H8" i="9" s="1"/>
  <c r="I8" i="9" s="1"/>
  <c r="J8" i="9" s="1"/>
  <c r="K8" i="9" s="1"/>
  <c r="C8" i="9"/>
  <c r="A8" i="9"/>
  <c r="F7" i="9"/>
  <c r="B7" i="9" s="1"/>
  <c r="G7" i="9" s="1"/>
  <c r="H7" i="9" s="1"/>
  <c r="I7" i="9" s="1"/>
  <c r="J7" i="9" s="1"/>
  <c r="K7" i="9" s="1"/>
  <c r="C7" i="9"/>
  <c r="A7" i="9" s="1"/>
  <c r="F6" i="9"/>
  <c r="B6" i="9"/>
  <c r="G6" i="9" s="1"/>
  <c r="H6" i="9" s="1"/>
  <c r="I6" i="9" s="1"/>
  <c r="J6" i="9" s="1"/>
  <c r="K6" i="9" s="1"/>
  <c r="C6" i="9"/>
  <c r="A6" i="9"/>
  <c r="F5" i="9"/>
  <c r="B5" i="9" s="1"/>
  <c r="G5" i="9" s="1"/>
  <c r="H5" i="9" s="1"/>
  <c r="I5" i="9" s="1"/>
  <c r="J5" i="9" s="1"/>
  <c r="K5" i="9" s="1"/>
  <c r="C5" i="9"/>
  <c r="A5" i="9"/>
  <c r="B10" i="7"/>
  <c r="B7" i="7" s="1"/>
  <c r="C10" i="7"/>
  <c r="D10" i="7"/>
  <c r="E10" i="7"/>
  <c r="E5" i="7" s="1"/>
  <c r="F10" i="7"/>
  <c r="F6" i="7" s="1"/>
  <c r="G10" i="7"/>
  <c r="H10" i="7"/>
  <c r="I10" i="7"/>
  <c r="I4" i="7" s="1"/>
  <c r="J10" i="7"/>
  <c r="J4" i="7" s="1"/>
  <c r="K10" i="7"/>
  <c r="B11" i="7"/>
  <c r="C11" i="7"/>
  <c r="C4" i="7" s="1"/>
  <c r="D11" i="7"/>
  <c r="D5" i="7" s="1"/>
  <c r="E11" i="7"/>
  <c r="F11" i="7"/>
  <c r="G11" i="7"/>
  <c r="G6" i="7" s="1"/>
  <c r="H11" i="7"/>
  <c r="H5" i="7" s="1"/>
  <c r="I11" i="7"/>
  <c r="J11" i="7"/>
  <c r="K11" i="7"/>
  <c r="K7" i="7" s="1"/>
  <c r="B4" i="6"/>
  <c r="C4" i="6"/>
  <c r="D4" i="6"/>
  <c r="E4" i="6"/>
  <c r="F4" i="6"/>
  <c r="G4" i="6"/>
  <c r="H4" i="6"/>
  <c r="I4" i="6"/>
  <c r="J4" i="6"/>
  <c r="K4" i="6"/>
  <c r="B5" i="6"/>
  <c r="C5" i="6"/>
  <c r="D5" i="6"/>
  <c r="E5" i="6"/>
  <c r="F5" i="6"/>
  <c r="G5" i="6"/>
  <c r="H5" i="6"/>
  <c r="I5" i="6"/>
  <c r="J5" i="6"/>
  <c r="K5" i="6"/>
  <c r="B6" i="6"/>
  <c r="C6" i="6"/>
  <c r="D6" i="6"/>
  <c r="E6" i="6"/>
  <c r="F6" i="6"/>
  <c r="G6" i="6"/>
  <c r="H6" i="6"/>
  <c r="I6" i="6"/>
  <c r="J6" i="6"/>
  <c r="K6" i="6"/>
  <c r="B7" i="6"/>
  <c r="C7" i="6"/>
  <c r="D7" i="6"/>
  <c r="E7" i="6"/>
  <c r="F7" i="6"/>
  <c r="G7" i="6"/>
  <c r="H7" i="6"/>
  <c r="I7" i="6"/>
  <c r="J7" i="6"/>
  <c r="K7" i="6"/>
  <c r="B10" i="6"/>
  <c r="C10" i="6"/>
  <c r="D10" i="6"/>
  <c r="E10" i="6"/>
  <c r="F10" i="6"/>
  <c r="G10" i="6"/>
  <c r="H10" i="6"/>
  <c r="I10" i="6"/>
  <c r="J10" i="6"/>
  <c r="K10" i="6"/>
  <c r="G50" i="9"/>
  <c r="H50" i="9" s="1"/>
  <c r="I50" i="9" s="1"/>
  <c r="J50" i="9" s="1"/>
  <c r="K50" i="9" s="1"/>
  <c r="G27" i="9"/>
  <c r="H27" i="9" s="1"/>
  <c r="I27" i="9" s="1"/>
  <c r="J27" i="9" s="1"/>
  <c r="K27" i="9" s="1"/>
  <c r="G36" i="9"/>
  <c r="H36" i="9" s="1"/>
  <c r="I36" i="9" s="1"/>
  <c r="J36" i="9" s="1"/>
  <c r="K36" i="9" s="1"/>
  <c r="G35" i="9"/>
  <c r="H35" i="9" s="1"/>
  <c r="I35" i="9" s="1"/>
  <c r="J35" i="9" s="1"/>
  <c r="K35" i="9" s="1"/>
  <c r="G51" i="9"/>
  <c r="H51" i="9" s="1"/>
  <c r="I51" i="9" s="1"/>
  <c r="J51" i="9" s="1"/>
  <c r="K51" i="9" s="1"/>
  <c r="G31" i="9"/>
  <c r="H31" i="9" s="1"/>
  <c r="I31" i="9" s="1"/>
  <c r="J31" i="9" s="1"/>
  <c r="K31" i="9" s="1"/>
  <c r="G40" i="9"/>
  <c r="H40" i="9"/>
  <c r="I40" i="9" s="1"/>
  <c r="J40" i="9" s="1"/>
  <c r="K40" i="9" s="1"/>
  <c r="G55" i="9"/>
  <c r="H55" i="9" s="1"/>
  <c r="I55" i="9" s="1"/>
  <c r="J55" i="9" s="1"/>
  <c r="K55" i="9" s="1"/>
  <c r="G22" i="9"/>
  <c r="H22" i="9" s="1"/>
  <c r="I22" i="9" s="1"/>
  <c r="J22" i="9" s="1"/>
  <c r="K22" i="9" s="1"/>
  <c r="K4" i="7"/>
  <c r="I5" i="7"/>
  <c r="C16" i="10"/>
  <c r="C17" i="10"/>
  <c r="C14" i="10"/>
  <c r="C15" i="10"/>
  <c r="C10" i="10"/>
  <c r="C19" i="10"/>
  <c r="C13" i="10"/>
  <c r="C6" i="10"/>
  <c r="C3" i="10"/>
  <c r="D3" i="10" s="1"/>
  <c r="C7" i="10"/>
  <c r="C11" i="10"/>
  <c r="C4" i="10"/>
  <c r="C8" i="10"/>
  <c r="C12" i="10"/>
  <c r="C5" i="10"/>
  <c r="C9" i="10"/>
  <c r="E6" i="7"/>
  <c r="G5" i="7"/>
  <c r="F5" i="7"/>
  <c r="K6" i="7"/>
  <c r="C6" i="7"/>
  <c r="B6" i="7"/>
  <c r="G7" i="7"/>
  <c r="I6" i="7"/>
  <c r="E4" i="7"/>
  <c r="F7" i="7"/>
  <c r="D4" i="7"/>
  <c r="D4" i="10" l="1"/>
  <c r="D5" i="10" s="1"/>
  <c r="D6" i="10" s="1"/>
  <c r="D7" i="10" s="1"/>
  <c r="D8" i="10" s="1"/>
  <c r="D9" i="10" s="1"/>
  <c r="D10" i="10" s="1"/>
  <c r="D11" i="10" s="1"/>
  <c r="D12" i="10" s="1"/>
  <c r="D13" i="10" s="1"/>
  <c r="D14" i="10" s="1"/>
  <c r="D15" i="10" s="1"/>
  <c r="D16" i="10" s="1"/>
  <c r="D17" i="10" s="1"/>
  <c r="D18" i="10" s="1"/>
  <c r="D19" i="10" s="1"/>
  <c r="AS25" i="17"/>
  <c r="H24" i="17"/>
  <c r="V25" i="17"/>
  <c r="AJ26" i="17"/>
  <c r="M25" i="17"/>
  <c r="AY26" i="17"/>
  <c r="O25" i="17"/>
  <c r="AC26" i="17"/>
  <c r="Z24" i="17"/>
  <c r="P25" i="17"/>
  <c r="F26" i="17"/>
  <c r="AT26" i="17"/>
  <c r="C24" i="17"/>
  <c r="AI24" i="17"/>
  <c r="Q25" i="17"/>
  <c r="AW25" i="17"/>
  <c r="AE26" i="17"/>
  <c r="AP25" i="17"/>
  <c r="AN26" i="17"/>
  <c r="AF26" i="17"/>
  <c r="AC24" i="17"/>
  <c r="K25" i="17"/>
  <c r="AQ25" i="17"/>
  <c r="Y26" i="17"/>
  <c r="AB24" i="17"/>
  <c r="X26" i="17"/>
  <c r="AD24" i="17"/>
  <c r="L25" i="17"/>
  <c r="AR25" i="17"/>
  <c r="Z26" i="17"/>
  <c r="X24" i="17"/>
  <c r="AL25" i="17"/>
  <c r="AK25" i="17"/>
  <c r="Q24" i="17"/>
  <c r="AE25" i="17"/>
  <c r="AS26" i="17"/>
  <c r="AH24" i="17"/>
  <c r="X25" i="17"/>
  <c r="V26" i="17"/>
  <c r="K24" i="17"/>
  <c r="AQ24" i="17"/>
  <c r="Y25" i="17"/>
  <c r="G26" i="17"/>
  <c r="AM26" i="17"/>
  <c r="AX25" i="17"/>
  <c r="AV26" i="17"/>
  <c r="T24" i="17"/>
  <c r="E24" i="17"/>
  <c r="AK24" i="17"/>
  <c r="S25" i="17"/>
  <c r="AY25" i="17"/>
  <c r="AG26" i="17"/>
  <c r="AR24" i="17"/>
  <c r="F24" i="17"/>
  <c r="AL24" i="17"/>
  <c r="T25" i="17"/>
  <c r="B26" i="17"/>
  <c r="AH26" i="17"/>
  <c r="O24" i="17"/>
  <c r="AN24" i="17"/>
  <c r="D26" i="17"/>
  <c r="AJ24" i="17"/>
  <c r="S26" i="17"/>
  <c r="AG24" i="17"/>
  <c r="AU25" i="17"/>
  <c r="AP24" i="17"/>
  <c r="AN25" i="17"/>
  <c r="AD26" i="17"/>
  <c r="B5" i="7"/>
  <c r="J6" i="7"/>
  <c r="AE24" i="17"/>
  <c r="R26" i="17"/>
  <c r="AH25" i="17"/>
  <c r="AW26" i="17"/>
  <c r="U24" i="17"/>
  <c r="W26" i="17"/>
  <c r="I85" i="29"/>
  <c r="C19" i="29"/>
  <c r="G84" i="29"/>
  <c r="C62" i="29"/>
  <c r="I84" i="29"/>
  <c r="G37" i="29"/>
  <c r="C75" i="29"/>
  <c r="E22" i="29"/>
  <c r="E27" i="29"/>
  <c r="H57" i="29"/>
  <c r="H26" i="29"/>
  <c r="G38" i="29"/>
  <c r="H25" i="29"/>
  <c r="I17" i="29"/>
  <c r="E12" i="32"/>
  <c r="E16" i="32"/>
  <c r="C13" i="32"/>
  <c r="C17" i="32"/>
  <c r="C10" i="32"/>
  <c r="C15" i="32"/>
  <c r="E11" i="32"/>
  <c r="C11" i="32"/>
  <c r="J5" i="7"/>
  <c r="C5" i="7"/>
  <c r="F4" i="7"/>
  <c r="H7" i="7"/>
  <c r="I7" i="7"/>
  <c r="J7" i="7"/>
  <c r="C7" i="7"/>
  <c r="G4" i="7"/>
  <c r="E7" i="7"/>
  <c r="AX31" i="17"/>
  <c r="AJ30" i="17"/>
  <c r="V29" i="17"/>
  <c r="J26" i="17"/>
  <c r="AT24" i="17"/>
  <c r="R25" i="17"/>
  <c r="Q31" i="17"/>
  <c r="C30" i="17"/>
  <c r="AO26" i="17"/>
  <c r="AA25" i="17"/>
  <c r="M24" i="17"/>
  <c r="AF31" i="17"/>
  <c r="R30" i="17"/>
  <c r="D29" i="17"/>
  <c r="L24" i="17"/>
  <c r="AO30" i="17"/>
  <c r="AA29" i="17"/>
  <c r="O26" i="17"/>
  <c r="AY24" i="17"/>
  <c r="AL31" i="17"/>
  <c r="AX29" i="17"/>
  <c r="H25" i="17"/>
  <c r="M26" i="17"/>
  <c r="E25" i="17"/>
  <c r="H42" i="29"/>
  <c r="E61" i="29"/>
  <c r="E65" i="29"/>
  <c r="C86" i="29"/>
  <c r="H77" i="29"/>
  <c r="G36" i="29"/>
  <c r="G69" i="29"/>
  <c r="E86" i="29"/>
  <c r="C81" i="29"/>
  <c r="E28" i="29"/>
  <c r="H19" i="29"/>
  <c r="G29" i="29"/>
  <c r="E51" i="29"/>
  <c r="U25" i="17"/>
  <c r="AP26" i="17"/>
  <c r="AB25" i="17"/>
  <c r="N24" i="17"/>
  <c r="I26" i="17"/>
  <c r="AS24" i="17"/>
  <c r="B25" i="17"/>
  <c r="H26" i="17"/>
  <c r="AU26" i="17"/>
  <c r="AG25" i="17"/>
  <c r="S24" i="17"/>
  <c r="AL26" i="17"/>
  <c r="AI26" i="17"/>
  <c r="T26" i="17"/>
  <c r="D6" i="7"/>
  <c r="B4" i="7"/>
  <c r="D7" i="7"/>
  <c r="D25" i="17"/>
  <c r="AI25" i="17"/>
  <c r="J25" i="17"/>
  <c r="I25" i="17"/>
  <c r="AV25" i="17"/>
  <c r="W24" i="17"/>
  <c r="F25" i="17"/>
  <c r="I28" i="29"/>
  <c r="E74" i="29"/>
  <c r="C32" i="29"/>
  <c r="H52" i="29"/>
  <c r="E70" i="29"/>
  <c r="H29" i="29"/>
  <c r="E60" i="29"/>
  <c r="E46" i="29"/>
  <c r="E37" i="29"/>
  <c r="C33" i="29"/>
  <c r="H63" i="29"/>
  <c r="E52" i="29"/>
  <c r="G62" i="29"/>
  <c r="G74" i="29"/>
  <c r="H84" i="29"/>
  <c r="H82" i="29"/>
  <c r="G19" i="29"/>
  <c r="H62" i="29"/>
  <c r="C18" i="29"/>
  <c r="G20" i="29"/>
  <c r="C64" i="29"/>
  <c r="E41" i="29"/>
  <c r="H80" i="29"/>
  <c r="E19" i="29"/>
  <c r="E17" i="29"/>
  <c r="E64" i="29"/>
  <c r="C54" i="29"/>
  <c r="H88" i="29"/>
  <c r="C35" i="29"/>
  <c r="G56" i="29"/>
  <c r="C69" i="29"/>
  <c r="E15" i="29"/>
  <c r="G27" i="29"/>
  <c r="C41" i="29"/>
  <c r="C22" i="29"/>
  <c r="C36" i="29"/>
  <c r="C80" i="29"/>
  <c r="E26" i="29"/>
  <c r="H70" i="29"/>
  <c r="G34" i="29"/>
  <c r="E36" i="29"/>
  <c r="G55" i="29"/>
  <c r="H65" i="29"/>
  <c r="E88" i="29"/>
  <c r="H36" i="29"/>
  <c r="E53" i="29"/>
  <c r="E14" i="29"/>
  <c r="H32" i="29"/>
  <c r="C77" i="29"/>
  <c r="C56" i="29"/>
  <c r="G50" i="29"/>
  <c r="H46" i="29"/>
  <c r="H55" i="29"/>
  <c r="C84" i="29"/>
  <c r="C20" i="29"/>
  <c r="G33" i="29"/>
  <c r="C55" i="29"/>
  <c r="C51" i="29"/>
  <c r="E40" i="29"/>
  <c r="G40" i="29"/>
  <c r="H74" i="29"/>
  <c r="E31" i="29"/>
  <c r="G75" i="29"/>
  <c r="C88" i="29"/>
  <c r="E80" i="29"/>
  <c r="C59" i="29"/>
  <c r="H31" i="29"/>
  <c r="E75" i="29"/>
  <c r="H61" i="29"/>
  <c r="G79" i="29"/>
  <c r="G17" i="29"/>
  <c r="G70" i="29"/>
  <c r="E77" i="29"/>
  <c r="H24" i="29"/>
  <c r="G24" i="29"/>
  <c r="H58" i="29"/>
  <c r="C40" i="29"/>
  <c r="H59" i="29"/>
  <c r="G47" i="29"/>
  <c r="G49" i="29"/>
  <c r="H69" i="29"/>
  <c r="C16" i="29"/>
  <c r="C49" i="29"/>
  <c r="H79" i="29"/>
  <c r="C26" i="29"/>
  <c r="G23" i="29"/>
  <c r="E54" i="29"/>
  <c r="C79" i="29"/>
  <c r="E25" i="29"/>
  <c r="G78" i="29"/>
  <c r="G32" i="29"/>
  <c r="C30" i="29"/>
  <c r="C14" i="29"/>
  <c r="G66" i="29"/>
  <c r="C45" i="29"/>
  <c r="H45" i="29"/>
  <c r="G18" i="29"/>
  <c r="C25" i="29"/>
  <c r="E44" i="29"/>
  <c r="G63" i="29"/>
  <c r="E62" i="29"/>
  <c r="E56" i="29"/>
  <c r="E33" i="29"/>
  <c r="G45" i="29"/>
  <c r="G54" i="29"/>
  <c r="C83" i="29"/>
  <c r="H40" i="29"/>
  <c r="E63" i="29"/>
  <c r="C21" i="29"/>
  <c r="H43" i="29"/>
  <c r="I44" i="29"/>
  <c r="I26" i="29"/>
  <c r="H16" i="29"/>
  <c r="E50" i="29"/>
  <c r="C68" i="29"/>
  <c r="C71" i="29"/>
  <c r="G60" i="29"/>
  <c r="I39" i="29"/>
  <c r="I48" i="29"/>
  <c r="C67" i="29"/>
  <c r="G88" i="29"/>
  <c r="H75" i="29"/>
  <c r="E47" i="29"/>
  <c r="G59" i="29"/>
  <c r="E18" i="29"/>
  <c r="H71" i="29"/>
  <c r="E78" i="29"/>
  <c r="I27" i="29"/>
  <c r="E58" i="29"/>
  <c r="H27" i="29"/>
  <c r="H38" i="29"/>
  <c r="E68" i="29"/>
  <c r="G87" i="29"/>
  <c r="E72" i="29"/>
  <c r="C44" i="29"/>
  <c r="I35" i="29"/>
  <c r="H68" i="29"/>
  <c r="C15" i="29"/>
  <c r="I24" i="29"/>
  <c r="E87" i="29"/>
  <c r="G67" i="29"/>
  <c r="I46" i="29"/>
  <c r="I47" i="29"/>
  <c r="E85" i="29"/>
  <c r="G64" i="29"/>
  <c r="E23" i="29"/>
  <c r="E34" i="29"/>
  <c r="E67" i="29"/>
  <c r="H87" i="29"/>
  <c r="C34" i="29"/>
  <c r="G31" i="29"/>
  <c r="C52" i="29"/>
  <c r="I75" i="29"/>
  <c r="H76" i="29"/>
  <c r="C23" i="29"/>
  <c r="I23" i="29"/>
  <c r="I32" i="29"/>
  <c r="H72" i="29"/>
  <c r="E29" i="29"/>
  <c r="G72" i="29"/>
  <c r="H51" i="29"/>
  <c r="C53" i="29"/>
  <c r="E48" i="29"/>
  <c r="G43" i="29"/>
  <c r="H72" i="48"/>
  <c r="H37" i="48"/>
  <c r="H6" i="7"/>
  <c r="K5" i="7"/>
  <c r="H4" i="7"/>
  <c r="AX26" i="17"/>
  <c r="AJ25" i="17"/>
  <c r="V24" i="17"/>
  <c r="D24" i="17"/>
  <c r="Q26" i="17"/>
  <c r="C25" i="17"/>
  <c r="Z25" i="17"/>
  <c r="P26" i="17"/>
  <c r="AO25" i="17"/>
  <c r="AA24" i="17"/>
  <c r="J24" i="17"/>
  <c r="AW24" i="17"/>
  <c r="AS30" i="17"/>
  <c r="F30" i="17"/>
  <c r="T31" i="17"/>
  <c r="M31" i="17"/>
  <c r="H30" i="17"/>
  <c r="AN30" i="17"/>
  <c r="V31" i="17"/>
  <c r="Y30" i="17"/>
  <c r="G31" i="17"/>
  <c r="AM31" i="17"/>
  <c r="B30" i="17"/>
  <c r="AH30" i="17"/>
  <c r="P31" i="17"/>
  <c r="AV31" i="17"/>
  <c r="S30" i="17"/>
  <c r="AY30" i="17"/>
  <c r="AG31" i="17"/>
  <c r="T30" i="17"/>
  <c r="B31" i="17"/>
  <c r="AH31" i="17"/>
  <c r="AU29" i="17"/>
  <c r="H29" i="17"/>
  <c r="V30" i="17"/>
  <c r="AJ31" i="17"/>
  <c r="O30" i="17"/>
  <c r="AC31" i="17"/>
  <c r="B29" i="17"/>
  <c r="AH29" i="17"/>
  <c r="P30" i="17"/>
  <c r="AV30" i="17"/>
  <c r="AD31" i="17"/>
  <c r="S29" i="17"/>
  <c r="AY29" i="17"/>
  <c r="AG30" i="17"/>
  <c r="O31" i="17"/>
  <c r="AU31" i="17"/>
  <c r="AB29" i="17"/>
  <c r="J30" i="17"/>
  <c r="AP30" i="17"/>
  <c r="X31" i="17"/>
  <c r="M29" i="17"/>
  <c r="AS29" i="17"/>
  <c r="AA30" i="17"/>
  <c r="I31" i="17"/>
  <c r="AO31" i="17"/>
  <c r="N29" i="17"/>
  <c r="AT29" i="17"/>
  <c r="AB30" i="17"/>
  <c r="J31" i="17"/>
  <c r="AP31" i="17"/>
  <c r="G29" i="17"/>
  <c r="AM29" i="17"/>
  <c r="AC30" i="17"/>
  <c r="S31" i="17"/>
  <c r="X29" i="17"/>
  <c r="AL30" i="17"/>
  <c r="Q29" i="17"/>
  <c r="AE30" i="17"/>
  <c r="AS31" i="17"/>
  <c r="J29" i="17"/>
  <c r="AP29" i="17"/>
  <c r="X30" i="17"/>
  <c r="C85" i="29"/>
  <c r="G22" i="29"/>
  <c r="I43" i="29"/>
  <c r="E76" i="29"/>
  <c r="I42" i="29"/>
  <c r="G35" i="29"/>
  <c r="E57" i="29"/>
  <c r="I65" i="29"/>
  <c r="H37" i="29"/>
  <c r="H35" i="29"/>
  <c r="I66" i="29"/>
  <c r="G28" i="29"/>
  <c r="E71" i="29"/>
  <c r="E42" i="29"/>
  <c r="F41" i="25"/>
  <c r="H13" i="39"/>
  <c r="F13" i="39"/>
  <c r="I87" i="29"/>
  <c r="I63" i="29"/>
  <c r="I72" i="29"/>
  <c r="I49" i="29"/>
  <c r="I29" i="29"/>
  <c r="L13" i="36"/>
  <c r="F11" i="36"/>
  <c r="J13" i="36"/>
  <c r="G10" i="36"/>
  <c r="K10" i="36"/>
  <c r="AB66" i="52"/>
  <c r="AJ64" i="52"/>
  <c r="BP73" i="52"/>
  <c r="D26" i="52"/>
  <c r="O26" i="52" s="1"/>
  <c r="AU122" i="52"/>
  <c r="AK91" i="52"/>
  <c r="AO81" i="52"/>
  <c r="G25" i="52"/>
  <c r="L152" i="52"/>
  <c r="G41" i="25"/>
  <c r="I53" i="29"/>
  <c r="I18" i="29"/>
  <c r="I82" i="29"/>
  <c r="I52" i="29"/>
  <c r="I79" i="29"/>
  <c r="I77" i="29"/>
  <c r="I67" i="29"/>
  <c r="I20" i="29"/>
  <c r="I71" i="29"/>
  <c r="I70" i="29"/>
  <c r="G13" i="36"/>
  <c r="AO85" i="52"/>
  <c r="AP87" i="52"/>
  <c r="W45" i="52"/>
  <c r="AE45" i="52"/>
  <c r="BC45" i="52"/>
  <c r="W78" i="52" s="1"/>
  <c r="O112" i="52" s="1"/>
  <c r="AU45" i="52"/>
  <c r="AZ73" i="52"/>
  <c r="D10" i="52"/>
  <c r="K53" i="52"/>
  <c r="P53" i="52" s="1"/>
  <c r="AO76" i="52"/>
  <c r="H10" i="52"/>
  <c r="AT117" i="52"/>
  <c r="AJ76" i="52"/>
  <c r="L53" i="52"/>
  <c r="S53" i="52" s="1"/>
  <c r="D34" i="52"/>
  <c r="L117" i="52"/>
  <c r="BF48" i="52"/>
  <c r="BN47" i="52"/>
  <c r="Z52" i="52"/>
  <c r="AP50" i="52"/>
  <c r="AX49" i="52"/>
  <c r="BV46" i="52"/>
  <c r="AH51" i="52"/>
  <c r="K16" i="52"/>
  <c r="D16" i="52"/>
  <c r="O16" i="52" s="1"/>
  <c r="L55" i="52"/>
  <c r="S55" i="52" s="1"/>
  <c r="AA54" i="52" s="1"/>
  <c r="L119" i="52"/>
  <c r="K55" i="52"/>
  <c r="P55" i="52" s="1"/>
  <c r="AN52" i="52" s="1"/>
  <c r="AJ88" i="52"/>
  <c r="AP88" i="52" s="1"/>
  <c r="AJ78" i="52"/>
  <c r="AT119" i="52"/>
  <c r="AL29" i="17"/>
  <c r="F29" i="17"/>
  <c r="AK29" i="17"/>
  <c r="E29" i="17"/>
  <c r="T29" i="17"/>
  <c r="AQ29" i="17"/>
  <c r="K29" i="17"/>
  <c r="Z29" i="17"/>
  <c r="H41" i="25"/>
  <c r="P41" i="25"/>
  <c r="I76" i="29"/>
  <c r="I64" i="29"/>
  <c r="I55" i="29"/>
  <c r="I73" i="29"/>
  <c r="I56" i="29"/>
  <c r="I86" i="29"/>
  <c r="I60" i="29"/>
  <c r="I15" i="29"/>
  <c r="I68" i="29"/>
  <c r="I59" i="29"/>
  <c r="I61" i="29"/>
  <c r="L10" i="36"/>
  <c r="BV43" i="52"/>
  <c r="Z43" i="52"/>
  <c r="AP43" i="52"/>
  <c r="BN43" i="52"/>
  <c r="AX43" i="52"/>
  <c r="L42" i="52"/>
  <c r="G7" i="52"/>
  <c r="C6" i="52"/>
  <c r="K42" i="52"/>
  <c r="O42" i="52" s="1"/>
  <c r="H7" i="52"/>
  <c r="J7" i="52"/>
  <c r="J136" i="52"/>
  <c r="J106" i="52"/>
  <c r="AF75" i="52"/>
  <c r="J76" i="52"/>
  <c r="AO75" i="52"/>
  <c r="AS106" i="52"/>
  <c r="L76" i="52"/>
  <c r="AE75" i="52"/>
  <c r="R42" i="52"/>
  <c r="AR106" i="52"/>
  <c r="AQ106" i="52"/>
  <c r="K76" i="52"/>
  <c r="C8" i="52"/>
  <c r="N8" i="52" s="1"/>
  <c r="AX72" i="52"/>
  <c r="AH85" i="52"/>
  <c r="AH75" i="52"/>
  <c r="L136" i="52"/>
  <c r="L114" i="52"/>
  <c r="C31" i="52"/>
  <c r="N31" i="52" s="1"/>
  <c r="AO83" i="52"/>
  <c r="AG93" i="52"/>
  <c r="BU72" i="52"/>
  <c r="C4" i="52"/>
  <c r="N4" i="52" s="1"/>
  <c r="H4" i="52"/>
  <c r="J4" i="52"/>
  <c r="C34" i="52"/>
  <c r="AW44" i="52"/>
  <c r="AO44" i="52"/>
  <c r="D20" i="52"/>
  <c r="O20" i="52" s="1"/>
  <c r="AK89" i="52"/>
  <c r="K19" i="52"/>
  <c r="AK79" i="52"/>
  <c r="AH54" i="52"/>
  <c r="AP53" i="52"/>
  <c r="AX52" i="52"/>
  <c r="AH57" i="52"/>
  <c r="BN49" i="52"/>
  <c r="AX53" i="52"/>
  <c r="BF51" i="52"/>
  <c r="CD45" i="52"/>
  <c r="Z59" i="52"/>
  <c r="AP55" i="52"/>
  <c r="BK51" i="52"/>
  <c r="AE59" i="52"/>
  <c r="L19" i="52"/>
  <c r="E20" i="52"/>
  <c r="P20" i="52" s="1"/>
  <c r="AM83" i="52"/>
  <c r="E31" i="52"/>
  <c r="P31" i="52" s="1"/>
  <c r="BU74" i="52"/>
  <c r="D14" i="34"/>
  <c r="C9" i="34"/>
  <c r="Y44" i="52"/>
  <c r="L105" i="52"/>
  <c r="BH45" i="52"/>
  <c r="AB78" i="52" s="1"/>
  <c r="AM47" i="52"/>
  <c r="L150" i="52"/>
  <c r="AE44" i="52"/>
  <c r="W44" i="52"/>
  <c r="L108" i="52"/>
  <c r="H13" i="52"/>
  <c r="AG87" i="52"/>
  <c r="AO87" i="52" s="1"/>
  <c r="AN45" i="52"/>
  <c r="BD45" i="52"/>
  <c r="AE81" i="52"/>
  <c r="K48" i="52"/>
  <c r="O48" i="52"/>
  <c r="H25" i="52"/>
  <c r="AA48" i="52"/>
  <c r="AI48" i="52"/>
  <c r="D35" i="52"/>
  <c r="K4" i="52"/>
  <c r="J145" i="52"/>
  <c r="K115" i="52"/>
  <c r="AR115" i="52"/>
  <c r="L85" i="52"/>
  <c r="K51" i="52"/>
  <c r="P51" i="52" s="1"/>
  <c r="L51" i="52"/>
  <c r="AQ115" i="52"/>
  <c r="K85" i="52"/>
  <c r="AO48" i="52"/>
  <c r="AG49" i="52"/>
  <c r="AW47" i="52"/>
  <c r="BM45" i="52"/>
  <c r="BU44" i="52"/>
  <c r="D28" i="52"/>
  <c r="O28" i="52" s="1"/>
  <c r="K28" i="52"/>
  <c r="AA63" i="52"/>
  <c r="BG55" i="52"/>
  <c r="AA88" i="52" s="1"/>
  <c r="S122" i="52" s="1"/>
  <c r="AI61" i="52"/>
  <c r="Q67" i="52"/>
  <c r="T67" i="52"/>
  <c r="K67" i="52"/>
  <c r="E21" i="52"/>
  <c r="P21" i="52" s="1"/>
  <c r="AM61" i="52"/>
  <c r="W65" i="52"/>
  <c r="Q68" i="52"/>
  <c r="L25" i="52"/>
  <c r="E24" i="52"/>
  <c r="P24" i="52" s="1"/>
  <c r="L68" i="52"/>
  <c r="D19" i="34"/>
  <c r="W47" i="52"/>
  <c r="J26" i="48"/>
  <c r="G20" i="48"/>
  <c r="K15" i="48"/>
  <c r="K25" i="48"/>
  <c r="C20" i="48"/>
  <c r="J20" i="48"/>
  <c r="F38" i="48"/>
  <c r="L21" i="48"/>
  <c r="J16" i="48"/>
  <c r="H26" i="48"/>
  <c r="I16" i="48"/>
  <c r="H15" i="48"/>
  <c r="L15" i="48"/>
  <c r="G21" i="48"/>
  <c r="K26" i="48"/>
  <c r="H21" i="48"/>
  <c r="L20" i="48"/>
  <c r="F73" i="48"/>
  <c r="E20" i="48"/>
  <c r="I26" i="48"/>
  <c r="CC42" i="52"/>
  <c r="AO42" i="52"/>
  <c r="BU42" i="52"/>
  <c r="C11" i="52"/>
  <c r="N11" i="52" s="1"/>
  <c r="G10" i="52"/>
  <c r="C15" i="52"/>
  <c r="J16" i="52"/>
  <c r="K46" i="52"/>
  <c r="L46" i="52"/>
  <c r="G19" i="52"/>
  <c r="H19" i="52"/>
  <c r="R46" i="52"/>
  <c r="C18" i="52"/>
  <c r="N18" i="52" s="1"/>
  <c r="BV47" i="52"/>
  <c r="K49" i="52"/>
  <c r="H28" i="52"/>
  <c r="C27" i="52"/>
  <c r="J28" i="52"/>
  <c r="G28" i="52"/>
  <c r="AO52" i="52"/>
  <c r="Y54" i="52"/>
  <c r="AG53" i="52"/>
  <c r="AW51" i="52"/>
  <c r="Z55" i="52"/>
  <c r="AR54" i="52"/>
  <c r="AB56" i="52"/>
  <c r="P60" i="52"/>
  <c r="D30" i="52"/>
  <c r="O30" i="52" s="1"/>
  <c r="AM77" i="52"/>
  <c r="E13" i="52"/>
  <c r="P13" i="52" s="1"/>
  <c r="L13" i="52"/>
  <c r="AV56" i="52"/>
  <c r="AN58" i="52"/>
  <c r="BD54" i="52"/>
  <c r="AF60" i="52"/>
  <c r="AR59" i="52"/>
  <c r="BH55" i="52"/>
  <c r="AB63" i="52"/>
  <c r="AZ57" i="52"/>
  <c r="AE61" i="52"/>
  <c r="AM59" i="52"/>
  <c r="AU57" i="52"/>
  <c r="P4" i="49"/>
  <c r="M12" i="48"/>
  <c r="N27" i="48" s="1"/>
  <c r="G22" i="52"/>
  <c r="BH49" i="52"/>
  <c r="AR51" i="52"/>
  <c r="BD41" i="52"/>
  <c r="X74" i="52" s="1"/>
  <c r="J13" i="52"/>
  <c r="AZ47" i="52"/>
  <c r="AR52" i="52"/>
  <c r="AJ53" i="52"/>
  <c r="W59" i="52"/>
  <c r="AM60" i="52"/>
  <c r="U3" i="56"/>
  <c r="U4" i="56" s="1"/>
  <c r="L26" i="56"/>
  <c r="E39" i="29"/>
  <c r="G16" i="29"/>
  <c r="G21" i="29"/>
  <c r="H49" i="29"/>
  <c r="H54" i="29"/>
  <c r="G76" i="29"/>
  <c r="C27" i="29"/>
  <c r="H86" i="29"/>
  <c r="G48" i="29"/>
  <c r="G53" i="29"/>
  <c r="E32" i="29"/>
  <c r="C28" i="29"/>
  <c r="E69" i="29"/>
  <c r="C60" i="29"/>
  <c r="C46" i="29"/>
  <c r="I54" i="29"/>
  <c r="B24" i="17"/>
  <c r="U31" i="17"/>
  <c r="AM30" i="17"/>
  <c r="G30" i="17"/>
  <c r="Y29" i="17"/>
  <c r="AK26" i="17"/>
  <c r="E26" i="17"/>
  <c r="W25" i="17"/>
  <c r="AO24" i="17"/>
  <c r="I24" i="17"/>
  <c r="AA26" i="17"/>
  <c r="AC25" i="17"/>
  <c r="G24" i="17"/>
  <c r="AB31" i="17"/>
  <c r="AT30" i="17"/>
  <c r="N30" i="17"/>
  <c r="AF29" i="17"/>
  <c r="AR26" i="17"/>
  <c r="L26" i="17"/>
  <c r="AD25" i="17"/>
  <c r="AV24" i="17"/>
  <c r="P24" i="17"/>
  <c r="AM24" i="17"/>
  <c r="K26" i="17"/>
  <c r="H85" i="29"/>
  <c r="C31" i="29"/>
  <c r="C42" i="29"/>
  <c r="G39" i="29"/>
  <c r="H50" i="29"/>
  <c r="H18" i="29"/>
  <c r="C65" i="29"/>
  <c r="H21" i="29"/>
  <c r="G52" i="29"/>
  <c r="H48" i="29"/>
  <c r="G73" i="29"/>
  <c r="E84" i="29"/>
  <c r="G80" i="29"/>
  <c r="G71" i="29"/>
  <c r="E73" i="29"/>
  <c r="C61" i="29"/>
  <c r="G51" i="29"/>
  <c r="E82" i="29"/>
  <c r="C70" i="29"/>
  <c r="H30" i="29"/>
  <c r="H39" i="29"/>
  <c r="G15" i="29"/>
  <c r="H83" i="29"/>
  <c r="E81" i="29"/>
  <c r="C39" i="29"/>
  <c r="G61" i="29"/>
  <c r="H56" i="29"/>
  <c r="G82" i="29"/>
  <c r="E79" i="29"/>
  <c r="C37" i="29"/>
  <c r="C72" i="29"/>
  <c r="C73" i="29"/>
  <c r="C50" i="29"/>
  <c r="C38" i="29"/>
  <c r="H28" i="29"/>
  <c r="C48" i="29"/>
  <c r="G58" i="29"/>
  <c r="E59" i="29"/>
  <c r="C17" i="29"/>
  <c r="C58" i="29"/>
  <c r="H15" i="29"/>
  <c r="C76" i="29"/>
  <c r="H33" i="29"/>
  <c r="G57" i="29"/>
  <c r="E16" i="29"/>
  <c r="C47" i="29"/>
  <c r="G46" i="29"/>
  <c r="E21" i="29"/>
  <c r="H34" i="29"/>
  <c r="G68" i="29"/>
  <c r="E24" i="29"/>
  <c r="H64" i="29"/>
  <c r="H66" i="29"/>
  <c r="E66" i="29"/>
  <c r="C24" i="29"/>
  <c r="H78" i="29"/>
  <c r="E35" i="29"/>
  <c r="C66" i="29"/>
  <c r="H23" i="29"/>
  <c r="H73" i="29"/>
  <c r="E30" i="29"/>
  <c r="G65" i="29"/>
  <c r="C87" i="29"/>
  <c r="H44" i="29"/>
  <c r="G77" i="29"/>
  <c r="C78" i="29"/>
  <c r="E43" i="29"/>
  <c r="I62" i="29"/>
  <c r="I40" i="29"/>
  <c r="I58" i="29"/>
  <c r="I31" i="29"/>
  <c r="I81" i="29"/>
  <c r="I83" i="29"/>
  <c r="I30" i="29"/>
  <c r="I22" i="29"/>
  <c r="I38" i="29"/>
  <c r="I80" i="29"/>
  <c r="I16" i="29"/>
  <c r="I34" i="29"/>
  <c r="I69" i="29"/>
  <c r="I25" i="29"/>
  <c r="I33" i="29"/>
  <c r="I78" i="29"/>
  <c r="I45" i="29"/>
  <c r="I88" i="29"/>
  <c r="I74" i="29"/>
  <c r="I41" i="29"/>
  <c r="E13" i="32"/>
  <c r="E15" i="32"/>
  <c r="E14" i="32"/>
  <c r="C14" i="32"/>
  <c r="C16" i="32"/>
  <c r="E17" i="32"/>
  <c r="E10" i="32"/>
  <c r="C20" i="34"/>
  <c r="N26" i="17"/>
  <c r="AF25" i="17"/>
  <c r="AX24" i="17"/>
  <c r="R24" i="17"/>
  <c r="AK31" i="17"/>
  <c r="E31" i="17"/>
  <c r="W30" i="17"/>
  <c r="AO29" i="17"/>
  <c r="I29" i="17"/>
  <c r="U26" i="17"/>
  <c r="AM25" i="17"/>
  <c r="G25" i="17"/>
  <c r="Y24" i="17"/>
  <c r="AQ26" i="17"/>
  <c r="C26" i="17"/>
  <c r="AU24" i="17"/>
  <c r="AR31" i="17"/>
  <c r="L31" i="17"/>
  <c r="AD30" i="17"/>
  <c r="AV29" i="17"/>
  <c r="P29" i="17"/>
  <c r="AB26" i="17"/>
  <c r="AT25" i="17"/>
  <c r="N25" i="17"/>
  <c r="AF24" i="17"/>
  <c r="AY31" i="17"/>
  <c r="H60" i="29"/>
  <c r="G81" i="29"/>
  <c r="I57" i="29"/>
  <c r="C82" i="29"/>
  <c r="E83" i="29"/>
  <c r="G83" i="29"/>
  <c r="C29" i="29"/>
  <c r="G42" i="29"/>
  <c r="E20" i="29"/>
  <c r="G41" i="29"/>
  <c r="G30" i="29"/>
  <c r="H53" i="29"/>
  <c r="H81" i="29"/>
  <c r="H67" i="29"/>
  <c r="H17" i="29"/>
  <c r="H22" i="29"/>
  <c r="I51" i="29"/>
  <c r="I19" i="29"/>
  <c r="C63" i="29"/>
  <c r="H20" i="29"/>
  <c r="G44" i="29"/>
  <c r="I36" i="29"/>
  <c r="E38" i="29"/>
  <c r="E20" i="34"/>
  <c r="E16" i="34"/>
  <c r="C15" i="34"/>
  <c r="F11" i="39"/>
  <c r="H11" i="39"/>
  <c r="BT45" i="52"/>
  <c r="X51" i="52"/>
  <c r="BL46" i="52"/>
  <c r="AN49" i="52"/>
  <c r="AV48" i="52"/>
  <c r="AY51" i="52"/>
  <c r="C19" i="34"/>
  <c r="E17" i="34"/>
  <c r="C17" i="34"/>
  <c r="E13" i="34"/>
  <c r="D17" i="34"/>
  <c r="D16" i="34"/>
  <c r="D15" i="34"/>
  <c r="L12" i="36"/>
  <c r="K12" i="36"/>
  <c r="J12" i="36"/>
  <c r="G12" i="36"/>
  <c r="E12" i="36"/>
  <c r="F12" i="36" s="1"/>
  <c r="BD47" i="52"/>
  <c r="X80" i="52" s="1"/>
  <c r="P114" i="52" s="1"/>
  <c r="AX45" i="52"/>
  <c r="Z45" i="52"/>
  <c r="AP45" i="52"/>
  <c r="AV50" i="52"/>
  <c r="AN51" i="52"/>
  <c r="BD49" i="52"/>
  <c r="X82" i="52" s="1"/>
  <c r="P116" i="52" s="1"/>
  <c r="X53" i="52"/>
  <c r="BL48" i="52"/>
  <c r="E19" i="34"/>
  <c r="E14" i="34"/>
  <c r="D13" i="34"/>
  <c r="L11" i="36"/>
  <c r="K11" i="36"/>
  <c r="J11" i="36"/>
  <c r="H11" i="36"/>
  <c r="G11" i="36"/>
  <c r="E13" i="36"/>
  <c r="H13" i="36" s="1"/>
  <c r="F10" i="36"/>
  <c r="AF50" i="52"/>
  <c r="AE43" i="52"/>
  <c r="BS43" i="52"/>
  <c r="W43" i="52"/>
  <c r="AM43" i="52"/>
  <c r="AA51" i="52"/>
  <c r="BW45" i="52"/>
  <c r="BO46" i="52"/>
  <c r="CE44" i="52"/>
  <c r="AY48" i="52"/>
  <c r="BG47" i="52"/>
  <c r="AA80" i="52" s="1"/>
  <c r="S114" i="52" s="1"/>
  <c r="AI50" i="52"/>
  <c r="AF53" i="52"/>
  <c r="X54" i="52"/>
  <c r="BD50" i="52"/>
  <c r="X83" i="52" s="1"/>
  <c r="P117" i="52" s="1"/>
  <c r="AV51" i="52"/>
  <c r="V103" i="52"/>
  <c r="N137" i="52" s="1"/>
  <c r="O136" i="52"/>
  <c r="Q99" i="52"/>
  <c r="W94" i="52"/>
  <c r="S93" i="52"/>
  <c r="V91" i="52"/>
  <c r="N125" i="52" s="1"/>
  <c r="X89" i="52"/>
  <c r="T103" i="52"/>
  <c r="P99" i="52"/>
  <c r="AA97" i="52"/>
  <c r="T130" i="52"/>
  <c r="AA93" i="52"/>
  <c r="AB88" i="52"/>
  <c r="S103" i="52"/>
  <c r="Y98" i="52"/>
  <c r="Q97" i="52"/>
  <c r="AB91" i="52"/>
  <c r="P90" i="52"/>
  <c r="Z103" i="52"/>
  <c r="R137" i="52" s="1"/>
  <c r="T100" i="52"/>
  <c r="X97" i="52"/>
  <c r="P96" i="52"/>
  <c r="AA94" i="52"/>
  <c r="S128" i="52" s="1"/>
  <c r="R125" i="52"/>
  <c r="AB89" i="52"/>
  <c r="Q102" i="52"/>
  <c r="AB100" i="52"/>
  <c r="T134" i="52" s="1"/>
  <c r="V98" i="52"/>
  <c r="N132" i="52" s="1"/>
  <c r="P95" i="52"/>
  <c r="W93" i="52"/>
  <c r="O127" i="52" s="1"/>
  <c r="S92" i="52"/>
  <c r="V90" i="52"/>
  <c r="N124" i="52" s="1"/>
  <c r="Y102" i="52"/>
  <c r="Q136" i="52" s="1"/>
  <c r="R100" i="52"/>
  <c r="T98" i="52"/>
  <c r="X95" i="52"/>
  <c r="P94" i="52"/>
  <c r="R92" i="52"/>
  <c r="T90" i="52"/>
  <c r="W88" i="52"/>
  <c r="P93" i="52"/>
  <c r="P87" i="52"/>
  <c r="R85" i="52"/>
  <c r="AB83" i="52"/>
  <c r="S81" i="52"/>
  <c r="S79" i="52"/>
  <c r="AB77" i="52"/>
  <c r="Y101" i="52"/>
  <c r="O94" i="52"/>
  <c r="O87" i="52"/>
  <c r="Q85" i="52"/>
  <c r="W82" i="52"/>
  <c r="R103" i="52"/>
  <c r="Y97" i="52"/>
  <c r="Q131" i="52" s="1"/>
  <c r="Q88" i="52"/>
  <c r="P85" i="52"/>
  <c r="Z81" i="52"/>
  <c r="Q79" i="52"/>
  <c r="Q75" i="52"/>
  <c r="T97" i="52"/>
  <c r="V87" i="52"/>
  <c r="N121" i="52" s="1"/>
  <c r="P97" i="52"/>
  <c r="X90" i="52"/>
  <c r="P124" i="52" s="1"/>
  <c r="Z86" i="52"/>
  <c r="Z100" i="52"/>
  <c r="R134" i="52" s="1"/>
  <c r="Z92" i="52"/>
  <c r="R126" i="52" s="1"/>
  <c r="S90" i="52"/>
  <c r="S87" i="52"/>
  <c r="S118" i="52"/>
  <c r="R82" i="52"/>
  <c r="W79" i="52"/>
  <c r="R78" i="52"/>
  <c r="Q124" i="52"/>
  <c r="R91" i="52"/>
  <c r="AA87" i="52"/>
  <c r="S121" i="52" s="1"/>
  <c r="V77" i="52"/>
  <c r="N111" i="52" s="1"/>
  <c r="T82" i="52"/>
  <c r="T83" i="52"/>
  <c r="O75" i="52"/>
  <c r="X85" i="52"/>
  <c r="P119" i="52" s="1"/>
  <c r="T76" i="52"/>
  <c r="X88" i="52"/>
  <c r="S85" i="52"/>
  <c r="T77" i="52"/>
  <c r="V96" i="52"/>
  <c r="N130" i="52" s="1"/>
  <c r="X94" i="52"/>
  <c r="P128" i="52" s="1"/>
  <c r="Y80" i="52"/>
  <c r="Q114" i="52" s="1"/>
  <c r="X75" i="52"/>
  <c r="P109" i="52" s="1"/>
  <c r="Q87" i="52"/>
  <c r="P79" i="52"/>
  <c r="Q92" i="52"/>
  <c r="O71" i="52"/>
  <c r="X101" i="52"/>
  <c r="P135" i="52" s="1"/>
  <c r="P100" i="52"/>
  <c r="AA98" i="52"/>
  <c r="S132" i="52" s="1"/>
  <c r="S97" i="52"/>
  <c r="O128" i="52"/>
  <c r="Y92" i="52"/>
  <c r="AA90" i="52"/>
  <c r="S124" i="52" s="1"/>
  <c r="P123" i="52"/>
  <c r="V102" i="52"/>
  <c r="N136" i="52" s="1"/>
  <c r="O100" i="52"/>
  <c r="Z98" i="52"/>
  <c r="R132" i="52" s="1"/>
  <c r="S131" i="52"/>
  <c r="S96" i="52"/>
  <c r="S127" i="52"/>
  <c r="O92" i="52"/>
  <c r="Q90" i="52"/>
  <c r="S88" i="52"/>
  <c r="T102" i="52"/>
  <c r="X99" i="52"/>
  <c r="P133" i="52" s="1"/>
  <c r="P98" i="52"/>
  <c r="AA96" i="52"/>
  <c r="S130" i="52" s="1"/>
  <c r="S95" i="52"/>
  <c r="Q93" i="52"/>
  <c r="T125" i="52"/>
  <c r="V89" i="52"/>
  <c r="N123" i="52" s="1"/>
  <c r="R102" i="52"/>
  <c r="V99" i="52"/>
  <c r="N133" i="52" s="1"/>
  <c r="P131" i="52"/>
  <c r="Z95" i="52"/>
  <c r="O93" i="52"/>
  <c r="Q91" i="52"/>
  <c r="T123" i="52"/>
  <c r="P88" i="52"/>
  <c r="P103" i="52"/>
  <c r="AA101" i="52"/>
  <c r="W97" i="52"/>
  <c r="O131" i="52" s="1"/>
  <c r="O96" i="52"/>
  <c r="Z94" i="52"/>
  <c r="Y91" i="52"/>
  <c r="Q125" i="52" s="1"/>
  <c r="AA89" i="52"/>
  <c r="S123" i="52" s="1"/>
  <c r="X103" i="52"/>
  <c r="Q101" i="52"/>
  <c r="AB99" i="52"/>
  <c r="T133" i="52" s="1"/>
  <c r="V97" i="52"/>
  <c r="N131" i="52" s="1"/>
  <c r="P129" i="52"/>
  <c r="V93" i="52"/>
  <c r="N127" i="52" s="1"/>
  <c r="X91" i="52"/>
  <c r="P125" i="52" s="1"/>
  <c r="Z89" i="52"/>
  <c r="O122" i="52"/>
  <c r="O98" i="52"/>
  <c r="V88" i="52"/>
  <c r="N122" i="52" s="1"/>
  <c r="V86" i="52"/>
  <c r="N120" i="52" s="1"/>
  <c r="T117" i="52"/>
  <c r="O80" i="52"/>
  <c r="X78" i="52"/>
  <c r="T111" i="52"/>
  <c r="O76" i="52"/>
  <c r="Q135" i="52"/>
  <c r="R88" i="52"/>
  <c r="T86" i="52"/>
  <c r="W84" i="52"/>
  <c r="O116" i="52"/>
  <c r="R75" i="52"/>
  <c r="T101" i="52"/>
  <c r="O101" i="52"/>
  <c r="Z99" i="52"/>
  <c r="R133" i="52" s="1"/>
  <c r="R98" i="52"/>
  <c r="T96" i="52"/>
  <c r="AB93" i="52"/>
  <c r="T127" i="52" s="1"/>
  <c r="Q126" i="52"/>
  <c r="O89" i="52"/>
  <c r="W101" i="52"/>
  <c r="Y99" i="52"/>
  <c r="Q133" i="52" s="1"/>
  <c r="R97" i="52"/>
  <c r="T95" i="52"/>
  <c r="R93" i="52"/>
  <c r="T91" i="52"/>
  <c r="W89" i="52"/>
  <c r="O123" i="52" s="1"/>
  <c r="AB103" i="52"/>
  <c r="T137" i="52" s="1"/>
  <c r="V101" i="52"/>
  <c r="N135" i="52" s="1"/>
  <c r="Z97" i="52"/>
  <c r="R131" i="52" s="1"/>
  <c r="R96" i="52"/>
  <c r="T94" i="52"/>
  <c r="W92" i="52"/>
  <c r="O126" i="52" s="1"/>
  <c r="S91" i="52"/>
  <c r="O135" i="52"/>
  <c r="Q103" i="52"/>
  <c r="AB101" i="52"/>
  <c r="W98" i="52"/>
  <c r="O132" i="52" s="1"/>
  <c r="O97" i="52"/>
  <c r="R129" i="52"/>
  <c r="R94" i="52"/>
  <c r="T92" i="52"/>
  <c r="W90" i="52"/>
  <c r="O124" i="52" s="1"/>
  <c r="S89" i="52"/>
  <c r="T122" i="52"/>
  <c r="Z102" i="52"/>
  <c r="R136" i="52" s="1"/>
  <c r="S135" i="52"/>
  <c r="S100" i="52"/>
  <c r="Y95" i="52"/>
  <c r="Q129" i="52" s="1"/>
  <c r="R128" i="52"/>
  <c r="AB92" i="52"/>
  <c r="T126" i="52" s="1"/>
  <c r="P137" i="52"/>
  <c r="P102" i="52"/>
  <c r="AA100" i="52"/>
  <c r="W96" i="52"/>
  <c r="O130" i="52" s="1"/>
  <c r="O95" i="52"/>
  <c r="AA92" i="52"/>
  <c r="S126" i="52" s="1"/>
  <c r="R123" i="52"/>
  <c r="Q96" i="52"/>
  <c r="Y87" i="52"/>
  <c r="Q121" i="52" s="1"/>
  <c r="AA85" i="52"/>
  <c r="S83" i="52"/>
  <c r="AB79" i="52"/>
  <c r="T113" i="52" s="1"/>
  <c r="P112" i="52"/>
  <c r="S77" i="52"/>
  <c r="W103" i="52"/>
  <c r="AA99" i="52"/>
  <c r="S133" i="52" s="1"/>
  <c r="X87" i="52"/>
  <c r="O118" i="52"/>
  <c r="R81" i="52"/>
  <c r="R77" i="52"/>
  <c r="V74" i="52"/>
  <c r="N108" i="52" s="1"/>
  <c r="W99" i="52"/>
  <c r="O133" i="52" s="1"/>
  <c r="AA95" i="52"/>
  <c r="S129" i="52" s="1"/>
  <c r="Q83" i="52"/>
  <c r="Q81" i="52"/>
  <c r="Q77" i="52"/>
  <c r="P101" i="52"/>
  <c r="O129" i="52"/>
  <c r="AB102" i="52"/>
  <c r="T136" i="52" s="1"/>
  <c r="AA91" i="52"/>
  <c r="S125" i="52" s="1"/>
  <c r="T89" i="52"/>
  <c r="Q86" i="52"/>
  <c r="O83" i="52"/>
  <c r="O81" i="52"/>
  <c r="O79" i="52"/>
  <c r="O77" i="52"/>
  <c r="X102" i="52"/>
  <c r="P136" i="52" s="1"/>
  <c r="AB98" i="52"/>
  <c r="T132" i="52" s="1"/>
  <c r="W91" i="52"/>
  <c r="V85" i="52"/>
  <c r="N119" i="52" s="1"/>
  <c r="W83" i="52"/>
  <c r="O117" i="52" s="1"/>
  <c r="O115" i="52"/>
  <c r="AA78" i="52"/>
  <c r="S112" i="52" s="1"/>
  <c r="Q74" i="52"/>
  <c r="V100" i="52"/>
  <c r="N134" i="52" s="1"/>
  <c r="Q127" i="52"/>
  <c r="Z88" i="52"/>
  <c r="R87" i="52"/>
  <c r="T85" i="52"/>
  <c r="V83" i="52"/>
  <c r="N117" i="52" s="1"/>
  <c r="V81" i="52"/>
  <c r="N115" i="52" s="1"/>
  <c r="V79" i="52"/>
  <c r="N113" i="52" s="1"/>
  <c r="V75" i="52"/>
  <c r="N109" i="52" s="1"/>
  <c r="Y83" i="52"/>
  <c r="P75" i="52"/>
  <c r="AA86" i="52"/>
  <c r="T84" i="52"/>
  <c r="P108" i="52"/>
  <c r="Y78" i="52"/>
  <c r="Q112" i="52" s="1"/>
  <c r="AB75" i="52"/>
  <c r="T109" i="52" s="1"/>
  <c r="O85" i="52"/>
  <c r="P77" i="52"/>
  <c r="Z87" i="52"/>
  <c r="T79" i="52"/>
  <c r="R74" i="52"/>
  <c r="O74" i="52"/>
  <c r="P80" i="52"/>
  <c r="T112" i="52"/>
  <c r="W80" i="52"/>
  <c r="O114" i="52" s="1"/>
  <c r="Y75" i="52"/>
  <c r="Q109" i="52" s="1"/>
  <c r="AA76" i="52"/>
  <c r="S110" i="52" s="1"/>
  <c r="S75" i="52"/>
  <c r="T80" i="52"/>
  <c r="P78" i="52"/>
  <c r="S74" i="52"/>
  <c r="P83" i="52"/>
  <c r="AB74" i="52"/>
  <c r="T108" i="52" s="1"/>
  <c r="Y74" i="52"/>
  <c r="Q108" i="52" s="1"/>
  <c r="Z80" i="52"/>
  <c r="R114" i="52" s="1"/>
  <c r="Z84" i="52"/>
  <c r="R118" i="52" s="1"/>
  <c r="R122" i="52"/>
  <c r="AB94" i="52"/>
  <c r="T128" i="52" s="1"/>
  <c r="T135" i="52"/>
  <c r="AB76" i="52"/>
  <c r="T110" i="52" s="1"/>
  <c r="W85" i="52"/>
  <c r="O119" i="52" s="1"/>
  <c r="O88" i="52"/>
  <c r="R99" i="52"/>
  <c r="V80" i="52"/>
  <c r="N114" i="52" s="1"/>
  <c r="S86" i="52"/>
  <c r="R83" i="52"/>
  <c r="O137" i="52"/>
  <c r="O82" i="52"/>
  <c r="S94" i="52"/>
  <c r="S134" i="52"/>
  <c r="P91" i="52"/>
  <c r="X96" i="52"/>
  <c r="P130" i="52" s="1"/>
  <c r="Y103" i="52"/>
  <c r="Q137" i="52" s="1"/>
  <c r="X93" i="52"/>
  <c r="P127" i="52" s="1"/>
  <c r="S101" i="52"/>
  <c r="O99" i="52"/>
  <c r="Z90" i="52"/>
  <c r="R124" i="52" s="1"/>
  <c r="Q98" i="52"/>
  <c r="R90" i="52"/>
  <c r="AB97" i="52"/>
  <c r="T131" i="52" s="1"/>
  <c r="L16" i="52"/>
  <c r="H16" i="52"/>
  <c r="E35" i="52"/>
  <c r="G16" i="52"/>
  <c r="AB81" i="52"/>
  <c r="T115" i="52" s="1"/>
  <c r="Z83" i="52"/>
  <c r="R117" i="52" s="1"/>
  <c r="T81" i="52"/>
  <c r="T78" i="52"/>
  <c r="P76" i="52"/>
  <c r="P122" i="52"/>
  <c r="P82" i="52"/>
  <c r="P81" i="52"/>
  <c r="Q76" i="52"/>
  <c r="Q82" i="52"/>
  <c r="O86" i="52"/>
  <c r="O90" i="52"/>
  <c r="Z96" i="52"/>
  <c r="R130" i="52" s="1"/>
  <c r="O113" i="52"/>
  <c r="R84" i="52"/>
  <c r="P89" i="52"/>
  <c r="S82" i="52"/>
  <c r="R120" i="52"/>
  <c r="R95" i="52"/>
  <c r="Y89" i="52"/>
  <c r="Q123" i="52" s="1"/>
  <c r="T74" i="52"/>
  <c r="R115" i="52"/>
  <c r="W87" i="52"/>
  <c r="O121" i="52" s="1"/>
  <c r="X76" i="52"/>
  <c r="P110" i="52" s="1"/>
  <c r="O84" i="52"/>
  <c r="AA103" i="52"/>
  <c r="S137" i="52" s="1"/>
  <c r="Y94" i="52"/>
  <c r="Q128" i="52" s="1"/>
  <c r="Z101" i="52"/>
  <c r="R135" i="52" s="1"/>
  <c r="T99" i="52"/>
  <c r="Q95" i="52"/>
  <c r="AA102" i="52"/>
  <c r="S136" i="52" s="1"/>
  <c r="Z93" i="52"/>
  <c r="R127" i="52" s="1"/>
  <c r="W100" i="52"/>
  <c r="O134" i="52" s="1"/>
  <c r="X92" i="52"/>
  <c r="P126" i="52" s="1"/>
  <c r="P92" i="52"/>
  <c r="R113" i="52"/>
  <c r="Y86" i="52"/>
  <c r="Q120" i="52" s="1"/>
  <c r="Q116" i="52"/>
  <c r="Q111" i="52"/>
  <c r="AA74" i="52"/>
  <c r="S108" i="52" s="1"/>
  <c r="W71" i="52"/>
  <c r="T93" i="52"/>
  <c r="R121" i="52"/>
  <c r="Y79" i="52"/>
  <c r="Q113" i="52" s="1"/>
  <c r="S98" i="52"/>
  <c r="S120" i="52"/>
  <c r="Q117" i="52"/>
  <c r="Q78" i="52"/>
  <c r="Z82" i="52"/>
  <c r="R116" i="52" s="1"/>
  <c r="V92" i="52"/>
  <c r="N126" i="52" s="1"/>
  <c r="X98" i="52"/>
  <c r="P132" i="52" s="1"/>
  <c r="R76" i="52"/>
  <c r="R80" i="52"/>
  <c r="AA84" i="52"/>
  <c r="O125" i="52"/>
  <c r="S78" i="52"/>
  <c r="AB82" i="52"/>
  <c r="T116" i="52" s="1"/>
  <c r="T87" i="52"/>
  <c r="AB90" i="52"/>
  <c r="T124" i="52" s="1"/>
  <c r="V76" i="52"/>
  <c r="N110" i="52" s="1"/>
  <c r="V82" i="52"/>
  <c r="N116" i="52" s="1"/>
  <c r="P121" i="52"/>
  <c r="O78" i="52"/>
  <c r="S119" i="52"/>
  <c r="Q89" i="52"/>
  <c r="O103" i="52"/>
  <c r="Q94" i="52"/>
  <c r="R101" i="52"/>
  <c r="Y96" i="52"/>
  <c r="Q130" i="52" s="1"/>
  <c r="Q132" i="52"/>
  <c r="AB95" i="52"/>
  <c r="T129" i="52" s="1"/>
  <c r="V94" i="52"/>
  <c r="N128" i="52" s="1"/>
  <c r="X100" i="52"/>
  <c r="P134" i="52" s="1"/>
  <c r="Y100" i="52"/>
  <c r="Q134" i="52" s="1"/>
  <c r="O10" i="52"/>
  <c r="F10" i="52"/>
  <c r="I10" i="52" s="1"/>
  <c r="BG42" i="52"/>
  <c r="AA75" i="52" s="1"/>
  <c r="S109" i="52" s="1"/>
  <c r="AA42" i="52"/>
  <c r="AI42" i="52"/>
  <c r="CE42" i="52"/>
  <c r="BO42" i="52"/>
  <c r="AQ44" i="52"/>
  <c r="BO44" i="52"/>
  <c r="AA44" i="52"/>
  <c r="AI44" i="52"/>
  <c r="AY44" i="52"/>
  <c r="BG44" i="52"/>
  <c r="AA77" i="52" s="1"/>
  <c r="S111" i="52" s="1"/>
  <c r="J31" i="52"/>
  <c r="C32" i="52"/>
  <c r="G31" i="52"/>
  <c r="C39" i="52"/>
  <c r="AZ43" i="52"/>
  <c r="BX43" i="52"/>
  <c r="BP43" i="52"/>
  <c r="AR43" i="52"/>
  <c r="AF44" i="52"/>
  <c r="AV44" i="52"/>
  <c r="BD44" i="52"/>
  <c r="X77" i="52" s="1"/>
  <c r="P111" i="52" s="1"/>
  <c r="AA45" i="52"/>
  <c r="AY45" i="52"/>
  <c r="AQ45" i="52"/>
  <c r="BH73" i="52"/>
  <c r="P56" i="52"/>
  <c r="S56" i="52"/>
  <c r="P58" i="52"/>
  <c r="D24" i="52"/>
  <c r="K25" i="52"/>
  <c r="L58" i="52"/>
  <c r="BT48" i="52"/>
  <c r="AF58" i="52"/>
  <c r="AV54" i="52"/>
  <c r="BD52" i="52"/>
  <c r="BL50" i="52"/>
  <c r="CB46" i="52"/>
  <c r="X60" i="52"/>
  <c r="AN56" i="52"/>
  <c r="AM57" i="52"/>
  <c r="AU55" i="52"/>
  <c r="BS49" i="52"/>
  <c r="W61" i="52"/>
  <c r="BC53" i="52"/>
  <c r="W86" i="52" s="1"/>
  <c r="O120" i="52" s="1"/>
  <c r="AM44" i="52"/>
  <c r="BK44" i="52"/>
  <c r="O18" i="52"/>
  <c r="Y43" i="52"/>
  <c r="AW43" i="52"/>
  <c r="BE43" i="52"/>
  <c r="Y76" i="52" s="1"/>
  <c r="Q110" i="52" s="1"/>
  <c r="W50" i="52"/>
  <c r="AU47" i="52"/>
  <c r="BS44" i="52"/>
  <c r="CA43" i="52"/>
  <c r="AB51" i="52"/>
  <c r="CF44" i="52"/>
  <c r="BH47" i="52"/>
  <c r="AB80" i="52" s="1"/>
  <c r="T114" i="52" s="1"/>
  <c r="AZ48" i="52"/>
  <c r="BX45" i="52"/>
  <c r="Y52" i="52"/>
  <c r="AW49" i="52"/>
  <c r="BE48" i="52"/>
  <c r="Y81" i="52" s="1"/>
  <c r="Q115" i="52" s="1"/>
  <c r="AA59" i="52"/>
  <c r="AQ55" i="52"/>
  <c r="AI57" i="52"/>
  <c r="AY53" i="52"/>
  <c r="E32" i="52"/>
  <c r="P32" i="52" s="1"/>
  <c r="L31" i="52"/>
  <c r="BC44" i="52"/>
  <c r="W77" i="52" s="1"/>
  <c r="O111" i="52" s="1"/>
  <c r="BU43" i="52"/>
  <c r="C13" i="52"/>
  <c r="AT108" i="52"/>
  <c r="BC72" i="52"/>
  <c r="D3" i="52"/>
  <c r="S51" i="52"/>
  <c r="J115" i="52"/>
  <c r="AI84" i="52"/>
  <c r="AP84" i="52" s="1"/>
  <c r="J85" i="52"/>
  <c r="D14" i="52"/>
  <c r="O14" i="52" s="1"/>
  <c r="K13" i="52"/>
  <c r="L54" i="52"/>
  <c r="S54" i="52" s="1"/>
  <c r="D23" i="52"/>
  <c r="K22" i="52"/>
  <c r="AO59" i="52"/>
  <c r="BE55" i="52"/>
  <c r="Y88" i="52" s="1"/>
  <c r="Q122" i="52" s="1"/>
  <c r="Y63" i="52"/>
  <c r="AG61" i="52"/>
  <c r="AW57" i="52"/>
  <c r="X13" i="52"/>
  <c r="S3" i="52" s="1"/>
  <c r="E27" i="48"/>
  <c r="C25" i="48"/>
  <c r="N25" i="48" s="1"/>
  <c r="E15" i="48"/>
  <c r="K20" i="48"/>
  <c r="H16" i="48"/>
  <c r="E16" i="48"/>
  <c r="D21" i="48"/>
  <c r="I25" i="48"/>
  <c r="K27" i="48"/>
  <c r="C15" i="48"/>
  <c r="N15" i="48" s="1"/>
  <c r="Y47" i="52"/>
  <c r="K61" i="52"/>
  <c r="E34" i="52"/>
  <c r="E36" i="52" s="1"/>
  <c r="Q61" i="52"/>
  <c r="AH58" i="52"/>
  <c r="AX54" i="52"/>
  <c r="BF52" i="52"/>
  <c r="Z85" i="52" s="1"/>
  <c r="R119" i="52" s="1"/>
  <c r="BN50" i="52"/>
  <c r="Z60" i="52"/>
  <c r="AP56" i="52"/>
  <c r="X61" i="52"/>
  <c r="AF59" i="52"/>
  <c r="AV55" i="52"/>
  <c r="BL51" i="52"/>
  <c r="BT49" i="52"/>
  <c r="AH63" i="52"/>
  <c r="AP61" i="52"/>
  <c r="L4" i="52"/>
  <c r="E10" i="52"/>
  <c r="P10" i="52" s="1"/>
  <c r="AG41" i="52"/>
  <c r="L44" i="52"/>
  <c r="BD53" i="52"/>
  <c r="X86" i="52" s="1"/>
  <c r="P120" i="52" s="1"/>
  <c r="AO53" i="52"/>
  <c r="AW52" i="52"/>
  <c r="AN57" i="52"/>
  <c r="BD51" i="52"/>
  <c r="X84" i="52" s="1"/>
  <c r="P118" i="52" s="1"/>
  <c r="BL49" i="52"/>
  <c r="Z64" i="52"/>
  <c r="AI63" i="52"/>
  <c r="AQ61" i="52"/>
  <c r="AA65" i="52"/>
  <c r="E3" i="52"/>
  <c r="E19" i="52"/>
  <c r="P19" i="52" s="1"/>
  <c r="AP48" i="52"/>
  <c r="BV48" i="52"/>
  <c r="AJ49" i="52"/>
  <c r="AR48" i="52"/>
  <c r="AE51" i="52"/>
  <c r="AM50" i="52"/>
  <c r="AV53" i="52"/>
  <c r="AN55" i="52"/>
  <c r="AF57" i="52"/>
  <c r="S59" i="52"/>
  <c r="AA58" i="52" s="1"/>
  <c r="L59" i="52"/>
  <c r="W66" i="52"/>
  <c r="AE64" i="52"/>
  <c r="L27" i="56"/>
  <c r="L28" i="56" s="1"/>
  <c r="L50" i="52"/>
  <c r="CA42" i="52" l="1"/>
  <c r="AM42" i="52"/>
  <c r="AU42" i="52"/>
  <c r="BK42" i="52"/>
  <c r="BS42" i="52"/>
  <c r="BC42" i="52"/>
  <c r="W75" i="52" s="1"/>
  <c r="O109" i="52" s="1"/>
  <c r="W42" i="52"/>
  <c r="AE42" i="52"/>
  <c r="AX46" i="52"/>
  <c r="Z46" i="52"/>
  <c r="AP46" i="52"/>
  <c r="AH46" i="52"/>
  <c r="AY49" i="52"/>
  <c r="BO47" i="52"/>
  <c r="AA52" i="52"/>
  <c r="AQ50" i="52"/>
  <c r="BG48" i="52"/>
  <c r="AA81" i="52" s="1"/>
  <c r="S115" i="52" s="1"/>
  <c r="AI51" i="52"/>
  <c r="BW46" i="52"/>
  <c r="V3" i="56"/>
  <c r="Y66" i="52"/>
  <c r="AG64" i="52"/>
  <c r="BT44" i="52"/>
  <c r="CB43" i="52"/>
  <c r="BL45" i="52"/>
  <c r="AF49" i="52"/>
  <c r="AN48" i="52"/>
  <c r="BD46" i="52"/>
  <c r="X79" i="52" s="1"/>
  <c r="P113" i="52" s="1"/>
  <c r="AV47" i="52"/>
  <c r="X50" i="52"/>
  <c r="F7" i="52"/>
  <c r="I7" i="52" s="1"/>
  <c r="N6" i="52"/>
  <c r="BL47" i="52"/>
  <c r="BT46" i="52"/>
  <c r="BD48" i="52"/>
  <c r="X81" i="52" s="1"/>
  <c r="P115" i="52" s="1"/>
  <c r="AN50" i="52"/>
  <c r="X52" i="52"/>
  <c r="AF51" i="52"/>
  <c r="AV49" i="52"/>
  <c r="W3" i="56"/>
  <c r="W4" i="56" s="1"/>
  <c r="K71" i="52"/>
  <c r="N20" i="48"/>
  <c r="BG50" i="52"/>
  <c r="AA83" i="52" s="1"/>
  <c r="S117" i="52" s="1"/>
  <c r="AQ52" i="52"/>
  <c r="N15" i="52"/>
  <c r="F16" i="52"/>
  <c r="AB65" i="52"/>
  <c r="AJ63" i="52"/>
  <c r="AR61" i="52"/>
  <c r="E15" i="34"/>
  <c r="E18" i="34"/>
  <c r="C13" i="34"/>
  <c r="C18" i="34"/>
  <c r="C16" i="34"/>
  <c r="C14" i="34"/>
  <c r="BF42" i="52"/>
  <c r="Z75" i="52" s="1"/>
  <c r="R109" i="52" s="1"/>
  <c r="AH42" i="52"/>
  <c r="BV42" i="52"/>
  <c r="CD42" i="52"/>
  <c r="Z42" i="52"/>
  <c r="AP42" i="52"/>
  <c r="BN42" i="52"/>
  <c r="AX42" i="52"/>
  <c r="AI53" i="52"/>
  <c r="N21" i="48"/>
  <c r="N27" i="52"/>
  <c r="F28" i="52"/>
  <c r="I28" i="52" s="1"/>
  <c r="Y65" i="52"/>
  <c r="AO61" i="52"/>
  <c r="AG63" i="52"/>
  <c r="W48" i="52"/>
  <c r="AE48" i="52"/>
  <c r="L29" i="56"/>
  <c r="P27" i="56" s="1"/>
  <c r="P28" i="56" s="1"/>
  <c r="P25" i="56"/>
  <c r="P26" i="56" s="1"/>
  <c r="R44" i="52"/>
  <c r="L71" i="52"/>
  <c r="O23" i="52"/>
  <c r="F22" i="52"/>
  <c r="I22" i="52" s="1"/>
  <c r="O3" i="52"/>
  <c r="F4" i="52"/>
  <c r="I4" i="52" s="1"/>
  <c r="D33" i="52"/>
  <c r="D36" i="52" s="1"/>
  <c r="F19" i="52"/>
  <c r="I19" i="52" s="1"/>
  <c r="BO48" i="52"/>
  <c r="AY50" i="52"/>
  <c r="AQ51" i="52"/>
  <c r="AI52" i="52"/>
  <c r="BG49" i="52"/>
  <c r="AA82" i="52" s="1"/>
  <c r="S116" i="52" s="1"/>
  <c r="AA53" i="52"/>
  <c r="C40" i="52"/>
  <c r="U5" i="56"/>
  <c r="V4" i="56"/>
  <c r="X57" i="52"/>
  <c r="AF56" i="52"/>
  <c r="H12" i="36"/>
  <c r="E33" i="52"/>
  <c r="P3" i="52"/>
  <c r="V133" i="52"/>
  <c r="V134" i="52"/>
  <c r="V126" i="52"/>
  <c r="V118" i="52"/>
  <c r="V110" i="52"/>
  <c r="V129" i="52"/>
  <c r="V131" i="52"/>
  <c r="V127" i="52"/>
  <c r="V137" i="52"/>
  <c r="V132" i="52"/>
  <c r="V124" i="52"/>
  <c r="V116" i="52"/>
  <c r="V108" i="52"/>
  <c r="V113" i="52"/>
  <c r="V115" i="52"/>
  <c r="V111" i="52"/>
  <c r="V130" i="52"/>
  <c r="V122" i="52"/>
  <c r="V114" i="52"/>
  <c r="V117" i="52"/>
  <c r="V119" i="52"/>
  <c r="V136" i="52"/>
  <c r="V135" i="52"/>
  <c r="V112" i="52"/>
  <c r="V109" i="52"/>
  <c r="V123" i="52"/>
  <c r="V128" i="52"/>
  <c r="V125" i="52"/>
  <c r="V120" i="52"/>
  <c r="V121" i="52"/>
  <c r="S5" i="52"/>
  <c r="D53" i="50" s="1"/>
  <c r="D51" i="50"/>
  <c r="O24" i="52"/>
  <c r="F25" i="52"/>
  <c r="I25" i="52" s="1"/>
  <c r="G34" i="52"/>
  <c r="I16" i="52"/>
  <c r="K35" i="52"/>
  <c r="BE51" i="52"/>
  <c r="Y84" i="52" s="1"/>
  <c r="Q118" i="52" s="1"/>
  <c r="BM49" i="52"/>
  <c r="Y59" i="52"/>
  <c r="AO55" i="52"/>
  <c r="AW53" i="52"/>
  <c r="CC45" i="52"/>
  <c r="BU47" i="52"/>
  <c r="AG57" i="52"/>
  <c r="A30" i="48"/>
  <c r="K6" i="48"/>
  <c r="N30" i="48"/>
  <c r="N16" i="48"/>
  <c r="BG46" i="52"/>
  <c r="AA79" i="52" s="1"/>
  <c r="S113" i="52" s="1"/>
  <c r="AY47" i="52"/>
  <c r="AI49" i="52"/>
  <c r="CE43" i="52"/>
  <c r="AQ48" i="52"/>
  <c r="BW44" i="52"/>
  <c r="AA50" i="52"/>
  <c r="BO45" i="52"/>
  <c r="N13" i="52"/>
  <c r="C33" i="52"/>
  <c r="F13" i="52"/>
  <c r="I13" i="52" s="1"/>
  <c r="AY52" i="52"/>
  <c r="AQ53" i="52"/>
  <c r="AA55" i="52"/>
  <c r="AI54" i="52"/>
  <c r="N32" i="52"/>
  <c r="F31" i="52"/>
  <c r="I31" i="52" s="1"/>
  <c r="N28" i="48"/>
  <c r="AV52" i="52"/>
  <c r="X55" i="52"/>
  <c r="AN53" i="52"/>
  <c r="AF54" i="52"/>
  <c r="F13" i="36"/>
  <c r="W5" i="56" l="1"/>
  <c r="V2" i="56"/>
  <c r="X2" i="56" s="1"/>
  <c r="X3" i="56"/>
  <c r="Y3" i="56"/>
  <c r="V5" i="56"/>
  <c r="I35" i="52"/>
  <c r="C43" i="52" s="1"/>
  <c r="T3" i="52" s="1"/>
  <c r="W135" i="52"/>
  <c r="Z135" i="52" s="1"/>
  <c r="W131" i="52"/>
  <c r="Z131" i="52" s="1"/>
  <c r="W127" i="52"/>
  <c r="Z127" i="52" s="1"/>
  <c r="W123" i="52"/>
  <c r="Z123" i="52" s="1"/>
  <c r="W119" i="52"/>
  <c r="Z119" i="52" s="1"/>
  <c r="W115" i="52"/>
  <c r="Z115" i="52" s="1"/>
  <c r="W136" i="52"/>
  <c r="Z136" i="52" s="1"/>
  <c r="W132" i="52"/>
  <c r="Z132" i="52" s="1"/>
  <c r="W128" i="52"/>
  <c r="Z128" i="52" s="1"/>
  <c r="W124" i="52"/>
  <c r="Z124" i="52" s="1"/>
  <c r="W120" i="52"/>
  <c r="Z120" i="52" s="1"/>
  <c r="W116" i="52"/>
  <c r="Z116" i="52" s="1"/>
  <c r="W112" i="52"/>
  <c r="Z112" i="52" s="1"/>
  <c r="W109" i="52"/>
  <c r="Z109" i="52" s="1"/>
  <c r="W110" i="52"/>
  <c r="Z110" i="52" s="1"/>
  <c r="W133" i="52"/>
  <c r="Z133" i="52" s="1"/>
  <c r="W125" i="52"/>
  <c r="Z125" i="52" s="1"/>
  <c r="W117" i="52"/>
  <c r="Z117" i="52" s="1"/>
  <c r="W134" i="52"/>
  <c r="Z134" i="52" s="1"/>
  <c r="W126" i="52"/>
  <c r="Z126" i="52" s="1"/>
  <c r="W118" i="52"/>
  <c r="Z118" i="52" s="1"/>
  <c r="W111" i="52"/>
  <c r="Z111" i="52" s="1"/>
  <c r="W137" i="52"/>
  <c r="Z137" i="52" s="1"/>
  <c r="W129" i="52"/>
  <c r="Z129" i="52" s="1"/>
  <c r="W121" i="52"/>
  <c r="Z121" i="52" s="1"/>
  <c r="W113" i="52"/>
  <c r="Z113" i="52" s="1"/>
  <c r="W130" i="52"/>
  <c r="Z130" i="52" s="1"/>
  <c r="W122" i="52"/>
  <c r="Z122" i="52" s="1"/>
  <c r="W114" i="52"/>
  <c r="Z114" i="52" s="1"/>
  <c r="W108" i="52"/>
  <c r="Z108" i="52" s="1"/>
  <c r="M7" i="48"/>
  <c r="C94" i="48"/>
  <c r="F33" i="52"/>
  <c r="C36" i="52"/>
  <c r="F36" i="52" s="1"/>
  <c r="C42" i="52" s="1"/>
  <c r="T4" i="52" s="1"/>
  <c r="K72" i="48"/>
  <c r="K37" i="48"/>
  <c r="X125" i="52"/>
  <c r="Y125" i="52"/>
  <c r="X117" i="52"/>
  <c r="Y116" i="52"/>
  <c r="X116" i="52"/>
  <c r="X127" i="52"/>
  <c r="Y127" i="52"/>
  <c r="X118" i="52"/>
  <c r="Y118" i="52"/>
  <c r="C38" i="52"/>
  <c r="C41" i="52" s="1"/>
  <c r="BF44" i="52"/>
  <c r="Z77" i="52" s="1"/>
  <c r="R111" i="52" s="1"/>
  <c r="BN44" i="52"/>
  <c r="AH44" i="52"/>
  <c r="AP44" i="52"/>
  <c r="AX44" i="52"/>
  <c r="Z44" i="52"/>
  <c r="Y128" i="52"/>
  <c r="X135" i="52"/>
  <c r="Y114" i="52"/>
  <c r="X124" i="52"/>
  <c r="Y126" i="52"/>
  <c r="X126" i="52"/>
  <c r="Y4" i="56"/>
  <c r="X4" i="56"/>
  <c r="S6" i="52"/>
  <c r="A29" i="48"/>
  <c r="N29" i="48"/>
  <c r="X121" i="52"/>
  <c r="Y123" i="52"/>
  <c r="X123" i="52"/>
  <c r="X136" i="52"/>
  <c r="Y136" i="52"/>
  <c r="X122" i="52"/>
  <c r="Y122" i="52"/>
  <c r="Y113" i="52"/>
  <c r="X132" i="52"/>
  <c r="Y132" i="52"/>
  <c r="X129" i="52"/>
  <c r="Y129" i="52"/>
  <c r="X134" i="52"/>
  <c r="Y134" i="52"/>
  <c r="U6" i="56"/>
  <c r="X115" i="52" l="1"/>
  <c r="Y117" i="52"/>
  <c r="Y131" i="52"/>
  <c r="Y115" i="52"/>
  <c r="Y135" i="52"/>
  <c r="X111" i="52"/>
  <c r="Y112" i="52"/>
  <c r="C44" i="52"/>
  <c r="T5" i="52" s="1"/>
  <c r="E53" i="50" s="1"/>
  <c r="X131" i="52"/>
  <c r="X113" i="52"/>
  <c r="Y121" i="52"/>
  <c r="Y124" i="52"/>
  <c r="X114" i="52"/>
  <c r="X128" i="52"/>
  <c r="Y111" i="52"/>
  <c r="X112" i="52"/>
  <c r="U7" i="56"/>
  <c r="V7" i="56"/>
  <c r="V6" i="56"/>
  <c r="D54" i="50"/>
  <c r="S7" i="52"/>
  <c r="D55" i="50" s="1"/>
  <c r="E52" i="50"/>
  <c r="U4" i="52"/>
  <c r="X133" i="52"/>
  <c r="Y137" i="52"/>
  <c r="Y130" i="52"/>
  <c r="X109" i="52"/>
  <c r="W6" i="56"/>
  <c r="W7" i="56" s="1"/>
  <c r="Y133" i="52"/>
  <c r="X137" i="52"/>
  <c r="X130" i="52"/>
  <c r="Y109" i="52"/>
  <c r="A31" i="48"/>
  <c r="C44" i="48"/>
  <c r="N31" i="48"/>
  <c r="C80" i="48"/>
  <c r="C79" i="48"/>
  <c r="C45" i="48"/>
  <c r="K7" i="48"/>
  <c r="C50" i="48"/>
  <c r="C49" i="48"/>
  <c r="U3" i="52"/>
  <c r="E51" i="50"/>
  <c r="Y110" i="52"/>
  <c r="Y108" i="52"/>
  <c r="X119" i="52"/>
  <c r="Y120" i="52"/>
  <c r="C84" i="48"/>
  <c r="C85" i="48"/>
  <c r="M73" i="48"/>
  <c r="C59" i="48"/>
  <c r="M38" i="48"/>
  <c r="C95" i="48"/>
  <c r="X5" i="56"/>
  <c r="Y5" i="56"/>
  <c r="X110" i="52"/>
  <c r="X108" i="52"/>
  <c r="Y119" i="52"/>
  <c r="X120" i="52"/>
  <c r="C45" i="52" l="1"/>
  <c r="T6" i="52" s="1"/>
  <c r="U5" i="52"/>
  <c r="F53" i="50" s="1"/>
  <c r="F52" i="50"/>
  <c r="Z6" i="52"/>
  <c r="Y6" i="56"/>
  <c r="M15" i="50"/>
  <c r="E54" i="50"/>
  <c r="U6" i="52"/>
  <c r="Z7" i="52" s="1"/>
  <c r="F16" i="50" s="1"/>
  <c r="T7" i="52"/>
  <c r="E55" i="50" s="1"/>
  <c r="M14" i="50"/>
  <c r="K80" i="48"/>
  <c r="C89" i="48"/>
  <c r="K79" i="48"/>
  <c r="C90" i="48"/>
  <c r="V5" i="52"/>
  <c r="Y7" i="56"/>
  <c r="X7" i="56"/>
  <c r="K95" i="48"/>
  <c r="K94" i="48"/>
  <c r="K100" i="48"/>
  <c r="N100" i="48" s="1"/>
  <c r="K99" i="48"/>
  <c r="K85" i="48"/>
  <c r="K84" i="48"/>
  <c r="K38" i="48"/>
  <c r="K73" i="48"/>
  <c r="Z8" i="52"/>
  <c r="F17" i="50" s="1"/>
  <c r="F51" i="50"/>
  <c r="C54" i="48"/>
  <c r="M13" i="50"/>
  <c r="C55" i="48"/>
  <c r="K64" i="48" s="1"/>
  <c r="U8" i="56"/>
  <c r="D16" i="50" l="1"/>
  <c r="K65" i="48"/>
  <c r="N65" i="48" s="1"/>
  <c r="N44" i="50" s="1"/>
  <c r="K89" i="48"/>
  <c r="K90" i="48"/>
  <c r="F54" i="50"/>
  <c r="Z4" i="52"/>
  <c r="U9" i="56"/>
  <c r="W9" i="56" s="1"/>
  <c r="M39" i="50"/>
  <c r="O13" i="50"/>
  <c r="M27" i="50"/>
  <c r="V8" i="56"/>
  <c r="F15" i="50"/>
  <c r="Z5" i="52"/>
  <c r="F14" i="50" s="1"/>
  <c r="C63" i="48"/>
  <c r="M12" i="50"/>
  <c r="C64" i="48"/>
  <c r="K55" i="48"/>
  <c r="K54" i="48"/>
  <c r="W8" i="56"/>
  <c r="D17" i="50"/>
  <c r="G53" i="50"/>
  <c r="W5" i="52"/>
  <c r="M40" i="50"/>
  <c r="O14" i="50"/>
  <c r="M28" i="50"/>
  <c r="O15" i="50"/>
  <c r="M29" i="50"/>
  <c r="M41" i="50"/>
  <c r="Q41" i="50" l="1"/>
  <c r="V15" i="52" s="1"/>
  <c r="D14" i="50"/>
  <c r="Q29" i="50"/>
  <c r="V14" i="52" s="1"/>
  <c r="Q40" i="50"/>
  <c r="U15" i="52" s="1"/>
  <c r="D31" i="50"/>
  <c r="D43" i="50"/>
  <c r="M16" i="50"/>
  <c r="K59" i="48"/>
  <c r="K44" i="48"/>
  <c r="K60" i="48"/>
  <c r="K50" i="48"/>
  <c r="K45" i="48"/>
  <c r="K49" i="48"/>
  <c r="D15" i="50"/>
  <c r="Q39" i="50"/>
  <c r="T15" i="52" s="1"/>
  <c r="Z9" i="52"/>
  <c r="F18" i="50" s="1"/>
  <c r="F13" i="50"/>
  <c r="Z3" i="52"/>
  <c r="F12" i="50" s="1"/>
  <c r="O12" i="50"/>
  <c r="M26" i="50"/>
  <c r="M38" i="50"/>
  <c r="Y8" i="56"/>
  <c r="X8" i="56"/>
  <c r="U10" i="56"/>
  <c r="W10" i="56" s="1"/>
  <c r="D42" i="50"/>
  <c r="D30" i="50"/>
  <c r="H53" i="50"/>
  <c r="W3" i="52"/>
  <c r="H51" i="50" s="1"/>
  <c r="V3" i="52"/>
  <c r="G51" i="50" s="1"/>
  <c r="V4" i="52"/>
  <c r="G52" i="50" s="1"/>
  <c r="W4" i="52"/>
  <c r="H52" i="50" s="1"/>
  <c r="Q28" i="50"/>
  <c r="U14" i="52" s="1"/>
  <c r="Q27" i="50"/>
  <c r="T14" i="52" s="1"/>
  <c r="V9" i="56"/>
  <c r="Q38" i="50" l="1"/>
  <c r="S15" i="52" s="1"/>
  <c r="H12" i="50"/>
  <c r="S18" i="52" s="1"/>
  <c r="D12" i="50"/>
  <c r="H30" i="50"/>
  <c r="Q26" i="50"/>
  <c r="S14" i="52" s="1"/>
  <c r="H13" i="50"/>
  <c r="T18" i="52" s="1"/>
  <c r="D13" i="50"/>
  <c r="D41" i="50"/>
  <c r="D29" i="50"/>
  <c r="M30" i="50"/>
  <c r="O26" i="50" s="1"/>
  <c r="S13" i="52" s="1"/>
  <c r="O16" i="50"/>
  <c r="Q12" i="50" s="1"/>
  <c r="S12" i="52" s="1"/>
  <c r="M42" i="50"/>
  <c r="U11" i="56"/>
  <c r="V11" i="56" s="1"/>
  <c r="V10" i="56"/>
  <c r="H42" i="50"/>
  <c r="H18" i="50"/>
  <c r="D18" i="50"/>
  <c r="H16" i="50"/>
  <c r="H17" i="50"/>
  <c r="V18" i="52" s="1"/>
  <c r="H15" i="50"/>
  <c r="H43" i="50"/>
  <c r="V21" i="52" s="1"/>
  <c r="H14" i="50"/>
  <c r="U18" i="52" s="1"/>
  <c r="X9" i="56"/>
  <c r="Y9" i="56"/>
  <c r="H31" i="50"/>
  <c r="V20" i="52" s="1"/>
  <c r="D40" i="50"/>
  <c r="D28" i="50"/>
  <c r="X11" i="56" l="1"/>
  <c r="H40" i="50"/>
  <c r="U21" i="52" s="1"/>
  <c r="X10" i="56"/>
  <c r="Y10" i="56"/>
  <c r="O42" i="50"/>
  <c r="Q42" i="50"/>
  <c r="O39" i="50"/>
  <c r="O41" i="50"/>
  <c r="O40" i="50"/>
  <c r="H41" i="50"/>
  <c r="W11" i="56"/>
  <c r="Q16" i="50"/>
  <c r="Q15" i="50"/>
  <c r="V12" i="52" s="1"/>
  <c r="Q13" i="50"/>
  <c r="T12" i="52" s="1"/>
  <c r="Q14" i="50"/>
  <c r="U12" i="52" s="1"/>
  <c r="D27" i="50"/>
  <c r="D39" i="50"/>
  <c r="O38" i="50"/>
  <c r="O30" i="50"/>
  <c r="Q30" i="50"/>
  <c r="O28" i="50"/>
  <c r="U13" i="52" s="1"/>
  <c r="O29" i="50"/>
  <c r="V13" i="52" s="1"/>
  <c r="O27" i="50"/>
  <c r="T13" i="52" s="1"/>
  <c r="H28" i="50"/>
  <c r="U20" i="52" s="1"/>
  <c r="D44" i="50"/>
  <c r="F40" i="50" s="1"/>
  <c r="D32" i="50"/>
  <c r="F29" i="50" s="1"/>
  <c r="V12" i="56"/>
  <c r="H29" i="50"/>
  <c r="D26" i="50"/>
  <c r="D38" i="50"/>
  <c r="E46" i="50"/>
  <c r="W12" i="56" l="1"/>
  <c r="X6" i="56" s="1"/>
  <c r="H39" i="50"/>
  <c r="T21" i="52" s="1"/>
  <c r="F39" i="50"/>
  <c r="H32" i="50"/>
  <c r="F32" i="50"/>
  <c r="F30" i="50"/>
  <c r="F31" i="50"/>
  <c r="F38" i="50"/>
  <c r="H38" i="50"/>
  <c r="S21" i="52" s="1"/>
  <c r="F28" i="50"/>
  <c r="U19" i="52" s="1"/>
  <c r="F26" i="50"/>
  <c r="S19" i="52" s="1"/>
  <c r="H26" i="50"/>
  <c r="S20" i="52" s="1"/>
  <c r="V13" i="56"/>
  <c r="Y13" i="56" s="1"/>
  <c r="Y12" i="56"/>
  <c r="X12" i="56"/>
  <c r="H27" i="50"/>
  <c r="T20" i="52" s="1"/>
  <c r="F27" i="50"/>
  <c r="T19" i="52" s="1"/>
  <c r="H44" i="50"/>
  <c r="F44" i="50"/>
  <c r="F42" i="50"/>
  <c r="F43" i="50"/>
  <c r="V19" i="52" s="1"/>
  <c r="F41" i="50"/>
  <c r="Y11"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100-000001000000}">
      <text>
        <r>
          <rPr>
            <b/>
            <sz val="8"/>
            <color indexed="81"/>
            <rFont val="Tahoma"/>
            <family val="2"/>
          </rPr>
          <t>Short descriptive name</t>
        </r>
        <r>
          <rPr>
            <sz val="8"/>
            <color indexed="81"/>
            <rFont val="Tahoma"/>
            <family val="2"/>
          </rPr>
          <t xml:space="preserve">
</t>
        </r>
      </text>
    </comment>
    <comment ref="B8" authorId="0" shapeId="0" xr:uid="{00000000-0006-0000-0100-000002000000}">
      <text>
        <r>
          <rPr>
            <b/>
            <sz val="9"/>
            <color indexed="81"/>
            <rFont val="Tahoma"/>
            <family val="2"/>
          </rPr>
          <t xml:space="preserve"> 1. Define the problem
Identify the scope of the event or project
Identify the mission statement: actual and desired situation
Identify any link with the organizations's objectives</t>
        </r>
        <r>
          <rPr>
            <sz val="8"/>
            <color indexed="81"/>
            <rFont val="Tahoma"/>
            <family val="2"/>
          </rPr>
          <t xml:space="preserve">
</t>
        </r>
      </text>
    </comment>
    <comment ref="H8" authorId="0" shapeId="0" xr:uid="{00000000-0006-0000-0100-000003000000}">
      <text>
        <r>
          <rPr>
            <b/>
            <sz val="8"/>
            <color indexed="81"/>
            <rFont val="Tahoma"/>
            <family val="2"/>
          </rPr>
          <t xml:space="preserve">4. Analyze
</t>
        </r>
        <r>
          <rPr>
            <b/>
            <sz val="9"/>
            <color indexed="81"/>
            <rFont val="Tahoma"/>
            <family val="2"/>
          </rPr>
          <t xml:space="preserve">Clarify the root cause, or critical X's
</t>
        </r>
        <r>
          <rPr>
            <sz val="9"/>
            <color indexed="81"/>
            <rFont val="Tahoma"/>
            <family val="2"/>
          </rPr>
          <t xml:space="preserve">
This step is performed using the process map outcomes, graphs related to the data collection, and frther observation</t>
        </r>
      </text>
    </comment>
    <comment ref="N8" authorId="0" shapeId="0" xr:uid="{00000000-0006-0000-0100-000004000000}">
      <text>
        <r>
          <rPr>
            <b/>
            <sz val="9"/>
            <color indexed="81"/>
            <rFont val="Tahoma"/>
            <family val="2"/>
          </rPr>
          <t>7. Control
In this step, the appropriate controls in order to sustain the solution are implemented
The control plan and visual management techniques are the main tools</t>
        </r>
      </text>
    </comment>
    <comment ref="B22" authorId="0" shapeId="0" xr:uid="{00000000-0006-0000-0100-000005000000}">
      <text>
        <r>
          <rPr>
            <b/>
            <sz val="9"/>
            <color indexed="81"/>
            <rFont val="Tahoma"/>
            <family val="2"/>
          </rPr>
          <t>2. Define a containment
A containment is a quick action to stop the bleeding, if it is required.
It doesn’t solve the problem</t>
        </r>
      </text>
    </comment>
    <comment ref="B27" authorId="0" shapeId="0" xr:uid="{00000000-0006-0000-0100-000006000000}">
      <text>
        <r>
          <rPr>
            <b/>
            <sz val="9"/>
            <color indexed="81"/>
            <rFont val="Tahoma"/>
            <family val="2"/>
          </rPr>
          <t xml:space="preserve">2. Breakdown the problem
3. Measure 
This step focuses on understanding the problem and related process, including the potential causes
Typical tools are a process map, Ishikawa, Data collection and its related Pareto chart
</t>
        </r>
      </text>
    </comment>
    <comment ref="N27" authorId="0" shapeId="0" xr:uid="{00000000-0006-0000-0100-000007000000}">
      <text>
        <r>
          <rPr>
            <b/>
            <sz val="9"/>
            <color indexed="81"/>
            <rFont val="Tahoma"/>
            <family val="2"/>
          </rPr>
          <t xml:space="preserve">8.Celebration and Closure
Think about how the team should be recognized in a public fashion. 
The event is officially closed and the team reassigned to other tasks </t>
        </r>
      </text>
    </comment>
    <comment ref="H33" authorId="0" shapeId="0" xr:uid="{00000000-0006-0000-0100-000008000000}">
      <text>
        <r>
          <rPr>
            <b/>
            <sz val="9"/>
            <color indexed="81"/>
            <rFont val="Tahoma"/>
            <family val="2"/>
          </rPr>
          <t xml:space="preserve">5.Improve
This is the step related to solutions identification , prioritization, and implementation.
It usually includes a pilot or a simulation to ensure that the solution is performing according to expectations, before deployment
</t>
        </r>
        <r>
          <rPr>
            <sz val="9"/>
            <color indexed="81"/>
            <rFont val="Tahoma"/>
            <family val="2"/>
          </rPr>
          <t xml:space="preserve">
</t>
        </r>
      </text>
    </comment>
    <comment ref="H42" authorId="0" shapeId="0" xr:uid="{00000000-0006-0000-0100-000009000000}">
      <text>
        <r>
          <rPr>
            <b/>
            <sz val="8"/>
            <color indexed="81"/>
            <rFont val="Tahoma"/>
            <family val="2"/>
          </rPr>
          <t xml:space="preserve"> 6. Improve - Implementation plan
A detailed plan including documenting the new standard, process, and training the team needs to be established with dates and responsibles
</t>
        </r>
        <r>
          <rPr>
            <sz val="8"/>
            <color indexed="81"/>
            <rFont val="Tahoma"/>
            <family val="2"/>
          </rPr>
          <t xml:space="preserve">
</t>
        </r>
      </text>
    </comment>
  </commentList>
</comments>
</file>

<file path=xl/sharedStrings.xml><?xml version="1.0" encoding="utf-8"?>
<sst xmlns="http://schemas.openxmlformats.org/spreadsheetml/2006/main" count="999" uniqueCount="602">
  <si>
    <t>Enter data here</t>
  </si>
  <si>
    <t>limits</t>
  </si>
  <si>
    <t>bar average</t>
  </si>
  <si>
    <t>Distribution</t>
  </si>
  <si>
    <t>Enter specifications here</t>
  </si>
  <si>
    <t>average</t>
  </si>
  <si>
    <t>LSL</t>
  </si>
  <si>
    <t>std dev</t>
  </si>
  <si>
    <t>USL</t>
  </si>
  <si>
    <t>Cp</t>
  </si>
  <si>
    <t>Cpk lower</t>
  </si>
  <si>
    <t>Cpk upper</t>
  </si>
  <si>
    <t xml:space="preserve">Cpk </t>
  </si>
  <si>
    <t>Ppk with 0.5 shift</t>
  </si>
  <si>
    <t xml:space="preserve"> Z short term</t>
  </si>
  <si>
    <t>Z long term</t>
  </si>
  <si>
    <t>Yield short term</t>
  </si>
  <si>
    <t>Yield long term</t>
  </si>
  <si>
    <t>Histogram</t>
  </si>
  <si>
    <t>Process Capability</t>
  </si>
  <si>
    <t>Return to menu</t>
  </si>
  <si>
    <t>median</t>
  </si>
  <si>
    <t>1st quartile</t>
  </si>
  <si>
    <t>3rd quartile</t>
  </si>
  <si>
    <t>j</t>
  </si>
  <si>
    <t>i</t>
  </si>
  <si>
    <t>h</t>
  </si>
  <si>
    <t>g</t>
  </si>
  <si>
    <t>f</t>
  </si>
  <si>
    <t>e</t>
  </si>
  <si>
    <t>d</t>
  </si>
  <si>
    <t>c</t>
  </si>
  <si>
    <t>b</t>
  </si>
  <si>
    <t>a</t>
  </si>
  <si>
    <t>Std dev</t>
  </si>
  <si>
    <t>Avg - 1 Sigma</t>
  </si>
  <si>
    <t>Avg - 3 Sigma</t>
  </si>
  <si>
    <t>Avg + 3 sigma</t>
  </si>
  <si>
    <t>Avg + 1 sigma</t>
  </si>
  <si>
    <t>Boxplot</t>
  </si>
  <si>
    <t>Variable to be controlled</t>
  </si>
  <si>
    <r>
      <t>Objectives</t>
    </r>
    <r>
      <rPr>
        <sz val="10"/>
        <rFont val="Arial"/>
        <family val="2"/>
      </rPr>
      <t xml:space="preserve">
(LSL, USL)</t>
    </r>
  </si>
  <si>
    <t>Unit of measure</t>
  </si>
  <si>
    <t>Gauge</t>
  </si>
  <si>
    <t xml:space="preserve">Measuring Frequency </t>
  </si>
  <si>
    <r>
      <t xml:space="preserve">Criteria / actions
</t>
    </r>
    <r>
      <rPr>
        <sz val="12"/>
        <rFont val="Arial"/>
        <family val="2"/>
      </rPr>
      <t>(LCL, UCL)</t>
    </r>
  </si>
  <si>
    <t xml:space="preserve">Control Method </t>
  </si>
  <si>
    <t>Feedback plan</t>
  </si>
  <si>
    <t>Location</t>
  </si>
  <si>
    <t>Boxplot with limits at +/- 1 and 3 standard deviations</t>
  </si>
  <si>
    <t>Control plan template</t>
  </si>
  <si>
    <t>Cpk,Ppk, Z level , Yield conversion table</t>
  </si>
  <si>
    <t>Abridged Process Capability Conversion Table</t>
  </si>
  <si>
    <t>Defects Per</t>
  </si>
  <si>
    <t>Long Term Yield</t>
  </si>
  <si>
    <t>assuming 0.5 shift</t>
  </si>
  <si>
    <t>Category</t>
  </si>
  <si>
    <t># occurrence</t>
  </si>
  <si>
    <t>% of all defect</t>
  </si>
  <si>
    <t>cumulative %</t>
  </si>
  <si>
    <t>A</t>
  </si>
  <si>
    <t>B</t>
  </si>
  <si>
    <t>C</t>
  </si>
  <si>
    <t>D</t>
  </si>
  <si>
    <t>E</t>
  </si>
  <si>
    <t>F</t>
  </si>
  <si>
    <t>G</t>
  </si>
  <si>
    <t>H</t>
  </si>
  <si>
    <t>I</t>
  </si>
  <si>
    <t>J</t>
  </si>
  <si>
    <t>total</t>
  </si>
  <si>
    <t>Pareto</t>
  </si>
  <si>
    <t>Pareto Chart</t>
  </si>
  <si>
    <t>Sum</t>
  </si>
  <si>
    <t>Histogram - 10 bars with Cp, Cpk calculations</t>
  </si>
  <si>
    <t>Measurement</t>
  </si>
  <si>
    <t>Environment</t>
  </si>
  <si>
    <t>Machine (Systems, Equipment)</t>
  </si>
  <si>
    <t>Materials, Supplies</t>
  </si>
  <si>
    <t>Method, Procedure</t>
  </si>
  <si>
    <t>Write the Problem statement</t>
  </si>
  <si>
    <t>Manpower, People</t>
  </si>
  <si>
    <t>Ishikawa</t>
  </si>
  <si>
    <t>Ishikawa - Cause and Effect Diagram</t>
  </si>
  <si>
    <t>Weight</t>
  </si>
  <si>
    <t>Criteria</t>
  </si>
  <si>
    <t>Control Plan</t>
  </si>
  <si>
    <t>Team members  (name &amp; role)</t>
  </si>
  <si>
    <t>1.</t>
  </si>
  <si>
    <t>2.</t>
  </si>
  <si>
    <t>3.</t>
  </si>
  <si>
    <t>Start date &amp; planned duration</t>
  </si>
  <si>
    <t>4.</t>
  </si>
  <si>
    <t>1. Define problem</t>
  </si>
  <si>
    <t>Actual Situation:</t>
  </si>
  <si>
    <t xml:space="preserve">2. Define a containment </t>
  </si>
  <si>
    <t>If required</t>
  </si>
  <si>
    <t>3. Measure</t>
  </si>
  <si>
    <t>5. Improve</t>
  </si>
  <si>
    <t>6. Improve - Implementation Plan</t>
  </si>
  <si>
    <t>7. Control</t>
  </si>
  <si>
    <t>8. Celebration and Closure</t>
  </si>
  <si>
    <t>Team Leader</t>
  </si>
  <si>
    <t>Link with organizational Objective</t>
  </si>
  <si>
    <t>Sponsor</t>
  </si>
  <si>
    <t>A3 Template</t>
  </si>
  <si>
    <t>Event Name</t>
  </si>
  <si>
    <t>Desired Situation:</t>
  </si>
  <si>
    <t>4. Analyze</t>
  </si>
  <si>
    <t>Define</t>
  </si>
  <si>
    <t>Analyze</t>
  </si>
  <si>
    <t>Improve</t>
  </si>
  <si>
    <t>Control</t>
  </si>
  <si>
    <t>Enter data in the yellow column. The categories can be renamed</t>
  </si>
  <si>
    <t>cat a</t>
  </si>
  <si>
    <t xml:space="preserve">cat b </t>
  </si>
  <si>
    <t>cat c</t>
  </si>
  <si>
    <t>cat d</t>
  </si>
  <si>
    <t>cat e</t>
  </si>
  <si>
    <t>cat f</t>
  </si>
  <si>
    <t>cat g</t>
  </si>
  <si>
    <t>cat h</t>
  </si>
  <si>
    <t>cat i</t>
  </si>
  <si>
    <t>cat j</t>
  </si>
  <si>
    <t xml:space="preserve">Completed the control plan for each variable </t>
  </si>
  <si>
    <t>Standard Boxplot</t>
  </si>
  <si>
    <t>Enter data and information in the yellow cells</t>
  </si>
  <si>
    <t>Total Number of samples (&lt;= 50)</t>
  </si>
  <si>
    <t>Sample size (2 - 10)</t>
  </si>
  <si>
    <t>Grand Average</t>
  </si>
  <si>
    <t>A2</t>
  </si>
  <si>
    <t>D3</t>
  </si>
  <si>
    <t>D4</t>
  </si>
  <si>
    <t>d2</t>
  </si>
  <si>
    <t>Average Range</t>
  </si>
  <si>
    <t>Average</t>
  </si>
  <si>
    <t>LCL</t>
  </si>
  <si>
    <t>Center</t>
  </si>
  <si>
    <t>UCL</t>
  </si>
  <si>
    <t>Range</t>
  </si>
  <si>
    <t>LCLrange</t>
  </si>
  <si>
    <t>UCLrange</t>
  </si>
  <si>
    <t>DO NOT MODIFY THIS TABLE</t>
  </si>
  <si>
    <t>Control Chart Factors</t>
  </si>
  <si>
    <t>n</t>
  </si>
  <si>
    <t>A3</t>
  </si>
  <si>
    <t>B3</t>
  </si>
  <si>
    <t>B4</t>
  </si>
  <si>
    <t>See charts on the next tabs</t>
  </si>
  <si>
    <t>Supplier</t>
  </si>
  <si>
    <t>Inputs</t>
  </si>
  <si>
    <t>Process Steps</t>
  </si>
  <si>
    <t>Outputs</t>
  </si>
  <si>
    <t>Customers</t>
  </si>
  <si>
    <t>Insert the necessary elements. Insert rows as required</t>
  </si>
  <si>
    <t>SIPOC</t>
  </si>
  <si>
    <r>
      <rPr>
        <b/>
        <i/>
        <sz val="18"/>
        <color rgb="FF339933"/>
        <rFont val="Calibri"/>
        <family val="2"/>
        <scheme val="minor"/>
      </rPr>
      <t>↓</t>
    </r>
    <r>
      <rPr>
        <b/>
        <i/>
        <sz val="18"/>
        <color rgb="FF339933"/>
        <rFont val="Gabriola"/>
        <family val="5"/>
      </rPr>
      <t xml:space="preserve"> Click on the required template  </t>
    </r>
    <r>
      <rPr>
        <b/>
        <sz val="18"/>
        <color rgb="FF339933"/>
        <rFont val="Calibri"/>
        <family val="2"/>
      </rPr>
      <t>↓</t>
    </r>
  </si>
  <si>
    <t>To go back to this menu, you will find this button on the</t>
  </si>
  <si>
    <t>top right of every tab</t>
  </si>
  <si>
    <t>Enter the + as space +</t>
  </si>
  <si>
    <t>Enter the - as space -</t>
  </si>
  <si>
    <t>Enter the same as capital S</t>
  </si>
  <si>
    <t>Reference Scenario</t>
  </si>
  <si>
    <t xml:space="preserve"> +</t>
  </si>
  <si>
    <t xml:space="preserve"> -</t>
  </si>
  <si>
    <t>Number of +</t>
  </si>
  <si>
    <t>Number of -</t>
  </si>
  <si>
    <t>Number of Sames</t>
  </si>
  <si>
    <t xml:space="preserve"> Weighted number of +</t>
  </si>
  <si>
    <t>Weighted number of -</t>
  </si>
  <si>
    <t>Overall weighted score</t>
  </si>
  <si>
    <t>Pugh matrix</t>
  </si>
  <si>
    <t>Trials</t>
  </si>
  <si>
    <t>K2</t>
  </si>
  <si>
    <t>Pugh Matrix</t>
  </si>
  <si>
    <t xml:space="preserve"> </t>
  </si>
  <si>
    <t>You can copy and paste all sheets</t>
  </si>
  <si>
    <t>I (X) and Moving Range Chart</t>
  </si>
  <si>
    <r>
      <t xml:space="preserve">This spreadsheet is designed for up to 75 observations and a moving range from 2 to 5.  </t>
    </r>
    <r>
      <rPr>
        <i/>
        <sz val="10"/>
        <color indexed="10"/>
        <rFont val="Arial"/>
        <family val="2"/>
      </rPr>
      <t>Enter data ONLY in yellow-shaded cells</t>
    </r>
    <r>
      <rPr>
        <i/>
        <sz val="10"/>
        <rFont val="Arial"/>
        <family val="2"/>
      </rPr>
      <t>.</t>
    </r>
  </si>
  <si>
    <t xml:space="preserve">Enter the number of samples in cell E6 and the sample size in cell E7.  Then enter your data in the grid below. </t>
  </si>
  <si>
    <t xml:space="preserve">Click on sheet tabs to display the control charts (some rescaling may be needed).  </t>
  </si>
  <si>
    <t>Number of samples (&lt;= 75)</t>
  </si>
  <si>
    <t>Sample size for moving range(2 - 5)</t>
  </si>
  <si>
    <t>Moving</t>
  </si>
  <si>
    <t>Observation</t>
  </si>
  <si>
    <t>Value</t>
  </si>
  <si>
    <t>LCLx</t>
  </si>
  <si>
    <t>CLx</t>
  </si>
  <si>
    <t>UCLx</t>
  </si>
  <si>
    <t>LCLr</t>
  </si>
  <si>
    <t>CLr</t>
  </si>
  <si>
    <t>UCLr</t>
  </si>
  <si>
    <t>Average Number of Defects (c) Chart</t>
  </si>
  <si>
    <r>
      <t xml:space="preserve">This spreadsheet is designed for up to 50 samples.  </t>
    </r>
    <r>
      <rPr>
        <i/>
        <sz val="10"/>
        <color indexed="10"/>
        <rFont val="Arial"/>
        <family val="2"/>
      </rPr>
      <t>Enter data ONLY in yellow-shaded cells</t>
    </r>
    <r>
      <rPr>
        <i/>
        <sz val="10"/>
        <rFont val="Arial"/>
        <family val="2"/>
      </rPr>
      <t>.</t>
    </r>
  </si>
  <si>
    <t xml:space="preserve">Click on the sheet tab to display the control chart (some rescaling may be needed).  </t>
  </si>
  <si>
    <t>Average (c-bar)</t>
  </si>
  <si>
    <t>calc</t>
  </si>
  <si>
    <t>Number</t>
  </si>
  <si>
    <t>Sample</t>
  </si>
  <si>
    <t>of Defects</t>
  </si>
  <si>
    <t>LCLc</t>
  </si>
  <si>
    <t>CL</t>
  </si>
  <si>
    <t>UCLc</t>
  </si>
  <si>
    <t>Number Nonconforming (np) Chart</t>
  </si>
  <si>
    <r>
      <t xml:space="preserve">This spreadsheet is designed for up to 50 samples.   </t>
    </r>
    <r>
      <rPr>
        <i/>
        <sz val="10"/>
        <color indexed="10"/>
        <rFont val="Arial"/>
        <family val="2"/>
      </rPr>
      <t>Enter data ONLY in yellow-shaded cells</t>
    </r>
    <r>
      <rPr>
        <i/>
        <sz val="10"/>
        <rFont val="Arial"/>
        <family val="2"/>
      </rPr>
      <t>.</t>
    </r>
  </si>
  <si>
    <t>Each sample must have a constant sample size; enter this in cell C6.</t>
  </si>
  <si>
    <t xml:space="preserve">Sample size </t>
  </si>
  <si>
    <t>Average (np-bar)</t>
  </si>
  <si>
    <t>Standard deviation</t>
  </si>
  <si>
    <t>Nonconforming</t>
  </si>
  <si>
    <t>LCLnp</t>
  </si>
  <si>
    <t>UCLnp</t>
  </si>
  <si>
    <t>Fraction Nonconforming (p) Chart</t>
  </si>
  <si>
    <t>Average (p-bar)</t>
  </si>
  <si>
    <t>Avg. sample size</t>
  </si>
  <si>
    <t>Approximate Control Limits Using</t>
  </si>
  <si>
    <t>Fraction</t>
  </si>
  <si>
    <t>Standard</t>
  </si>
  <si>
    <t>Average Sample Size Calculations</t>
  </si>
  <si>
    <t>Size</t>
  </si>
  <si>
    <t>Deviation</t>
  </si>
  <si>
    <t>LCLp</t>
  </si>
  <si>
    <t>UCLp</t>
  </si>
  <si>
    <t>Average Number of Defects Per Unit (u) Chart</t>
  </si>
  <si>
    <r>
      <t xml:space="preserve">This spreadsheet is designed for up to 75 samples.  </t>
    </r>
    <r>
      <rPr>
        <i/>
        <sz val="10"/>
        <color indexed="10"/>
        <rFont val="Arial"/>
        <family val="2"/>
      </rPr>
      <t>Enter data ONLY in yellow-shaded cells</t>
    </r>
    <r>
      <rPr>
        <i/>
        <sz val="10"/>
        <rFont val="Arial"/>
        <family val="2"/>
      </rPr>
      <t>.</t>
    </r>
  </si>
  <si>
    <t>Average (u-bar)</t>
  </si>
  <si>
    <t xml:space="preserve">Number </t>
  </si>
  <si>
    <t>Unit</t>
  </si>
  <si>
    <t xml:space="preserve">Defects </t>
  </si>
  <si>
    <t>per unit</t>
  </si>
  <si>
    <t>LCLu</t>
  </si>
  <si>
    <t>UCLu</t>
  </si>
  <si>
    <t xml:space="preserve">Xbar R control chart  </t>
  </si>
  <si>
    <t>Simple data collection sheet</t>
  </si>
  <si>
    <t xml:space="preserve">Day </t>
  </si>
  <si>
    <t>Time</t>
  </si>
  <si>
    <t>X1</t>
  </si>
  <si>
    <t>X2</t>
  </si>
  <si>
    <t>X3</t>
  </si>
  <si>
    <t>X4</t>
  </si>
  <si>
    <t>X5</t>
  </si>
  <si>
    <t>Other observation</t>
  </si>
  <si>
    <t xml:space="preserve">Noted by </t>
  </si>
  <si>
    <t>Repeatability</t>
  </si>
  <si>
    <t>Source</t>
  </si>
  <si>
    <t>This template is open for sharing</t>
  </si>
  <si>
    <t>Gauge R&amp;R continuous</t>
  </si>
  <si>
    <t>A3 Template (projet definition)</t>
  </si>
  <si>
    <t>Insert the potential causes in the box. The categories in blue can be changed</t>
  </si>
  <si>
    <t>To remove some categories from the graph,</t>
  </si>
  <si>
    <t>required cells</t>
  </si>
  <si>
    <t xml:space="preserve">select the graph elements and  deselect the </t>
  </si>
  <si>
    <t>Enter counts here. The categories can be renamed</t>
  </si>
  <si>
    <t>Ppk (long term)</t>
  </si>
  <si>
    <t>Cpk (short term)</t>
  </si>
  <si>
    <t>Long term defect rates</t>
  </si>
  <si>
    <t>Short Term Yield</t>
  </si>
  <si>
    <t>Process Sigma Level</t>
  </si>
  <si>
    <t>short term (Zst)</t>
  </si>
  <si>
    <t>long term (ZLt)</t>
  </si>
  <si>
    <t>I-MR control chart</t>
  </si>
  <si>
    <t>c control chart</t>
  </si>
  <si>
    <t>np control chart</t>
  </si>
  <si>
    <t>p control chart</t>
  </si>
  <si>
    <t>u control chart</t>
  </si>
  <si>
    <t>Control Charts</t>
  </si>
  <si>
    <t>See chart on the next tabs</t>
  </si>
  <si>
    <t>See charts on the next tab</t>
  </si>
  <si>
    <t>See chart on the next tab</t>
  </si>
  <si>
    <t>Gage Repeatability and Reproducibility Data Collection Sheet</t>
  </si>
  <si>
    <t xml:space="preserve">Part No. &amp; Name: </t>
  </si>
  <si>
    <t>123456, Shaft</t>
  </si>
  <si>
    <t>Shaft Gage</t>
  </si>
  <si>
    <t xml:space="preserve">Characteristics: </t>
  </si>
  <si>
    <t>Outside Diameter</t>
  </si>
  <si>
    <t>BOB</t>
  </si>
  <si>
    <t xml:space="preserve">Specifications: </t>
  </si>
  <si>
    <t>25 plus or minus 5</t>
  </si>
  <si>
    <t>Indicator</t>
  </si>
  <si>
    <t>Upper Spec</t>
  </si>
  <si>
    <t xml:space="preserve"># of Trials = </t>
  </si>
  <si>
    <r>
      <t xml:space="preserve">K </t>
    </r>
    <r>
      <rPr>
        <vertAlign val="subscript"/>
        <sz val="10"/>
        <rFont val="Arial"/>
        <family val="2"/>
      </rPr>
      <t>1</t>
    </r>
    <r>
      <rPr>
        <sz val="10"/>
        <rFont val="Arial"/>
        <family val="2"/>
      </rPr>
      <t xml:space="preserve"> = </t>
    </r>
  </si>
  <si>
    <t xml:space="preserve">Xbar diff = </t>
  </si>
  <si>
    <r>
      <t xml:space="preserve">D </t>
    </r>
    <r>
      <rPr>
        <vertAlign val="subscript"/>
        <sz val="10"/>
        <rFont val="Arial"/>
        <family val="2"/>
      </rPr>
      <t>4</t>
    </r>
    <r>
      <rPr>
        <sz val="10"/>
        <rFont val="Arial"/>
        <family val="2"/>
      </rPr>
      <t xml:space="preserve"> = </t>
    </r>
  </si>
  <si>
    <t>Lower Spec</t>
  </si>
  <si>
    <t xml:space="preserve"># of appraisers = </t>
  </si>
  <si>
    <r>
      <t xml:space="preserve">K </t>
    </r>
    <r>
      <rPr>
        <vertAlign val="subscript"/>
        <sz val="10"/>
        <rFont val="Arial"/>
        <family val="2"/>
      </rPr>
      <t>2</t>
    </r>
    <r>
      <rPr>
        <sz val="10"/>
        <rFont val="Arial"/>
        <family val="2"/>
      </rPr>
      <t xml:space="preserve"> = </t>
    </r>
  </si>
  <si>
    <t xml:space="preserve">Rbarbar = </t>
  </si>
  <si>
    <r>
      <t xml:space="preserve">R </t>
    </r>
    <r>
      <rPr>
        <vertAlign val="subscript"/>
        <sz val="10"/>
        <rFont val="Arial"/>
        <family val="2"/>
      </rPr>
      <t>p</t>
    </r>
    <r>
      <rPr>
        <sz val="10"/>
        <rFont val="Arial"/>
        <family val="2"/>
      </rPr>
      <t xml:space="preserve"> = </t>
    </r>
  </si>
  <si>
    <t>Total Tol</t>
  </si>
  <si>
    <t xml:space="preserve"># of parts = </t>
  </si>
  <si>
    <r>
      <t xml:space="preserve">K </t>
    </r>
    <r>
      <rPr>
        <vertAlign val="subscript"/>
        <sz val="10"/>
        <rFont val="Arial"/>
        <family val="2"/>
      </rPr>
      <t>3</t>
    </r>
    <r>
      <rPr>
        <sz val="10"/>
        <rFont val="Arial"/>
        <family val="2"/>
      </rPr>
      <t xml:space="preserve"> = </t>
    </r>
  </si>
  <si>
    <t>Appraiser/Trial #</t>
  </si>
  <si>
    <t>Part</t>
  </si>
  <si>
    <r>
      <t xml:space="preserve">Xbar </t>
    </r>
    <r>
      <rPr>
        <vertAlign val="subscript"/>
        <sz val="10"/>
        <rFont val="Arial"/>
        <family val="2"/>
      </rPr>
      <t>a</t>
    </r>
    <r>
      <rPr>
        <sz val="10"/>
        <rFont val="Arial"/>
        <family val="2"/>
      </rPr>
      <t xml:space="preserve"> = </t>
    </r>
  </si>
  <si>
    <r>
      <t xml:space="preserve">Rbar </t>
    </r>
    <r>
      <rPr>
        <vertAlign val="subscript"/>
        <sz val="10"/>
        <rFont val="Arial"/>
        <family val="2"/>
      </rPr>
      <t>a</t>
    </r>
    <r>
      <rPr>
        <sz val="10"/>
        <rFont val="Arial"/>
        <family val="2"/>
      </rPr>
      <t xml:space="preserve"> = </t>
    </r>
  </si>
  <si>
    <r>
      <t xml:space="preserve">Xbar </t>
    </r>
    <r>
      <rPr>
        <vertAlign val="subscript"/>
        <sz val="10"/>
        <rFont val="Arial"/>
        <family val="2"/>
      </rPr>
      <t>b</t>
    </r>
    <r>
      <rPr>
        <sz val="10"/>
        <rFont val="Arial"/>
        <family val="2"/>
      </rPr>
      <t xml:space="preserve"> = </t>
    </r>
  </si>
  <si>
    <r>
      <t xml:space="preserve">Rbar </t>
    </r>
    <r>
      <rPr>
        <vertAlign val="subscript"/>
        <sz val="10"/>
        <rFont val="Arial"/>
        <family val="2"/>
      </rPr>
      <t>b</t>
    </r>
    <r>
      <rPr>
        <sz val="10"/>
        <rFont val="Arial"/>
        <family val="2"/>
      </rPr>
      <t xml:space="preserve"> = </t>
    </r>
  </si>
  <si>
    <r>
      <t xml:space="preserve">Xbar </t>
    </r>
    <r>
      <rPr>
        <vertAlign val="subscript"/>
        <sz val="10"/>
        <rFont val="Arial"/>
        <family val="2"/>
      </rPr>
      <t>c</t>
    </r>
    <r>
      <rPr>
        <sz val="10"/>
        <rFont val="Arial"/>
        <family val="2"/>
      </rPr>
      <t xml:space="preserve"> = </t>
    </r>
  </si>
  <si>
    <r>
      <t xml:space="preserve">Rbar </t>
    </r>
    <r>
      <rPr>
        <vertAlign val="subscript"/>
        <sz val="10"/>
        <rFont val="Arial"/>
        <family val="2"/>
      </rPr>
      <t>c</t>
    </r>
    <r>
      <rPr>
        <sz val="10"/>
        <rFont val="Arial"/>
        <family val="2"/>
      </rPr>
      <t xml:space="preserve"> = </t>
    </r>
  </si>
  <si>
    <t>Part Average</t>
  </si>
  <si>
    <t>Xbarbar =</t>
  </si>
  <si>
    <r>
      <t>R</t>
    </r>
    <r>
      <rPr>
        <vertAlign val="subscript"/>
        <sz val="10"/>
        <rFont val="Arial"/>
        <family val="2"/>
      </rPr>
      <t>p</t>
    </r>
    <r>
      <rPr>
        <sz val="10"/>
        <rFont val="Arial"/>
        <family val="2"/>
      </rPr>
      <t xml:space="preserve"> = </t>
    </r>
  </si>
  <si>
    <t>Xbar diff  =</t>
  </si>
  <si>
    <t>UCL R    =</t>
  </si>
  <si>
    <t>Gage Repeatability and Reproducibility Report - % VARIATION</t>
  </si>
  <si>
    <t xml:space="preserve">Gage Name: </t>
  </si>
  <si>
    <t xml:space="preserve">Date: </t>
  </si>
  <si>
    <t>Gage Number:</t>
  </si>
  <si>
    <t xml:space="preserve">Performed by: </t>
  </si>
  <si>
    <t xml:space="preserve">Gage Type: </t>
  </si>
  <si>
    <r>
      <t>K</t>
    </r>
    <r>
      <rPr>
        <vertAlign val="subscript"/>
        <sz val="10"/>
        <rFont val="Arial"/>
        <family val="2"/>
      </rPr>
      <t>1</t>
    </r>
    <r>
      <rPr>
        <sz val="10"/>
        <rFont val="Arial"/>
        <family val="2"/>
      </rPr>
      <t xml:space="preserve"> = </t>
    </r>
  </si>
  <si>
    <r>
      <t>D</t>
    </r>
    <r>
      <rPr>
        <vertAlign val="subscript"/>
        <sz val="10"/>
        <rFont val="Arial"/>
        <family val="2"/>
      </rPr>
      <t>4</t>
    </r>
    <r>
      <rPr>
        <sz val="10"/>
        <rFont val="Arial"/>
        <family val="2"/>
      </rPr>
      <t xml:space="preserve"> = </t>
    </r>
  </si>
  <si>
    <r>
      <t>K</t>
    </r>
    <r>
      <rPr>
        <vertAlign val="subscript"/>
        <sz val="10"/>
        <rFont val="Arial"/>
        <family val="2"/>
      </rPr>
      <t>2</t>
    </r>
    <r>
      <rPr>
        <sz val="10"/>
        <rFont val="Arial"/>
        <family val="2"/>
      </rPr>
      <t xml:space="preserve"> = </t>
    </r>
  </si>
  <si>
    <r>
      <t>K</t>
    </r>
    <r>
      <rPr>
        <vertAlign val="subscript"/>
        <sz val="10"/>
        <rFont val="Arial"/>
        <family val="2"/>
      </rPr>
      <t>3</t>
    </r>
    <r>
      <rPr>
        <sz val="10"/>
        <rFont val="Arial"/>
        <family val="2"/>
      </rPr>
      <t xml:space="preserve"> = </t>
    </r>
  </si>
  <si>
    <t>Measurement Unit Analysis</t>
  </si>
  <si>
    <t>% Total Variation</t>
  </si>
  <si>
    <t>Repeatability - Equipment Variation (EV)</t>
  </si>
  <si>
    <t>Percent Equipment Variation</t>
  </si>
  <si>
    <t>EV               =</t>
  </si>
  <si>
    <r>
      <t>(Rbarbar) x (K</t>
    </r>
    <r>
      <rPr>
        <vertAlign val="subscript"/>
        <sz val="10"/>
        <rFont val="Arial"/>
        <family val="2"/>
      </rPr>
      <t>1</t>
    </r>
    <r>
      <rPr>
        <sz val="10"/>
        <rFont val="Arial"/>
        <family val="2"/>
      </rPr>
      <t>)</t>
    </r>
  </si>
  <si>
    <t>%EV     =</t>
  </si>
  <si>
    <t>100 [ EV / TV ]</t>
  </si>
  <si>
    <t xml:space="preserve">                   =</t>
  </si>
  <si>
    <r>
      <t>K</t>
    </r>
    <r>
      <rPr>
        <vertAlign val="subscript"/>
        <sz val="10"/>
        <rFont val="Arial"/>
        <family val="2"/>
      </rPr>
      <t>1</t>
    </r>
  </si>
  <si>
    <t xml:space="preserve">             =</t>
  </si>
  <si>
    <t>%</t>
  </si>
  <si>
    <t>Reproducibility - Appraiser Variation (AV)</t>
  </si>
  <si>
    <t>Percent Appraiser Variation</t>
  </si>
  <si>
    <t>AV               =</t>
  </si>
  <si>
    <t>%AV     =</t>
  </si>
  <si>
    <t>100 [ AV / TV ]</t>
  </si>
  <si>
    <t>Appraisers</t>
  </si>
  <si>
    <t>Repeatability &amp; Reproducibility (GRR)</t>
  </si>
  <si>
    <t>Percent Gage Repeatability &amp; Reproducibility Variation</t>
  </si>
  <si>
    <t>GRR            =</t>
  </si>
  <si>
    <t>SQRT[ (EV^2) + (AV^2) ]</t>
  </si>
  <si>
    <t>%GRR   =</t>
  </si>
  <si>
    <t>100 [ GRR / TV ]</t>
  </si>
  <si>
    <t xml:space="preserve">                  =</t>
  </si>
  <si>
    <t>Part Variation (PV)</t>
  </si>
  <si>
    <t>Parts</t>
  </si>
  <si>
    <r>
      <t>K</t>
    </r>
    <r>
      <rPr>
        <vertAlign val="subscript"/>
        <sz val="10"/>
        <rFont val="Arial"/>
        <family val="2"/>
      </rPr>
      <t>3</t>
    </r>
  </si>
  <si>
    <t>Percent Part Variation</t>
  </si>
  <si>
    <t>PV              =</t>
  </si>
  <si>
    <r>
      <t>R</t>
    </r>
    <r>
      <rPr>
        <vertAlign val="subscript"/>
        <sz val="10"/>
        <rFont val="Arial"/>
        <family val="2"/>
      </rPr>
      <t>p</t>
    </r>
    <r>
      <rPr>
        <sz val="10"/>
        <rFont val="Arial"/>
        <family val="2"/>
      </rPr>
      <t xml:space="preserve"> x K</t>
    </r>
    <r>
      <rPr>
        <vertAlign val="subscript"/>
        <sz val="10"/>
        <rFont val="Arial"/>
        <family val="2"/>
      </rPr>
      <t>3</t>
    </r>
  </si>
  <si>
    <t>%PV    =</t>
  </si>
  <si>
    <t>100 [ PV / TV ]</t>
  </si>
  <si>
    <t xml:space="preserve">            =</t>
  </si>
  <si>
    <t>Total Variation (TV)</t>
  </si>
  <si>
    <t>TV               =</t>
  </si>
  <si>
    <t>SQRT[ (GRR^2) + (PV^2) ]</t>
  </si>
  <si>
    <t>Number of Distinct Categories that can be Distinguished</t>
  </si>
  <si>
    <t>ndc       =</t>
  </si>
  <si>
    <t>1.41( PV / GRR )</t>
  </si>
  <si>
    <t>or approximately:</t>
  </si>
  <si>
    <t>Gage Repeatability and Reproducibility Report - % TOLERANCE (5.15 Sigma)</t>
  </si>
  <si>
    <t>% Total Tolerance</t>
  </si>
  <si>
    <r>
      <t>(Rbarbar) x (K</t>
    </r>
    <r>
      <rPr>
        <vertAlign val="subscript"/>
        <sz val="10"/>
        <rFont val="Arial"/>
        <family val="2"/>
      </rPr>
      <t>1</t>
    </r>
    <r>
      <rPr>
        <sz val="10"/>
        <rFont val="Arial"/>
        <family val="2"/>
      </rPr>
      <t>) x (5.1 Sigma)</t>
    </r>
  </si>
  <si>
    <t>100 [ EV / Total Tol ]</t>
  </si>
  <si>
    <t>100 [ AV / Total Tol ]</t>
  </si>
  <si>
    <t>100 [ GRR / Total Tol ]</t>
  </si>
  <si>
    <r>
      <t>(R</t>
    </r>
    <r>
      <rPr>
        <vertAlign val="subscript"/>
        <sz val="10"/>
        <rFont val="Arial"/>
        <family val="2"/>
      </rPr>
      <t>p)</t>
    </r>
    <r>
      <rPr>
        <sz val="10"/>
        <rFont val="Arial"/>
        <family val="2"/>
      </rPr>
      <t xml:space="preserve"> x (K</t>
    </r>
    <r>
      <rPr>
        <vertAlign val="subscript"/>
        <sz val="10"/>
        <rFont val="Arial"/>
        <family val="2"/>
      </rPr>
      <t>3</t>
    </r>
    <r>
      <rPr>
        <sz val="10"/>
        <rFont val="Arial"/>
        <family val="2"/>
      </rPr>
      <t>) x (5.1 Sigma)</t>
    </r>
  </si>
  <si>
    <t>100 [ PV / Total Tol ]</t>
  </si>
  <si>
    <t>Total Tolerance (Total Tol)</t>
  </si>
  <si>
    <t>Upper Spec - Lower Spec</t>
  </si>
  <si>
    <t>Gage Name:</t>
  </si>
  <si>
    <t>Part No. &amp; Name:</t>
  </si>
  <si>
    <t>Upper Tolerance:</t>
  </si>
  <si>
    <t>Date:</t>
  </si>
  <si>
    <t>Gage No.</t>
  </si>
  <si>
    <t>Lower Tolerance:</t>
  </si>
  <si>
    <t>Performed by:</t>
  </si>
  <si>
    <t>Gage Type:</t>
  </si>
  <si>
    <t>Total Tolerance:</t>
  </si>
  <si>
    <t>Gage R&amp;R Study - ANOVA Method</t>
  </si>
  <si>
    <t>Gage R&amp;R Study - Xbar/Range Method</t>
  </si>
  <si>
    <t>Variance and Standard Deviation Components</t>
  </si>
  <si>
    <t>% of Variance</t>
  </si>
  <si>
    <t>St. Dev.</t>
  </si>
  <si>
    <t>Variance</t>
  </si>
  <si>
    <t>Total Gage R&amp;R</t>
  </si>
  <si>
    <t xml:space="preserve">   Repeatability</t>
  </si>
  <si>
    <t xml:space="preserve">   Reproducibility</t>
  </si>
  <si>
    <t>Operator</t>
  </si>
  <si>
    <t>Part to Part</t>
  </si>
  <si>
    <t>Operator*Part</t>
  </si>
  <si>
    <t>Total Variation</t>
  </si>
  <si>
    <t>Process Tolerance =</t>
  </si>
  <si>
    <t>Gage R&amp;R Using 5.15 Standard Deviations (99%)</t>
  </si>
  <si>
    <t>Study Variation</t>
  </si>
  <si>
    <t>% Study Variation</t>
  </si>
  <si>
    <t>% of Tolerance</t>
  </si>
  <si>
    <t>Gage R&amp;R Using 6.0 Standard Deviations (99.7%)</t>
  </si>
  <si>
    <t>Number of Distinct Categories =</t>
  </si>
  <si>
    <t>Analysis of Variance (ANOVA) Table</t>
  </si>
  <si>
    <t>DF</t>
  </si>
  <si>
    <t>SS</t>
  </si>
  <si>
    <t>MS</t>
  </si>
  <si>
    <t>p</t>
  </si>
  <si>
    <t xml:space="preserve">Part </t>
  </si>
  <si>
    <t>Op.x Part Interaction</t>
  </si>
  <si>
    <t>Gage (error)</t>
  </si>
  <si>
    <t xml:space="preserve">Total </t>
  </si>
  <si>
    <t>p value for Op. x Part Interaction as error term = 0.25</t>
  </si>
  <si>
    <t>Part (P)</t>
  </si>
  <si>
    <t>Technician (T)</t>
  </si>
  <si>
    <t>Cell Interaction Squares</t>
  </si>
  <si>
    <t>ANOVA Table</t>
  </si>
  <si>
    <t>No.</t>
  </si>
  <si>
    <t>Avg</t>
  </si>
  <si>
    <t>RowSqs</t>
  </si>
  <si>
    <r>
      <t>X</t>
    </r>
    <r>
      <rPr>
        <vertAlign val="superscript"/>
        <sz val="10"/>
        <rFont val="Arial"/>
        <family val="2"/>
      </rPr>
      <t>2</t>
    </r>
  </si>
  <si>
    <t>P</t>
  </si>
  <si>
    <t>Total GR&amp;R</t>
  </si>
  <si>
    <t>Reproducibility</t>
  </si>
  <si>
    <t>Part-Part</t>
  </si>
  <si>
    <t>Gage R&amp;R</t>
  </si>
  <si>
    <t>Repeat</t>
  </si>
  <si>
    <t>Reprod</t>
  </si>
  <si>
    <t>% Contribution</t>
  </si>
  <si>
    <t>Operators</t>
  </si>
  <si>
    <t>% Tol (5.15 SD)</t>
  </si>
  <si>
    <t>% Tol (6.0 SD)</t>
  </si>
  <si>
    <t>ColSqs</t>
  </si>
  <si>
    <t>Sum T Sqs</t>
  </si>
  <si>
    <t>Sum P Sqs</t>
  </si>
  <si>
    <t>Sum Cell Sqs</t>
  </si>
  <si>
    <r>
      <t>Sum X</t>
    </r>
    <r>
      <rPr>
        <sz val="10"/>
        <rFont val="Arial"/>
        <family val="2"/>
      </rPr>
      <t/>
    </r>
  </si>
  <si>
    <r>
      <t>Sum X</t>
    </r>
    <r>
      <rPr>
        <vertAlign val="superscript"/>
        <sz val="10"/>
        <rFont val="Arial"/>
        <family val="2"/>
      </rPr>
      <t>2</t>
    </r>
  </si>
  <si>
    <t>Ten</t>
  </si>
  <si>
    <t>Nine</t>
  </si>
  <si>
    <t>Eight</t>
  </si>
  <si>
    <t>Seven</t>
  </si>
  <si>
    <t>Six</t>
  </si>
  <si>
    <t>Five</t>
  </si>
  <si>
    <t>Four</t>
  </si>
  <si>
    <t>Three</t>
  </si>
  <si>
    <t>Two</t>
  </si>
  <si>
    <t>CM</t>
  </si>
  <si>
    <t>Xbar</t>
  </si>
  <si>
    <t>R</t>
  </si>
  <si>
    <t>TotSS</t>
  </si>
  <si>
    <t>Op. A</t>
  </si>
  <si>
    <t>Op. A &amp; Op. B</t>
  </si>
  <si>
    <t>TechSS</t>
  </si>
  <si>
    <t>Op. A &amp; Op. C</t>
  </si>
  <si>
    <t>PartSS</t>
  </si>
  <si>
    <t>Op. B &amp; Op. C</t>
  </si>
  <si>
    <t>Op. B</t>
  </si>
  <si>
    <t>InterSS</t>
  </si>
  <si>
    <t>ErrorSS</t>
  </si>
  <si>
    <t>Op. C</t>
  </si>
  <si>
    <t>zero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</si>
  <si>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</si>
  <si>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</si>
  <si>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</si>
  <si>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</si>
  <si>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</si>
  <si>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</si>
  <si>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</si>
  <si>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</si>
  <si>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</si>
  <si>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</si>
  <si>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</si>
  <si>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</si>
  <si>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</si>
  <si>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</si>
  <si>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</si>
  <si>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</si>
  <si>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</si>
  <si>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</si>
  <si>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</si>
  <si>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</si>
  <si>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twentyone</t>
  </si>
  <si>
    <t>twentytwo</t>
  </si>
  <si>
    <t>twentythree</t>
  </si>
  <si>
    <t>twentyfour</t>
  </si>
  <si>
    <t>twentyfive</t>
  </si>
  <si>
    <t>twentysix</t>
  </si>
  <si>
    <t>twentyseven</t>
  </si>
  <si>
    <t>twentyeight</t>
  </si>
  <si>
    <t>twentynine</t>
  </si>
  <si>
    <t>thirty</t>
  </si>
  <si>
    <t>thirtyone</t>
  </si>
  <si>
    <t>Ten thru Six</t>
  </si>
  <si>
    <t>Five thru 2</t>
  </si>
  <si>
    <t>Op A</t>
  </si>
  <si>
    <t>Op B</t>
  </si>
  <si>
    <t>Op C</t>
  </si>
  <si>
    <t>Xbar R Chart</t>
  </si>
  <si>
    <t>UCL X</t>
  </si>
  <si>
    <t>LCL X</t>
  </si>
  <si>
    <t>UCL R</t>
  </si>
  <si>
    <t>Num. Pts.</t>
  </si>
  <si>
    <t>Num Parts</t>
  </si>
  <si>
    <t>This template continues on the next 3 sheets</t>
  </si>
  <si>
    <t>This template continues on the previous sheet and next 2 sheets</t>
  </si>
  <si>
    <t>This template continues on the previous 2 sheets and next sheet</t>
  </si>
  <si>
    <t>This template continues on the previous 3 sheets</t>
  </si>
  <si>
    <t>Data collection</t>
  </si>
  <si>
    <t>Measurement System Analysis</t>
  </si>
  <si>
    <t>Risk Management</t>
  </si>
  <si>
    <t>Failure Modes and Effects Analysis</t>
  </si>
  <si>
    <t>#</t>
  </si>
  <si>
    <t>Process Function (Step)</t>
  </si>
  <si>
    <t>Potential Failure Modes (process defects)</t>
  </si>
  <si>
    <t xml:space="preserve">Potential Failure Effects (KPOVs) </t>
  </si>
  <si>
    <t>SEV</t>
  </si>
  <si>
    <t>Potential Causes of Failure</t>
  </si>
  <si>
    <t>OCC</t>
  </si>
  <si>
    <t>Current Process Controls</t>
  </si>
  <si>
    <t>DET</t>
  </si>
  <si>
    <t>RPN</t>
  </si>
  <si>
    <t>Recommended Actions</t>
  </si>
  <si>
    <t>Responsible Person &amp; Target Date</t>
  </si>
  <si>
    <t xml:space="preserve">Taken Actions </t>
  </si>
  <si>
    <t>Supply replenishment</t>
  </si>
  <si>
    <t>Does not get done on time</t>
  </si>
  <si>
    <t>Product is not available when needed</t>
  </si>
  <si>
    <t>Lack of proper trigger to inform stores of the need for replenishment</t>
  </si>
  <si>
    <t>None</t>
  </si>
  <si>
    <t>Implement Kanban</t>
  </si>
  <si>
    <t>Lean Leader</t>
  </si>
  <si>
    <t>Add more frequent milk runs and checklist</t>
  </si>
  <si>
    <t>Effect</t>
  </si>
  <si>
    <t>Severity</t>
  </si>
  <si>
    <t>Replenished with wrong product</t>
  </si>
  <si>
    <t>Right product is not available</t>
  </si>
  <si>
    <t>Product name similarities</t>
  </si>
  <si>
    <t>Barcode reader system-Poka Yoke</t>
  </si>
  <si>
    <t>Store Manager</t>
  </si>
  <si>
    <t>Visual management- color code</t>
  </si>
  <si>
    <t>Hazardous: Without Warning</t>
  </si>
  <si>
    <t>Hazardous: With Warning</t>
  </si>
  <si>
    <t>Very High</t>
  </si>
  <si>
    <t>High</t>
  </si>
  <si>
    <t>Moderate</t>
  </si>
  <si>
    <t>Low</t>
  </si>
  <si>
    <t>Very Low</t>
  </si>
  <si>
    <t>Minor</t>
  </si>
  <si>
    <t>Very Minor</t>
  </si>
  <si>
    <t>Probability of Failure</t>
  </si>
  <si>
    <t>Possible Failure Rates</t>
  </si>
  <si>
    <t>Cpk</t>
  </si>
  <si>
    <t>Occurrence</t>
  </si>
  <si>
    <t>Very High:</t>
  </si>
  <si>
    <r>
      <t xml:space="preserve">³  </t>
    </r>
    <r>
      <rPr>
        <sz val="12"/>
        <rFont val="Arial"/>
        <family val="2"/>
      </rPr>
      <t xml:space="preserve">1 in 2 </t>
    </r>
  </si>
  <si>
    <t>&lt; 0.33</t>
  </si>
  <si>
    <t>Failure is almost inevitable</t>
  </si>
  <si>
    <t>1 in 3</t>
  </si>
  <si>
    <r>
      <t xml:space="preserve">³  </t>
    </r>
    <r>
      <rPr>
        <sz val="12"/>
        <rFont val="Arial"/>
        <family val="2"/>
      </rPr>
      <t xml:space="preserve">0.33 </t>
    </r>
  </si>
  <si>
    <r>
      <t>High:</t>
    </r>
    <r>
      <rPr>
        <sz val="12"/>
        <rFont val="Arial"/>
        <family val="2"/>
      </rPr>
      <t xml:space="preserve">  Generally associated with processes similar to previous</t>
    </r>
  </si>
  <si>
    <t>1 in 8</t>
  </si>
  <si>
    <r>
      <t xml:space="preserve">³  </t>
    </r>
    <r>
      <rPr>
        <sz val="12"/>
        <rFont val="Arial"/>
        <family val="2"/>
      </rPr>
      <t>0.51</t>
    </r>
  </si>
  <si>
    <t>processes that have often failed</t>
  </si>
  <si>
    <t>1 in 20</t>
  </si>
  <si>
    <r>
      <t xml:space="preserve">³  </t>
    </r>
    <r>
      <rPr>
        <sz val="12"/>
        <rFont val="Arial"/>
        <family val="2"/>
      </rPr>
      <t>0.67</t>
    </r>
  </si>
  <si>
    <r>
      <t>Moderate:</t>
    </r>
    <r>
      <rPr>
        <sz val="12"/>
        <rFont val="Arial"/>
        <family val="2"/>
      </rPr>
      <t xml:space="preserve">  Generally associated with processes similar to</t>
    </r>
  </si>
  <si>
    <t>1 in 80</t>
  </si>
  <si>
    <r>
      <t xml:space="preserve">³  </t>
    </r>
    <r>
      <rPr>
        <sz val="12"/>
        <rFont val="Arial"/>
        <family val="2"/>
      </rPr>
      <t>0.83</t>
    </r>
  </si>
  <si>
    <t>previous processes which have</t>
  </si>
  <si>
    <t>1 in 400</t>
  </si>
  <si>
    <r>
      <t xml:space="preserve">³  </t>
    </r>
    <r>
      <rPr>
        <sz val="12"/>
        <rFont val="Arial"/>
        <family val="2"/>
      </rPr>
      <t>1.00</t>
    </r>
  </si>
  <si>
    <t>experienced occasional failures, but not in major proportions</t>
  </si>
  <si>
    <t>1 in 2,000</t>
  </si>
  <si>
    <r>
      <t xml:space="preserve">³  </t>
    </r>
    <r>
      <rPr>
        <sz val="12"/>
        <rFont val="Arial"/>
        <family val="2"/>
      </rPr>
      <t>1.17</t>
    </r>
  </si>
  <si>
    <r>
      <t>Low:</t>
    </r>
    <r>
      <rPr>
        <sz val="12"/>
        <rFont val="Arial"/>
        <family val="2"/>
      </rPr>
      <t xml:space="preserve">  Isolated failures associated with similar processes</t>
    </r>
  </si>
  <si>
    <t>1 in 15,000</t>
  </si>
  <si>
    <r>
      <t xml:space="preserve">³  </t>
    </r>
    <r>
      <rPr>
        <sz val="12"/>
        <rFont val="Arial"/>
        <family val="2"/>
      </rPr>
      <t>1.33</t>
    </r>
  </si>
  <si>
    <r>
      <t>Very Low:</t>
    </r>
    <r>
      <rPr>
        <sz val="12"/>
        <rFont val="Arial"/>
        <family val="2"/>
      </rPr>
      <t xml:space="preserve">  Only isolated failures associated with almost identical processes</t>
    </r>
  </si>
  <si>
    <t>1 in 150,000</t>
  </si>
  <si>
    <r>
      <t xml:space="preserve">³  </t>
    </r>
    <r>
      <rPr>
        <sz val="12"/>
        <rFont val="Arial"/>
        <family val="2"/>
      </rPr>
      <t>1.5</t>
    </r>
  </si>
  <si>
    <r>
      <t>Remote:</t>
    </r>
    <r>
      <rPr>
        <sz val="12"/>
        <rFont val="Arial"/>
        <family val="2"/>
      </rPr>
      <t xml:space="preserve">  Failure is unlikely.  No failures ever associated with almost identical processes</t>
    </r>
  </si>
  <si>
    <r>
      <t xml:space="preserve">£  </t>
    </r>
    <r>
      <rPr>
        <sz val="12"/>
        <rFont val="Arial"/>
        <family val="2"/>
      </rPr>
      <t>1 in 1,500,000</t>
    </r>
  </si>
  <si>
    <r>
      <t xml:space="preserve">³  </t>
    </r>
    <r>
      <rPr>
        <sz val="12"/>
        <rFont val="Arial"/>
        <family val="2"/>
      </rPr>
      <t>1.67</t>
    </r>
  </si>
  <si>
    <t>Detection</t>
  </si>
  <si>
    <t xml:space="preserve"> defect will be detected before advancing to next  step</t>
  </si>
  <si>
    <t>Difficulty of Detection</t>
  </si>
  <si>
    <t>Almost Impossible</t>
  </si>
  <si>
    <t>Test content detects &lt; 80 % of failures</t>
  </si>
  <si>
    <t>Very Remote</t>
  </si>
  <si>
    <t>Test content must detect 80 % of failures</t>
  </si>
  <si>
    <t>Remote</t>
  </si>
  <si>
    <t>Test content must detect 82.5 % of failures</t>
  </si>
  <si>
    <t>Test content must detect 85 % of failures</t>
  </si>
  <si>
    <t>Test content must detect 87.5 % of failures</t>
  </si>
  <si>
    <t>Test content must detect 90 % of failures</t>
  </si>
  <si>
    <t>Moderately High</t>
  </si>
  <si>
    <t>Test content must detect 92.5 % of failures</t>
  </si>
  <si>
    <t>Test content must detect 95 % of failures</t>
  </si>
  <si>
    <t>Test content must detect 97.5 % of failures</t>
  </si>
  <si>
    <t>Almost Certain</t>
  </si>
  <si>
    <t>Test content must detect 99.5 % of failures</t>
  </si>
  <si>
    <t>Statistics and Process Capability Report</t>
  </si>
  <si>
    <t xml:space="preserve">This is a demo version </t>
  </si>
  <si>
    <t>For more templates, see the Lean Six Sigma Companion</t>
  </si>
  <si>
    <t>Measure</t>
  </si>
  <si>
    <t>Link to Amazon</t>
  </si>
  <si>
    <t>Copyright Abacus Team Inc. 2019</t>
  </si>
  <si>
    <t>Lean Six Sigma Companion - Light Version</t>
  </si>
  <si>
    <t>Click on the template that you would like to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</si>
</sst>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000"/>
    <numFmt numFmtId="166" formatCode="0.000%"/>
    <numFmt numFmtId="167" formatCode="0.00000%"/>
    <numFmt numFmtId="168" formatCode="_(* #,##0.00_);_(* \(#,##0.00\);_(* &quot;-&quot;??_);_(@_)"/>
    <numFmt numFmtId="169" formatCode="_(* #,##0.0_);_(* \(#,##0.0\);_(* &quot;-&quot;??_);_(@_)"/>
    <numFmt numFmtId="170" formatCode="#,##0.0"/>
    <numFmt numFmtId="171" formatCode="0.000"/>
    <numFmt numFmtId="172" formatCode="0.00000"/>
    <numFmt numFmtId="173" formatCode="0.0%"/>
    <numFmt numFmtId="174" formatCode="[$-1809]d\ mmmm\ yyyy;@"/>
    <numFmt numFmtId="175" formatCode="m/d/yy;@"/>
  </numFmts>
  <fonts count="87" x14ac:knownFonts="1">
    <font>
      <sz val="11"/>
      <color theme="1"/>
      <name val="Calibri"/>
      <family val="2"/>
      <scheme val="minor"/>
    </font>
    <font>
      <sz val="11"/>
      <color theme="1"/>
      <name val="Calibri"/>
      <family val="2"/>
      <scheme val="minor"/>
    </font>
    <font>
      <sz val="11"/>
      <color rgb="FF006100"/>
      <name val="Calibri"/>
      <family val="2"/>
      <scheme val="minor"/>
    </font>
    <font>
      <sz val="11"/>
      <color rgb="FF3F3F76"/>
      <name val="Calibri"/>
      <family val="2"/>
      <scheme val="minor"/>
    </font>
    <font>
      <b/>
      <sz val="11"/>
      <color theme="1"/>
      <name val="Calibri"/>
      <family val="2"/>
      <scheme val="minor"/>
    </font>
    <font>
      <u/>
      <sz val="11"/>
      <color theme="10"/>
      <name val="Calibri"/>
      <family val="2"/>
      <scheme val="minor"/>
    </font>
    <font>
      <u/>
      <sz val="16"/>
      <color theme="0"/>
      <name val="Calibri"/>
      <family val="2"/>
      <scheme val="minor"/>
    </font>
    <font>
      <sz val="10"/>
      <name val="Arial"/>
      <family val="2"/>
    </font>
    <font>
      <b/>
      <sz val="12"/>
      <name val="Arial"/>
      <family val="2"/>
    </font>
    <font>
      <b/>
      <sz val="10"/>
      <name val="Arial"/>
      <family val="2"/>
    </font>
    <font>
      <sz val="12"/>
      <name val="Arial"/>
      <family val="2"/>
    </font>
    <font>
      <sz val="14"/>
      <name val="Arial"/>
      <family val="2"/>
    </font>
    <font>
      <b/>
      <i/>
      <sz val="12"/>
      <color indexed="12"/>
      <name val="Arial"/>
      <family val="2"/>
    </font>
    <font>
      <b/>
      <sz val="8"/>
      <name val="Arial"/>
      <family val="2"/>
    </font>
    <font>
      <sz val="8"/>
      <name val="Arial"/>
      <family val="2"/>
    </font>
    <font>
      <sz val="11"/>
      <color rgb="FF7030A0"/>
      <name val="Calibri"/>
      <family val="2"/>
      <scheme val="minor"/>
    </font>
    <font>
      <b/>
      <sz val="18"/>
      <color theme="4" tint="-0.249977111117893"/>
      <name val="Verdana"/>
      <family val="2"/>
    </font>
    <font>
      <sz val="18"/>
      <name val="Verdana"/>
      <family val="2"/>
    </font>
    <font>
      <sz val="18"/>
      <color theme="1"/>
      <name val="Calibri"/>
      <family val="2"/>
      <scheme val="minor"/>
    </font>
    <font>
      <b/>
      <sz val="18"/>
      <color indexed="53"/>
      <name val="Verdana"/>
      <family val="2"/>
    </font>
    <font>
      <sz val="18"/>
      <color theme="4" tint="-0.249977111117893"/>
      <name val="Verdana"/>
      <family val="2"/>
    </font>
    <font>
      <sz val="18"/>
      <color theme="4" tint="-0.249977111117893"/>
      <name val="Calibri"/>
      <family val="2"/>
      <scheme val="minor"/>
    </font>
    <font>
      <u/>
      <sz val="28"/>
      <color theme="0"/>
      <name val="Calibri"/>
      <family val="2"/>
      <scheme val="minor"/>
    </font>
    <font>
      <u/>
      <sz val="10"/>
      <name val="Arial"/>
      <family val="2"/>
    </font>
    <font>
      <sz val="9"/>
      <name val="Arial"/>
      <family val="2"/>
    </font>
    <font>
      <sz val="10"/>
      <color indexed="18"/>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0"/>
      <color theme="0"/>
      <name val="Arial"/>
      <family val="2"/>
    </font>
    <font>
      <sz val="11"/>
      <color rgb="FFFF0000"/>
      <name val="Calibri"/>
      <family val="2"/>
      <scheme val="minor"/>
    </font>
    <font>
      <b/>
      <i/>
      <sz val="18"/>
      <color rgb="FF339933"/>
      <name val="Gabriola"/>
      <family val="5"/>
    </font>
    <font>
      <b/>
      <sz val="14"/>
      <color rgb="FFFF0000"/>
      <name val="Calibri"/>
      <family val="2"/>
      <scheme val="minor"/>
    </font>
    <font>
      <sz val="10"/>
      <color rgb="FFFF0000"/>
      <name val="Arial"/>
      <family val="2"/>
    </font>
    <font>
      <b/>
      <sz val="16"/>
      <color rgb="FFFF0000"/>
      <name val="Calibri"/>
      <family val="2"/>
      <scheme val="minor"/>
    </font>
    <font>
      <b/>
      <sz val="14"/>
      <color theme="1"/>
      <name val="Calibri"/>
      <family val="2"/>
      <scheme val="minor"/>
    </font>
    <font>
      <b/>
      <sz val="12"/>
      <color rgb="FFFF0000"/>
      <name val="Arial"/>
      <family val="2"/>
    </font>
    <font>
      <i/>
      <sz val="10"/>
      <name val="Arial"/>
      <family val="2"/>
    </font>
    <font>
      <b/>
      <sz val="10"/>
      <color theme="1"/>
      <name val="Arial"/>
      <family val="2"/>
    </font>
    <font>
      <sz val="10"/>
      <color theme="1"/>
      <name val="Arial"/>
      <family val="2"/>
    </font>
    <font>
      <b/>
      <sz val="10"/>
      <color indexed="12"/>
      <name val="Arial"/>
      <family val="2"/>
    </font>
    <font>
      <b/>
      <sz val="9"/>
      <name val="Arial"/>
      <family val="2"/>
    </font>
    <font>
      <b/>
      <sz val="10"/>
      <color indexed="10"/>
      <name val="Arial"/>
      <family val="2"/>
    </font>
    <font>
      <b/>
      <sz val="14"/>
      <name val="Arial"/>
      <family val="2"/>
    </font>
    <font>
      <b/>
      <i/>
      <sz val="14"/>
      <name val="Arial"/>
      <family val="2"/>
    </font>
    <font>
      <b/>
      <sz val="12"/>
      <color theme="1"/>
      <name val="Calibri"/>
      <family val="2"/>
      <scheme val="minor"/>
    </font>
    <font>
      <b/>
      <sz val="18"/>
      <color rgb="FF339933"/>
      <name val="Calibri"/>
      <family val="2"/>
    </font>
    <font>
      <b/>
      <i/>
      <sz val="18"/>
      <color rgb="FF339933"/>
      <name val="Calibri"/>
      <family val="2"/>
      <scheme val="minor"/>
    </font>
    <font>
      <u/>
      <sz val="10"/>
      <color theme="0"/>
      <name val="Calibri"/>
      <family val="2"/>
      <scheme val="minor"/>
    </font>
    <font>
      <b/>
      <sz val="10"/>
      <color rgb="FFFF0000"/>
      <name val="Arial"/>
      <family val="2"/>
    </font>
    <font>
      <sz val="10"/>
      <name val="Times New Roman"/>
      <family val="1"/>
    </font>
    <font>
      <b/>
      <i/>
      <sz val="14"/>
      <color indexed="57"/>
      <name val="Arial"/>
      <family val="2"/>
    </font>
    <font>
      <sz val="10"/>
      <color indexed="9"/>
      <name val="Arial"/>
      <family val="2"/>
    </font>
    <font>
      <sz val="12"/>
      <color indexed="9"/>
      <name val="Arial"/>
      <family val="2"/>
    </font>
    <font>
      <sz val="9"/>
      <color rgb="FF000000"/>
      <name val="Tahoma"/>
      <family val="2"/>
    </font>
    <font>
      <i/>
      <sz val="10"/>
      <color indexed="10"/>
      <name val="Arial"/>
      <family val="2"/>
    </font>
    <font>
      <i/>
      <sz val="14"/>
      <name val="Times New Roman"/>
      <family val="1"/>
    </font>
    <font>
      <b/>
      <sz val="12"/>
      <color rgb="FFFF0000"/>
      <name val="Times New Roman"/>
      <family val="1"/>
    </font>
    <font>
      <b/>
      <sz val="28"/>
      <color rgb="FFFF0000"/>
      <name val="Calibri"/>
      <family val="2"/>
      <scheme val="minor"/>
    </font>
    <font>
      <sz val="10"/>
      <name val="MS Sans Serif"/>
    </font>
    <font>
      <vertAlign val="subscript"/>
      <sz val="10"/>
      <name val="Arial"/>
      <family val="2"/>
    </font>
    <font>
      <u/>
      <sz val="12"/>
      <name val="Arial"/>
      <family val="2"/>
    </font>
    <font>
      <sz val="12"/>
      <color indexed="10"/>
      <name val="Arial"/>
      <family val="2"/>
    </font>
    <font>
      <u/>
      <sz val="10"/>
      <color theme="10"/>
      <name val="Arial"/>
      <family val="2"/>
    </font>
    <font>
      <vertAlign val="superscript"/>
      <sz val="10"/>
      <name val="Arial"/>
      <family val="2"/>
    </font>
    <font>
      <sz val="10"/>
      <name val="Helv"/>
    </font>
    <font>
      <b/>
      <sz val="16"/>
      <color rgb="FFFF0000"/>
      <name val="Arial"/>
      <family val="2"/>
    </font>
    <font>
      <b/>
      <sz val="11"/>
      <color theme="3"/>
      <name val="Calibri"/>
      <family val="2"/>
      <scheme val="minor"/>
    </font>
    <font>
      <b/>
      <sz val="20"/>
      <color theme="6" tint="-0.499984740745262"/>
      <name val="Lucida Calligraphy"/>
      <family val="4"/>
    </font>
    <font>
      <b/>
      <sz val="20"/>
      <color theme="4" tint="-0.499984740745262"/>
      <name val="Lucida Calligraphy"/>
      <family val="4"/>
    </font>
    <font>
      <b/>
      <sz val="20"/>
      <color theme="7" tint="-0.499984740745262"/>
      <name val="Lucida Calligraphy"/>
      <family val="4"/>
    </font>
    <font>
      <b/>
      <sz val="20"/>
      <color theme="5" tint="-0.499984740745262"/>
      <name val="Lucida Calligraphy"/>
      <family val="4"/>
    </font>
    <font>
      <b/>
      <sz val="20"/>
      <color theme="5" tint="-0.249977111117893"/>
      <name val="Lucida Calligraphy"/>
      <family val="4"/>
    </font>
    <font>
      <b/>
      <sz val="11"/>
      <color theme="6" tint="-0.499984740745262"/>
      <name val="Calibri"/>
      <family val="2"/>
      <scheme val="minor"/>
    </font>
    <font>
      <b/>
      <sz val="11"/>
      <color theme="7" tint="-0.499984740745262"/>
      <name val="Calibri"/>
      <family val="2"/>
      <scheme val="minor"/>
    </font>
    <font>
      <b/>
      <sz val="11"/>
      <color theme="5" tint="-0.499984740745262"/>
      <name val="Calibri"/>
      <family val="2"/>
      <scheme val="minor"/>
    </font>
    <font>
      <b/>
      <sz val="11"/>
      <color theme="5" tint="-0.249977111117893"/>
      <name val="Calibri"/>
      <family val="2"/>
      <scheme val="minor"/>
    </font>
    <font>
      <b/>
      <u/>
      <sz val="12"/>
      <name val="Arial"/>
      <family val="2"/>
    </font>
    <font>
      <sz val="12"/>
      <name val="Symbol"/>
      <family val="1"/>
      <charset val="2"/>
    </font>
    <font>
      <b/>
      <sz val="14"/>
      <color rgb="FF000000"/>
      <name val="Calibri"/>
      <family val="2"/>
      <scheme val="minor"/>
    </font>
    <font>
      <b/>
      <sz val="9"/>
      <color theme="1"/>
      <name val="Calibri"/>
      <family val="2"/>
      <scheme val="minor"/>
    </font>
    <font>
      <b/>
      <sz val="11"/>
      <color theme="4" tint="-0.249977111117893"/>
      <name val="Calibri"/>
      <family val="2"/>
      <scheme val="minor"/>
    </font>
    <font>
      <b/>
      <sz val="24"/>
      <color theme="1"/>
      <name val="Lucida Calligraphy"/>
      <family val="4"/>
    </font>
    <font>
      <sz val="11"/>
      <color theme="3" tint="-0.249977111117893"/>
      <name val="Lucida Calligraphy"/>
      <family val="4"/>
    </font>
    <font>
      <sz val="11"/>
      <color theme="1"/>
      <name val="Lucida Calligraphy"/>
      <family val="4"/>
    </font>
    <font>
      <i/>
      <u/>
      <sz val="14"/>
      <color theme="10"/>
      <name val="Calibri"/>
      <family val="2"/>
      <scheme val="minor"/>
    </font>
  </fonts>
  <fills count="38">
    <fill>
      <patternFill patternType="none"/>
    </fill>
    <fill>
      <patternFill patternType="gray125"/>
    </fill>
    <fill>
      <patternFill patternType="solid">
        <fgColor rgb="FFC6EFCE"/>
      </patternFill>
    </fill>
    <fill>
      <patternFill patternType="solid">
        <fgColor rgb="FFFFCC99"/>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7"/>
        <bgColor indexed="64"/>
      </patternFill>
    </fill>
    <fill>
      <patternFill patternType="solid">
        <fgColor indexed="1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45"/>
        <bgColor indexed="64"/>
      </patternFill>
    </fill>
    <fill>
      <patternFill patternType="solid">
        <fgColor theme="4" tint="0.59999389629810485"/>
        <bgColor indexed="64"/>
      </patternFill>
    </fill>
    <fill>
      <patternFill patternType="solid">
        <fgColor indexed="22"/>
        <bgColor indexed="64"/>
      </patternFill>
    </fill>
    <fill>
      <patternFill patternType="solid">
        <fgColor rgb="FFFFFF99"/>
        <bgColor indexed="64"/>
      </patternFill>
    </fill>
    <fill>
      <patternFill patternType="lightUp">
        <bgColor indexed="22"/>
      </patternFill>
    </fill>
    <fill>
      <patternFill patternType="solid">
        <fgColor indexed="11"/>
        <bgColor indexed="64"/>
      </patternFill>
    </fill>
    <fill>
      <patternFill patternType="solid">
        <fgColor theme="9"/>
        <bgColor indexed="64"/>
      </patternFill>
    </fill>
    <fill>
      <patternFill patternType="solid">
        <fgColor indexed="40"/>
        <bgColor indexed="64"/>
      </patternFill>
    </fill>
    <fill>
      <patternFill patternType="solid">
        <fgColor indexed="43"/>
        <bgColor indexed="64"/>
      </patternFill>
    </fill>
    <fill>
      <patternFill patternType="solid">
        <fgColor indexed="42"/>
        <bgColor indexed="64"/>
      </patternFill>
    </fill>
    <fill>
      <patternFill patternType="solid">
        <fgColor indexed="15"/>
        <bgColor indexed="64"/>
      </patternFill>
    </fill>
    <fill>
      <patternFill patternType="solid">
        <fgColor indexed="47"/>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s>
  <borders count="9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diagonal/>
    </border>
    <border>
      <left style="thick">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medium">
        <color auto="1"/>
      </top>
      <bottom style="medium">
        <color auto="1"/>
      </bottom>
      <diagonal/>
    </border>
    <border>
      <left style="medium">
        <color auto="1"/>
      </left>
      <right style="thin">
        <color auto="1"/>
      </right>
      <top/>
      <bottom/>
      <diagonal/>
    </border>
  </borders>
  <cellStyleXfs count="15">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5" fillId="0" borderId="0" applyNumberForma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60" fillId="0" borderId="0"/>
    <xf numFmtId="0" fontId="64" fillId="0" borderId="0" applyNumberFormat="0" applyFill="0" applyBorder="0" applyAlignment="0" applyProtection="0">
      <alignment vertical="top"/>
      <protection locked="0"/>
    </xf>
    <xf numFmtId="0" fontId="66" fillId="0" borderId="0">
      <protection locked="0"/>
    </xf>
  </cellStyleXfs>
  <cellXfs count="705">
    <xf numFmtId="0" fontId="0" fillId="0" borderId="0" xfId="0"/>
    <xf numFmtId="0" fontId="0" fillId="5" borderId="0" xfId="0" applyFill="1"/>
    <xf numFmtId="0" fontId="1" fillId="4" borderId="0" xfId="0" applyFont="1" applyFill="1"/>
    <xf numFmtId="2" fontId="0" fillId="5" borderId="0" xfId="0" applyNumberFormat="1" applyFill="1"/>
    <xf numFmtId="164" fontId="0" fillId="5" borderId="0" xfId="0" applyNumberFormat="1" applyFill="1"/>
    <xf numFmtId="0" fontId="0" fillId="4" borderId="0" xfId="0" applyFill="1"/>
    <xf numFmtId="0" fontId="0" fillId="6" borderId="0" xfId="0" applyFill="1"/>
    <xf numFmtId="0" fontId="6" fillId="8" borderId="0" xfId="4" applyFont="1" applyFill="1"/>
    <xf numFmtId="164" fontId="3" fillId="3" borderId="1" xfId="3" applyNumberFormat="1"/>
    <xf numFmtId="164" fontId="0" fillId="6" borderId="0" xfId="0" applyNumberFormat="1" applyFill="1"/>
    <xf numFmtId="164" fontId="0" fillId="0" borderId="0" xfId="0" applyNumberFormat="1"/>
    <xf numFmtId="0" fontId="2" fillId="2" borderId="0" xfId="2"/>
    <xf numFmtId="9" fontId="2" fillId="2" borderId="0" xfId="2" applyNumberFormat="1"/>
    <xf numFmtId="0" fontId="4" fillId="0" borderId="0" xfId="0" applyFont="1"/>
    <xf numFmtId="49" fontId="8" fillId="9" borderId="2" xfId="5" applyNumberFormat="1" applyFont="1" applyFill="1" applyBorder="1" applyAlignment="1">
      <alignment horizontal="center" vertical="center" wrapText="1"/>
    </xf>
    <xf numFmtId="49" fontId="9" fillId="9" borderId="3" xfId="5" applyNumberFormat="1" applyFont="1" applyFill="1" applyBorder="1" applyAlignment="1">
      <alignment horizontal="center" vertical="center" wrapText="1"/>
    </xf>
    <xf numFmtId="49" fontId="8" fillId="9" borderId="3" xfId="5" applyNumberFormat="1" applyFont="1" applyFill="1" applyBorder="1" applyAlignment="1">
      <alignment horizontal="center" vertical="center" wrapText="1"/>
    </xf>
    <xf numFmtId="0" fontId="0" fillId="0" borderId="2" xfId="0" applyBorder="1"/>
    <xf numFmtId="0" fontId="7" fillId="0" borderId="0" xfId="5"/>
    <xf numFmtId="0" fontId="11" fillId="0" borderId="0" xfId="5" applyFont="1"/>
    <xf numFmtId="3" fontId="11" fillId="0" borderId="0" xfId="5" applyNumberFormat="1" applyFont="1" applyAlignment="1">
      <alignment horizontal="center"/>
    </xf>
    <xf numFmtId="0" fontId="11" fillId="0" borderId="0" xfId="5" applyFont="1" applyAlignment="1">
      <alignment horizontal="center"/>
    </xf>
    <xf numFmtId="0" fontId="12" fillId="0" borderId="0" xfId="5" applyFont="1"/>
    <xf numFmtId="0" fontId="10" fillId="0" borderId="0" xfId="5" applyFont="1"/>
    <xf numFmtId="0" fontId="13" fillId="10" borderId="0" xfId="5" applyFont="1" applyFill="1" applyAlignment="1">
      <alignment horizontal="center"/>
    </xf>
    <xf numFmtId="0" fontId="13" fillId="11" borderId="0" xfId="5" applyFont="1" applyFill="1"/>
    <xf numFmtId="3" fontId="13" fillId="7" borderId="0" xfId="5" applyNumberFormat="1" applyFont="1" applyFill="1" applyAlignment="1">
      <alignment horizontal="center"/>
    </xf>
    <xf numFmtId="0" fontId="13" fillId="7" borderId="0" xfId="5" applyFont="1" applyFill="1" applyAlignment="1">
      <alignment horizontal="center"/>
    </xf>
    <xf numFmtId="0" fontId="14" fillId="0" borderId="0" xfId="5" applyFont="1"/>
    <xf numFmtId="167" fontId="14" fillId="12" borderId="2" xfId="5" applyNumberFormat="1" applyFont="1" applyFill="1" applyBorder="1"/>
    <xf numFmtId="168" fontId="14" fillId="12" borderId="2" xfId="6" applyFont="1" applyFill="1" applyBorder="1" applyAlignment="1">
      <alignment horizontal="center"/>
    </xf>
    <xf numFmtId="168" fontId="13" fillId="12" borderId="2" xfId="6" applyFont="1" applyFill="1" applyBorder="1"/>
    <xf numFmtId="0" fontId="14" fillId="12" borderId="2" xfId="5" applyFont="1" applyFill="1" applyBorder="1"/>
    <xf numFmtId="169" fontId="14" fillId="12" borderId="2" xfId="6" applyNumberFormat="1" applyFont="1" applyFill="1" applyBorder="1"/>
    <xf numFmtId="170" fontId="14" fillId="13" borderId="2" xfId="5" applyNumberFormat="1" applyFont="1" applyFill="1" applyBorder="1" applyAlignment="1">
      <alignment horizontal="center"/>
    </xf>
    <xf numFmtId="171" fontId="14" fillId="13" borderId="2" xfId="5" applyNumberFormat="1" applyFont="1" applyFill="1" applyBorder="1" applyAlignment="1">
      <alignment horizontal="center"/>
    </xf>
    <xf numFmtId="165" fontId="14" fillId="13" borderId="2" xfId="5" applyNumberFormat="1" applyFont="1" applyFill="1" applyBorder="1" applyAlignment="1">
      <alignment horizontal="center"/>
    </xf>
    <xf numFmtId="172" fontId="14" fillId="13" borderId="2" xfId="5" applyNumberFormat="1" applyFont="1" applyFill="1" applyBorder="1" applyAlignment="1">
      <alignment horizontal="center"/>
    </xf>
    <xf numFmtId="3" fontId="14" fillId="13" borderId="2" xfId="5" applyNumberFormat="1" applyFont="1" applyFill="1" applyBorder="1" applyAlignment="1">
      <alignment horizontal="center"/>
    </xf>
    <xf numFmtId="1" fontId="14" fillId="13" borderId="2" xfId="5" applyNumberFormat="1" applyFont="1" applyFill="1" applyBorder="1" applyAlignment="1">
      <alignment horizontal="center"/>
    </xf>
    <xf numFmtId="2" fontId="14" fillId="13" borderId="2" xfId="5" applyNumberFormat="1" applyFont="1" applyFill="1" applyBorder="1" applyAlignment="1">
      <alignment horizontal="center"/>
    </xf>
    <xf numFmtId="164" fontId="14" fillId="13" borderId="2" xfId="5" applyNumberFormat="1" applyFont="1" applyFill="1" applyBorder="1" applyAlignment="1">
      <alignment horizontal="center"/>
    </xf>
    <xf numFmtId="168" fontId="14" fillId="12" borderId="2" xfId="6" applyFont="1" applyFill="1" applyBorder="1"/>
    <xf numFmtId="3" fontId="7" fillId="0" borderId="0" xfId="5" applyNumberFormat="1" applyAlignment="1">
      <alignment horizontal="center"/>
    </xf>
    <xf numFmtId="0" fontId="7" fillId="0" borderId="0" xfId="5" applyAlignment="1">
      <alignment horizontal="center"/>
    </xf>
    <xf numFmtId="0" fontId="7" fillId="0" borderId="2" xfId="5" applyBorder="1"/>
    <xf numFmtId="173" fontId="0" fillId="0" borderId="2" xfId="7" applyNumberFormat="1" applyFont="1" applyBorder="1"/>
    <xf numFmtId="9" fontId="0" fillId="0" borderId="2" xfId="7" applyFont="1" applyBorder="1"/>
    <xf numFmtId="0" fontId="15" fillId="0" borderId="0" xfId="0" applyFont="1"/>
    <xf numFmtId="0" fontId="7" fillId="4" borderId="2" xfId="5" applyFill="1" applyBorder="1"/>
    <xf numFmtId="0" fontId="16" fillId="0" borderId="0" xfId="0" applyFont="1"/>
    <xf numFmtId="0" fontId="17" fillId="0" borderId="0" xfId="0" applyFont="1"/>
    <xf numFmtId="0" fontId="18" fillId="0" borderId="0" xfId="0" applyFont="1" applyProtection="1">
      <protection locked="0"/>
    </xf>
    <xf numFmtId="0" fontId="18" fillId="0" borderId="0" xfId="0" applyFont="1"/>
    <xf numFmtId="0" fontId="17" fillId="0" borderId="7" xfId="0" applyFont="1" applyBorder="1"/>
    <xf numFmtId="0" fontId="17" fillId="0" borderId="0" xfId="0" applyFont="1" applyAlignment="1">
      <alignment vertical="top" wrapText="1"/>
    </xf>
    <xf numFmtId="0" fontId="19" fillId="0" borderId="0" xfId="0" applyFont="1" applyAlignment="1">
      <alignment horizontal="center"/>
    </xf>
    <xf numFmtId="0" fontId="17" fillId="0" borderId="0" xfId="0" applyFont="1" applyAlignment="1">
      <alignment horizontal="center"/>
    </xf>
    <xf numFmtId="0" fontId="17" fillId="0" borderId="0" xfId="0" applyFont="1" applyAlignment="1">
      <alignment vertical="center" wrapText="1"/>
    </xf>
    <xf numFmtId="0" fontId="19" fillId="0" borderId="0" xfId="0" applyFont="1"/>
    <xf numFmtId="0" fontId="17" fillId="0" borderId="0" xfId="0" applyFont="1" applyAlignment="1">
      <alignment horizontal="right"/>
    </xf>
    <xf numFmtId="0" fontId="20" fillId="0" borderId="0" xfId="0" applyFont="1"/>
    <xf numFmtId="0" fontId="21" fillId="0" borderId="0" xfId="0" applyFont="1" applyProtection="1">
      <protection locked="0"/>
    </xf>
    <xf numFmtId="0" fontId="22" fillId="8" borderId="0" xfId="4" applyFont="1" applyFill="1"/>
    <xf numFmtId="0" fontId="7" fillId="0" borderId="0" xfId="5" applyAlignment="1">
      <alignment horizontal="left" vertical="top"/>
    </xf>
    <xf numFmtId="0" fontId="7" fillId="14" borderId="0" xfId="5" applyFill="1" applyAlignment="1">
      <alignment horizontal="left" vertical="top"/>
    </xf>
    <xf numFmtId="0" fontId="7" fillId="16" borderId="0" xfId="5" applyFill="1" applyAlignment="1">
      <alignment horizontal="left" vertical="top"/>
    </xf>
    <xf numFmtId="0" fontId="9" fillId="16" borderId="0" xfId="5" applyFont="1" applyFill="1" applyAlignment="1">
      <alignment horizontal="left" vertical="top"/>
    </xf>
    <xf numFmtId="0" fontId="7" fillId="0" borderId="4" xfId="5" quotePrefix="1" applyBorder="1" applyAlignment="1">
      <alignment horizontal="center" vertical="top"/>
    </xf>
    <xf numFmtId="0" fontId="7" fillId="0" borderId="6" xfId="5" applyBorder="1" applyAlignment="1">
      <alignment horizontal="left" vertical="top"/>
    </xf>
    <xf numFmtId="0" fontId="7" fillId="0" borderId="4" xfId="5" quotePrefix="1" applyBorder="1" applyAlignment="1">
      <alignment vertical="top"/>
    </xf>
    <xf numFmtId="0" fontId="7" fillId="0" borderId="6" xfId="5" quotePrefix="1" applyBorder="1" applyAlignment="1">
      <alignment vertical="top"/>
    </xf>
    <xf numFmtId="0" fontId="7" fillId="0" borderId="10" xfId="5" quotePrefix="1" applyBorder="1" applyAlignment="1">
      <alignment horizontal="center" vertical="top"/>
    </xf>
    <xf numFmtId="0" fontId="7" fillId="0" borderId="11" xfId="5" applyBorder="1" applyAlignment="1">
      <alignment horizontal="left" vertical="top"/>
    </xf>
    <xf numFmtId="0" fontId="7" fillId="0" borderId="10" xfId="5" quotePrefix="1" applyBorder="1" applyAlignment="1">
      <alignment vertical="top"/>
    </xf>
    <xf numFmtId="0" fontId="7" fillId="0" borderId="11" xfId="5" quotePrefix="1" applyBorder="1" applyAlignment="1">
      <alignment vertical="top"/>
    </xf>
    <xf numFmtId="0" fontId="7" fillId="0" borderId="7" xfId="5" quotePrefix="1" applyBorder="1" applyAlignment="1">
      <alignment horizontal="center" vertical="top"/>
    </xf>
    <xf numFmtId="0" fontId="7" fillId="0" borderId="9" xfId="5" applyBorder="1" applyAlignment="1">
      <alignment horizontal="left" vertical="top"/>
    </xf>
    <xf numFmtId="0" fontId="7" fillId="0" borderId="7" xfId="5" quotePrefix="1" applyBorder="1" applyAlignment="1">
      <alignment vertical="top"/>
    </xf>
    <xf numFmtId="0" fontId="7" fillId="0" borderId="9" xfId="5" quotePrefix="1" applyBorder="1" applyAlignment="1">
      <alignment vertical="top"/>
    </xf>
    <xf numFmtId="0" fontId="7" fillId="14" borderId="8" xfId="5" applyFill="1" applyBorder="1" applyAlignment="1">
      <alignment horizontal="left" vertical="top"/>
    </xf>
    <xf numFmtId="174" fontId="14" fillId="14" borderId="0" xfId="5" applyNumberFormat="1" applyFont="1" applyFill="1" applyAlignment="1">
      <alignment horizontal="left" vertical="top"/>
    </xf>
    <xf numFmtId="0" fontId="9" fillId="0" borderId="4" xfId="5" applyFont="1" applyBorder="1" applyAlignment="1">
      <alignment horizontal="left" vertical="top"/>
    </xf>
    <xf numFmtId="0" fontId="9" fillId="0" borderId="0" xfId="5" applyFont="1" applyAlignment="1">
      <alignment horizontal="left" vertical="top"/>
    </xf>
    <xf numFmtId="0" fontId="7" fillId="16" borderId="4" xfId="5" applyFill="1" applyBorder="1" applyAlignment="1">
      <alignment horizontal="left" vertical="top"/>
    </xf>
    <xf numFmtId="0" fontId="7" fillId="16" borderId="6" xfId="5" applyFill="1" applyBorder="1" applyAlignment="1">
      <alignment horizontal="left" vertical="top"/>
    </xf>
    <xf numFmtId="0" fontId="7" fillId="16" borderId="10" xfId="5" applyFill="1" applyBorder="1" applyAlignment="1">
      <alignment horizontal="left" vertical="top"/>
    </xf>
    <xf numFmtId="0" fontId="7" fillId="16" borderId="11" xfId="5" applyFill="1" applyBorder="1" applyAlignment="1">
      <alignment horizontal="left" vertical="top"/>
    </xf>
    <xf numFmtId="0" fontId="9" fillId="16" borderId="10" xfId="5" applyFont="1" applyFill="1" applyBorder="1" applyAlignment="1">
      <alignment vertical="top"/>
    </xf>
    <xf numFmtId="0" fontId="7" fillId="16" borderId="10" xfId="5" applyFill="1" applyBorder="1" applyAlignment="1">
      <alignment horizontal="left" vertical="top" wrapText="1"/>
    </xf>
    <xf numFmtId="0" fontId="7" fillId="16" borderId="7" xfId="5" applyFill="1" applyBorder="1" applyAlignment="1">
      <alignment horizontal="left" vertical="top"/>
    </xf>
    <xf numFmtId="0" fontId="7" fillId="16" borderId="9" xfId="5" applyFill="1" applyBorder="1" applyAlignment="1">
      <alignment horizontal="left" vertical="top"/>
    </xf>
    <xf numFmtId="0" fontId="7" fillId="14" borderId="4" xfId="5" applyFill="1" applyBorder="1" applyAlignment="1">
      <alignment horizontal="left" vertical="top"/>
    </xf>
    <xf numFmtId="0" fontId="7" fillId="14" borderId="6" xfId="5" applyFill="1" applyBorder="1" applyAlignment="1">
      <alignment horizontal="left" vertical="top"/>
    </xf>
    <xf numFmtId="0" fontId="7" fillId="14" borderId="11" xfId="5" applyFill="1" applyBorder="1" applyAlignment="1">
      <alignment horizontal="left" vertical="top"/>
    </xf>
    <xf numFmtId="0" fontId="9" fillId="16" borderId="5" xfId="5" applyFont="1" applyFill="1" applyBorder="1" applyAlignment="1">
      <alignment horizontal="left" vertical="top"/>
    </xf>
    <xf numFmtId="0" fontId="9" fillId="16" borderId="6" xfId="5" applyFont="1" applyFill="1" applyBorder="1" applyAlignment="1">
      <alignment horizontal="left" vertical="top"/>
    </xf>
    <xf numFmtId="0" fontId="7" fillId="14" borderId="10" xfId="5" applyFill="1" applyBorder="1" applyAlignment="1">
      <alignment horizontal="left" vertical="center"/>
    </xf>
    <xf numFmtId="0" fontId="7" fillId="14" borderId="11" xfId="5" applyFill="1" applyBorder="1" applyAlignment="1">
      <alignment horizontal="left"/>
    </xf>
    <xf numFmtId="0" fontId="23" fillId="16" borderId="0" xfId="5" applyFont="1" applyFill="1" applyAlignment="1">
      <alignment horizontal="left" vertical="top"/>
    </xf>
    <xf numFmtId="174" fontId="14" fillId="16" borderId="0" xfId="5" applyNumberFormat="1" applyFont="1" applyFill="1" applyAlignment="1">
      <alignment vertical="top"/>
    </xf>
    <xf numFmtId="0" fontId="24" fillId="16" borderId="0" xfId="5" applyFont="1" applyFill="1" applyAlignment="1">
      <alignment horizontal="left" vertical="top"/>
    </xf>
    <xf numFmtId="174" fontId="14" fillId="16" borderId="11" xfId="5" applyNumberFormat="1" applyFont="1" applyFill="1" applyBorder="1" applyAlignment="1">
      <alignment vertical="top"/>
    </xf>
    <xf numFmtId="0" fontId="25" fillId="16" borderId="10" xfId="5" quotePrefix="1" applyFont="1" applyFill="1" applyBorder="1" applyAlignment="1">
      <alignment horizontal="center" vertical="top"/>
    </xf>
    <xf numFmtId="0" fontId="23" fillId="16" borderId="0" xfId="5" applyFont="1" applyFill="1" applyAlignment="1">
      <alignment horizontal="left" vertical="center"/>
    </xf>
    <xf numFmtId="0" fontId="7" fillId="16" borderId="0" xfId="5" applyFill="1" applyAlignment="1">
      <alignment horizontal="left" vertical="center"/>
    </xf>
    <xf numFmtId="0" fontId="7" fillId="16" borderId="10" xfId="5" quotePrefix="1" applyFill="1" applyBorder="1" applyAlignment="1">
      <alignment horizontal="center" vertical="top"/>
    </xf>
    <xf numFmtId="0" fontId="7" fillId="16" borderId="11" xfId="5" applyFill="1" applyBorder="1" applyAlignment="1">
      <alignment horizontal="left" vertical="top" wrapText="1"/>
    </xf>
    <xf numFmtId="0" fontId="7" fillId="16" borderId="5" xfId="5" applyFill="1" applyBorder="1" applyAlignment="1">
      <alignment horizontal="left" vertical="top"/>
    </xf>
    <xf numFmtId="0" fontId="7" fillId="16" borderId="8" xfId="5" applyFill="1" applyBorder="1" applyAlignment="1">
      <alignment horizontal="left" vertical="top"/>
    </xf>
    <xf numFmtId="0" fontId="7" fillId="16" borderId="5" xfId="5" applyFill="1" applyBorder="1" applyAlignment="1">
      <alignment horizontal="center" vertical="top" wrapText="1"/>
    </xf>
    <xf numFmtId="0" fontId="7" fillId="16" borderId="6" xfId="5" applyFill="1" applyBorder="1" applyAlignment="1">
      <alignment horizontal="center" vertical="top" wrapText="1"/>
    </xf>
    <xf numFmtId="0" fontId="9" fillId="16" borderId="10" xfId="5" applyFont="1" applyFill="1" applyBorder="1" applyAlignment="1">
      <alignment horizontal="center" vertical="top"/>
    </xf>
    <xf numFmtId="0" fontId="9" fillId="16" borderId="0" xfId="5" applyFont="1" applyFill="1" applyAlignment="1">
      <alignment vertical="top"/>
    </xf>
    <xf numFmtId="0" fontId="9" fillId="16" borderId="11" xfId="5" applyFont="1" applyFill="1" applyBorder="1" applyAlignment="1">
      <alignment vertical="top"/>
    </xf>
    <xf numFmtId="0" fontId="9" fillId="16" borderId="7" xfId="5" applyFont="1" applyFill="1" applyBorder="1" applyAlignment="1">
      <alignment vertical="top"/>
    </xf>
    <xf numFmtId="0" fontId="9" fillId="16" borderId="8" xfId="5" applyFont="1" applyFill="1" applyBorder="1" applyAlignment="1">
      <alignment vertical="top"/>
    </xf>
    <xf numFmtId="0" fontId="9" fillId="16" borderId="9" xfId="5" applyFont="1" applyFill="1" applyBorder="1" applyAlignment="1">
      <alignment vertical="top"/>
    </xf>
    <xf numFmtId="0" fontId="9" fillId="16" borderId="0" xfId="5" applyFont="1" applyFill="1" applyAlignment="1">
      <alignment horizontal="center" vertical="top"/>
    </xf>
    <xf numFmtId="0" fontId="9" fillId="16" borderId="11" xfId="5" applyFont="1" applyFill="1" applyBorder="1" applyAlignment="1">
      <alignment horizontal="center" vertical="top"/>
    </xf>
    <xf numFmtId="0" fontId="9" fillId="16" borderId="7" xfId="5" applyFont="1" applyFill="1" applyBorder="1" applyAlignment="1">
      <alignment horizontal="center" vertical="top"/>
    </xf>
    <xf numFmtId="0" fontId="9" fillId="16" borderId="8" xfId="5" applyFont="1" applyFill="1" applyBorder="1" applyAlignment="1">
      <alignment horizontal="center" vertical="top"/>
    </xf>
    <xf numFmtId="0" fontId="9" fillId="16" borderId="9" xfId="5" applyFont="1" applyFill="1" applyBorder="1" applyAlignment="1">
      <alignment horizontal="center" vertical="top"/>
    </xf>
    <xf numFmtId="0" fontId="9" fillId="16" borderId="10" xfId="5" applyFont="1" applyFill="1" applyBorder="1" applyAlignment="1">
      <alignment horizontal="left" vertical="top"/>
    </xf>
    <xf numFmtId="0" fontId="9" fillId="16" borderId="4" xfId="5" applyFont="1" applyFill="1" applyBorder="1" applyAlignment="1">
      <alignment horizontal="center" vertical="top"/>
    </xf>
    <xf numFmtId="0" fontId="9" fillId="16" borderId="5" xfId="5" applyFont="1" applyFill="1" applyBorder="1" applyAlignment="1">
      <alignment horizontal="center" vertical="top"/>
    </xf>
    <xf numFmtId="0" fontId="9" fillId="16" borderId="6" xfId="5" applyFont="1" applyFill="1" applyBorder="1" applyAlignment="1">
      <alignment horizontal="center" vertical="top"/>
    </xf>
    <xf numFmtId="0" fontId="9" fillId="14" borderId="4" xfId="5" applyFont="1" applyFill="1" applyBorder="1" applyAlignment="1">
      <alignment horizontal="center" vertical="top"/>
    </xf>
    <xf numFmtId="0" fontId="9" fillId="14" borderId="5" xfId="5" applyFont="1" applyFill="1" applyBorder="1" applyAlignment="1">
      <alignment horizontal="center" vertical="top"/>
    </xf>
    <xf numFmtId="0" fontId="9" fillId="14" borderId="6" xfId="5" applyFont="1" applyFill="1" applyBorder="1" applyAlignment="1">
      <alignment horizontal="center" vertical="top"/>
    </xf>
    <xf numFmtId="0" fontId="9" fillId="16" borderId="4" xfId="5" applyFont="1" applyFill="1" applyBorder="1" applyAlignment="1">
      <alignment horizontal="left" vertical="top"/>
    </xf>
    <xf numFmtId="0" fontId="9" fillId="16" borderId="10" xfId="5" quotePrefix="1" applyFont="1" applyFill="1" applyBorder="1" applyAlignment="1">
      <alignment horizontal="center" vertical="center"/>
    </xf>
    <xf numFmtId="174" fontId="13" fillId="16" borderId="10" xfId="5" applyNumberFormat="1" applyFont="1" applyFill="1" applyBorder="1" applyAlignment="1">
      <alignment vertical="top"/>
    </xf>
    <xf numFmtId="0" fontId="9" fillId="16" borderId="10" xfId="5" applyFont="1" applyFill="1" applyBorder="1" applyAlignment="1">
      <alignment vertical="center"/>
    </xf>
    <xf numFmtId="0" fontId="2" fillId="0" borderId="0" xfId="2" applyFill="1"/>
    <xf numFmtId="0" fontId="32" fillId="0" borderId="0" xfId="0" applyFont="1"/>
    <xf numFmtId="0" fontId="33" fillId="0" borderId="0" xfId="0" applyFont="1"/>
    <xf numFmtId="0" fontId="34" fillId="0" borderId="0" xfId="5" applyFont="1"/>
    <xf numFmtId="0" fontId="31" fillId="0" borderId="0" xfId="0" applyFont="1"/>
    <xf numFmtId="164" fontId="3" fillId="4" borderId="1" xfId="3" applyNumberFormat="1" applyFill="1"/>
    <xf numFmtId="0" fontId="35" fillId="0" borderId="0" xfId="0" applyFont="1"/>
    <xf numFmtId="0" fontId="36" fillId="0" borderId="0" xfId="0" applyFont="1"/>
    <xf numFmtId="0" fontId="37" fillId="0" borderId="0" xfId="5" applyFont="1" applyAlignment="1">
      <alignment horizontal="left"/>
    </xf>
    <xf numFmtId="0" fontId="9" fillId="0" borderId="0" xfId="5" applyFont="1" applyAlignment="1">
      <alignment horizontal="left"/>
    </xf>
    <xf numFmtId="0" fontId="38" fillId="0" borderId="0" xfId="5" applyFont="1"/>
    <xf numFmtId="0" fontId="39" fillId="0" borderId="0" xfId="5" applyFont="1"/>
    <xf numFmtId="0" fontId="40" fillId="0" borderId="0" xfId="5" applyFont="1"/>
    <xf numFmtId="0" fontId="7" fillId="4" borderId="14" xfId="5" applyFill="1" applyBorder="1" applyProtection="1">
      <protection locked="0"/>
    </xf>
    <xf numFmtId="0" fontId="9" fillId="0" borderId="0" xfId="5" applyFont="1"/>
    <xf numFmtId="0" fontId="41" fillId="0" borderId="0" xfId="5" applyFont="1" applyAlignment="1">
      <alignment horizontal="center"/>
    </xf>
    <xf numFmtId="0" fontId="9" fillId="0" borderId="15" xfId="5" applyFont="1" applyBorder="1" applyAlignment="1">
      <alignment horizontal="left"/>
    </xf>
    <xf numFmtId="0" fontId="41" fillId="0" borderId="16" xfId="5" applyFont="1" applyBorder="1" applyAlignment="1">
      <alignment horizontal="center"/>
    </xf>
    <xf numFmtId="0" fontId="9" fillId="0" borderId="17" xfId="5" applyFont="1" applyBorder="1"/>
    <xf numFmtId="0" fontId="9" fillId="0" borderId="18" xfId="5" applyFont="1" applyBorder="1"/>
    <xf numFmtId="0" fontId="9" fillId="0" borderId="19" xfId="5" applyFont="1" applyBorder="1" applyAlignment="1">
      <alignment horizontal="left"/>
    </xf>
    <xf numFmtId="0" fontId="41" fillId="0" borderId="20" xfId="5" applyFont="1" applyBorder="1" applyAlignment="1">
      <alignment horizontal="center"/>
    </xf>
    <xf numFmtId="0" fontId="41" fillId="0" borderId="0" xfId="5" applyFont="1"/>
    <xf numFmtId="0" fontId="7" fillId="4" borderId="2" xfId="5" applyFill="1" applyBorder="1" applyProtection="1">
      <protection locked="0"/>
    </xf>
    <xf numFmtId="0" fontId="42" fillId="0" borderId="0" xfId="5" applyFont="1"/>
    <xf numFmtId="0" fontId="24" fillId="0" borderId="0" xfId="5" applyFont="1" applyProtection="1">
      <protection locked="0"/>
    </xf>
    <xf numFmtId="0" fontId="24" fillId="0" borderId="0" xfId="5" applyFont="1"/>
    <xf numFmtId="0" fontId="43" fillId="0" borderId="0" xfId="5" applyFont="1"/>
    <xf numFmtId="0" fontId="7" fillId="0" borderId="15" xfId="5" applyBorder="1"/>
    <xf numFmtId="0" fontId="9" fillId="0" borderId="24" xfId="5" applyFont="1" applyBorder="1" applyAlignment="1">
      <alignment horizontal="center"/>
    </xf>
    <xf numFmtId="0" fontId="9" fillId="0" borderId="0" xfId="5" applyFont="1" applyAlignment="1">
      <alignment horizontal="center"/>
    </xf>
    <xf numFmtId="0" fontId="9" fillId="0" borderId="25" xfId="5" applyFont="1" applyBorder="1" applyAlignment="1">
      <alignment horizontal="center"/>
    </xf>
    <xf numFmtId="0" fontId="7" fillId="0" borderId="24" xfId="5" applyBorder="1" applyAlignment="1">
      <alignment horizontal="center"/>
    </xf>
    <xf numFmtId="0" fontId="7" fillId="0" borderId="25" xfId="5" applyBorder="1" applyAlignment="1">
      <alignment horizontal="center"/>
    </xf>
    <xf numFmtId="0" fontId="7" fillId="0" borderId="19" xfId="5" applyBorder="1" applyAlignment="1">
      <alignment horizontal="center"/>
    </xf>
    <xf numFmtId="0" fontId="7" fillId="0" borderId="20" xfId="5" applyBorder="1" applyAlignment="1">
      <alignment horizontal="center"/>
    </xf>
    <xf numFmtId="0" fontId="7" fillId="0" borderId="26" xfId="5" applyBorder="1" applyAlignment="1">
      <alignment horizontal="center"/>
    </xf>
    <xf numFmtId="0" fontId="44" fillId="0" borderId="29" xfId="5" applyFont="1" applyBorder="1" applyAlignment="1">
      <alignment horizontal="center" wrapText="1"/>
    </xf>
    <xf numFmtId="0" fontId="44" fillId="0" borderId="30" xfId="5" applyFont="1" applyBorder="1" applyAlignment="1">
      <alignment horizontal="center" wrapText="1"/>
    </xf>
    <xf numFmtId="0" fontId="44" fillId="0" borderId="31" xfId="5" applyFont="1" applyBorder="1" applyAlignment="1">
      <alignment horizontal="center" wrapText="1"/>
    </xf>
    <xf numFmtId="0" fontId="8" fillId="0" borderId="0" xfId="5" applyFont="1" applyAlignment="1">
      <alignment horizontal="center"/>
    </xf>
    <xf numFmtId="0" fontId="10" fillId="0" borderId="32" xfId="5" applyFont="1" applyBorder="1" applyAlignment="1">
      <alignment wrapText="1"/>
    </xf>
    <xf numFmtId="0" fontId="10" fillId="0" borderId="2" xfId="5" applyFont="1" applyBorder="1" applyAlignment="1">
      <alignment wrapText="1"/>
    </xf>
    <xf numFmtId="0" fontId="10" fillId="0" borderId="34" xfId="5" applyFont="1" applyBorder="1" applyAlignment="1">
      <alignment wrapText="1"/>
    </xf>
    <xf numFmtId="0" fontId="10" fillId="0" borderId="36" xfId="5" applyFont="1" applyBorder="1" applyAlignment="1">
      <alignment wrapText="1"/>
    </xf>
    <xf numFmtId="0" fontId="10" fillId="0" borderId="13" xfId="5" applyFont="1" applyBorder="1" applyAlignment="1">
      <alignment wrapText="1"/>
    </xf>
    <xf numFmtId="0" fontId="10" fillId="0" borderId="13" xfId="5" applyFont="1" applyBorder="1" applyAlignment="1">
      <alignment horizontal="center" wrapText="1"/>
    </xf>
    <xf numFmtId="0" fontId="10" fillId="0" borderId="37" xfId="5" applyFont="1" applyBorder="1" applyAlignment="1">
      <alignment wrapText="1"/>
    </xf>
    <xf numFmtId="0" fontId="10" fillId="0" borderId="0" xfId="5" applyFont="1" applyAlignment="1">
      <alignment wrapText="1"/>
    </xf>
    <xf numFmtId="0" fontId="10" fillId="0" borderId="13" xfId="5" applyFont="1" applyBorder="1"/>
    <xf numFmtId="0" fontId="10" fillId="0" borderId="38" xfId="5" applyFont="1" applyBorder="1" applyAlignment="1">
      <alignment wrapText="1"/>
    </xf>
    <xf numFmtId="0" fontId="10" fillId="0" borderId="27" xfId="5" applyFont="1" applyBorder="1" applyAlignment="1">
      <alignment wrapText="1"/>
    </xf>
    <xf numFmtId="0" fontId="10" fillId="0" borderId="39" xfId="5" applyFont="1" applyBorder="1" applyAlignment="1">
      <alignment wrapText="1"/>
    </xf>
    <xf numFmtId="0" fontId="10" fillId="0" borderId="40" xfId="5" applyFont="1" applyBorder="1" applyAlignment="1">
      <alignment wrapText="1"/>
    </xf>
    <xf numFmtId="0" fontId="10" fillId="0" borderId="41" xfId="5" applyFont="1" applyBorder="1" applyAlignment="1">
      <alignment wrapText="1"/>
    </xf>
    <xf numFmtId="0" fontId="10" fillId="0" borderId="21" xfId="5" applyFont="1" applyBorder="1" applyAlignment="1">
      <alignment wrapText="1"/>
    </xf>
    <xf numFmtId="0" fontId="10" fillId="0" borderId="42" xfId="5" applyFont="1" applyBorder="1" applyAlignment="1">
      <alignment wrapText="1"/>
    </xf>
    <xf numFmtId="0" fontId="10" fillId="0" borderId="0" xfId="5" applyFont="1" applyAlignment="1">
      <alignment horizontal="center" wrapText="1"/>
    </xf>
    <xf numFmtId="0" fontId="10" fillId="0" borderId="43" xfId="5" applyFont="1" applyBorder="1" applyAlignment="1">
      <alignment wrapText="1"/>
    </xf>
    <xf numFmtId="0" fontId="10" fillId="0" borderId="28" xfId="5" applyFont="1" applyBorder="1" applyAlignment="1">
      <alignment wrapText="1"/>
    </xf>
    <xf numFmtId="0" fontId="10" fillId="0" borderId="44" xfId="5" applyFont="1" applyBorder="1" applyAlignment="1">
      <alignment wrapText="1"/>
    </xf>
    <xf numFmtId="0" fontId="37" fillId="0" borderId="0" xfId="5" applyFont="1"/>
    <xf numFmtId="0" fontId="46" fillId="0" borderId="0" xfId="0" applyFont="1"/>
    <xf numFmtId="164" fontId="50" fillId="0" borderId="0" xfId="5" applyNumberFormat="1" applyFont="1" applyAlignment="1">
      <alignment horizontal="left"/>
    </xf>
    <xf numFmtId="0" fontId="7" fillId="0" borderId="0" xfId="5" applyProtection="1">
      <protection locked="0"/>
    </xf>
    <xf numFmtId="164" fontId="7" fillId="0" borderId="0" xfId="5" applyNumberFormat="1" applyProtection="1">
      <protection locked="0"/>
    </xf>
    <xf numFmtId="164" fontId="7" fillId="0" borderId="0" xfId="5" applyNumberFormat="1" applyAlignment="1">
      <alignment textRotation="90"/>
    </xf>
    <xf numFmtId="0" fontId="7" fillId="0" borderId="0" xfId="5" applyAlignment="1">
      <alignment textRotation="90"/>
    </xf>
    <xf numFmtId="164" fontId="7" fillId="0" borderId="0" xfId="5" applyNumberFormat="1" applyAlignment="1">
      <alignment horizontal="center"/>
    </xf>
    <xf numFmtId="49" fontId="7" fillId="0" borderId="0" xfId="5" applyNumberFormat="1" applyAlignment="1">
      <alignment horizontal="center"/>
    </xf>
    <xf numFmtId="0" fontId="50" fillId="0" borderId="0" xfId="5" applyFont="1" applyProtection="1">
      <protection locked="0"/>
    </xf>
    <xf numFmtId="0" fontId="44" fillId="0" borderId="46" xfId="5" applyFont="1" applyBorder="1" applyAlignment="1">
      <alignment horizontal="center" vertical="center"/>
    </xf>
    <xf numFmtId="164" fontId="7" fillId="0" borderId="47" xfId="5" applyNumberFormat="1" applyBorder="1" applyAlignment="1">
      <alignment textRotation="90"/>
    </xf>
    <xf numFmtId="0" fontId="7" fillId="25" borderId="48" xfId="5" applyFill="1" applyBorder="1" applyAlignment="1" applyProtection="1">
      <alignment textRotation="90"/>
      <protection locked="0"/>
    </xf>
    <xf numFmtId="0" fontId="7" fillId="26" borderId="49" xfId="5" applyFill="1" applyBorder="1" applyAlignment="1" applyProtection="1">
      <alignment textRotation="90"/>
      <protection locked="0"/>
    </xf>
    <xf numFmtId="0" fontId="7" fillId="26" borderId="50" xfId="5" applyFill="1" applyBorder="1" applyAlignment="1" applyProtection="1">
      <alignment textRotation="90"/>
      <protection locked="0"/>
    </xf>
    <xf numFmtId="0" fontId="7" fillId="0" borderId="0" xfId="5" applyAlignment="1" applyProtection="1">
      <alignment textRotation="90"/>
      <protection locked="0"/>
    </xf>
    <xf numFmtId="0" fontId="52" fillId="0" borderId="0" xfId="5" applyFont="1" applyProtection="1">
      <protection locked="0"/>
    </xf>
    <xf numFmtId="164" fontId="7" fillId="0" borderId="0" xfId="5" applyNumberFormat="1" applyAlignment="1" applyProtection="1">
      <alignment textRotation="90"/>
      <protection locked="0"/>
    </xf>
    <xf numFmtId="0" fontId="7" fillId="0" borderId="51" xfId="5" applyBorder="1" applyAlignment="1" applyProtection="1">
      <alignment horizontal="center"/>
      <protection locked="0"/>
    </xf>
    <xf numFmtId="0" fontId="7" fillId="26" borderId="8" xfId="5" applyFill="1" applyBorder="1" applyProtection="1">
      <protection locked="0"/>
    </xf>
    <xf numFmtId="1" fontId="7" fillId="26" borderId="52" xfId="5" applyNumberFormat="1" applyFill="1" applyBorder="1" applyProtection="1">
      <protection locked="0"/>
    </xf>
    <xf numFmtId="49" fontId="7" fillId="27" borderId="9" xfId="5" applyNumberFormat="1" applyFill="1" applyBorder="1" applyAlignment="1" applyProtection="1">
      <alignment horizontal="center"/>
      <protection locked="0"/>
    </xf>
    <xf numFmtId="49" fontId="7" fillId="26" borderId="28" xfId="5" applyNumberFormat="1" applyFill="1" applyBorder="1" applyAlignment="1" applyProtection="1">
      <alignment horizontal="center"/>
      <protection locked="0"/>
    </xf>
    <xf numFmtId="49" fontId="7" fillId="26" borderId="53" xfId="5" applyNumberFormat="1" applyFill="1" applyBorder="1" applyAlignment="1" applyProtection="1">
      <alignment horizontal="center"/>
      <protection locked="0"/>
    </xf>
    <xf numFmtId="0" fontId="7" fillId="26" borderId="53" xfId="5" applyFill="1" applyBorder="1" applyProtection="1">
      <protection locked="0"/>
    </xf>
    <xf numFmtId="0" fontId="7" fillId="26" borderId="54" xfId="5" applyFill="1" applyBorder="1" applyProtection="1">
      <protection locked="0"/>
    </xf>
    <xf numFmtId="0" fontId="7" fillId="26" borderId="55" xfId="5" applyFill="1" applyBorder="1" applyProtection="1">
      <protection locked="0"/>
    </xf>
    <xf numFmtId="164" fontId="7" fillId="0" borderId="0" xfId="5" applyNumberFormat="1" applyAlignment="1" applyProtection="1">
      <alignment horizontal="center"/>
      <protection locked="0"/>
    </xf>
    <xf numFmtId="49" fontId="7" fillId="0" borderId="0" xfId="5" applyNumberFormat="1" applyAlignment="1" applyProtection="1">
      <alignment horizontal="center"/>
      <protection locked="0"/>
    </xf>
    <xf numFmtId="0" fontId="7" fillId="0" borderId="52" xfId="5" applyBorder="1" applyAlignment="1" applyProtection="1">
      <alignment horizontal="center"/>
      <protection locked="0"/>
    </xf>
    <xf numFmtId="49" fontId="7" fillId="27" borderId="3" xfId="5" applyNumberFormat="1" applyFill="1" applyBorder="1" applyAlignment="1" applyProtection="1">
      <alignment horizontal="center"/>
      <protection locked="0"/>
    </xf>
    <xf numFmtId="49" fontId="7" fillId="26" borderId="2" xfId="5" applyNumberFormat="1" applyFill="1" applyBorder="1" applyAlignment="1" applyProtection="1">
      <alignment horizontal="center"/>
      <protection locked="0"/>
    </xf>
    <xf numFmtId="0" fontId="7" fillId="26" borderId="2" xfId="5" applyFill="1" applyBorder="1" applyProtection="1">
      <protection locked="0"/>
    </xf>
    <xf numFmtId="0" fontId="7" fillId="26" borderId="3" xfId="5" applyFill="1" applyBorder="1" applyProtection="1">
      <protection locked="0"/>
    </xf>
    <xf numFmtId="0" fontId="7" fillId="26" borderId="56" xfId="5" applyFill="1" applyBorder="1" applyProtection="1">
      <protection locked="0"/>
    </xf>
    <xf numFmtId="0" fontId="7" fillId="26" borderId="28" xfId="5" applyFill="1" applyBorder="1" applyProtection="1">
      <protection locked="0"/>
    </xf>
    <xf numFmtId="0" fontId="7" fillId="26" borderId="9" xfId="5" applyFill="1" applyBorder="1" applyProtection="1">
      <protection locked="0"/>
    </xf>
    <xf numFmtId="0" fontId="7" fillId="26" borderId="57" xfId="5" applyFill="1" applyBorder="1" applyProtection="1">
      <protection locked="0"/>
    </xf>
    <xf numFmtId="0" fontId="7" fillId="26" borderId="58" xfId="5" applyFill="1" applyBorder="1" applyProtection="1">
      <protection locked="0"/>
    </xf>
    <xf numFmtId="49" fontId="7" fillId="26" borderId="27" xfId="5" applyNumberFormat="1" applyFill="1" applyBorder="1" applyAlignment="1" applyProtection="1">
      <alignment horizontal="center"/>
      <protection locked="0"/>
    </xf>
    <xf numFmtId="0" fontId="7" fillId="0" borderId="59" xfId="5" applyBorder="1" applyAlignment="1" applyProtection="1">
      <alignment horizontal="center"/>
      <protection locked="0"/>
    </xf>
    <xf numFmtId="1" fontId="7" fillId="26" borderId="59" xfId="5" applyNumberFormat="1" applyFill="1" applyBorder="1" applyProtection="1">
      <protection locked="0"/>
    </xf>
    <xf numFmtId="49" fontId="7" fillId="26" borderId="60" xfId="5" applyNumberFormat="1" applyFill="1" applyBorder="1" applyAlignment="1" applyProtection="1">
      <alignment horizontal="center"/>
      <protection locked="0"/>
    </xf>
    <xf numFmtId="0" fontId="7" fillId="26" borderId="11" xfId="5" applyFill="1" applyBorder="1" applyProtection="1">
      <protection locked="0"/>
    </xf>
    <xf numFmtId="0" fontId="7" fillId="26" borderId="35" xfId="5" applyFill="1" applyBorder="1" applyProtection="1">
      <protection locked="0"/>
    </xf>
    <xf numFmtId="0" fontId="7" fillId="26" borderId="61" xfId="5" applyFill="1" applyBorder="1" applyProtection="1">
      <protection locked="0"/>
    </xf>
    <xf numFmtId="164" fontId="7" fillId="0" borderId="62" xfId="5" applyNumberFormat="1" applyBorder="1" applyAlignment="1">
      <alignment horizontal="left"/>
    </xf>
    <xf numFmtId="0" fontId="7" fillId="27" borderId="63" xfId="5" applyFill="1" applyBorder="1" applyAlignment="1">
      <alignment horizontal="center"/>
    </xf>
    <xf numFmtId="0" fontId="7" fillId="27" borderId="54" xfId="5" applyFill="1" applyBorder="1" applyAlignment="1">
      <alignment horizontal="center"/>
    </xf>
    <xf numFmtId="1" fontId="7" fillId="28" borderId="53" xfId="5" applyNumberFormat="1" applyFill="1" applyBorder="1" applyAlignment="1">
      <alignment horizontal="center"/>
    </xf>
    <xf numFmtId="1" fontId="7" fillId="28" borderId="54" xfId="5" applyNumberFormat="1" applyFill="1" applyBorder="1" applyAlignment="1">
      <alignment horizontal="center"/>
    </xf>
    <xf numFmtId="1" fontId="7" fillId="28" borderId="55" xfId="5" applyNumberFormat="1" applyFill="1" applyBorder="1" applyAlignment="1">
      <alignment horizontal="center"/>
    </xf>
    <xf numFmtId="164" fontId="7" fillId="0" borderId="0" xfId="5" applyNumberFormat="1" applyAlignment="1" applyProtection="1">
      <alignment horizontal="right"/>
      <protection locked="0"/>
    </xf>
    <xf numFmtId="0" fontId="7" fillId="0" borderId="0" xfId="5" applyAlignment="1" applyProtection="1">
      <alignment horizontal="center"/>
      <protection locked="0"/>
    </xf>
    <xf numFmtId="164" fontId="7" fillId="0" borderId="64" xfId="5" applyNumberFormat="1" applyBorder="1" applyAlignment="1">
      <alignment horizontal="left"/>
    </xf>
    <xf numFmtId="0" fontId="7" fillId="27" borderId="65" xfId="5" applyFill="1" applyBorder="1" applyAlignment="1">
      <alignment horizontal="center"/>
    </xf>
    <xf numFmtId="0" fontId="7" fillId="27" borderId="3" xfId="5" applyFill="1" applyBorder="1" applyAlignment="1">
      <alignment horizontal="center"/>
    </xf>
    <xf numFmtId="1" fontId="7" fillId="29" borderId="2" xfId="5" applyNumberFormat="1" applyFill="1" applyBorder="1" applyAlignment="1">
      <alignment horizontal="center"/>
    </xf>
    <xf numFmtId="1" fontId="7" fillId="29" borderId="3" xfId="5" applyNumberFormat="1" applyFill="1" applyBorder="1" applyAlignment="1">
      <alignment horizontal="center"/>
    </xf>
    <xf numFmtId="1" fontId="7" fillId="29" borderId="56" xfId="5" applyNumberFormat="1" applyFill="1" applyBorder="1" applyAlignment="1">
      <alignment horizontal="center"/>
    </xf>
    <xf numFmtId="164" fontId="7" fillId="0" borderId="66" xfId="5" applyNumberFormat="1" applyBorder="1" applyAlignment="1">
      <alignment horizontal="left"/>
    </xf>
    <xf numFmtId="0" fontId="7" fillId="27" borderId="67" xfId="5" applyFill="1" applyBorder="1" applyAlignment="1">
      <alignment horizontal="center"/>
    </xf>
    <xf numFmtId="0" fontId="7" fillId="27" borderId="68" xfId="5" applyFill="1" applyBorder="1" applyAlignment="1">
      <alignment horizontal="center"/>
    </xf>
    <xf numFmtId="1" fontId="7" fillId="25" borderId="60" xfId="5" applyNumberFormat="1" applyFill="1" applyBorder="1" applyAlignment="1">
      <alignment horizontal="center"/>
    </xf>
    <xf numFmtId="1" fontId="7" fillId="25" borderId="68" xfId="5" applyNumberFormat="1" applyFill="1" applyBorder="1" applyAlignment="1">
      <alignment horizontal="center"/>
    </xf>
    <xf numFmtId="1" fontId="7" fillId="25" borderId="69" xfId="5" applyNumberFormat="1" applyFill="1" applyBorder="1" applyAlignment="1">
      <alignment horizontal="center"/>
    </xf>
    <xf numFmtId="1" fontId="7" fillId="0" borderId="0" xfId="5" applyNumberFormat="1" applyAlignment="1" applyProtection="1">
      <alignment horizontal="center"/>
      <protection locked="0"/>
    </xf>
    <xf numFmtId="164" fontId="7" fillId="0" borderId="70" xfId="5" applyNumberFormat="1" applyBorder="1" applyAlignment="1">
      <alignment horizontal="left"/>
    </xf>
    <xf numFmtId="1" fontId="7" fillId="29" borderId="27" xfId="5" applyNumberFormat="1" applyFill="1" applyBorder="1" applyAlignment="1">
      <alignment horizontal="center"/>
    </xf>
    <xf numFmtId="1" fontId="7" fillId="29" borderId="71" xfId="5" applyNumberFormat="1" applyFill="1" applyBorder="1" applyAlignment="1">
      <alignment horizontal="center"/>
    </xf>
    <xf numFmtId="0" fontId="7" fillId="0" borderId="46" xfId="5" applyBorder="1"/>
    <xf numFmtId="0" fontId="7" fillId="27" borderId="72" xfId="5" applyFill="1" applyBorder="1" applyAlignment="1">
      <alignment horizontal="center"/>
    </xf>
    <xf numFmtId="0" fontId="7" fillId="27" borderId="48" xfId="5" applyFill="1" applyBorder="1" applyAlignment="1">
      <alignment horizontal="center"/>
    </xf>
    <xf numFmtId="1" fontId="7" fillId="30" borderId="49" xfId="5" applyNumberFormat="1" applyFill="1" applyBorder="1" applyAlignment="1">
      <alignment horizontal="center"/>
    </xf>
    <xf numFmtId="1" fontId="7" fillId="30" borderId="73" xfId="5" applyNumberFormat="1" applyFill="1" applyBorder="1" applyAlignment="1">
      <alignment horizontal="center"/>
    </xf>
    <xf numFmtId="0" fontId="53" fillId="0" borderId="0" xfId="5" applyFont="1" applyAlignment="1">
      <alignment horizontal="left"/>
    </xf>
    <xf numFmtId="164" fontId="54" fillId="0" borderId="0" xfId="5" applyNumberFormat="1" applyFont="1"/>
    <xf numFmtId="0" fontId="54" fillId="0" borderId="0" xfId="5" applyFont="1"/>
    <xf numFmtId="164" fontId="52" fillId="0" borderId="0" xfId="5" applyNumberFormat="1" applyFont="1" applyAlignment="1">
      <alignment horizontal="center"/>
    </xf>
    <xf numFmtId="164" fontId="7" fillId="0" borderId="0" xfId="5" applyNumberFormat="1" applyAlignment="1">
      <alignment horizontal="right"/>
    </xf>
    <xf numFmtId="1" fontId="7" fillId="0" borderId="0" xfId="5" applyNumberFormat="1" applyAlignment="1">
      <alignment horizontal="center"/>
    </xf>
    <xf numFmtId="0" fontId="9" fillId="24" borderId="21" xfId="5" applyFont="1" applyFill="1" applyBorder="1"/>
    <xf numFmtId="0" fontId="9" fillId="24" borderId="22" xfId="5" applyFont="1" applyFill="1" applyBorder="1"/>
    <xf numFmtId="0" fontId="55" fillId="0" borderId="0" xfId="0" applyFont="1" applyAlignment="1">
      <alignment horizontal="left" vertical="center" readingOrder="1"/>
    </xf>
    <xf numFmtId="0" fontId="7" fillId="0" borderId="0" xfId="5" applyAlignment="1">
      <alignment horizontal="left"/>
    </xf>
    <xf numFmtId="0" fontId="38" fillId="0" borderId="0" xfId="5" applyFont="1" applyAlignment="1">
      <alignment horizontal="left"/>
    </xf>
    <xf numFmtId="0" fontId="7" fillId="31" borderId="14" xfId="5" applyFill="1" applyBorder="1" applyProtection="1">
      <protection locked="0"/>
    </xf>
    <xf numFmtId="0" fontId="9" fillId="0" borderId="76" xfId="5" applyFont="1" applyBorder="1"/>
    <xf numFmtId="0" fontId="9" fillId="23" borderId="21" xfId="5" applyFont="1" applyFill="1" applyBorder="1"/>
    <xf numFmtId="0" fontId="9" fillId="23" borderId="42" xfId="5" applyFont="1" applyFill="1" applyBorder="1"/>
    <xf numFmtId="0" fontId="7" fillId="31" borderId="78" xfId="5" applyFill="1" applyBorder="1" applyProtection="1">
      <protection locked="0"/>
    </xf>
    <xf numFmtId="0" fontId="7" fillId="31" borderId="80" xfId="5" applyFill="1" applyBorder="1" applyProtection="1">
      <protection locked="0"/>
    </xf>
    <xf numFmtId="0" fontId="9" fillId="0" borderId="75" xfId="5" applyFont="1" applyBorder="1" applyAlignment="1">
      <alignment horizontal="left"/>
    </xf>
    <xf numFmtId="0" fontId="41" fillId="0" borderId="17" xfId="5" applyFont="1" applyBorder="1" applyAlignment="1">
      <alignment horizontal="center"/>
    </xf>
    <xf numFmtId="0" fontId="9" fillId="0" borderId="41" xfId="5" applyFont="1" applyBorder="1"/>
    <xf numFmtId="0" fontId="7" fillId="0" borderId="21" xfId="5" applyBorder="1"/>
    <xf numFmtId="0" fontId="7" fillId="31" borderId="80" xfId="5" applyFill="1" applyBorder="1"/>
    <xf numFmtId="0" fontId="7" fillId="31" borderId="77" xfId="5" applyFill="1" applyBorder="1" applyProtection="1">
      <protection locked="0"/>
    </xf>
    <xf numFmtId="0" fontId="7" fillId="0" borderId="16" xfId="5" applyBorder="1"/>
    <xf numFmtId="0" fontId="9" fillId="0" borderId="41" xfId="5" applyFont="1" applyBorder="1" applyAlignment="1">
      <alignment horizontal="left"/>
    </xf>
    <xf numFmtId="0" fontId="41" fillId="0" borderId="21" xfId="5" applyFont="1" applyBorder="1" applyAlignment="1">
      <alignment horizontal="center"/>
    </xf>
    <xf numFmtId="0" fontId="7" fillId="31" borderId="79" xfId="5" applyFill="1" applyBorder="1" applyProtection="1">
      <protection locked="0"/>
    </xf>
    <xf numFmtId="0" fontId="9" fillId="0" borderId="74" xfId="5" applyFont="1" applyBorder="1" applyAlignment="1">
      <alignment horizontal="left"/>
    </xf>
    <xf numFmtId="0" fontId="41" fillId="0" borderId="84" xfId="5" applyFont="1" applyBorder="1" applyAlignment="1">
      <alignment horizontal="center"/>
    </xf>
    <xf numFmtId="0" fontId="9" fillId="0" borderId="14" xfId="5" applyFont="1" applyBorder="1"/>
    <xf numFmtId="0" fontId="7" fillId="0" borderId="14" xfId="5" applyBorder="1"/>
    <xf numFmtId="0" fontId="7" fillId="31" borderId="75" xfId="5" applyFill="1" applyBorder="1" applyProtection="1">
      <protection locked="0"/>
    </xf>
    <xf numFmtId="0" fontId="7" fillId="31" borderId="76" xfId="5" applyFill="1" applyBorder="1" applyProtection="1">
      <protection locked="0"/>
    </xf>
    <xf numFmtId="165" fontId="7" fillId="0" borderId="0" xfId="5" applyNumberFormat="1"/>
    <xf numFmtId="0" fontId="7" fillId="31" borderId="32" xfId="5" applyFill="1" applyBorder="1" applyProtection="1">
      <protection locked="0"/>
    </xf>
    <xf numFmtId="0" fontId="7" fillId="31" borderId="34" xfId="5" applyFill="1" applyBorder="1" applyProtection="1">
      <protection locked="0"/>
    </xf>
    <xf numFmtId="0" fontId="7" fillId="31" borderId="41" xfId="5" applyFill="1" applyBorder="1" applyProtection="1">
      <protection locked="0"/>
    </xf>
    <xf numFmtId="0" fontId="7" fillId="31" borderId="42" xfId="5" applyFill="1" applyBorder="1" applyProtection="1">
      <protection locked="0"/>
    </xf>
    <xf numFmtId="0" fontId="7" fillId="31" borderId="87" xfId="5" applyFill="1" applyBorder="1" applyProtection="1">
      <protection locked="0"/>
    </xf>
    <xf numFmtId="0" fontId="7" fillId="31" borderId="88" xfId="5" applyFill="1" applyBorder="1" applyProtection="1">
      <protection locked="0"/>
    </xf>
    <xf numFmtId="0" fontId="0" fillId="24" borderId="89" xfId="0" applyFill="1" applyBorder="1"/>
    <xf numFmtId="0" fontId="0" fillId="0" borderId="89" xfId="0" applyBorder="1"/>
    <xf numFmtId="0" fontId="51" fillId="0" borderId="0" xfId="5" applyFont="1"/>
    <xf numFmtId="0" fontId="57" fillId="0" borderId="0" xfId="5" applyFont="1"/>
    <xf numFmtId="0" fontId="58" fillId="0" borderId="0" xfId="5" applyFont="1"/>
    <xf numFmtId="0" fontId="59" fillId="0" borderId="0" xfId="0" applyFont="1"/>
    <xf numFmtId="2" fontId="14" fillId="12" borderId="2" xfId="5" applyNumberFormat="1" applyFont="1" applyFill="1" applyBorder="1"/>
    <xf numFmtId="0" fontId="60" fillId="0" borderId="0" xfId="12" applyProtection="1">
      <protection hidden="1"/>
    </xf>
    <xf numFmtId="0" fontId="7" fillId="25" borderId="0" xfId="5" applyFill="1" applyAlignment="1" applyProtection="1">
      <alignment vertical="center"/>
      <protection hidden="1"/>
    </xf>
    <xf numFmtId="0" fontId="7" fillId="25" borderId="0" xfId="5" applyFill="1" applyAlignment="1" applyProtection="1">
      <alignment horizontal="right" vertical="center"/>
      <protection hidden="1"/>
    </xf>
    <xf numFmtId="0" fontId="7" fillId="25" borderId="11" xfId="5" applyFill="1" applyBorder="1" applyAlignment="1" applyProtection="1">
      <alignment vertical="center"/>
      <protection hidden="1"/>
    </xf>
    <xf numFmtId="0" fontId="7" fillId="25" borderId="10" xfId="5" applyFill="1" applyBorder="1" applyAlignment="1" applyProtection="1">
      <alignment vertical="center"/>
      <protection hidden="1"/>
    </xf>
    <xf numFmtId="0" fontId="7" fillId="0" borderId="89" xfId="5" applyBorder="1" applyAlignment="1" applyProtection="1">
      <alignment vertical="center"/>
      <protection locked="0"/>
    </xf>
    <xf numFmtId="0" fontId="7" fillId="32" borderId="89" xfId="5" applyFill="1" applyBorder="1" applyAlignment="1" applyProtection="1">
      <alignment horizontal="center" vertical="center"/>
      <protection hidden="1"/>
    </xf>
    <xf numFmtId="0" fontId="7" fillId="32" borderId="89" xfId="5" applyFill="1" applyBorder="1" applyAlignment="1" applyProtection="1">
      <alignment vertical="center"/>
      <protection hidden="1"/>
    </xf>
    <xf numFmtId="0" fontId="7" fillId="25" borderId="7" xfId="5" applyFill="1" applyBorder="1" applyAlignment="1" applyProtection="1">
      <alignment vertical="center"/>
      <protection hidden="1"/>
    </xf>
    <xf numFmtId="0" fontId="7" fillId="25" borderId="8" xfId="5" applyFill="1" applyBorder="1" applyAlignment="1" applyProtection="1">
      <alignment vertical="center"/>
      <protection hidden="1"/>
    </xf>
    <xf numFmtId="0" fontId="7" fillId="25" borderId="9" xfId="5" applyFill="1" applyBorder="1" applyAlignment="1" applyProtection="1">
      <alignment vertical="center"/>
      <protection hidden="1"/>
    </xf>
    <xf numFmtId="0" fontId="7" fillId="33" borderId="89" xfId="5" applyFill="1" applyBorder="1" applyAlignment="1" applyProtection="1">
      <alignment horizontal="center" vertical="center"/>
      <protection hidden="1"/>
    </xf>
    <xf numFmtId="0" fontId="7" fillId="0" borderId="91" xfId="5" applyBorder="1" applyAlignment="1" applyProtection="1">
      <alignment vertical="center"/>
      <protection locked="0"/>
    </xf>
    <xf numFmtId="0" fontId="7" fillId="33" borderId="89" xfId="5" applyFill="1" applyBorder="1" applyAlignment="1" applyProtection="1">
      <alignment horizontal="right" vertical="center"/>
      <protection hidden="1"/>
    </xf>
    <xf numFmtId="0" fontId="7" fillId="33" borderId="91" xfId="5" applyFill="1" applyBorder="1" applyAlignment="1" applyProtection="1">
      <alignment vertical="center"/>
      <protection hidden="1"/>
    </xf>
    <xf numFmtId="0" fontId="7" fillId="33" borderId="90" xfId="5" applyFill="1" applyBorder="1" applyAlignment="1" applyProtection="1">
      <alignment horizontal="right" vertical="center"/>
      <protection hidden="1"/>
    </xf>
    <xf numFmtId="0" fontId="7" fillId="32" borderId="91" xfId="5" applyFill="1" applyBorder="1" applyAlignment="1" applyProtection="1">
      <alignment horizontal="right" vertical="center"/>
      <protection hidden="1"/>
    </xf>
    <xf numFmtId="0" fontId="7" fillId="32" borderId="90" xfId="5" applyFill="1" applyBorder="1" applyAlignment="1" applyProtection="1">
      <alignment horizontal="left" vertical="center"/>
      <protection hidden="1"/>
    </xf>
    <xf numFmtId="0" fontId="7" fillId="32" borderId="92" xfId="5" applyFill="1" applyBorder="1" applyAlignment="1" applyProtection="1">
      <alignment horizontal="right" vertical="center"/>
      <protection hidden="1"/>
    </xf>
    <xf numFmtId="0" fontId="7" fillId="32" borderId="94" xfId="5" applyFill="1" applyBorder="1" applyAlignment="1" applyProtection="1">
      <alignment horizontal="left" vertical="center"/>
      <protection hidden="1"/>
    </xf>
    <xf numFmtId="0" fontId="7" fillId="32" borderId="7" xfId="5" applyFill="1" applyBorder="1" applyAlignment="1" applyProtection="1">
      <alignment horizontal="right" vertical="center"/>
      <protection hidden="1"/>
    </xf>
    <xf numFmtId="0" fontId="7" fillId="32" borderId="9" xfId="5" applyFill="1" applyBorder="1" applyAlignment="1" applyProtection="1">
      <alignment horizontal="left" vertical="center"/>
      <protection hidden="1"/>
    </xf>
    <xf numFmtId="0" fontId="7" fillId="33" borderId="95" xfId="5" applyFill="1" applyBorder="1" applyAlignment="1" applyProtection="1">
      <alignment vertical="center"/>
      <protection hidden="1"/>
    </xf>
    <xf numFmtId="0" fontId="7" fillId="33" borderId="90" xfId="5" applyFill="1" applyBorder="1" applyAlignment="1" applyProtection="1">
      <alignment vertical="center"/>
      <protection hidden="1"/>
    </xf>
    <xf numFmtId="0" fontId="7" fillId="32" borderId="91" xfId="5" applyFill="1" applyBorder="1" applyAlignment="1" applyProtection="1">
      <alignment vertical="center"/>
      <protection hidden="1"/>
    </xf>
    <xf numFmtId="0" fontId="7" fillId="32" borderId="92" xfId="5" applyFill="1" applyBorder="1" applyAlignment="1" applyProtection="1">
      <alignment vertical="center"/>
      <protection hidden="1"/>
    </xf>
    <xf numFmtId="0" fontId="7" fillId="32" borderId="93" xfId="5" applyFill="1" applyBorder="1" applyAlignment="1" applyProtection="1">
      <alignment vertical="center"/>
      <protection hidden="1"/>
    </xf>
    <xf numFmtId="0" fontId="7" fillId="32" borderId="94" xfId="5" applyFill="1" applyBorder="1" applyAlignment="1" applyProtection="1">
      <alignment vertical="center"/>
      <protection hidden="1"/>
    </xf>
    <xf numFmtId="0" fontId="7" fillId="32" borderId="10" xfId="5" applyFill="1" applyBorder="1" applyAlignment="1" applyProtection="1">
      <alignment vertical="center"/>
      <protection hidden="1"/>
    </xf>
    <xf numFmtId="0" fontId="7" fillId="32" borderId="0" xfId="5" applyFill="1" applyAlignment="1" applyProtection="1">
      <alignment horizontal="right" vertical="center"/>
      <protection hidden="1"/>
    </xf>
    <xf numFmtId="0" fontId="7" fillId="32" borderId="0" xfId="5" applyFill="1" applyAlignment="1" applyProtection="1">
      <alignment vertical="center"/>
      <protection hidden="1"/>
    </xf>
    <xf numFmtId="0" fontId="7" fillId="32" borderId="11" xfId="5" applyFill="1" applyBorder="1" applyAlignment="1" applyProtection="1">
      <alignment vertical="center"/>
      <protection hidden="1"/>
    </xf>
    <xf numFmtId="0" fontId="7" fillId="32" borderId="0" xfId="5" applyFill="1" applyAlignment="1" applyProtection="1">
      <alignment horizontal="center" vertical="center"/>
      <protection hidden="1"/>
    </xf>
    <xf numFmtId="0" fontId="7" fillId="32" borderId="0" xfId="5" applyFill="1" applyAlignment="1" applyProtection="1">
      <alignment horizontal="left" vertical="center"/>
      <protection hidden="1"/>
    </xf>
    <xf numFmtId="0" fontId="7" fillId="33" borderId="75" xfId="5" applyFill="1" applyBorder="1" applyAlignment="1" applyProtection="1">
      <alignment horizontal="center" vertical="center"/>
      <protection hidden="1"/>
    </xf>
    <xf numFmtId="0" fontId="7" fillId="33" borderId="76" xfId="5" applyFill="1" applyBorder="1" applyAlignment="1" applyProtection="1">
      <alignment horizontal="center" vertical="center"/>
      <protection hidden="1"/>
    </xf>
    <xf numFmtId="0" fontId="7" fillId="33" borderId="32" xfId="5" applyFill="1" applyBorder="1" applyAlignment="1" applyProtection="1">
      <alignment horizontal="center" vertical="center"/>
      <protection hidden="1"/>
    </xf>
    <xf numFmtId="0" fontId="7" fillId="32" borderId="34" xfId="5" applyFill="1" applyBorder="1" applyAlignment="1" applyProtection="1">
      <alignment horizontal="center" vertical="center"/>
      <protection hidden="1"/>
    </xf>
    <xf numFmtId="171" fontId="7" fillId="32" borderId="0" xfId="5" applyNumberFormat="1" applyFill="1" applyAlignment="1" applyProtection="1">
      <alignment horizontal="left" vertical="center"/>
      <protection hidden="1"/>
    </xf>
    <xf numFmtId="0" fontId="7" fillId="33" borderId="41" xfId="5" applyFill="1" applyBorder="1" applyAlignment="1" applyProtection="1">
      <alignment horizontal="center" vertical="center"/>
      <protection hidden="1"/>
    </xf>
    <xf numFmtId="0" fontId="7" fillId="32" borderId="42" xfId="5" applyFill="1" applyBorder="1" applyAlignment="1" applyProtection="1">
      <alignment horizontal="center" vertical="center"/>
      <protection hidden="1"/>
    </xf>
    <xf numFmtId="0" fontId="7" fillId="32" borderId="8" xfId="5" applyFill="1" applyBorder="1" applyAlignment="1" applyProtection="1">
      <alignment vertical="center"/>
      <protection hidden="1"/>
    </xf>
    <xf numFmtId="0" fontId="7" fillId="32" borderId="9" xfId="5" applyFill="1" applyBorder="1" applyAlignment="1" applyProtection="1">
      <alignment vertical="center"/>
      <protection hidden="1"/>
    </xf>
    <xf numFmtId="0" fontId="7" fillId="32" borderId="0" xfId="5" quotePrefix="1" applyFill="1" applyAlignment="1" applyProtection="1">
      <alignment vertical="center"/>
      <protection hidden="1"/>
    </xf>
    <xf numFmtId="0" fontId="7" fillId="32" borderId="11" xfId="5" applyFill="1" applyBorder="1" applyAlignment="1" applyProtection="1">
      <alignment horizontal="center" vertical="center"/>
      <protection hidden="1"/>
    </xf>
    <xf numFmtId="0" fontId="7" fillId="32" borderId="0" xfId="5" quotePrefix="1" applyFill="1" applyAlignment="1" applyProtection="1">
      <alignment horizontal="left" vertical="center"/>
      <protection hidden="1"/>
    </xf>
    <xf numFmtId="0" fontId="7" fillId="33" borderId="17" xfId="5" applyFill="1" applyBorder="1" applyAlignment="1" applyProtection="1">
      <alignment horizontal="center" vertical="center"/>
      <protection hidden="1"/>
    </xf>
    <xf numFmtId="0" fontId="7" fillId="32" borderId="21" xfId="5" applyFill="1" applyBorder="1" applyAlignment="1" applyProtection="1">
      <alignment horizontal="center" vertical="center"/>
      <protection hidden="1"/>
    </xf>
    <xf numFmtId="0" fontId="7" fillId="32" borderId="7" xfId="5" applyFill="1" applyBorder="1" applyAlignment="1" applyProtection="1">
      <alignment vertical="center"/>
      <protection hidden="1"/>
    </xf>
    <xf numFmtId="0" fontId="7" fillId="32" borderId="11" xfId="5" applyFill="1" applyBorder="1" applyAlignment="1" applyProtection="1">
      <alignment horizontal="left" vertical="center"/>
      <protection hidden="1"/>
    </xf>
    <xf numFmtId="0" fontId="8" fillId="25" borderId="0" xfId="5" applyFont="1" applyFill="1" applyAlignment="1" applyProtection="1">
      <alignment horizontal="left"/>
      <protection hidden="1"/>
    </xf>
    <xf numFmtId="0" fontId="10" fillId="25" borderId="0" xfId="5" applyFont="1" applyFill="1" applyProtection="1">
      <protection hidden="1"/>
    </xf>
    <xf numFmtId="0" fontId="8" fillId="25" borderId="0" xfId="5" applyFont="1" applyFill="1" applyProtection="1">
      <protection hidden="1"/>
    </xf>
    <xf numFmtId="0" fontId="7" fillId="25" borderId="0" xfId="5" applyFill="1" applyProtection="1">
      <protection hidden="1"/>
    </xf>
    <xf numFmtId="0" fontId="10" fillId="0" borderId="0" xfId="5" applyFont="1" applyProtection="1">
      <protection hidden="1"/>
    </xf>
    <xf numFmtId="0" fontId="10" fillId="25" borderId="0" xfId="5" applyFont="1" applyFill="1" applyAlignment="1" applyProtection="1">
      <alignment horizontal="left"/>
      <protection hidden="1"/>
    </xf>
    <xf numFmtId="0" fontId="7" fillId="0" borderId="0" xfId="5" applyProtection="1">
      <protection hidden="1"/>
    </xf>
    <xf numFmtId="0" fontId="8" fillId="33" borderId="91" xfId="5" applyFont="1" applyFill="1" applyBorder="1" applyProtection="1">
      <protection hidden="1"/>
    </xf>
    <xf numFmtId="0" fontId="8" fillId="33" borderId="95" xfId="5" applyFont="1" applyFill="1" applyBorder="1" applyProtection="1">
      <protection hidden="1"/>
    </xf>
    <xf numFmtId="0" fontId="10" fillId="33" borderId="90" xfId="5" applyFont="1" applyFill="1" applyBorder="1" applyProtection="1">
      <protection hidden="1"/>
    </xf>
    <xf numFmtId="0" fontId="10" fillId="33" borderId="95" xfId="5" applyFont="1" applyFill="1" applyBorder="1" applyProtection="1">
      <protection hidden="1"/>
    </xf>
    <xf numFmtId="0" fontId="10" fillId="32" borderId="10" xfId="5" applyFont="1" applyFill="1" applyBorder="1" applyProtection="1">
      <protection hidden="1"/>
    </xf>
    <xf numFmtId="0" fontId="8" fillId="32" borderId="0" xfId="5" applyFont="1" applyFill="1" applyProtection="1">
      <protection hidden="1"/>
    </xf>
    <xf numFmtId="0" fontId="10" fillId="32" borderId="0" xfId="5" applyFont="1" applyFill="1" applyProtection="1">
      <protection hidden="1"/>
    </xf>
    <xf numFmtId="0" fontId="62" fillId="32" borderId="0" xfId="5" applyFont="1" applyFill="1" applyAlignment="1" applyProtection="1">
      <alignment horizontal="center"/>
      <protection hidden="1"/>
    </xf>
    <xf numFmtId="0" fontId="10" fillId="32" borderId="0" xfId="5" applyFont="1" applyFill="1" applyAlignment="1" applyProtection="1">
      <alignment horizontal="center"/>
      <protection hidden="1"/>
    </xf>
    <xf numFmtId="10" fontId="10" fillId="32" borderId="11" xfId="5" applyNumberFormat="1" applyFont="1" applyFill="1" applyBorder="1" applyAlignment="1" applyProtection="1">
      <alignment horizontal="right"/>
      <protection hidden="1"/>
    </xf>
    <xf numFmtId="0" fontId="10" fillId="32" borderId="10" xfId="5" applyFont="1" applyFill="1" applyBorder="1" applyAlignment="1" applyProtection="1">
      <alignment horizontal="left"/>
      <protection hidden="1"/>
    </xf>
    <xf numFmtId="0" fontId="10" fillId="32" borderId="0" xfId="5" applyFont="1" applyFill="1" applyAlignment="1" applyProtection="1">
      <alignment horizontal="right"/>
      <protection hidden="1"/>
    </xf>
    <xf numFmtId="0" fontId="10" fillId="32" borderId="8" xfId="5" applyFont="1" applyFill="1" applyBorder="1" applyAlignment="1" applyProtection="1">
      <alignment horizontal="center"/>
      <protection hidden="1"/>
    </xf>
    <xf numFmtId="0" fontId="10" fillId="32" borderId="8" xfId="5" applyFont="1" applyFill="1" applyBorder="1" applyProtection="1">
      <protection hidden="1"/>
    </xf>
    <xf numFmtId="10" fontId="10" fillId="32" borderId="9" xfId="5" applyNumberFormat="1" applyFont="1" applyFill="1" applyBorder="1" applyAlignment="1" applyProtection="1">
      <alignment horizontal="right"/>
      <protection hidden="1"/>
    </xf>
    <xf numFmtId="0" fontId="10" fillId="32" borderId="95" xfId="5" applyFont="1" applyFill="1" applyBorder="1" applyAlignment="1" applyProtection="1">
      <alignment horizontal="left"/>
      <protection hidden="1"/>
    </xf>
    <xf numFmtId="0" fontId="10" fillId="32" borderId="95" xfId="5" applyFont="1" applyFill="1" applyBorder="1" applyProtection="1">
      <protection hidden="1"/>
    </xf>
    <xf numFmtId="0" fontId="10" fillId="32" borderId="90" xfId="5" applyFont="1" applyFill="1" applyBorder="1" applyProtection="1">
      <protection hidden="1"/>
    </xf>
    <xf numFmtId="0" fontId="10" fillId="25" borderId="0" xfId="5" applyFont="1" applyFill="1" applyAlignment="1" applyProtection="1">
      <alignment horizontal="right"/>
      <protection hidden="1"/>
    </xf>
    <xf numFmtId="0" fontId="8" fillId="32" borderId="10" xfId="5" applyFont="1" applyFill="1" applyBorder="1" applyProtection="1">
      <protection hidden="1"/>
    </xf>
    <xf numFmtId="0" fontId="10" fillId="32" borderId="11" xfId="5" applyFont="1" applyFill="1" applyBorder="1" applyProtection="1">
      <protection hidden="1"/>
    </xf>
    <xf numFmtId="10" fontId="63" fillId="32" borderId="0" xfId="5" applyNumberFormat="1" applyFont="1" applyFill="1" applyAlignment="1" applyProtection="1">
      <alignment horizontal="right"/>
      <protection hidden="1"/>
    </xf>
    <xf numFmtId="10" fontId="63" fillId="32" borderId="11" xfId="5" applyNumberFormat="1" applyFont="1" applyFill="1" applyBorder="1" applyAlignment="1" applyProtection="1">
      <alignment horizontal="right"/>
      <protection hidden="1"/>
    </xf>
    <xf numFmtId="10" fontId="10" fillId="32" borderId="0" xfId="5" applyNumberFormat="1" applyFont="1" applyFill="1" applyAlignment="1" applyProtection="1">
      <alignment horizontal="right"/>
      <protection hidden="1"/>
    </xf>
    <xf numFmtId="10" fontId="10" fillId="32" borderId="8" xfId="5" applyNumberFormat="1" applyFont="1" applyFill="1" applyBorder="1" applyAlignment="1" applyProtection="1">
      <alignment horizontal="right"/>
      <protection hidden="1"/>
    </xf>
    <xf numFmtId="0" fontId="10" fillId="32" borderId="8" xfId="5" applyFont="1" applyFill="1" applyBorder="1" applyAlignment="1" applyProtection="1">
      <alignment horizontal="right"/>
      <protection hidden="1"/>
    </xf>
    <xf numFmtId="0" fontId="8" fillId="33" borderId="90" xfId="5" applyFont="1" applyFill="1" applyBorder="1" applyProtection="1">
      <protection hidden="1"/>
    </xf>
    <xf numFmtId="0" fontId="8" fillId="32" borderId="11" xfId="5" applyFont="1" applyFill="1" applyBorder="1" applyProtection="1">
      <protection hidden="1"/>
    </xf>
    <xf numFmtId="0" fontId="62" fillId="32" borderId="11" xfId="5" applyFont="1" applyFill="1" applyBorder="1" applyAlignment="1" applyProtection="1">
      <alignment horizontal="center"/>
      <protection hidden="1"/>
    </xf>
    <xf numFmtId="171" fontId="10" fillId="32" borderId="0" xfId="5" applyNumberFormat="1" applyFont="1" applyFill="1" applyAlignment="1" applyProtection="1">
      <alignment horizontal="center"/>
      <protection hidden="1"/>
    </xf>
    <xf numFmtId="171" fontId="10" fillId="32" borderId="11" xfId="5" applyNumberFormat="1" applyFont="1" applyFill="1" applyBorder="1" applyAlignment="1" applyProtection="1">
      <alignment horizontal="center"/>
      <protection hidden="1"/>
    </xf>
    <xf numFmtId="0" fontId="10" fillId="32" borderId="11" xfId="5" applyFont="1" applyFill="1" applyBorder="1" applyAlignment="1" applyProtection="1">
      <alignment horizontal="center"/>
      <protection hidden="1"/>
    </xf>
    <xf numFmtId="0" fontId="10" fillId="32" borderId="7" xfId="5" applyFont="1" applyFill="1" applyBorder="1" applyProtection="1">
      <protection hidden="1"/>
    </xf>
    <xf numFmtId="0" fontId="10" fillId="32" borderId="9" xfId="5" applyFont="1" applyFill="1" applyBorder="1" applyProtection="1">
      <protection hidden="1"/>
    </xf>
    <xf numFmtId="0" fontId="7" fillId="32" borderId="92" xfId="5" applyFill="1" applyBorder="1" applyAlignment="1">
      <alignment horizontal="center"/>
    </xf>
    <xf numFmtId="0" fontId="7" fillId="32" borderId="94" xfId="5" applyFill="1" applyBorder="1" applyAlignment="1">
      <alignment horizontal="center"/>
    </xf>
    <xf numFmtId="0" fontId="7" fillId="32" borderId="92" xfId="5" applyFill="1" applyBorder="1"/>
    <xf numFmtId="0" fontId="7" fillId="32" borderId="93" xfId="5" applyFill="1" applyBorder="1" applyAlignment="1">
      <alignment horizontal="center"/>
    </xf>
    <xf numFmtId="0" fontId="7" fillId="32" borderId="94" xfId="5" applyFill="1" applyBorder="1"/>
    <xf numFmtId="0" fontId="7" fillId="32" borderId="0" xfId="5" applyFill="1"/>
    <xf numFmtId="0" fontId="7" fillId="32" borderId="91" xfId="5" applyFill="1" applyBorder="1"/>
    <xf numFmtId="0" fontId="7" fillId="32" borderId="95" xfId="5" applyFill="1" applyBorder="1" applyAlignment="1">
      <alignment horizontal="center"/>
    </xf>
    <xf numFmtId="0" fontId="7" fillId="32" borderId="90" xfId="5" applyFill="1" applyBorder="1"/>
    <xf numFmtId="0" fontId="8" fillId="0" borderId="0" xfId="5" applyFont="1"/>
    <xf numFmtId="0" fontId="7" fillId="32" borderId="7" xfId="5" applyFill="1" applyBorder="1" applyAlignment="1">
      <alignment horizontal="center"/>
    </xf>
    <xf numFmtId="0" fontId="7" fillId="32" borderId="9" xfId="5" applyFill="1" applyBorder="1" applyAlignment="1">
      <alignment horizontal="center"/>
    </xf>
    <xf numFmtId="0" fontId="7" fillId="32" borderId="89" xfId="5" applyFill="1" applyBorder="1" applyAlignment="1">
      <alignment horizontal="center"/>
    </xf>
    <xf numFmtId="0" fontId="7" fillId="32" borderId="96" xfId="5" applyFill="1" applyBorder="1" applyAlignment="1">
      <alignment horizontal="center"/>
    </xf>
    <xf numFmtId="2" fontId="7" fillId="0" borderId="0" xfId="5" applyNumberFormat="1"/>
    <xf numFmtId="9" fontId="7" fillId="0" borderId="0" xfId="5" applyNumberFormat="1"/>
    <xf numFmtId="0" fontId="7" fillId="32" borderId="89" xfId="5" applyFill="1" applyBorder="1"/>
    <xf numFmtId="0" fontId="7" fillId="32" borderId="89" xfId="5" applyFill="1" applyBorder="1" applyAlignment="1">
      <alignment horizontal="left"/>
    </xf>
    <xf numFmtId="171" fontId="7" fillId="32" borderId="89" xfId="5" applyNumberFormat="1" applyFill="1" applyBorder="1"/>
    <xf numFmtId="0" fontId="7" fillId="32" borderId="10" xfId="5" applyFill="1" applyBorder="1" applyAlignment="1">
      <alignment horizontal="center"/>
    </xf>
    <xf numFmtId="0" fontId="7" fillId="32" borderId="11" xfId="5" applyFill="1" applyBorder="1" applyAlignment="1">
      <alignment horizontal="center"/>
    </xf>
    <xf numFmtId="0" fontId="7" fillId="32" borderId="35" xfId="5" applyFill="1" applyBorder="1" applyAlignment="1">
      <alignment horizontal="center"/>
    </xf>
    <xf numFmtId="0" fontId="7" fillId="32" borderId="28" xfId="5" applyFill="1" applyBorder="1" applyAlignment="1">
      <alignment horizontal="center"/>
    </xf>
    <xf numFmtId="0" fontId="7" fillId="0" borderId="0" xfId="5" applyAlignment="1">
      <alignment horizontal="right"/>
    </xf>
    <xf numFmtId="0" fontId="66" fillId="32" borderId="89" xfId="14" applyFill="1" applyBorder="1" applyAlignment="1" applyProtection="1">
      <alignment horizontal="center"/>
    </xf>
    <xf numFmtId="0" fontId="7" fillId="32" borderId="96" xfId="5" applyFill="1" applyBorder="1"/>
    <xf numFmtId="10" fontId="7" fillId="0" borderId="0" xfId="5" applyNumberFormat="1"/>
    <xf numFmtId="0" fontId="7" fillId="32" borderId="91" xfId="5" applyFill="1" applyBorder="1" applyAlignment="1">
      <alignment horizontal="center"/>
    </xf>
    <xf numFmtId="0" fontId="7" fillId="32" borderId="90" xfId="5" applyFill="1" applyBorder="1" applyAlignment="1">
      <alignment horizontal="center"/>
    </xf>
    <xf numFmtId="0" fontId="7" fillId="32" borderId="95" xfId="5" applyFill="1" applyBorder="1"/>
    <xf numFmtId="0" fontId="7" fillId="34" borderId="89" xfId="5" applyFill="1" applyBorder="1"/>
    <xf numFmtId="0" fontId="66" fillId="0" borderId="0" xfId="14" applyAlignment="1" applyProtection="1">
      <alignment horizontal="left"/>
    </xf>
    <xf numFmtId="0" fontId="7" fillId="34" borderId="0" xfId="5" applyFill="1"/>
    <xf numFmtId="0" fontId="66" fillId="34" borderId="0" xfId="14" applyFill="1" applyAlignment="1" applyProtection="1">
      <alignment horizontal="center"/>
    </xf>
    <xf numFmtId="0" fontId="66" fillId="0" borderId="0" xfId="14" applyAlignment="1" applyProtection="1">
      <alignment horizontal="center"/>
    </xf>
    <xf numFmtId="0" fontId="66" fillId="34" borderId="0" xfId="14" applyFill="1" applyAlignment="1" applyProtection="1">
      <alignment horizontal="left"/>
    </xf>
    <xf numFmtId="0" fontId="66" fillId="34" borderId="89" xfId="14" applyFill="1" applyBorder="1" applyAlignment="1">
      <alignment horizontal="center"/>
      <protection locked="0"/>
    </xf>
    <xf numFmtId="0" fontId="7" fillId="34" borderId="96" xfId="5" applyFill="1" applyBorder="1"/>
    <xf numFmtId="0" fontId="66" fillId="34" borderId="0" xfId="14" applyFill="1" applyAlignment="1" applyProtection="1">
      <alignment horizontal="right"/>
    </xf>
    <xf numFmtId="0" fontId="7" fillId="34" borderId="35" xfId="5" applyFill="1" applyBorder="1"/>
    <xf numFmtId="0" fontId="7" fillId="34" borderId="0" xfId="5" applyFill="1" applyAlignment="1">
      <alignment horizontal="right"/>
    </xf>
    <xf numFmtId="0" fontId="7" fillId="34" borderId="28" xfId="5" applyFill="1" applyBorder="1"/>
    <xf numFmtId="0" fontId="7" fillId="32" borderId="0" xfId="5" applyFill="1" applyAlignment="1">
      <alignment horizontal="center"/>
    </xf>
    <xf numFmtId="0" fontId="7" fillId="32" borderId="93" xfId="5" applyFill="1" applyBorder="1"/>
    <xf numFmtId="0" fontId="66" fillId="23" borderId="0" xfId="14" applyFill="1" applyAlignment="1" applyProtection="1">
      <alignment horizontal="center"/>
    </xf>
    <xf numFmtId="0" fontId="66" fillId="23" borderId="89" xfId="14" applyFill="1" applyBorder="1" applyAlignment="1">
      <alignment horizontal="center"/>
      <protection locked="0"/>
    </xf>
    <xf numFmtId="0" fontId="7" fillId="32" borderId="10" xfId="5" applyFill="1" applyBorder="1"/>
    <xf numFmtId="0" fontId="7" fillId="32" borderId="11" xfId="5" applyFill="1" applyBorder="1"/>
    <xf numFmtId="0" fontId="7" fillId="32" borderId="35" xfId="5" applyFill="1" applyBorder="1"/>
    <xf numFmtId="0" fontId="7" fillId="32" borderId="7" xfId="5" applyFill="1" applyBorder="1"/>
    <xf numFmtId="0" fontId="7" fillId="32" borderId="8" xfId="5" applyFill="1" applyBorder="1"/>
    <xf numFmtId="0" fontId="7" fillId="32" borderId="9" xfId="5" applyFill="1" applyBorder="1"/>
    <xf numFmtId="0" fontId="7" fillId="32" borderId="28" xfId="5" applyFill="1" applyBorder="1"/>
    <xf numFmtId="0" fontId="7" fillId="23" borderId="89" xfId="5" applyFill="1" applyBorder="1" applyAlignment="1">
      <alignment horizontal="center"/>
    </xf>
    <xf numFmtId="0" fontId="66" fillId="34" borderId="89" xfId="14" applyFill="1" applyBorder="1" applyAlignment="1" applyProtection="1">
      <alignment horizontal="center"/>
    </xf>
    <xf numFmtId="0" fontId="7" fillId="34" borderId="89" xfId="5" applyFill="1" applyBorder="1" applyAlignment="1" applyProtection="1">
      <alignment horizontal="center"/>
      <protection locked="0"/>
    </xf>
    <xf numFmtId="0" fontId="7" fillId="34" borderId="89" xfId="5" applyFill="1" applyBorder="1" applyAlignment="1">
      <alignment horizontal="right"/>
    </xf>
    <xf numFmtId="0" fontId="7" fillId="23" borderId="0" xfId="5" applyFill="1" applyAlignment="1">
      <alignment horizontal="center"/>
    </xf>
    <xf numFmtId="0" fontId="0" fillId="0" borderId="89" xfId="0" applyBorder="1" applyAlignment="1" applyProtection="1">
      <alignment vertical="center"/>
      <protection locked="0"/>
    </xf>
    <xf numFmtId="0" fontId="67" fillId="25" borderId="0" xfId="5" applyFont="1" applyFill="1" applyAlignment="1" applyProtection="1">
      <alignment vertical="center"/>
      <protection hidden="1"/>
    </xf>
    <xf numFmtId="0" fontId="67" fillId="25" borderId="0" xfId="5" applyFont="1" applyFill="1" applyProtection="1">
      <protection hidden="1"/>
    </xf>
    <xf numFmtId="0" fontId="8" fillId="35" borderId="91" xfId="5" applyFont="1" applyFill="1" applyBorder="1" applyProtection="1">
      <protection hidden="1"/>
    </xf>
    <xf numFmtId="0" fontId="8" fillId="35" borderId="95" xfId="5" applyFont="1" applyFill="1" applyBorder="1" applyProtection="1">
      <protection hidden="1"/>
    </xf>
    <xf numFmtId="0" fontId="10" fillId="35" borderId="95" xfId="5" applyFont="1" applyFill="1" applyBorder="1" applyProtection="1">
      <protection hidden="1"/>
    </xf>
    <xf numFmtId="0" fontId="10" fillId="35" borderId="90" xfId="5" applyFont="1" applyFill="1" applyBorder="1" applyProtection="1">
      <protection hidden="1"/>
    </xf>
    <xf numFmtId="0" fontId="8" fillId="15" borderId="10" xfId="5" applyFont="1" applyFill="1" applyBorder="1" applyProtection="1">
      <protection hidden="1"/>
    </xf>
    <xf numFmtId="0" fontId="8" fillId="15" borderId="0" xfId="5" applyFont="1" applyFill="1" applyProtection="1">
      <protection hidden="1"/>
    </xf>
    <xf numFmtId="0" fontId="10" fillId="15" borderId="0" xfId="5" applyFont="1" applyFill="1" applyProtection="1">
      <protection hidden="1"/>
    </xf>
    <xf numFmtId="0" fontId="10" fillId="15" borderId="11" xfId="5" applyFont="1" applyFill="1" applyBorder="1" applyProtection="1">
      <protection hidden="1"/>
    </xf>
    <xf numFmtId="0" fontId="10" fillId="15" borderId="10" xfId="5" applyFont="1" applyFill="1" applyBorder="1" applyProtection="1">
      <protection hidden="1"/>
    </xf>
    <xf numFmtId="0" fontId="10" fillId="15" borderId="0" xfId="5" applyFont="1" applyFill="1" applyAlignment="1" applyProtection="1">
      <alignment horizontal="center"/>
      <protection hidden="1"/>
    </xf>
    <xf numFmtId="10" fontId="63" fillId="15" borderId="0" xfId="5" applyNumberFormat="1" applyFont="1" applyFill="1" applyAlignment="1" applyProtection="1">
      <alignment horizontal="right"/>
      <protection hidden="1"/>
    </xf>
    <xf numFmtId="0" fontId="10" fillId="15" borderId="0" xfId="5" applyFont="1" applyFill="1" applyAlignment="1" applyProtection="1">
      <alignment horizontal="right"/>
      <protection hidden="1"/>
    </xf>
    <xf numFmtId="10" fontId="63" fillId="15" borderId="11" xfId="5" applyNumberFormat="1" applyFont="1" applyFill="1" applyBorder="1" applyAlignment="1" applyProtection="1">
      <alignment horizontal="right"/>
      <protection hidden="1"/>
    </xf>
    <xf numFmtId="10" fontId="10" fillId="15" borderId="0" xfId="5" applyNumberFormat="1" applyFont="1" applyFill="1" applyAlignment="1" applyProtection="1">
      <alignment horizontal="right"/>
      <protection hidden="1"/>
    </xf>
    <xf numFmtId="10" fontId="10" fillId="15" borderId="11" xfId="5" applyNumberFormat="1" applyFont="1" applyFill="1" applyBorder="1" applyAlignment="1" applyProtection="1">
      <alignment horizontal="right"/>
      <protection hidden="1"/>
    </xf>
    <xf numFmtId="0" fontId="10" fillId="15" borderId="10" xfId="5" applyFont="1" applyFill="1" applyBorder="1" applyAlignment="1" applyProtection="1">
      <alignment horizontal="left"/>
      <protection hidden="1"/>
    </xf>
    <xf numFmtId="0" fontId="10" fillId="15" borderId="8" xfId="5" applyFont="1" applyFill="1" applyBorder="1" applyAlignment="1" applyProtection="1">
      <alignment horizontal="center"/>
      <protection hidden="1"/>
    </xf>
    <xf numFmtId="0" fontId="10" fillId="15" borderId="8" xfId="5" applyFont="1" applyFill="1" applyBorder="1" applyProtection="1">
      <protection hidden="1"/>
    </xf>
    <xf numFmtId="10" fontId="10" fillId="15" borderId="8" xfId="5" applyNumberFormat="1" applyFont="1" applyFill="1" applyBorder="1" applyAlignment="1" applyProtection="1">
      <alignment horizontal="right"/>
      <protection hidden="1"/>
    </xf>
    <xf numFmtId="0" fontId="10" fillId="15" borderId="8" xfId="5" applyFont="1" applyFill="1" applyBorder="1" applyAlignment="1" applyProtection="1">
      <alignment horizontal="right"/>
      <protection hidden="1"/>
    </xf>
    <xf numFmtId="10" fontId="10" fillId="15" borderId="9" xfId="5" applyNumberFormat="1" applyFont="1" applyFill="1" applyBorder="1" applyAlignment="1" applyProtection="1">
      <alignment horizontal="right"/>
      <protection hidden="1"/>
    </xf>
    <xf numFmtId="0" fontId="5" fillId="0" borderId="0" xfId="4"/>
    <xf numFmtId="0" fontId="74" fillId="0" borderId="0" xfId="0" applyFont="1"/>
    <xf numFmtId="0" fontId="68" fillId="0" borderId="0" xfId="0" applyFont="1"/>
    <xf numFmtId="0" fontId="75" fillId="0" borderId="0" xfId="0" applyFont="1"/>
    <xf numFmtId="0" fontId="76" fillId="0" borderId="0" xfId="0" applyFont="1"/>
    <xf numFmtId="0" fontId="77" fillId="0" borderId="0" xfId="0" applyFont="1"/>
    <xf numFmtId="0" fontId="7" fillId="0" borderId="29" xfId="5" applyBorder="1" applyAlignment="1">
      <alignment horizontal="center" vertical="center" wrapText="1"/>
    </xf>
    <xf numFmtId="0" fontId="7" fillId="0" borderId="30" xfId="5" applyBorder="1" applyAlignment="1">
      <alignment horizontal="center" vertical="center" wrapText="1"/>
    </xf>
    <xf numFmtId="0" fontId="7" fillId="0" borderId="14" xfId="5" applyBorder="1" applyAlignment="1">
      <alignment horizontal="center" vertical="center" textRotation="255" wrapText="1"/>
    </xf>
    <xf numFmtId="0" fontId="7" fillId="0" borderId="29" xfId="5" applyBorder="1" applyAlignment="1">
      <alignment horizontal="center" vertical="center" textRotation="255" wrapText="1"/>
    </xf>
    <xf numFmtId="0" fontId="7" fillId="36" borderId="14" xfId="5" applyFill="1" applyBorder="1" applyAlignment="1">
      <alignment horizontal="center" vertical="center" textRotation="255" wrapText="1"/>
    </xf>
    <xf numFmtId="0" fontId="7" fillId="0" borderId="30" xfId="5" applyBorder="1" applyAlignment="1">
      <alignment horizontal="center" vertical="center" textRotation="255" wrapText="1"/>
    </xf>
    <xf numFmtId="0" fontId="7" fillId="0" borderId="31" xfId="5" applyBorder="1" applyAlignment="1">
      <alignment horizontal="center" vertical="center" textRotation="255" wrapText="1"/>
    </xf>
    <xf numFmtId="0" fontId="7" fillId="0" borderId="0" xfId="5" applyAlignment="1">
      <alignment horizontal="center" vertical="center" wrapText="1"/>
    </xf>
    <xf numFmtId="0" fontId="6" fillId="8" borderId="0" xfId="4" applyFont="1" applyFill="1" applyAlignment="1">
      <alignment horizontal="center" vertical="top"/>
    </xf>
    <xf numFmtId="0" fontId="14" fillId="0" borderId="32" xfId="5" applyFont="1" applyBorder="1" applyAlignment="1">
      <alignment horizontal="center" vertical="center" wrapText="1"/>
    </xf>
    <xf numFmtId="0" fontId="14" fillId="16" borderId="89" xfId="5" applyFont="1" applyFill="1" applyBorder="1" applyAlignment="1">
      <alignment horizontal="center" vertical="center" wrapText="1"/>
    </xf>
    <xf numFmtId="0" fontId="14" fillId="16" borderId="80" xfId="5" applyFont="1" applyFill="1" applyBorder="1" applyAlignment="1">
      <alignment horizontal="center" vertical="center" wrapText="1"/>
    </xf>
    <xf numFmtId="0" fontId="14" fillId="16" borderId="32" xfId="5" applyFont="1" applyFill="1" applyBorder="1" applyAlignment="1">
      <alignment horizontal="center" vertical="center" wrapText="1"/>
    </xf>
    <xf numFmtId="0" fontId="14" fillId="36" borderId="80" xfId="5" applyFont="1" applyFill="1" applyBorder="1" applyAlignment="1">
      <alignment horizontal="center" vertical="center" wrapText="1"/>
    </xf>
    <xf numFmtId="0" fontId="14" fillId="24" borderId="34" xfId="5" applyFont="1" applyFill="1" applyBorder="1" applyAlignment="1">
      <alignment horizontal="center" vertical="center" wrapText="1"/>
    </xf>
    <xf numFmtId="0" fontId="14" fillId="0" borderId="0" xfId="5" applyFont="1" applyAlignment="1">
      <alignment horizontal="center" vertical="center" wrapText="1"/>
    </xf>
    <xf numFmtId="0" fontId="10" fillId="0" borderId="29" xfId="0" applyFont="1" applyBorder="1" applyAlignment="1">
      <alignment horizontal="center" vertical="center" wrapText="1"/>
    </xf>
    <xf numFmtId="0" fontId="10" fillId="37" borderId="3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Alignment="1">
      <alignment horizontal="left" vertical="center" wrapText="1"/>
    </xf>
    <xf numFmtId="0" fontId="10" fillId="0" borderId="29" xfId="0" applyFont="1" applyBorder="1" applyAlignment="1">
      <alignment horizontal="left" vertical="center" wrapText="1"/>
    </xf>
    <xf numFmtId="0" fontId="10" fillId="0" borderId="97" xfId="0" applyFont="1" applyBorder="1" applyAlignment="1">
      <alignment horizontal="center" vertical="center" wrapText="1"/>
    </xf>
    <xf numFmtId="0" fontId="10" fillId="0" borderId="30" xfId="0" applyFont="1" applyBorder="1" applyAlignment="1">
      <alignment horizontal="center" vertical="center" wrapText="1"/>
    </xf>
    <xf numFmtId="0" fontId="78" fillId="0" borderId="87" xfId="0" applyFont="1" applyBorder="1" applyAlignment="1">
      <alignment horizontal="left" vertical="center" wrapText="1"/>
    </xf>
    <xf numFmtId="0" fontId="79" fillId="0" borderId="89"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43" xfId="0" applyFont="1" applyBorder="1" applyAlignment="1">
      <alignment horizontal="left" vertical="center" wrapText="1"/>
    </xf>
    <xf numFmtId="0" fontId="10" fillId="0" borderId="98" xfId="0" applyFont="1" applyBorder="1" applyAlignment="1">
      <alignment horizontal="left" vertical="center" wrapText="1"/>
    </xf>
    <xf numFmtId="0" fontId="78" fillId="0" borderId="32" xfId="0" applyFont="1" applyBorder="1" applyAlignment="1">
      <alignment horizontal="left" vertical="center" wrapText="1"/>
    </xf>
    <xf numFmtId="0" fontId="78" fillId="0" borderId="41" xfId="0" applyFont="1" applyBorder="1" applyAlignment="1">
      <alignment horizontal="left" vertical="center" wrapText="1"/>
    </xf>
    <xf numFmtId="0" fontId="79" fillId="0" borderId="21" xfId="0" applyFont="1" applyBorder="1" applyAlignment="1">
      <alignment horizontal="center" vertical="center"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7" fillId="37" borderId="31" xfId="0" applyFont="1" applyFill="1" applyBorder="1" applyAlignment="1">
      <alignment horizontal="center" vertical="top" wrapText="1"/>
    </xf>
    <xf numFmtId="0" fontId="0" fillId="0" borderId="32" xfId="0" applyBorder="1" applyAlignment="1">
      <alignment horizontal="center" vertical="top" wrapText="1"/>
    </xf>
    <xf numFmtId="0" fontId="0" fillId="0" borderId="89" xfId="0" applyBorder="1" applyAlignment="1">
      <alignment horizontal="center" vertical="top" wrapText="1"/>
    </xf>
    <xf numFmtId="0" fontId="0" fillId="0" borderId="34" xfId="0" applyBorder="1" applyAlignment="1">
      <alignment horizontal="center" vertical="top" wrapText="1"/>
    </xf>
    <xf numFmtId="0" fontId="0" fillId="0" borderId="41" xfId="0" applyBorder="1" applyAlignment="1">
      <alignment horizontal="center" vertical="top" wrapText="1"/>
    </xf>
    <xf numFmtId="0" fontId="0" fillId="0" borderId="21" xfId="0" applyBorder="1" applyAlignment="1">
      <alignment horizontal="center" vertical="top" wrapText="1"/>
    </xf>
    <xf numFmtId="0" fontId="0" fillId="0" borderId="42" xfId="0" applyBorder="1" applyAlignment="1">
      <alignment horizontal="center" vertical="top" wrapText="1"/>
    </xf>
    <xf numFmtId="0" fontId="14" fillId="0" borderId="41" xfId="5" applyFont="1" applyBorder="1" applyAlignment="1">
      <alignment horizontal="center" vertical="center" wrapText="1"/>
    </xf>
    <xf numFmtId="0" fontId="14" fillId="16" borderId="21" xfId="5" applyFont="1" applyFill="1" applyBorder="1" applyAlignment="1">
      <alignment horizontal="center" vertical="center" wrapText="1"/>
    </xf>
    <xf numFmtId="0" fontId="14" fillId="16" borderId="79" xfId="5" applyFont="1" applyFill="1" applyBorder="1" applyAlignment="1">
      <alignment horizontal="center" vertical="center" wrapText="1"/>
    </xf>
    <xf numFmtId="0" fontId="14" fillId="16" borderId="41" xfId="5" applyFont="1" applyFill="1" applyBorder="1" applyAlignment="1">
      <alignment horizontal="center" vertical="center" wrapText="1"/>
    </xf>
    <xf numFmtId="0" fontId="14" fillId="36" borderId="79" xfId="5" applyFont="1" applyFill="1" applyBorder="1" applyAlignment="1">
      <alignment horizontal="center" vertical="center" wrapText="1"/>
    </xf>
    <xf numFmtId="0" fontId="0" fillId="0" borderId="92" xfId="0" applyBorder="1"/>
    <xf numFmtId="0" fontId="0" fillId="0" borderId="93" xfId="0" applyBorder="1"/>
    <xf numFmtId="0" fontId="0" fillId="0" borderId="94" xfId="0" applyBorder="1"/>
    <xf numFmtId="0" fontId="0" fillId="0" borderId="10" xfId="0" applyBorder="1"/>
    <xf numFmtId="0" fontId="0" fillId="0" borderId="11" xfId="0" applyBorder="1"/>
    <xf numFmtId="0" fontId="0" fillId="0" borderId="7" xfId="0" applyBorder="1"/>
    <xf numFmtId="0" fontId="0" fillId="0" borderId="8" xfId="0" applyBorder="1"/>
    <xf numFmtId="0" fontId="0" fillId="0" borderId="9" xfId="0" applyBorder="1"/>
    <xf numFmtId="0" fontId="0" fillId="16" borderId="10" xfId="0" applyFill="1" applyBorder="1"/>
    <xf numFmtId="0" fontId="4" fillId="5" borderId="0" xfId="0" applyFont="1" applyFill="1"/>
    <xf numFmtId="2" fontId="4" fillId="5" borderId="0" xfId="0" applyNumberFormat="1" applyFont="1" applyFill="1"/>
    <xf numFmtId="0" fontId="4" fillId="16" borderId="0" xfId="0" applyFont="1" applyFill="1"/>
    <xf numFmtId="2" fontId="81" fillId="5" borderId="0" xfId="0" applyNumberFormat="1" applyFont="1" applyFill="1"/>
    <xf numFmtId="0" fontId="0" fillId="16" borderId="11" xfId="0" applyFill="1" applyBorder="1"/>
    <xf numFmtId="166" fontId="4" fillId="5" borderId="0" xfId="1" applyNumberFormat="1" applyFont="1" applyFill="1"/>
    <xf numFmtId="165" fontId="4" fillId="5" borderId="0" xfId="0" applyNumberFormat="1" applyFont="1" applyFill="1"/>
    <xf numFmtId="0" fontId="0" fillId="16" borderId="7" xfId="0" applyFill="1" applyBorder="1"/>
    <xf numFmtId="0" fontId="0" fillId="16" borderId="8" xfId="0" applyFill="1" applyBorder="1"/>
    <xf numFmtId="0" fontId="73" fillId="22" borderId="0" xfId="11" applyFont="1" applyAlignment="1">
      <alignment horizontal="center" vertical="center"/>
    </xf>
    <xf numFmtId="0" fontId="69" fillId="2" borderId="0" xfId="2" applyFont="1" applyAlignment="1">
      <alignment horizontal="center" vertical="center"/>
    </xf>
    <xf numFmtId="0" fontId="70" fillId="21" borderId="0" xfId="10" applyFont="1" applyAlignment="1">
      <alignment horizontal="center" vertical="center"/>
    </xf>
    <xf numFmtId="0" fontId="71" fillId="20" borderId="0" xfId="9" applyFont="1" applyAlignment="1">
      <alignment horizontal="center" vertical="center"/>
    </xf>
    <xf numFmtId="0" fontId="72" fillId="19" borderId="0" xfId="8" applyFont="1" applyAlignment="1">
      <alignment horizontal="center" vertical="center"/>
    </xf>
    <xf numFmtId="0" fontId="9" fillId="18" borderId="4" xfId="5" applyFont="1" applyFill="1" applyBorder="1" applyAlignment="1">
      <alignment horizontal="left" vertical="top"/>
    </xf>
    <xf numFmtId="0" fontId="9" fillId="18" borderId="5" xfId="5" applyFont="1" applyFill="1" applyBorder="1" applyAlignment="1">
      <alignment horizontal="left" vertical="top"/>
    </xf>
    <xf numFmtId="0" fontId="9" fillId="18" borderId="6" xfId="5" applyFont="1" applyFill="1" applyBorder="1" applyAlignment="1">
      <alignment horizontal="left" vertical="top"/>
    </xf>
    <xf numFmtId="0" fontId="9" fillId="18" borderId="12" xfId="5" applyFont="1" applyFill="1" applyBorder="1" applyAlignment="1">
      <alignment horizontal="left" vertical="center"/>
    </xf>
    <xf numFmtId="0" fontId="9" fillId="18" borderId="13" xfId="5" applyFont="1" applyFill="1" applyBorder="1" applyAlignment="1">
      <alignment horizontal="left" vertical="center"/>
    </xf>
    <xf numFmtId="0" fontId="9" fillId="18" borderId="3" xfId="5" applyFont="1" applyFill="1" applyBorder="1" applyAlignment="1">
      <alignment horizontal="left" vertical="center"/>
    </xf>
    <xf numFmtId="0" fontId="9" fillId="18" borderId="12" xfId="5" applyFont="1" applyFill="1" applyBorder="1" applyAlignment="1">
      <alignment horizontal="left" vertical="top"/>
    </xf>
    <xf numFmtId="0" fontId="9" fillId="18" borderId="13" xfId="5" applyFont="1" applyFill="1" applyBorder="1" applyAlignment="1">
      <alignment horizontal="left" vertical="top"/>
    </xf>
    <xf numFmtId="0" fontId="9" fillId="18" borderId="3" xfId="5" applyFont="1" applyFill="1" applyBorder="1" applyAlignment="1">
      <alignment horizontal="left" vertical="top"/>
    </xf>
    <xf numFmtId="174" fontId="9" fillId="18" borderId="4" xfId="5" applyNumberFormat="1" applyFont="1" applyFill="1" applyBorder="1" applyAlignment="1">
      <alignment horizontal="left" vertical="center"/>
    </xf>
    <xf numFmtId="174" fontId="9" fillId="18" borderId="5" xfId="5" applyNumberFormat="1" applyFont="1" applyFill="1" applyBorder="1" applyAlignment="1">
      <alignment horizontal="left" vertical="center"/>
    </xf>
    <xf numFmtId="174" fontId="9" fillId="18" borderId="6" xfId="5" applyNumberFormat="1" applyFont="1" applyFill="1" applyBorder="1" applyAlignment="1">
      <alignment horizontal="left" vertical="center"/>
    </xf>
    <xf numFmtId="0" fontId="30" fillId="17" borderId="12" xfId="5" applyFont="1" applyFill="1" applyBorder="1" applyAlignment="1">
      <alignment horizontal="left" vertical="top"/>
    </xf>
    <xf numFmtId="0" fontId="30" fillId="17" borderId="3" xfId="5" applyFont="1" applyFill="1" applyBorder="1" applyAlignment="1">
      <alignment horizontal="left" vertical="top"/>
    </xf>
    <xf numFmtId="0" fontId="30" fillId="17" borderId="2" xfId="5" applyFont="1" applyFill="1" applyBorder="1" applyAlignment="1">
      <alignment horizontal="center" vertical="top"/>
    </xf>
    <xf numFmtId="0" fontId="7" fillId="0" borderId="12" xfId="5" applyBorder="1" applyAlignment="1">
      <alignment horizontal="left" vertical="top"/>
    </xf>
    <xf numFmtId="0" fontId="7" fillId="0" borderId="3" xfId="5" applyBorder="1" applyAlignment="1">
      <alignment horizontal="left" vertical="top"/>
    </xf>
    <xf numFmtId="15" fontId="7" fillId="0" borderId="2" xfId="5" applyNumberFormat="1" applyBorder="1" applyAlignment="1">
      <alignment horizontal="center" vertical="top"/>
    </xf>
    <xf numFmtId="0" fontId="9" fillId="18" borderId="12" xfId="5" applyFont="1" applyFill="1" applyBorder="1" applyAlignment="1">
      <alignment horizontal="left" vertical="center" wrapText="1"/>
    </xf>
    <xf numFmtId="0" fontId="9" fillId="18" borderId="13" xfId="5" applyFont="1" applyFill="1" applyBorder="1" applyAlignment="1">
      <alignment horizontal="left" vertical="center" wrapText="1"/>
    </xf>
    <xf numFmtId="0" fontId="9" fillId="18" borderId="3" xfId="5" applyFont="1" applyFill="1" applyBorder="1" applyAlignment="1">
      <alignment horizontal="left" vertical="center" wrapText="1"/>
    </xf>
    <xf numFmtId="15" fontId="7" fillId="0" borderId="12" xfId="5" applyNumberFormat="1" applyBorder="1" applyAlignment="1">
      <alignment horizontal="center" vertical="top"/>
    </xf>
    <xf numFmtId="15" fontId="7" fillId="0" borderId="3" xfId="5" applyNumberFormat="1" applyBorder="1" applyAlignment="1">
      <alignment horizontal="center" vertical="top"/>
    </xf>
    <xf numFmtId="0" fontId="30" fillId="17" borderId="12" xfId="5" applyFont="1" applyFill="1" applyBorder="1" applyAlignment="1">
      <alignment horizontal="center" vertical="top"/>
    </xf>
    <xf numFmtId="0" fontId="30" fillId="17" borderId="3" xfId="5" applyFont="1" applyFill="1" applyBorder="1" applyAlignment="1">
      <alignment horizontal="center" vertical="top"/>
    </xf>
    <xf numFmtId="0" fontId="9" fillId="0" borderId="0" xfId="5" applyFont="1" applyAlignment="1">
      <alignment horizontal="center"/>
    </xf>
    <xf numFmtId="0" fontId="9" fillId="23" borderId="17" xfId="5" applyFont="1" applyFill="1" applyBorder="1" applyAlignment="1">
      <alignment horizontal="center"/>
    </xf>
    <xf numFmtId="0" fontId="9" fillId="23" borderId="76" xfId="5" applyFont="1" applyFill="1" applyBorder="1" applyAlignment="1">
      <alignment horizontal="center"/>
    </xf>
    <xf numFmtId="0" fontId="9" fillId="23" borderId="21" xfId="5" applyFont="1" applyFill="1" applyBorder="1" applyAlignment="1">
      <alignment horizontal="center"/>
    </xf>
    <xf numFmtId="0" fontId="9" fillId="23" borderId="42" xfId="5" applyFont="1" applyFill="1" applyBorder="1" applyAlignment="1">
      <alignment horizontal="center"/>
    </xf>
    <xf numFmtId="0" fontId="6" fillId="8" borderId="0" xfId="4" applyFont="1" applyFill="1" applyAlignment="1">
      <alignment horizontal="center"/>
    </xf>
    <xf numFmtId="0" fontId="7" fillId="25" borderId="10" xfId="5" applyFill="1" applyBorder="1" applyAlignment="1" applyProtection="1">
      <alignment horizontal="center" vertical="center"/>
      <protection hidden="1"/>
    </xf>
    <xf numFmtId="0" fontId="7" fillId="25" borderId="11" xfId="5" applyFill="1" applyBorder="1" applyAlignment="1" applyProtection="1">
      <alignment horizontal="center" vertical="center"/>
      <protection hidden="1"/>
    </xf>
    <xf numFmtId="0" fontId="44" fillId="25" borderId="92" xfId="5" applyFont="1" applyFill="1" applyBorder="1" applyAlignment="1" applyProtection="1">
      <alignment horizontal="center" vertical="center"/>
      <protection hidden="1"/>
    </xf>
    <xf numFmtId="0" fontId="44" fillId="25" borderId="93" xfId="5" applyFont="1" applyFill="1" applyBorder="1" applyAlignment="1" applyProtection="1">
      <alignment horizontal="center" vertical="center"/>
      <protection hidden="1"/>
    </xf>
    <xf numFmtId="0" fontId="44" fillId="25" borderId="94" xfId="5" applyFont="1" applyFill="1" applyBorder="1" applyAlignment="1" applyProtection="1">
      <alignment horizontal="center" vertical="center"/>
      <protection hidden="1"/>
    </xf>
    <xf numFmtId="0" fontId="7" fillId="9" borderId="89" xfId="5" applyFill="1" applyBorder="1" applyAlignment="1" applyProtection="1">
      <alignment horizontal="center" vertical="center"/>
      <protection hidden="1"/>
    </xf>
    <xf numFmtId="0" fontId="7" fillId="0" borderId="89" xfId="5" applyBorder="1" applyAlignment="1" applyProtection="1">
      <alignment horizontal="center" vertical="center"/>
      <protection locked="0"/>
    </xf>
    <xf numFmtId="175" fontId="7" fillId="0" borderId="89" xfId="5" applyNumberFormat="1" applyBorder="1" applyAlignment="1" applyProtection="1">
      <alignment horizontal="center" vertical="center"/>
      <protection locked="0"/>
    </xf>
    <xf numFmtId="0" fontId="7" fillId="32" borderId="91" xfId="5" applyFill="1" applyBorder="1" applyAlignment="1" applyProtection="1">
      <alignment horizontal="center" vertical="center"/>
      <protection hidden="1"/>
    </xf>
    <xf numFmtId="0" fontId="7" fillId="32" borderId="90" xfId="5" applyFill="1" applyBorder="1" applyAlignment="1" applyProtection="1">
      <alignment horizontal="center" vertical="center"/>
      <protection hidden="1"/>
    </xf>
    <xf numFmtId="0" fontId="7" fillId="9" borderId="92" xfId="5" applyFill="1" applyBorder="1" applyAlignment="1" applyProtection="1">
      <alignment horizontal="center" vertical="center" wrapText="1"/>
      <protection hidden="1"/>
    </xf>
    <xf numFmtId="0" fontId="7" fillId="9" borderId="94" xfId="5" applyFill="1" applyBorder="1" applyAlignment="1" applyProtection="1">
      <alignment horizontal="center" vertical="center" wrapText="1"/>
      <protection hidden="1"/>
    </xf>
    <xf numFmtId="0" fontId="7" fillId="9" borderId="7" xfId="5" applyFill="1" applyBorder="1" applyAlignment="1" applyProtection="1">
      <alignment horizontal="center" vertical="center" wrapText="1"/>
      <protection hidden="1"/>
    </xf>
    <xf numFmtId="0" fontId="7" fillId="9" borderId="9" xfId="5" applyFill="1" applyBorder="1" applyAlignment="1" applyProtection="1">
      <alignment horizontal="center" vertical="center" wrapText="1"/>
      <protection hidden="1"/>
    </xf>
    <xf numFmtId="0" fontId="7" fillId="33" borderId="89" xfId="5" applyFill="1" applyBorder="1" applyAlignment="1" applyProtection="1">
      <alignment horizontal="center" vertical="center"/>
      <protection hidden="1"/>
    </xf>
    <xf numFmtId="0" fontId="7" fillId="33" borderId="89" xfId="5" applyFill="1" applyBorder="1" applyAlignment="1" applyProtection="1">
      <alignment horizontal="center" vertical="center" wrapText="1"/>
      <protection hidden="1"/>
    </xf>
    <xf numFmtId="0" fontId="7" fillId="33" borderId="96" xfId="5" applyFill="1" applyBorder="1" applyAlignment="1" applyProtection="1">
      <alignment horizontal="center" vertical="center" wrapText="1"/>
      <protection hidden="1"/>
    </xf>
    <xf numFmtId="0" fontId="7" fillId="32" borderId="89" xfId="5" applyFill="1" applyBorder="1" applyAlignment="1" applyProtection="1">
      <alignment horizontal="center" vertical="center"/>
      <protection hidden="1"/>
    </xf>
    <xf numFmtId="0" fontId="7" fillId="33" borderId="92" xfId="5" applyFill="1" applyBorder="1" applyAlignment="1" applyProtection="1">
      <alignment horizontal="center" vertical="center"/>
      <protection hidden="1"/>
    </xf>
    <xf numFmtId="0" fontId="7" fillId="33" borderId="94" xfId="5" applyFill="1" applyBorder="1" applyAlignment="1" applyProtection="1">
      <alignment horizontal="center" vertical="center"/>
      <protection hidden="1"/>
    </xf>
    <xf numFmtId="0" fontId="7" fillId="33" borderId="7" xfId="5" applyFill="1" applyBorder="1" applyAlignment="1" applyProtection="1">
      <alignment horizontal="center" vertical="center"/>
      <protection hidden="1"/>
    </xf>
    <xf numFmtId="0" fontId="7" fillId="33" borderId="9" xfId="5" applyFill="1" applyBorder="1" applyAlignment="1" applyProtection="1">
      <alignment horizontal="center" vertical="center"/>
      <protection hidden="1"/>
    </xf>
    <xf numFmtId="0" fontId="7" fillId="33" borderId="91" xfId="5" applyFill="1" applyBorder="1" applyAlignment="1" applyProtection="1">
      <alignment horizontal="center" vertical="center"/>
      <protection hidden="1"/>
    </xf>
    <xf numFmtId="0" fontId="7" fillId="33" borderId="95" xfId="5" applyFill="1" applyBorder="1" applyAlignment="1" applyProtection="1">
      <alignment horizontal="center" vertical="center"/>
      <protection hidden="1"/>
    </xf>
    <xf numFmtId="0" fontId="7" fillId="33" borderId="90" xfId="5" applyFill="1" applyBorder="1" applyAlignment="1" applyProtection="1">
      <alignment horizontal="center" vertical="center"/>
      <protection hidden="1"/>
    </xf>
    <xf numFmtId="0" fontId="7" fillId="33" borderId="93" xfId="5" applyFill="1" applyBorder="1" applyAlignment="1" applyProtection="1">
      <alignment horizontal="center" vertical="center"/>
      <protection hidden="1"/>
    </xf>
    <xf numFmtId="14" fontId="7" fillId="32" borderId="89" xfId="5" applyNumberFormat="1" applyFill="1" applyBorder="1" applyAlignment="1" applyProtection="1">
      <alignment horizontal="center" vertical="center"/>
      <protection hidden="1"/>
    </xf>
    <xf numFmtId="0" fontId="10" fillId="32" borderId="89" xfId="5" applyFont="1" applyFill="1" applyBorder="1" applyAlignment="1" applyProtection="1">
      <alignment horizontal="center"/>
      <protection hidden="1"/>
    </xf>
    <xf numFmtId="0" fontId="8" fillId="25" borderId="0" xfId="5" applyFont="1" applyFill="1" applyAlignment="1" applyProtection="1">
      <alignment horizontal="left"/>
      <protection hidden="1"/>
    </xf>
    <xf numFmtId="14" fontId="10" fillId="32" borderId="91" xfId="5" applyNumberFormat="1" applyFont="1" applyFill="1" applyBorder="1" applyAlignment="1" applyProtection="1">
      <alignment horizontal="left"/>
      <protection hidden="1"/>
    </xf>
    <xf numFmtId="14" fontId="10" fillId="32" borderId="95" xfId="5" applyNumberFormat="1" applyFont="1" applyFill="1" applyBorder="1" applyAlignment="1" applyProtection="1">
      <alignment horizontal="left"/>
      <protection hidden="1"/>
    </xf>
    <xf numFmtId="14" fontId="10" fillId="32" borderId="90" xfId="5" applyNumberFormat="1" applyFont="1" applyFill="1" applyBorder="1" applyAlignment="1" applyProtection="1">
      <alignment horizontal="left"/>
      <protection hidden="1"/>
    </xf>
    <xf numFmtId="0" fontId="10" fillId="32" borderId="91" xfId="5" applyFont="1" applyFill="1" applyBorder="1" applyAlignment="1" applyProtection="1">
      <alignment horizontal="left"/>
      <protection hidden="1"/>
    </xf>
    <xf numFmtId="0" fontId="10" fillId="32" borderId="95" xfId="5" applyFont="1" applyFill="1" applyBorder="1" applyAlignment="1" applyProtection="1">
      <alignment horizontal="left"/>
      <protection hidden="1"/>
    </xf>
    <xf numFmtId="0" fontId="10" fillId="32" borderId="90" xfId="5" applyFont="1" applyFill="1" applyBorder="1" applyAlignment="1" applyProtection="1">
      <alignment horizontal="left"/>
      <protection hidden="1"/>
    </xf>
    <xf numFmtId="0" fontId="10" fillId="32" borderId="89" xfId="5" applyFont="1" applyFill="1" applyBorder="1" applyAlignment="1" applyProtection="1">
      <alignment horizontal="left"/>
      <protection hidden="1"/>
    </xf>
    <xf numFmtId="0" fontId="8" fillId="33" borderId="91" xfId="5" applyFont="1" applyFill="1" applyBorder="1" applyAlignment="1" applyProtection="1">
      <alignment horizontal="center"/>
      <protection hidden="1"/>
    </xf>
    <xf numFmtId="0" fontId="8" fillId="33" borderId="95" xfId="5" applyFont="1" applyFill="1" applyBorder="1" applyAlignment="1" applyProtection="1">
      <alignment horizontal="center"/>
      <protection hidden="1"/>
    </xf>
    <xf numFmtId="0" fontId="8" fillId="33" borderId="90" xfId="5" applyFont="1" applyFill="1" applyBorder="1" applyAlignment="1" applyProtection="1">
      <alignment horizontal="center"/>
      <protection hidden="1"/>
    </xf>
    <xf numFmtId="0" fontId="62" fillId="32" borderId="11" xfId="5" applyFont="1" applyFill="1" applyBorder="1" applyAlignment="1" applyProtection="1">
      <alignment horizontal="center" wrapText="1"/>
      <protection hidden="1"/>
    </xf>
    <xf numFmtId="0" fontId="62" fillId="32" borderId="10" xfId="5" applyFont="1" applyFill="1" applyBorder="1" applyAlignment="1" applyProtection="1">
      <alignment horizontal="left"/>
      <protection hidden="1"/>
    </xf>
    <xf numFmtId="0" fontId="62" fillId="32" borderId="0" xfId="5" applyFont="1" applyFill="1" applyAlignment="1" applyProtection="1">
      <alignment horizontal="left"/>
      <protection hidden="1"/>
    </xf>
    <xf numFmtId="0" fontId="10" fillId="32" borderId="10" xfId="5" applyFont="1" applyFill="1" applyBorder="1" applyAlignment="1" applyProtection="1">
      <alignment horizontal="left"/>
      <protection hidden="1"/>
    </xf>
    <xf numFmtId="0" fontId="10" fillId="32" borderId="0" xfId="5" applyFont="1" applyFill="1" applyAlignment="1" applyProtection="1">
      <alignment horizontal="left"/>
      <protection hidden="1"/>
    </xf>
    <xf numFmtId="0" fontId="10" fillId="32" borderId="7" xfId="5" applyFont="1" applyFill="1" applyBorder="1" applyAlignment="1" applyProtection="1">
      <alignment horizontal="left"/>
      <protection hidden="1"/>
    </xf>
    <xf numFmtId="0" fontId="10" fillId="32" borderId="8" xfId="5" applyFont="1" applyFill="1" applyBorder="1" applyAlignment="1" applyProtection="1">
      <alignment horizontal="left"/>
      <protection hidden="1"/>
    </xf>
    <xf numFmtId="0" fontId="10" fillId="32" borderId="91" xfId="5" applyFont="1" applyFill="1" applyBorder="1" applyAlignment="1" applyProtection="1">
      <alignment horizontal="right"/>
      <protection hidden="1"/>
    </xf>
    <xf numFmtId="0" fontId="10" fillId="32" borderId="95" xfId="5" applyFont="1" applyFill="1" applyBorder="1" applyAlignment="1" applyProtection="1">
      <alignment horizontal="right"/>
      <protection hidden="1"/>
    </xf>
    <xf numFmtId="0" fontId="62" fillId="32" borderId="0" xfId="5" applyFont="1" applyFill="1" applyAlignment="1" applyProtection="1">
      <alignment horizontal="center" wrapText="1"/>
      <protection hidden="1"/>
    </xf>
    <xf numFmtId="0" fontId="10" fillId="15" borderId="10" xfId="5" applyFont="1" applyFill="1" applyBorder="1" applyAlignment="1" applyProtection="1">
      <alignment horizontal="left"/>
      <protection hidden="1"/>
    </xf>
    <xf numFmtId="0" fontId="10" fillId="15" borderId="0" xfId="5" applyFont="1" applyFill="1" applyAlignment="1" applyProtection="1">
      <alignment horizontal="left"/>
      <protection hidden="1"/>
    </xf>
    <xf numFmtId="0" fontId="62" fillId="15" borderId="0" xfId="5" applyFont="1" applyFill="1" applyAlignment="1" applyProtection="1">
      <alignment horizontal="center" wrapText="1"/>
      <protection hidden="1"/>
    </xf>
    <xf numFmtId="0" fontId="62" fillId="15" borderId="11" xfId="5" applyFont="1" applyFill="1" applyBorder="1" applyAlignment="1" applyProtection="1">
      <alignment horizontal="center" wrapText="1"/>
      <protection hidden="1"/>
    </xf>
    <xf numFmtId="0" fontId="10" fillId="15" borderId="7" xfId="5" applyFont="1" applyFill="1" applyBorder="1" applyAlignment="1" applyProtection="1">
      <alignment horizontal="left"/>
      <protection hidden="1"/>
    </xf>
    <xf numFmtId="0" fontId="10" fillId="15" borderId="8" xfId="5" applyFont="1" applyFill="1" applyBorder="1" applyAlignment="1" applyProtection="1">
      <alignment horizontal="left"/>
      <protection hidden="1"/>
    </xf>
    <xf numFmtId="0" fontId="62" fillId="15" borderId="10" xfId="5" applyFont="1" applyFill="1" applyBorder="1" applyAlignment="1" applyProtection="1">
      <alignment horizontal="left"/>
      <protection hidden="1"/>
    </xf>
    <xf numFmtId="0" fontId="62" fillId="15" borderId="0" xfId="5" applyFont="1" applyFill="1" applyAlignment="1" applyProtection="1">
      <alignment horizontal="left"/>
      <protection hidden="1"/>
    </xf>
    <xf numFmtId="0" fontId="7" fillId="34" borderId="89" xfId="5" applyFill="1" applyBorder="1" applyAlignment="1">
      <alignment horizontal="center"/>
    </xf>
    <xf numFmtId="0" fontId="66" fillId="34" borderId="89" xfId="14" applyFill="1" applyBorder="1" applyAlignment="1" applyProtection="1">
      <alignment horizontal="center"/>
    </xf>
    <xf numFmtId="0" fontId="7" fillId="34" borderId="91" xfId="5" applyFill="1" applyBorder="1" applyAlignment="1" applyProtection="1">
      <alignment horizontal="center"/>
      <protection locked="0"/>
    </xf>
    <xf numFmtId="0" fontId="7" fillId="34" borderId="95" xfId="5" applyFill="1" applyBorder="1" applyAlignment="1" applyProtection="1">
      <alignment horizontal="center"/>
      <protection locked="0"/>
    </xf>
    <xf numFmtId="0" fontId="7" fillId="34" borderId="90" xfId="5" applyFill="1" applyBorder="1" applyAlignment="1" applyProtection="1">
      <alignment horizontal="center"/>
      <protection locked="0"/>
    </xf>
    <xf numFmtId="0" fontId="80" fillId="0" borderId="92" xfId="0" applyFont="1" applyBorder="1" applyAlignment="1">
      <alignment horizontal="center"/>
    </xf>
    <xf numFmtId="0" fontId="80" fillId="0" borderId="93" xfId="0" applyFont="1" applyBorder="1" applyAlignment="1">
      <alignment horizontal="center"/>
    </xf>
    <xf numFmtId="0" fontId="80" fillId="0" borderId="94" xfId="0" applyFont="1" applyBorder="1" applyAlignment="1">
      <alignment horizontal="center"/>
    </xf>
    <xf numFmtId="0" fontId="41" fillId="0" borderId="0" xfId="5" applyFont="1" applyAlignment="1">
      <alignment horizontal="left"/>
    </xf>
    <xf numFmtId="0" fontId="41" fillId="0" borderId="25" xfId="5" applyFont="1" applyBorder="1" applyAlignment="1">
      <alignment horizontal="left"/>
    </xf>
    <xf numFmtId="0" fontId="9" fillId="23" borderId="18" xfId="5" applyFont="1" applyFill="1" applyBorder="1" applyAlignment="1">
      <alignment horizontal="center"/>
    </xf>
    <xf numFmtId="0" fontId="9" fillId="23" borderId="81" xfId="5" applyFont="1" applyFill="1" applyBorder="1" applyAlignment="1">
      <alignment horizontal="center"/>
    </xf>
    <xf numFmtId="0" fontId="9" fillId="23" borderId="22" xfId="5" applyFont="1" applyFill="1" applyBorder="1" applyAlignment="1">
      <alignment horizontal="center"/>
    </xf>
    <xf numFmtId="0" fontId="9" fillId="23" borderId="82" xfId="5" applyFont="1" applyFill="1" applyBorder="1" applyAlignment="1">
      <alignment horizontal="center"/>
    </xf>
    <xf numFmtId="0" fontId="9" fillId="0" borderId="16" xfId="5" applyFont="1" applyBorder="1" applyAlignment="1">
      <alignment horizontal="center"/>
    </xf>
    <xf numFmtId="0" fontId="9" fillId="0" borderId="23" xfId="5" applyFont="1" applyBorder="1" applyAlignment="1">
      <alignment horizont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9" fillId="23" borderId="83" xfId="5" applyFont="1" applyFill="1" applyBorder="1" applyAlignment="1">
      <alignment horizontal="center"/>
    </xf>
    <xf numFmtId="0" fontId="9" fillId="23" borderId="85" xfId="5" applyFont="1" applyFill="1" applyBorder="1" applyAlignment="1">
      <alignment horizontal="center"/>
    </xf>
    <xf numFmtId="0" fontId="9" fillId="23" borderId="86" xfId="5" applyFont="1" applyFill="1" applyBorder="1" applyAlignment="1">
      <alignment horizontal="center"/>
    </xf>
    <xf numFmtId="0" fontId="9" fillId="23" borderId="84" xfId="5" applyFont="1" applyFill="1" applyBorder="1" applyAlignment="1">
      <alignment horizontal="center"/>
    </xf>
    <xf numFmtId="3" fontId="13" fillId="7" borderId="0" xfId="5" applyNumberFormat="1" applyFont="1" applyFill="1" applyAlignment="1">
      <alignment horizontal="center"/>
    </xf>
    <xf numFmtId="0" fontId="45" fillId="0" borderId="27" xfId="5" applyFont="1" applyBorder="1" applyAlignment="1">
      <alignment horizontal="center" vertical="center" wrapText="1"/>
    </xf>
    <xf numFmtId="0" fontId="45" fillId="0" borderId="35" xfId="5" applyFont="1" applyBorder="1" applyAlignment="1">
      <alignment horizontal="center" vertical="center" wrapText="1"/>
    </xf>
    <xf numFmtId="0" fontId="45" fillId="0" borderId="28" xfId="5" applyFont="1" applyBorder="1" applyAlignment="1">
      <alignment horizontal="center" vertical="center" wrapText="1"/>
    </xf>
    <xf numFmtId="0" fontId="45" fillId="0" borderId="45" xfId="5" applyFont="1" applyBorder="1" applyAlignment="1">
      <alignment horizontal="center" vertical="center" wrapText="1"/>
    </xf>
    <xf numFmtId="0" fontId="45" fillId="0" borderId="33" xfId="5" applyFont="1" applyBorder="1" applyAlignment="1">
      <alignment horizontal="center" vertical="center" wrapText="1"/>
    </xf>
    <xf numFmtId="0" fontId="9" fillId="24" borderId="21" xfId="5" applyFont="1" applyFill="1" applyBorder="1" applyAlignment="1">
      <alignment horizontal="center"/>
    </xf>
    <xf numFmtId="0" fontId="9" fillId="0" borderId="0" xfId="5" applyFont="1" applyAlignment="1">
      <alignment horizontal="left"/>
    </xf>
    <xf numFmtId="0" fontId="39" fillId="0" borderId="0" xfId="5" applyFont="1" applyAlignment="1">
      <alignment horizontal="left"/>
    </xf>
    <xf numFmtId="0" fontId="9" fillId="24" borderId="17" xfId="5" applyFont="1" applyFill="1" applyBorder="1" applyAlignment="1">
      <alignment horizontal="center"/>
    </xf>
    <xf numFmtId="0" fontId="74" fillId="2" borderId="0" xfId="2" applyFont="1"/>
    <xf numFmtId="0" fontId="82" fillId="21" borderId="0" xfId="10" applyFont="1"/>
    <xf numFmtId="0" fontId="75" fillId="20" borderId="0" xfId="9" applyFont="1"/>
    <xf numFmtId="0" fontId="76" fillId="19" borderId="0" xfId="8" applyFont="1"/>
    <xf numFmtId="0" fontId="77" fillId="22" borderId="0" xfId="11" applyFont="1"/>
    <xf numFmtId="0" fontId="83" fillId="12" borderId="0" xfId="0" applyFont="1" applyFill="1" applyAlignment="1">
      <alignment horizontal="center" vertical="center"/>
    </xf>
    <xf numFmtId="0" fontId="84" fillId="0" borderId="0" xfId="0" applyFont="1"/>
    <xf numFmtId="0" fontId="85" fillId="0" borderId="0" xfId="0" applyFont="1"/>
    <xf numFmtId="0" fontId="49" fillId="8" borderId="0" xfId="4" applyFont="1" applyFill="1" applyAlignment="1">
      <alignment horizontal="center"/>
    </xf>
    <xf numFmtId="0" fontId="86" fillId="24" borderId="0" xfId="4" applyFont="1" applyFill="1" applyAlignment="1">
      <alignment horizontal="center"/>
    </xf>
  </cellXfs>
  <cellStyles count="15">
    <cellStyle name="40% - Accent2" xfId="8" builtinId="35"/>
    <cellStyle name="40% - Accent4" xfId="9" builtinId="43"/>
    <cellStyle name="40% - Accent5" xfId="10" builtinId="47"/>
    <cellStyle name="40% - Accent6" xfId="11" builtinId="51"/>
    <cellStyle name="Comma 2" xfId="6" xr:uid="{00000000-0005-0000-0000-000004000000}"/>
    <cellStyle name="Good" xfId="2" builtinId="26"/>
    <cellStyle name="Hyperlink" xfId="4" builtinId="8"/>
    <cellStyle name="Hyperlink 2" xfId="13" xr:uid="{00000000-0005-0000-0000-000007000000}"/>
    <cellStyle name="Input" xfId="3" builtinId="20"/>
    <cellStyle name="Normal" xfId="0" builtinId="0"/>
    <cellStyle name="Normal 2" xfId="5" xr:uid="{00000000-0005-0000-0000-00000A000000}"/>
    <cellStyle name="Normal_3_Factor_DOE unprotected" xfId="12" xr:uid="{00000000-0005-0000-0000-00000B000000}"/>
    <cellStyle name="Normal_GR&amp;R" xfId="14" xr:uid="{00000000-0005-0000-0000-00000C000000}"/>
    <cellStyle name="Percent" xfId="1" builtinId="5"/>
    <cellStyle name="Percent 2" xfId="7" xr:uid="{00000000-0005-0000-0000-00000E000000}"/>
  </cellStyles>
  <dxfs count="5">
    <dxf>
      <fill>
        <patternFill>
          <bgColor indexed="22"/>
        </patternFill>
      </fill>
    </dxf>
    <dxf>
      <fill>
        <patternFill>
          <bgColor indexed="34"/>
        </patternFill>
      </fill>
    </dxf>
    <dxf>
      <fill>
        <patternFill>
          <bgColor indexed="11"/>
        </patternFill>
      </fill>
    </dxf>
    <dxf>
      <fill>
        <patternFill>
          <bgColor indexed="40"/>
        </patternFill>
      </fill>
    </dxf>
    <dxf>
      <fill>
        <patternFill>
          <bgColor indexed="11"/>
        </patternFill>
      </fill>
    </dxf>
  </dxfs>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Boxplot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stockChart>
        <c:ser>
          <c:idx val="0"/>
          <c:order val="0"/>
          <c:spPr>
            <a:ln w="25400" cap="rnd">
              <a:noFill/>
              <a:round/>
            </a:ln>
            <a:effectLst/>
          </c:spPr>
          <c:marker>
            <c:symbol val="none"/>
          </c:marker>
          <c:cat>
            <c:strRef>
              <c:f>Boxplot!$B$3:$K$3</c:f>
              <c:strCache>
                <c:ptCount val="10"/>
                <c:pt idx="0">
                  <c:v>cat a</c:v>
                </c:pt>
                <c:pt idx="1">
                  <c:v>cat b </c:v>
                </c:pt>
                <c:pt idx="2">
                  <c:v>cat c</c:v>
                </c:pt>
                <c:pt idx="3">
                  <c:v>cat d</c:v>
                </c:pt>
                <c:pt idx="4">
                  <c:v>cat e</c:v>
                </c:pt>
                <c:pt idx="5">
                  <c:v>cat f</c:v>
                </c:pt>
                <c:pt idx="6">
                  <c:v>cat g</c:v>
                </c:pt>
                <c:pt idx="7">
                  <c:v>cat h</c:v>
                </c:pt>
                <c:pt idx="8">
                  <c:v>cat i</c:v>
                </c:pt>
                <c:pt idx="9">
                  <c:v>cat j</c:v>
                </c:pt>
              </c:strCache>
            </c:strRef>
          </c:cat>
          <c:val>
            <c:numRef>
              <c:f>Boxplot!$B$4:$K$4</c:f>
              <c:numCache>
                <c:formatCode>0.0</c:formatCode>
                <c:ptCount val="10"/>
                <c:pt idx="0">
                  <c:v>101.08293531117174</c:v>
                </c:pt>
                <c:pt idx="1">
                  <c:v>82.036289668799355</c:v>
                </c:pt>
                <c:pt idx="2">
                  <c:v>96.082935311171738</c:v>
                </c:pt>
                <c:pt idx="3">
                  <c:v>77.036289668799355</c:v>
                </c:pt>
                <c:pt idx="4">
                  <c:v>91.082935311171738</c:v>
                </c:pt>
                <c:pt idx="5">
                  <c:v>72.036289668799355</c:v>
                </c:pt>
                <c:pt idx="6">
                  <c:v>86.082935311171738</c:v>
                </c:pt>
                <c:pt idx="7">
                  <c:v>67.036289668799355</c:v>
                </c:pt>
                <c:pt idx="8">
                  <c:v>81.082935311171738</c:v>
                </c:pt>
                <c:pt idx="9">
                  <c:v>62.036289668799355</c:v>
                </c:pt>
              </c:numCache>
            </c:numRef>
          </c:val>
          <c:smooth val="0"/>
          <c:extLst>
            <c:ext xmlns:c16="http://schemas.microsoft.com/office/drawing/2014/chart" uri="{C3380CC4-5D6E-409C-BE32-E72D297353CC}">
              <c16:uniqueId val="{00000000-B06B-4DF1-8118-A0BDAAA16CDE}"/>
            </c:ext>
          </c:extLst>
        </c:ser>
        <c:ser>
          <c:idx val="1"/>
          <c:order val="1"/>
          <c:spPr>
            <a:ln w="25400" cap="rnd">
              <a:noFill/>
              <a:round/>
            </a:ln>
            <a:effectLst/>
          </c:spPr>
          <c:marker>
            <c:symbol val="none"/>
          </c:marker>
          <c:cat>
            <c:strRef>
              <c:f>Boxplot!$B$3:$K$3</c:f>
              <c:strCache>
                <c:ptCount val="10"/>
                <c:pt idx="0">
                  <c:v>cat a</c:v>
                </c:pt>
                <c:pt idx="1">
                  <c:v>cat b </c:v>
                </c:pt>
                <c:pt idx="2">
                  <c:v>cat c</c:v>
                </c:pt>
                <c:pt idx="3">
                  <c:v>cat d</c:v>
                </c:pt>
                <c:pt idx="4">
                  <c:v>cat e</c:v>
                </c:pt>
                <c:pt idx="5">
                  <c:v>cat f</c:v>
                </c:pt>
                <c:pt idx="6">
                  <c:v>cat g</c:v>
                </c:pt>
                <c:pt idx="7">
                  <c:v>cat h</c:v>
                </c:pt>
                <c:pt idx="8">
                  <c:v>cat i</c:v>
                </c:pt>
                <c:pt idx="9">
                  <c:v>cat j</c:v>
                </c:pt>
              </c:strCache>
            </c:strRef>
          </c:cat>
          <c:val>
            <c:numRef>
              <c:f>Boxplot!$B$5:$K$5</c:f>
              <c:numCache>
                <c:formatCode>0.0</c:formatCode>
                <c:ptCount val="10"/>
                <c:pt idx="0">
                  <c:v>104.83739113502499</c:v>
                </c:pt>
                <c:pt idx="1">
                  <c:v>93.2761467123252</c:v>
                </c:pt>
                <c:pt idx="2">
                  <c:v>99.837391135024987</c:v>
                </c:pt>
                <c:pt idx="3">
                  <c:v>88.2761467123252</c:v>
                </c:pt>
                <c:pt idx="4">
                  <c:v>94.837391135024987</c:v>
                </c:pt>
                <c:pt idx="5">
                  <c:v>83.2761467123252</c:v>
                </c:pt>
                <c:pt idx="6">
                  <c:v>89.837391135024987</c:v>
                </c:pt>
                <c:pt idx="7">
                  <c:v>78.2761467123252</c:v>
                </c:pt>
                <c:pt idx="8">
                  <c:v>84.837391135024987</c:v>
                </c:pt>
                <c:pt idx="9">
                  <c:v>73.2761467123252</c:v>
                </c:pt>
              </c:numCache>
            </c:numRef>
          </c:val>
          <c:smooth val="0"/>
          <c:extLst>
            <c:ext xmlns:c16="http://schemas.microsoft.com/office/drawing/2014/chart" uri="{C3380CC4-5D6E-409C-BE32-E72D297353CC}">
              <c16:uniqueId val="{00000001-B06B-4DF1-8118-A0BDAAA16CDE}"/>
            </c:ext>
          </c:extLst>
        </c:ser>
        <c:ser>
          <c:idx val="2"/>
          <c:order val="2"/>
          <c:spPr>
            <a:ln w="25400" cap="rnd">
              <a:noFill/>
              <a:round/>
            </a:ln>
            <a:effectLst/>
          </c:spPr>
          <c:marker>
            <c:symbol val="none"/>
          </c:marker>
          <c:cat>
            <c:strRef>
              <c:f>Boxplot!$B$3:$K$3</c:f>
              <c:strCache>
                <c:ptCount val="10"/>
                <c:pt idx="0">
                  <c:v>cat a</c:v>
                </c:pt>
                <c:pt idx="1">
                  <c:v>cat b </c:v>
                </c:pt>
                <c:pt idx="2">
                  <c:v>cat c</c:v>
                </c:pt>
                <c:pt idx="3">
                  <c:v>cat d</c:v>
                </c:pt>
                <c:pt idx="4">
                  <c:v>cat e</c:v>
                </c:pt>
                <c:pt idx="5">
                  <c:v>cat f</c:v>
                </c:pt>
                <c:pt idx="6">
                  <c:v>cat g</c:v>
                </c:pt>
                <c:pt idx="7">
                  <c:v>cat h</c:v>
                </c:pt>
                <c:pt idx="8">
                  <c:v>cat i</c:v>
                </c:pt>
                <c:pt idx="9">
                  <c:v>cat j</c:v>
                </c:pt>
              </c:strCache>
            </c:strRef>
          </c:cat>
          <c:val>
            <c:numRef>
              <c:f>Boxplot!$B$6:$K$6</c:f>
              <c:numCache>
                <c:formatCode>0.0</c:formatCode>
                <c:ptCount val="10"/>
                <c:pt idx="0">
                  <c:v>82.795772533609664</c:v>
                </c:pt>
                <c:pt idx="1">
                  <c:v>60.177433270667606</c:v>
                </c:pt>
                <c:pt idx="2">
                  <c:v>77.795772533609664</c:v>
                </c:pt>
                <c:pt idx="3">
                  <c:v>55.177433270667606</c:v>
                </c:pt>
                <c:pt idx="4">
                  <c:v>72.795772533609664</c:v>
                </c:pt>
                <c:pt idx="5">
                  <c:v>50.177433270667606</c:v>
                </c:pt>
                <c:pt idx="6">
                  <c:v>67.795772533609664</c:v>
                </c:pt>
                <c:pt idx="7">
                  <c:v>45.177433270667606</c:v>
                </c:pt>
                <c:pt idx="8">
                  <c:v>62.795772533609664</c:v>
                </c:pt>
                <c:pt idx="9">
                  <c:v>40.177433270667606</c:v>
                </c:pt>
              </c:numCache>
            </c:numRef>
          </c:val>
          <c:smooth val="0"/>
          <c:extLst>
            <c:ext xmlns:c16="http://schemas.microsoft.com/office/drawing/2014/chart" uri="{C3380CC4-5D6E-409C-BE32-E72D297353CC}">
              <c16:uniqueId val="{00000002-B06B-4DF1-8118-A0BDAAA16CDE}"/>
            </c:ext>
          </c:extLst>
        </c:ser>
        <c:ser>
          <c:idx val="3"/>
          <c:order val="3"/>
          <c:spPr>
            <a:ln w="25400" cap="rnd">
              <a:noFill/>
              <a:round/>
            </a:ln>
            <a:effectLst/>
          </c:spPr>
          <c:marker>
            <c:symbol val="none"/>
          </c:marker>
          <c:cat>
            <c:strRef>
              <c:f>Boxplot!$B$3:$K$3</c:f>
              <c:strCache>
                <c:ptCount val="10"/>
                <c:pt idx="0">
                  <c:v>cat a</c:v>
                </c:pt>
                <c:pt idx="1">
                  <c:v>cat b </c:v>
                </c:pt>
                <c:pt idx="2">
                  <c:v>cat c</c:v>
                </c:pt>
                <c:pt idx="3">
                  <c:v>cat d</c:v>
                </c:pt>
                <c:pt idx="4">
                  <c:v>cat e</c:v>
                </c:pt>
                <c:pt idx="5">
                  <c:v>cat f</c:v>
                </c:pt>
                <c:pt idx="6">
                  <c:v>cat g</c:v>
                </c:pt>
                <c:pt idx="7">
                  <c:v>cat h</c:v>
                </c:pt>
                <c:pt idx="8">
                  <c:v>cat i</c:v>
                </c:pt>
                <c:pt idx="9">
                  <c:v>cat j</c:v>
                </c:pt>
              </c:strCache>
            </c:strRef>
          </c:cat>
          <c:val>
            <c:numRef>
              <c:f>Boxplot!$B$7:$K$7</c:f>
              <c:numCache>
                <c:formatCode>0.0</c:formatCode>
                <c:ptCount val="10"/>
                <c:pt idx="0">
                  <c:v>88.943320807151309</c:v>
                </c:pt>
                <c:pt idx="1">
                  <c:v>66.239918726989785</c:v>
                </c:pt>
                <c:pt idx="2">
                  <c:v>83.943320807151309</c:v>
                </c:pt>
                <c:pt idx="3">
                  <c:v>61.239918726989785</c:v>
                </c:pt>
                <c:pt idx="4">
                  <c:v>78.943320807151309</c:v>
                </c:pt>
                <c:pt idx="5">
                  <c:v>56.239918726989785</c:v>
                </c:pt>
                <c:pt idx="6">
                  <c:v>73.943320807151309</c:v>
                </c:pt>
                <c:pt idx="7">
                  <c:v>51.239918726989785</c:v>
                </c:pt>
                <c:pt idx="8">
                  <c:v>68.943320807151309</c:v>
                </c:pt>
                <c:pt idx="9">
                  <c:v>46.239918726989785</c:v>
                </c:pt>
              </c:numCache>
            </c:numRef>
          </c:val>
          <c:smooth val="0"/>
          <c:extLst>
            <c:ext xmlns:c16="http://schemas.microsoft.com/office/drawing/2014/chart" uri="{C3380CC4-5D6E-409C-BE32-E72D297353CC}">
              <c16:uniqueId val="{00000003-B06B-4DF1-8118-A0BDAAA16CDE}"/>
            </c:ext>
          </c:extLst>
        </c:ser>
        <c:dLbls>
          <c:showLegendKey val="0"/>
          <c:showVal val="0"/>
          <c:showCatName val="0"/>
          <c:showSerName val="0"/>
          <c:showPercent val="0"/>
          <c:showBubbleSize val="0"/>
        </c:dLbls>
        <c:hiLowLines>
          <c:spPr>
            <a:ln w="15875" cap="flat" cmpd="sng" algn="ctr">
              <a:solidFill>
                <a:schemeClr val="dk1">
                  <a:lumMod val="65000"/>
                  <a:lumOff val="35000"/>
                </a:schemeClr>
              </a:solidFill>
              <a:round/>
            </a:ln>
            <a:effectLst/>
          </c:spPr>
        </c:hiLowLines>
        <c:upDownBars>
          <c:gapWidth val="150"/>
          <c:upBars>
            <c:spPr>
              <a:solidFill>
                <a:schemeClr val="lt1"/>
              </a:solidFill>
              <a:ln w="9525" cap="flat" cmpd="sng" algn="ctr">
                <a:solidFill>
                  <a:schemeClr val="lt1">
                    <a:lumMod val="85000"/>
                  </a:schemeClr>
                </a:solidFill>
                <a:round/>
              </a:ln>
              <a:effectLst/>
            </c:spPr>
          </c:upBars>
          <c:downBars>
            <c:spPr>
              <a:solidFill>
                <a:srgbClr val="0070C0"/>
              </a:solidFill>
              <a:ln w="9525" cap="flat" cmpd="sng" algn="ctr">
                <a:solidFill>
                  <a:schemeClr val="dk1">
                    <a:lumMod val="65000"/>
                    <a:lumOff val="35000"/>
                  </a:schemeClr>
                </a:solidFill>
                <a:round/>
              </a:ln>
              <a:effectLst/>
            </c:spPr>
          </c:downBars>
        </c:upDownBars>
        <c:axId val="441829944"/>
        <c:axId val="441827984"/>
      </c:stockChart>
      <c:catAx>
        <c:axId val="4418299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41827984"/>
        <c:crosses val="autoZero"/>
        <c:auto val="1"/>
        <c:lblAlgn val="ctr"/>
        <c:lblOffset val="100"/>
        <c:noMultiLvlLbl val="0"/>
      </c:catAx>
      <c:valAx>
        <c:axId val="441827984"/>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418299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CA"/>
              <a:t>Attribute (c) Chart</a:t>
            </a:r>
          </a:p>
        </c:rich>
      </c:tx>
      <c:layout>
        <c:manualLayout>
          <c:xMode val="edge"/>
          <c:yMode val="edge"/>
          <c:x val="0.35499440032998686"/>
          <c:y val="3.0732931471934729E-2"/>
        </c:manualLayout>
      </c:layout>
      <c:overlay val="0"/>
      <c:spPr>
        <a:noFill/>
        <a:ln w="25400">
          <a:noFill/>
        </a:ln>
      </c:spPr>
    </c:title>
    <c:autoTitleDeleted val="0"/>
    <c:plotArea>
      <c:layout>
        <c:manualLayout>
          <c:layoutTarget val="inner"/>
          <c:xMode val="edge"/>
          <c:yMode val="edge"/>
          <c:x val="7.3405621763149825E-2"/>
          <c:y val="0.25059159507885242"/>
          <c:w val="0.88688431540067902"/>
          <c:h val="0.55082869484313779"/>
        </c:manualLayout>
      </c:layout>
      <c:lineChart>
        <c:grouping val="standard"/>
        <c:varyColors val="0"/>
        <c:ser>
          <c:idx val="0"/>
          <c:order val="0"/>
          <c:tx>
            <c:v>Number of defects</c:v>
          </c:tx>
          <c:spPr>
            <a:ln w="25400">
              <a:solidFill>
                <a:srgbClr val="000000"/>
              </a:solidFill>
              <a:prstDash val="solid"/>
            </a:ln>
          </c:spPr>
          <c:marker>
            <c:symbol val="diamond"/>
            <c:size val="7"/>
            <c:spPr>
              <a:solidFill>
                <a:srgbClr val="000000"/>
              </a:solidFill>
              <a:ln>
                <a:solidFill>
                  <a:srgbClr val="000000"/>
                </a:solidFill>
                <a:prstDash val="solid"/>
              </a:ln>
            </c:spPr>
          </c:marker>
          <c:val>
            <c:numRef>
              <c:f>'C chart Data and calculations'!$B$10:$B$59</c:f>
              <c:numCache>
                <c:formatCode>General</c:formatCode>
                <c:ptCount val="50"/>
                <c:pt idx="0">
                  <c:v>3</c:v>
                </c:pt>
                <c:pt idx="1">
                  <c:v>4</c:v>
                </c:pt>
                <c:pt idx="2">
                  <c:v>5</c:v>
                </c:pt>
                <c:pt idx="3">
                  <c:v>6</c:v>
                </c:pt>
                <c:pt idx="4">
                  <c:v>8</c:v>
                </c:pt>
                <c:pt idx="5">
                  <c:v>12</c:v>
                </c:pt>
                <c:pt idx="6">
                  <c:v>5</c:v>
                </c:pt>
                <c:pt idx="7">
                  <c:v>6</c:v>
                </c:pt>
              </c:numCache>
            </c:numRef>
          </c:val>
          <c:smooth val="0"/>
          <c:extLst>
            <c:ext xmlns:c16="http://schemas.microsoft.com/office/drawing/2014/chart" uri="{C3380CC4-5D6E-409C-BE32-E72D297353CC}">
              <c16:uniqueId val="{00000000-FFED-4551-A9EA-1010425D088B}"/>
            </c:ext>
          </c:extLst>
        </c:ser>
        <c:ser>
          <c:idx val="1"/>
          <c:order val="1"/>
          <c:tx>
            <c:v>Lower control limit</c:v>
          </c:tx>
          <c:spPr>
            <a:ln w="12700">
              <a:solidFill>
                <a:srgbClr val="008000"/>
              </a:solidFill>
              <a:prstDash val="solid"/>
            </a:ln>
          </c:spPr>
          <c:marker>
            <c:symbol val="square"/>
            <c:size val="5"/>
            <c:spPr>
              <a:solidFill>
                <a:srgbClr val="008000"/>
              </a:solidFill>
              <a:ln>
                <a:solidFill>
                  <a:srgbClr val="008000"/>
                </a:solidFill>
                <a:prstDash val="solid"/>
              </a:ln>
            </c:spPr>
          </c:marker>
          <c:val>
            <c:numRef>
              <c:f>'C chart Data and calculations'!$C$10:$C$59</c:f>
              <c:numCache>
                <c:formatCode>General</c:formatCode>
                <c:ptCount val="50"/>
                <c:pt idx="0">
                  <c:v>0</c:v>
                </c:pt>
                <c:pt idx="1">
                  <c:v>0</c:v>
                </c:pt>
                <c:pt idx="2">
                  <c:v>0</c:v>
                </c:pt>
                <c:pt idx="3">
                  <c:v>0</c:v>
                </c:pt>
                <c:pt idx="4">
                  <c:v>0</c:v>
                </c:pt>
                <c:pt idx="5">
                  <c:v>0</c:v>
                </c:pt>
                <c:pt idx="6">
                  <c:v>0</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1-FFED-4551-A9EA-1010425D088B}"/>
            </c:ext>
          </c:extLst>
        </c:ser>
        <c:ser>
          <c:idx val="2"/>
          <c:order val="2"/>
          <c:tx>
            <c:v>Upper control limit</c:v>
          </c:tx>
          <c:spPr>
            <a:ln w="12700">
              <a:solidFill>
                <a:srgbClr val="993300"/>
              </a:solidFill>
              <a:prstDash val="solid"/>
            </a:ln>
          </c:spPr>
          <c:marker>
            <c:symbol val="triangle"/>
            <c:size val="5"/>
            <c:spPr>
              <a:solidFill>
                <a:srgbClr val="993300"/>
              </a:solidFill>
              <a:ln>
                <a:solidFill>
                  <a:srgbClr val="993300"/>
                </a:solidFill>
                <a:prstDash val="solid"/>
              </a:ln>
            </c:spPr>
          </c:marker>
          <c:val>
            <c:numRef>
              <c:f>'C chart Data and calculations'!$E$10:$E$59</c:f>
              <c:numCache>
                <c:formatCode>General</c:formatCode>
                <c:ptCount val="50"/>
                <c:pt idx="0">
                  <c:v>13.549621202458749</c:v>
                </c:pt>
                <c:pt idx="1">
                  <c:v>13.549621202458749</c:v>
                </c:pt>
                <c:pt idx="2">
                  <c:v>13.549621202458749</c:v>
                </c:pt>
                <c:pt idx="3">
                  <c:v>13.549621202458749</c:v>
                </c:pt>
                <c:pt idx="4">
                  <c:v>13.549621202458749</c:v>
                </c:pt>
                <c:pt idx="5">
                  <c:v>13.549621202458749</c:v>
                </c:pt>
                <c:pt idx="6">
                  <c:v>13.549621202458749</c:v>
                </c:pt>
                <c:pt idx="7">
                  <c:v>13.549621202458749</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2-FFED-4551-A9EA-1010425D088B}"/>
            </c:ext>
          </c:extLst>
        </c:ser>
        <c:ser>
          <c:idx val="3"/>
          <c:order val="3"/>
          <c:tx>
            <c:v>Center line</c:v>
          </c:tx>
          <c:spPr>
            <a:ln w="38100">
              <a:solidFill>
                <a:srgbClr val="333399"/>
              </a:solidFill>
              <a:prstDash val="solid"/>
            </a:ln>
          </c:spPr>
          <c:marker>
            <c:symbol val="none"/>
          </c:marker>
          <c:val>
            <c:numRef>
              <c:f>'C chart Data and calculations'!$D$10:$D$59</c:f>
              <c:numCache>
                <c:formatCode>General</c:formatCode>
                <c:ptCount val="50"/>
                <c:pt idx="0">
                  <c:v>6.125</c:v>
                </c:pt>
                <c:pt idx="1">
                  <c:v>6.125</c:v>
                </c:pt>
                <c:pt idx="2">
                  <c:v>6.125</c:v>
                </c:pt>
                <c:pt idx="3">
                  <c:v>6.125</c:v>
                </c:pt>
                <c:pt idx="4">
                  <c:v>6.125</c:v>
                </c:pt>
                <c:pt idx="5">
                  <c:v>6.125</c:v>
                </c:pt>
                <c:pt idx="6">
                  <c:v>6.125</c:v>
                </c:pt>
                <c:pt idx="7">
                  <c:v>6.125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3-FFED-4551-A9EA-1010425D088B}"/>
            </c:ext>
          </c:extLst>
        </c:ser>
        <c:dLbls>
          <c:showLegendKey val="0"/>
          <c:showVal val="0"/>
          <c:showCatName val="0"/>
          <c:showSerName val="0"/>
          <c:showPercent val="0"/>
          <c:showBubbleSize val="0"/>
        </c:dLbls>
        <c:marker val="1"/>
        <c:smooth val="0"/>
        <c:axId val="359367384"/>
        <c:axId val="359366992"/>
      </c:lineChart>
      <c:catAx>
        <c:axId val="359367384"/>
        <c:scaling>
          <c:orientation val="minMax"/>
        </c:scaling>
        <c:delete val="0"/>
        <c:axPos val="b"/>
        <c:majorGridlines>
          <c:spPr>
            <a:ln w="3175">
              <a:solidFill>
                <a:srgbClr val="000000"/>
              </a:solidFill>
              <a:prstDash val="solid"/>
            </a:ln>
          </c:spPr>
        </c:majorGridlines>
        <c:title>
          <c:tx>
            <c:rich>
              <a:bodyPr/>
              <a:lstStyle/>
              <a:p>
                <a:pPr>
                  <a:defRPr sz="1275" b="1" i="0" u="none" strike="noStrike" baseline="0">
                    <a:solidFill>
                      <a:srgbClr val="000000"/>
                    </a:solidFill>
                    <a:latin typeface="Arial"/>
                    <a:ea typeface="Arial"/>
                    <a:cs typeface="Arial"/>
                  </a:defRPr>
                </a:pPr>
                <a:r>
                  <a:rPr lang="en-CA"/>
                  <a:t>Sample number</a:t>
                </a:r>
              </a:p>
            </c:rich>
          </c:tx>
          <c:layout>
            <c:manualLayout>
              <c:xMode val="edge"/>
              <c:yMode val="edge"/>
              <c:x val="0.43923035973032271"/>
              <c:y val="0.872342439472608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59366992"/>
        <c:crosses val="autoZero"/>
        <c:auto val="1"/>
        <c:lblAlgn val="ctr"/>
        <c:lblOffset val="100"/>
        <c:tickLblSkip val="2"/>
        <c:tickMarkSkip val="1"/>
        <c:noMultiLvlLbl val="0"/>
      </c:catAx>
      <c:valAx>
        <c:axId val="359366992"/>
        <c:scaling>
          <c:orientation val="minMax"/>
        </c:scaling>
        <c:delete val="0"/>
        <c:axPos val="l"/>
        <c:majorGridlines>
          <c:spPr>
            <a:ln w="3175">
              <a:solidFill>
                <a:srgbClr val="000000"/>
              </a:solidFill>
              <a:prstDash val="solid"/>
            </a:ln>
          </c:spPr>
        </c:majorGridlines>
        <c:title>
          <c:tx>
            <c:rich>
              <a:bodyPr/>
              <a:lstStyle/>
              <a:p>
                <a:pPr>
                  <a:defRPr sz="1275" b="1" i="0" u="none" strike="noStrike" baseline="0">
                    <a:solidFill>
                      <a:srgbClr val="000000"/>
                    </a:solidFill>
                    <a:latin typeface="Arial"/>
                    <a:ea typeface="Arial"/>
                    <a:cs typeface="Arial"/>
                  </a:defRPr>
                </a:pPr>
                <a:r>
                  <a:rPr lang="en-CA"/>
                  <a:t>Number of defects</a:t>
                </a:r>
              </a:p>
            </c:rich>
          </c:tx>
          <c:layout>
            <c:manualLayout>
              <c:xMode val="edge"/>
              <c:yMode val="edge"/>
              <c:x val="7.2202250914573593E-3"/>
              <c:y val="0.342790389494656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59367384"/>
        <c:crosses val="autoZero"/>
        <c:crossBetween val="between"/>
      </c:valAx>
      <c:spPr>
        <a:solidFill>
          <a:srgbClr val="FFFFFF"/>
        </a:solidFill>
        <a:ln w="12700">
          <a:solidFill>
            <a:srgbClr val="000000"/>
          </a:solidFill>
          <a:prstDash val="solid"/>
        </a:ln>
      </c:spPr>
    </c:plotArea>
    <c:legend>
      <c:legendPos val="t"/>
      <c:layout>
        <c:manualLayout>
          <c:xMode val="edge"/>
          <c:yMode val="edge"/>
          <c:x val="0.69314160877990649"/>
          <c:y val="4.0189218078683878E-2"/>
          <c:w val="0.23706405716951665"/>
          <c:h val="0.153664657359673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span"/>
    <c:showDLblsOverMax val="0"/>
  </c:chart>
  <c:spPr>
    <a:solidFill>
      <a:srgbClr val="FFFFCC"/>
    </a:solidFill>
    <a:ln w="3175">
      <a:solidFill>
        <a:srgbClr val="000000"/>
      </a:solidFill>
      <a:prstDash val="solid"/>
    </a:ln>
  </c:spPr>
  <c:txPr>
    <a:bodyPr/>
    <a:lstStyle/>
    <a:p>
      <a:pPr>
        <a:defRPr sz="2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Components of Variation, ANOVA</a:t>
            </a:r>
          </a:p>
        </c:rich>
      </c:tx>
      <c:layout>
        <c:manualLayout>
          <c:xMode val="edge"/>
          <c:yMode val="edge"/>
          <c:x val="0.21464083512193424"/>
          <c:y val="2.8572425098531612E-2"/>
        </c:manualLayout>
      </c:layout>
      <c:overlay val="0"/>
      <c:spPr>
        <a:noFill/>
        <a:ln w="25400">
          <a:noFill/>
        </a:ln>
      </c:spPr>
    </c:title>
    <c:autoTitleDeleted val="0"/>
    <c:plotArea>
      <c:layout>
        <c:manualLayout>
          <c:layoutTarget val="inner"/>
          <c:xMode val="edge"/>
          <c:yMode val="edge"/>
          <c:x val="8.1303346637096277E-2"/>
          <c:y val="0.16572006557148342"/>
          <c:w val="0.68945237948257643"/>
          <c:h val="0.73716856754211568"/>
        </c:manualLayout>
      </c:layout>
      <c:barChart>
        <c:barDir val="col"/>
        <c:grouping val="clustered"/>
        <c:varyColors val="0"/>
        <c:ser>
          <c:idx val="0"/>
          <c:order val="0"/>
          <c:tx>
            <c:strRef>
              <c:f>'GRR Calculations'!$R$18</c:f>
              <c:strCache>
                <c:ptCount val="1"/>
                <c:pt idx="0">
                  <c:v>% Contribution</c:v>
                </c:pt>
              </c:strCache>
            </c:strRef>
          </c:tx>
          <c:spPr>
            <a:solidFill>
              <a:srgbClr val="9999FF"/>
            </a:solidFill>
            <a:ln w="12700">
              <a:solidFill>
                <a:srgbClr val="000000"/>
              </a:solidFill>
              <a:prstDash val="solid"/>
            </a:ln>
          </c:spPr>
          <c:invertIfNegative val="0"/>
          <c:val>
            <c:numRef>
              <c:f>'GRR Calculations'!$S$18:$V$18</c:f>
              <c:numCache>
                <c:formatCode>0.00%</c:formatCode>
                <c:ptCount val="4"/>
                <c:pt idx="0">
                  <c:v>0.94494251127122719</c:v>
                </c:pt>
                <c:pt idx="1">
                  <c:v>0.34239983791731593</c:v>
                </c:pt>
                <c:pt idx="2">
                  <c:v>0.60254267335391121</c:v>
                </c:pt>
                <c:pt idx="3">
                  <c:v>5.5057488728772967E-2</c:v>
                </c:pt>
              </c:numCache>
            </c:numRef>
          </c:val>
          <c:extLst>
            <c:ext xmlns:c16="http://schemas.microsoft.com/office/drawing/2014/chart" uri="{C3380CC4-5D6E-409C-BE32-E72D297353CC}">
              <c16:uniqueId val="{00000000-C390-4E66-A755-077B6746164A}"/>
            </c:ext>
          </c:extLst>
        </c:ser>
        <c:ser>
          <c:idx val="1"/>
          <c:order val="1"/>
          <c:tx>
            <c:strRef>
              <c:f>'GRR Calculations'!$R$19</c:f>
              <c:strCache>
                <c:ptCount val="1"/>
                <c:pt idx="0">
                  <c:v>% Study Variation</c:v>
                </c:pt>
              </c:strCache>
            </c:strRef>
          </c:tx>
          <c:spPr>
            <a:solidFill>
              <a:srgbClr val="993366"/>
            </a:solidFill>
            <a:ln w="12700">
              <a:solidFill>
                <a:srgbClr val="000000"/>
              </a:solidFill>
              <a:prstDash val="solid"/>
            </a:ln>
          </c:spPr>
          <c:invertIfNegative val="0"/>
          <c:val>
            <c:numRef>
              <c:f>'GRR Calculations'!$S$19:$V$19</c:f>
              <c:numCache>
                <c:formatCode>0.00%</c:formatCode>
                <c:ptCount val="4"/>
                <c:pt idx="0">
                  <c:v>0.97208153530001118</c:v>
                </c:pt>
                <c:pt idx="1">
                  <c:v>0.58514941503629303</c:v>
                </c:pt>
                <c:pt idx="2">
                  <c:v>0.77623622264998104</c:v>
                </c:pt>
                <c:pt idx="3">
                  <c:v>0.23464332236135116</c:v>
                </c:pt>
              </c:numCache>
            </c:numRef>
          </c:val>
          <c:extLst>
            <c:ext xmlns:c16="http://schemas.microsoft.com/office/drawing/2014/chart" uri="{C3380CC4-5D6E-409C-BE32-E72D297353CC}">
              <c16:uniqueId val="{00000001-C390-4E66-A755-077B6746164A}"/>
            </c:ext>
          </c:extLst>
        </c:ser>
        <c:ser>
          <c:idx val="2"/>
          <c:order val="2"/>
          <c:tx>
            <c:strRef>
              <c:f>'GRR Calculations'!$R$20</c:f>
              <c:strCache>
                <c:ptCount val="1"/>
                <c:pt idx="0">
                  <c:v>% Tol (5.15 SD)</c:v>
                </c:pt>
              </c:strCache>
            </c:strRef>
          </c:tx>
          <c:spPr>
            <a:solidFill>
              <a:srgbClr val="FFFFCC"/>
            </a:solidFill>
            <a:ln w="12700">
              <a:solidFill>
                <a:srgbClr val="000000"/>
              </a:solidFill>
              <a:prstDash val="solid"/>
            </a:ln>
          </c:spPr>
          <c:invertIfNegative val="0"/>
          <c:val>
            <c:numRef>
              <c:f>'GRR Calculations'!$S$20:$V$20</c:f>
              <c:numCache>
                <c:formatCode>0.00%</c:formatCode>
                <c:ptCount val="4"/>
                <c:pt idx="0">
                  <c:v>1.9661267443887565</c:v>
                </c:pt>
                <c:pt idx="1">
                  <c:v>1.1835199750103502</c:v>
                </c:pt>
                <c:pt idx="2">
                  <c:v>1.5700110966971639</c:v>
                </c:pt>
                <c:pt idx="3">
                  <c:v>0.47458828784820312</c:v>
                </c:pt>
              </c:numCache>
            </c:numRef>
          </c:val>
          <c:extLst>
            <c:ext xmlns:c16="http://schemas.microsoft.com/office/drawing/2014/chart" uri="{C3380CC4-5D6E-409C-BE32-E72D297353CC}">
              <c16:uniqueId val="{00000002-C390-4E66-A755-077B6746164A}"/>
            </c:ext>
          </c:extLst>
        </c:ser>
        <c:ser>
          <c:idx val="3"/>
          <c:order val="3"/>
          <c:tx>
            <c:strRef>
              <c:f>'GRR Calculations'!$R$21</c:f>
              <c:strCache>
                <c:ptCount val="1"/>
                <c:pt idx="0">
                  <c:v>% Tol (6.0 SD)</c:v>
                </c:pt>
              </c:strCache>
            </c:strRef>
          </c:tx>
          <c:spPr>
            <a:solidFill>
              <a:srgbClr val="CCFFFF"/>
            </a:solidFill>
            <a:ln w="12700">
              <a:solidFill>
                <a:srgbClr val="000000"/>
              </a:solidFill>
              <a:prstDash val="solid"/>
            </a:ln>
          </c:spPr>
          <c:invertIfNegative val="0"/>
          <c:val>
            <c:numRef>
              <c:f>'GRR Calculations'!$S$21:$V$21</c:f>
              <c:numCache>
                <c:formatCode>0.00%</c:formatCode>
                <c:ptCount val="4"/>
                <c:pt idx="0">
                  <c:v>2.2906331002587454</c:v>
                </c:pt>
                <c:pt idx="1">
                  <c:v>1.3788582233130293</c:v>
                </c:pt>
                <c:pt idx="2">
                  <c:v>1.8291391417831036</c:v>
                </c:pt>
                <c:pt idx="3">
                  <c:v>0.55291839360955697</c:v>
                </c:pt>
              </c:numCache>
            </c:numRef>
          </c:val>
          <c:extLst>
            <c:ext xmlns:c16="http://schemas.microsoft.com/office/drawing/2014/chart" uri="{C3380CC4-5D6E-409C-BE32-E72D297353CC}">
              <c16:uniqueId val="{00000003-C390-4E66-A755-077B6746164A}"/>
            </c:ext>
          </c:extLst>
        </c:ser>
        <c:dLbls>
          <c:showLegendKey val="0"/>
          <c:showVal val="0"/>
          <c:showCatName val="0"/>
          <c:showSerName val="0"/>
          <c:showPercent val="0"/>
          <c:showBubbleSize val="0"/>
        </c:dLbls>
        <c:gapWidth val="150"/>
        <c:axId val="362282464"/>
        <c:axId val="362286776"/>
      </c:barChart>
      <c:catAx>
        <c:axId val="36228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C0C0C0"/>
                </a:solidFill>
                <a:latin typeface="Arial"/>
                <a:ea typeface="Arial"/>
                <a:cs typeface="Arial"/>
              </a:defRPr>
            </a:pPr>
            <a:endParaRPr lang="en-US"/>
          </a:p>
        </c:txPr>
        <c:crossAx val="362286776"/>
        <c:crosses val="autoZero"/>
        <c:auto val="1"/>
        <c:lblAlgn val="ctr"/>
        <c:lblOffset val="100"/>
        <c:tickLblSkip val="1"/>
        <c:tickMarkSkip val="1"/>
        <c:noMultiLvlLbl val="0"/>
      </c:catAx>
      <c:valAx>
        <c:axId val="3622867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2282464"/>
        <c:crosses val="autoZero"/>
        <c:crossBetween val="between"/>
      </c:valAx>
      <c:spPr>
        <a:solidFill>
          <a:srgbClr val="FFFFFF"/>
        </a:solidFill>
        <a:ln w="12700">
          <a:solidFill>
            <a:srgbClr val="808080"/>
          </a:solidFill>
          <a:prstDash val="solid"/>
        </a:ln>
      </c:spPr>
    </c:plotArea>
    <c:legend>
      <c:legendPos val="r"/>
      <c:layout>
        <c:manualLayout>
          <c:xMode val="edge"/>
          <c:yMode val="edge"/>
          <c:x val="0.78539032851435009"/>
          <c:y val="0.27429528094590355"/>
          <c:w val="0.20325836659274074"/>
          <c:h val="0.4857312266750374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CFFCC"/>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Xbar Chart by Operator</a:t>
            </a:r>
          </a:p>
        </c:rich>
      </c:tx>
      <c:layout>
        <c:manualLayout>
          <c:xMode val="edge"/>
          <c:yMode val="edge"/>
          <c:x val="0.34546574544454894"/>
          <c:y val="1.7752059507249607E-2"/>
        </c:manualLayout>
      </c:layout>
      <c:overlay val="0"/>
      <c:spPr>
        <a:noFill/>
        <a:ln w="25400">
          <a:noFill/>
        </a:ln>
      </c:spPr>
    </c:title>
    <c:autoTitleDeleted val="0"/>
    <c:plotArea>
      <c:layout>
        <c:manualLayout>
          <c:layoutTarget val="inner"/>
          <c:xMode val="edge"/>
          <c:yMode val="edge"/>
          <c:x val="5.1949736157075016E-2"/>
          <c:y val="9.1718974120789651E-2"/>
          <c:w val="0.80911714064644347"/>
          <c:h val="0.82547076708710654"/>
        </c:manualLayout>
      </c:layout>
      <c:lineChart>
        <c:grouping val="standard"/>
        <c:varyColors val="0"/>
        <c:ser>
          <c:idx val="0"/>
          <c:order val="0"/>
          <c:tx>
            <c:strRef>
              <c:f>'GRR Calculations'!$O$106</c:f>
              <c:strCache>
                <c:ptCount val="1"/>
                <c:pt idx="0">
                  <c:v>Op. A</c:v>
                </c:pt>
              </c:strCache>
            </c:strRef>
          </c:tx>
          <c:spPr>
            <a:ln w="12700">
              <a:solidFill>
                <a:srgbClr val="000080"/>
              </a:solidFill>
              <a:prstDash val="solid"/>
            </a:ln>
          </c:spPr>
          <c:marker>
            <c:symbol val="diamond"/>
            <c:size val="7"/>
            <c:spPr>
              <a:solidFill>
                <a:srgbClr val="000080"/>
              </a:solidFill>
              <a:ln>
                <a:solidFill>
                  <a:srgbClr val="000080"/>
                </a:solidFill>
                <a:prstDash val="solid"/>
              </a:ln>
            </c:spPr>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Calculations'!$O$108:$O$117</c:f>
              <c:numCache>
                <c:formatCode>General</c:formatCode>
                <c:ptCount val="10"/>
                <c:pt idx="0">
                  <c:v>0.52100000000000002</c:v>
                </c:pt>
                <c:pt idx="1">
                  <c:v>0.52249999999999996</c:v>
                </c:pt>
                <c:pt idx="2">
                  <c:v>0.52200000000000002</c:v>
                </c:pt>
                <c:pt idx="3">
                  <c:v>0.52150000000000007</c:v>
                </c:pt>
                <c:pt idx="4">
                  <c:v>0.52449999999999997</c:v>
                </c:pt>
                <c:pt idx="5">
                  <c:v>#N/A</c:v>
                </c:pt>
                <c:pt idx="6">
                  <c:v>#N/A</c:v>
                </c:pt>
                <c:pt idx="7">
                  <c:v>#N/A</c:v>
                </c:pt>
                <c:pt idx="8">
                  <c:v>#N/A</c:v>
                </c:pt>
                <c:pt idx="9">
                  <c:v>#N/A</c:v>
                </c:pt>
              </c:numCache>
            </c:numRef>
          </c:val>
          <c:smooth val="0"/>
          <c:extLst>
            <c:ext xmlns:c16="http://schemas.microsoft.com/office/drawing/2014/chart" uri="{C3380CC4-5D6E-409C-BE32-E72D297353CC}">
              <c16:uniqueId val="{00000000-7CB5-404E-9FB6-E7B7B7846DD5}"/>
            </c:ext>
          </c:extLst>
        </c:ser>
        <c:ser>
          <c:idx val="1"/>
          <c:order val="1"/>
          <c:tx>
            <c:strRef>
              <c:f>'GRR Calculations'!$P$106</c:f>
              <c:strCache>
                <c:ptCount val="1"/>
                <c:pt idx="0">
                  <c:v>Op. B</c:v>
                </c:pt>
              </c:strCache>
            </c:strRef>
          </c:tx>
          <c:spPr>
            <a:ln w="12700">
              <a:solidFill>
                <a:srgbClr val="FF00FF"/>
              </a:solidFill>
              <a:prstDash val="solid"/>
            </a:ln>
          </c:spPr>
          <c:marker>
            <c:symbol val="square"/>
            <c:size val="7"/>
            <c:spPr>
              <a:solidFill>
                <a:srgbClr val="FF00FF"/>
              </a:solidFill>
              <a:ln>
                <a:solidFill>
                  <a:srgbClr val="FF00FF"/>
                </a:solidFill>
                <a:prstDash val="solid"/>
              </a:ln>
            </c:spPr>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Calculations'!$P$108:$P$117</c:f>
              <c:numCache>
                <c:formatCode>General</c:formatCode>
                <c:ptCount val="10"/>
                <c:pt idx="0">
                  <c:v>#N/A</c:v>
                </c:pt>
                <c:pt idx="1">
                  <c:v>#N/A</c:v>
                </c:pt>
                <c:pt idx="2">
                  <c:v>#N/A</c:v>
                </c:pt>
                <c:pt idx="3">
                  <c:v>#N/A</c:v>
                </c:pt>
                <c:pt idx="4">
                  <c:v>#N/A</c:v>
                </c:pt>
                <c:pt idx="5">
                  <c:v>0.47750000000000004</c:v>
                </c:pt>
                <c:pt idx="6">
                  <c:v>0.52150000000000007</c:v>
                </c:pt>
                <c:pt idx="7">
                  <c:v>0.52200000000000002</c:v>
                </c:pt>
                <c:pt idx="8">
                  <c:v>0.52350000000000008</c:v>
                </c:pt>
                <c:pt idx="9">
                  <c:v>0.52100000000000002</c:v>
                </c:pt>
              </c:numCache>
            </c:numRef>
          </c:val>
          <c:smooth val="0"/>
          <c:extLst>
            <c:ext xmlns:c16="http://schemas.microsoft.com/office/drawing/2014/chart" uri="{C3380CC4-5D6E-409C-BE32-E72D297353CC}">
              <c16:uniqueId val="{00000001-7CB5-404E-9FB6-E7B7B7846DD5}"/>
            </c:ext>
          </c:extLst>
        </c:ser>
        <c:ser>
          <c:idx val="2"/>
          <c:order val="2"/>
          <c:tx>
            <c:strRef>
              <c:f>'GRR Calculations'!$Q$106</c:f>
              <c:strCache>
                <c:ptCount val="1"/>
                <c:pt idx="0">
                  <c:v>Op. C</c:v>
                </c:pt>
              </c:strCache>
            </c:strRef>
          </c:tx>
          <c:spPr>
            <a:ln w="12700">
              <a:solidFill>
                <a:srgbClr val="008000"/>
              </a:solidFill>
              <a:prstDash val="solid"/>
            </a:ln>
          </c:spPr>
          <c:marker>
            <c:symbol val="triangle"/>
            <c:size val="7"/>
            <c:spPr>
              <a:solidFill>
                <a:srgbClr val="008000"/>
              </a:solidFill>
              <a:ln>
                <a:solidFill>
                  <a:srgbClr val="008000"/>
                </a:solidFill>
                <a:prstDash val="solid"/>
              </a:ln>
            </c:spPr>
          </c:marker>
          <c:val>
            <c:numRef>
              <c:f>'GRR Calculations'!$Q$108:$Q$117</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7CB5-404E-9FB6-E7B7B7846DD5}"/>
            </c:ext>
          </c:extLst>
        </c:ser>
        <c:ser>
          <c:idx val="3"/>
          <c:order val="3"/>
          <c:tx>
            <c:strRef>
              <c:f>'GRR Calculations'!$V$107</c:f>
              <c:strCache>
                <c:ptCount val="1"/>
                <c:pt idx="0">
                  <c:v>Average</c:v>
                </c:pt>
              </c:strCache>
            </c:strRef>
          </c:tx>
          <c:spPr>
            <a:ln w="25400">
              <a:solidFill>
                <a:srgbClr val="000000"/>
              </a:solidFill>
              <a:prstDash val="solid"/>
            </a:ln>
          </c:spPr>
          <c:marker>
            <c:symbol val="none"/>
          </c:marker>
          <c:val>
            <c:numRef>
              <c:f>'GRR Calculations'!$V$108:$V$117</c:f>
              <c:numCache>
                <c:formatCode>General</c:formatCode>
                <c:ptCount val="10"/>
                <c:pt idx="0">
                  <c:v>0.51769999999999994</c:v>
                </c:pt>
                <c:pt idx="1">
                  <c:v>0.51769999999999994</c:v>
                </c:pt>
                <c:pt idx="2">
                  <c:v>0.51769999999999994</c:v>
                </c:pt>
                <c:pt idx="3">
                  <c:v>0.51769999999999994</c:v>
                </c:pt>
                <c:pt idx="4">
                  <c:v>0.51769999999999994</c:v>
                </c:pt>
                <c:pt idx="5">
                  <c:v>0.51769999999999994</c:v>
                </c:pt>
                <c:pt idx="6">
                  <c:v>0.51769999999999994</c:v>
                </c:pt>
                <c:pt idx="7">
                  <c:v>0.51769999999999994</c:v>
                </c:pt>
                <c:pt idx="8">
                  <c:v>0.51769999999999994</c:v>
                </c:pt>
                <c:pt idx="9">
                  <c:v>0.51769999999999994</c:v>
                </c:pt>
              </c:numCache>
            </c:numRef>
          </c:val>
          <c:smooth val="0"/>
          <c:extLst>
            <c:ext xmlns:c16="http://schemas.microsoft.com/office/drawing/2014/chart" uri="{C3380CC4-5D6E-409C-BE32-E72D297353CC}">
              <c16:uniqueId val="{00000003-7CB5-404E-9FB6-E7B7B7846DD5}"/>
            </c:ext>
          </c:extLst>
        </c:ser>
        <c:ser>
          <c:idx val="4"/>
          <c:order val="4"/>
          <c:tx>
            <c:strRef>
              <c:f>'GRR Calculations'!$X$107</c:f>
              <c:strCache>
                <c:ptCount val="1"/>
                <c:pt idx="0">
                  <c:v>UCL X</c:v>
                </c:pt>
              </c:strCache>
            </c:strRef>
          </c:tx>
          <c:spPr>
            <a:ln w="12700">
              <a:solidFill>
                <a:srgbClr val="FF0000"/>
              </a:solidFill>
              <a:prstDash val="solid"/>
            </a:ln>
          </c:spPr>
          <c:marker>
            <c:symbol val="none"/>
          </c:marker>
          <c:val>
            <c:numRef>
              <c:f>'GRR Calculations'!$X$108:$X$117</c:f>
              <c:numCache>
                <c:formatCode>General</c:formatCode>
                <c:ptCount val="10"/>
                <c:pt idx="0">
                  <c:v>0.52672399999999997</c:v>
                </c:pt>
                <c:pt idx="1">
                  <c:v>0.52672399999999997</c:v>
                </c:pt>
                <c:pt idx="2">
                  <c:v>0.52672399999999997</c:v>
                </c:pt>
                <c:pt idx="3">
                  <c:v>0.52672399999999997</c:v>
                </c:pt>
                <c:pt idx="4">
                  <c:v>0.52672399999999997</c:v>
                </c:pt>
                <c:pt idx="5">
                  <c:v>0.52672399999999997</c:v>
                </c:pt>
                <c:pt idx="6">
                  <c:v>0.52672399999999997</c:v>
                </c:pt>
                <c:pt idx="7">
                  <c:v>0.52672399999999997</c:v>
                </c:pt>
                <c:pt idx="8">
                  <c:v>0.52672399999999997</c:v>
                </c:pt>
                <c:pt idx="9">
                  <c:v>0.52672399999999997</c:v>
                </c:pt>
              </c:numCache>
            </c:numRef>
          </c:val>
          <c:smooth val="0"/>
          <c:extLst>
            <c:ext xmlns:c16="http://schemas.microsoft.com/office/drawing/2014/chart" uri="{C3380CC4-5D6E-409C-BE32-E72D297353CC}">
              <c16:uniqueId val="{00000004-7CB5-404E-9FB6-E7B7B7846DD5}"/>
            </c:ext>
          </c:extLst>
        </c:ser>
        <c:ser>
          <c:idx val="5"/>
          <c:order val="5"/>
          <c:tx>
            <c:strRef>
              <c:f>'GRR Calculations'!$Y$107</c:f>
              <c:strCache>
                <c:ptCount val="1"/>
                <c:pt idx="0">
                  <c:v>LCL X</c:v>
                </c:pt>
              </c:strCache>
            </c:strRef>
          </c:tx>
          <c:spPr>
            <a:ln w="12700">
              <a:solidFill>
                <a:srgbClr val="FF0000"/>
              </a:solidFill>
              <a:prstDash val="solid"/>
            </a:ln>
          </c:spPr>
          <c:marker>
            <c:symbol val="none"/>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Calculations'!$Y$108:$Y$117</c:f>
              <c:numCache>
                <c:formatCode>General</c:formatCode>
                <c:ptCount val="10"/>
                <c:pt idx="0">
                  <c:v>0.50867599999999991</c:v>
                </c:pt>
                <c:pt idx="1">
                  <c:v>0.50867599999999991</c:v>
                </c:pt>
                <c:pt idx="2">
                  <c:v>0.50867599999999991</c:v>
                </c:pt>
                <c:pt idx="3">
                  <c:v>0.50867599999999991</c:v>
                </c:pt>
                <c:pt idx="4">
                  <c:v>0.50867599999999991</c:v>
                </c:pt>
                <c:pt idx="5">
                  <c:v>0.50867599999999991</c:v>
                </c:pt>
                <c:pt idx="6">
                  <c:v>0.50867599999999991</c:v>
                </c:pt>
                <c:pt idx="7">
                  <c:v>0.50867599999999991</c:v>
                </c:pt>
                <c:pt idx="8">
                  <c:v>0.50867599999999991</c:v>
                </c:pt>
                <c:pt idx="9">
                  <c:v>0.50867599999999991</c:v>
                </c:pt>
              </c:numCache>
            </c:numRef>
          </c:val>
          <c:smooth val="0"/>
          <c:extLst>
            <c:ext xmlns:c16="http://schemas.microsoft.com/office/drawing/2014/chart" uri="{C3380CC4-5D6E-409C-BE32-E72D297353CC}">
              <c16:uniqueId val="{00000005-7CB5-404E-9FB6-E7B7B7846DD5}"/>
            </c:ext>
          </c:extLst>
        </c:ser>
        <c:dLbls>
          <c:showLegendKey val="0"/>
          <c:showVal val="0"/>
          <c:showCatName val="0"/>
          <c:showSerName val="0"/>
          <c:showPercent val="0"/>
          <c:showBubbleSize val="0"/>
        </c:dLbls>
        <c:marker val="1"/>
        <c:smooth val="0"/>
        <c:axId val="362280112"/>
        <c:axId val="362279328"/>
      </c:lineChart>
      <c:catAx>
        <c:axId val="362280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2279328"/>
        <c:crosses val="autoZero"/>
        <c:auto val="1"/>
        <c:lblAlgn val="ctr"/>
        <c:lblOffset val="100"/>
        <c:tickLblSkip val="1"/>
        <c:tickMarkSkip val="1"/>
        <c:noMultiLvlLbl val="0"/>
      </c:catAx>
      <c:valAx>
        <c:axId val="3622793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2280112"/>
        <c:crosses val="autoZero"/>
        <c:crossBetween val="between"/>
      </c:valAx>
      <c:spPr>
        <a:solidFill>
          <a:srgbClr val="FFFFFF"/>
        </a:solidFill>
        <a:ln w="3175">
          <a:solidFill>
            <a:srgbClr val="000000"/>
          </a:solidFill>
          <a:prstDash val="solid"/>
        </a:ln>
      </c:spPr>
    </c:plotArea>
    <c:legend>
      <c:legendPos val="r"/>
      <c:layout>
        <c:manualLayout>
          <c:xMode val="edge"/>
          <c:yMode val="edge"/>
          <c:x val="0.88314551467027569"/>
          <c:y val="0.40533869208219936"/>
          <c:w val="0.11169193273771132"/>
          <c:h val="0.3757519262367833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CFFCC"/>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Range Chart by Operator</a:t>
            </a:r>
          </a:p>
        </c:rich>
      </c:tx>
      <c:layout>
        <c:manualLayout>
          <c:xMode val="edge"/>
          <c:yMode val="edge"/>
          <c:x val="0.33767328502098776"/>
          <c:y val="1.7752059507249607E-2"/>
        </c:manualLayout>
      </c:layout>
      <c:overlay val="0"/>
      <c:spPr>
        <a:noFill/>
        <a:ln w="25400">
          <a:noFill/>
        </a:ln>
      </c:spPr>
    </c:title>
    <c:autoTitleDeleted val="0"/>
    <c:plotArea>
      <c:layout>
        <c:manualLayout>
          <c:layoutTarget val="inner"/>
          <c:xMode val="edge"/>
          <c:yMode val="edge"/>
          <c:x val="5.8443453176709396E-2"/>
          <c:y val="8.2842944367164814E-2"/>
          <c:w val="0.80522091043466293"/>
          <c:h val="0.83434679684073154"/>
        </c:manualLayout>
      </c:layout>
      <c:lineChart>
        <c:grouping val="standard"/>
        <c:varyColors val="0"/>
        <c:ser>
          <c:idx val="0"/>
          <c:order val="0"/>
          <c:tx>
            <c:strRef>
              <c:f>'GRR Calculations'!$R$106</c:f>
              <c:strCache>
                <c:ptCount val="1"/>
                <c:pt idx="0">
                  <c:v>Op. A</c:v>
                </c:pt>
              </c:strCache>
            </c:strRef>
          </c:tx>
          <c:spPr>
            <a:ln w="12700">
              <a:solidFill>
                <a:srgbClr val="000080"/>
              </a:solidFill>
              <a:prstDash val="solid"/>
            </a:ln>
          </c:spPr>
          <c:marker>
            <c:symbol val="diamond"/>
            <c:size val="7"/>
            <c:spPr>
              <a:solidFill>
                <a:srgbClr val="000080"/>
              </a:solidFill>
              <a:ln>
                <a:solidFill>
                  <a:srgbClr val="000080"/>
                </a:solidFill>
                <a:prstDash val="solid"/>
              </a:ln>
            </c:spPr>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Calculations'!$R$108:$R$117</c:f>
              <c:numCache>
                <c:formatCode>General</c:formatCode>
                <c:ptCount val="10"/>
                <c:pt idx="0">
                  <c:v>0</c:v>
                </c:pt>
                <c:pt idx="1">
                  <c:v>1.0000000000000009E-3</c:v>
                </c:pt>
                <c:pt idx="2">
                  <c:v>2.0000000000000018E-3</c:v>
                </c:pt>
                <c:pt idx="3">
                  <c:v>1.0000000000000009E-3</c:v>
                </c:pt>
                <c:pt idx="4">
                  <c:v>1.0000000000000009E-3</c:v>
                </c:pt>
                <c:pt idx="5">
                  <c:v>#N/A</c:v>
                </c:pt>
                <c:pt idx="6">
                  <c:v>#N/A</c:v>
                </c:pt>
                <c:pt idx="7">
                  <c:v>#N/A</c:v>
                </c:pt>
                <c:pt idx="8">
                  <c:v>#N/A</c:v>
                </c:pt>
                <c:pt idx="9">
                  <c:v>#N/A</c:v>
                </c:pt>
              </c:numCache>
            </c:numRef>
          </c:val>
          <c:smooth val="0"/>
          <c:extLst>
            <c:ext xmlns:c16="http://schemas.microsoft.com/office/drawing/2014/chart" uri="{C3380CC4-5D6E-409C-BE32-E72D297353CC}">
              <c16:uniqueId val="{00000000-C085-4ABA-8190-68558A9D8DEC}"/>
            </c:ext>
          </c:extLst>
        </c:ser>
        <c:ser>
          <c:idx val="1"/>
          <c:order val="1"/>
          <c:tx>
            <c:strRef>
              <c:f>'GRR Calculations'!$S$106</c:f>
              <c:strCache>
                <c:ptCount val="1"/>
                <c:pt idx="0">
                  <c:v>Op. B</c:v>
                </c:pt>
              </c:strCache>
            </c:strRef>
          </c:tx>
          <c:spPr>
            <a:ln w="12700">
              <a:solidFill>
                <a:srgbClr val="FF00FF"/>
              </a:solidFill>
              <a:prstDash val="solid"/>
            </a:ln>
          </c:spPr>
          <c:marker>
            <c:symbol val="square"/>
            <c:size val="7"/>
            <c:spPr>
              <a:solidFill>
                <a:srgbClr val="FF00FF"/>
              </a:solidFill>
              <a:ln>
                <a:solidFill>
                  <a:srgbClr val="FF00FF"/>
                </a:solidFill>
                <a:prstDash val="solid"/>
              </a:ln>
            </c:spPr>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Calculations'!$S$108:$S$117</c:f>
              <c:numCache>
                <c:formatCode>General</c:formatCode>
                <c:ptCount val="10"/>
                <c:pt idx="0">
                  <c:v>#N/A</c:v>
                </c:pt>
                <c:pt idx="1">
                  <c:v>#N/A</c:v>
                </c:pt>
                <c:pt idx="2">
                  <c:v>#N/A</c:v>
                </c:pt>
                <c:pt idx="3">
                  <c:v>#N/A</c:v>
                </c:pt>
                <c:pt idx="4">
                  <c:v>#N/A</c:v>
                </c:pt>
                <c:pt idx="5">
                  <c:v>4.0999999999999981E-2</c:v>
                </c:pt>
                <c:pt idx="6">
                  <c:v>1.0000000000000009E-3</c:v>
                </c:pt>
                <c:pt idx="7">
                  <c:v>0</c:v>
                </c:pt>
                <c:pt idx="8">
                  <c:v>1.0000000000000009E-3</c:v>
                </c:pt>
                <c:pt idx="9">
                  <c:v>0</c:v>
                </c:pt>
              </c:numCache>
            </c:numRef>
          </c:val>
          <c:smooth val="0"/>
          <c:extLst>
            <c:ext xmlns:c16="http://schemas.microsoft.com/office/drawing/2014/chart" uri="{C3380CC4-5D6E-409C-BE32-E72D297353CC}">
              <c16:uniqueId val="{00000001-C085-4ABA-8190-68558A9D8DEC}"/>
            </c:ext>
          </c:extLst>
        </c:ser>
        <c:ser>
          <c:idx val="2"/>
          <c:order val="2"/>
          <c:tx>
            <c:strRef>
              <c:f>'GRR Calculations'!$T$106</c:f>
              <c:strCache>
                <c:ptCount val="1"/>
                <c:pt idx="0">
                  <c:v>Op. C</c:v>
                </c:pt>
              </c:strCache>
            </c:strRef>
          </c:tx>
          <c:spPr>
            <a:ln w="12700">
              <a:solidFill>
                <a:srgbClr val="008000"/>
              </a:solidFill>
              <a:prstDash val="solid"/>
            </a:ln>
          </c:spPr>
          <c:marker>
            <c:symbol val="triangle"/>
            <c:size val="7"/>
            <c:spPr>
              <a:solidFill>
                <a:srgbClr val="008000"/>
              </a:solidFill>
              <a:ln>
                <a:solidFill>
                  <a:srgbClr val="008000"/>
                </a:solidFill>
                <a:prstDash val="solid"/>
              </a:ln>
            </c:spPr>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Calculations'!$T$108:$T$117</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C085-4ABA-8190-68558A9D8DEC}"/>
            </c:ext>
          </c:extLst>
        </c:ser>
        <c:ser>
          <c:idx val="3"/>
          <c:order val="3"/>
          <c:tx>
            <c:strRef>
              <c:f>'GRR Calculations'!$W$107</c:f>
              <c:strCache>
                <c:ptCount val="1"/>
                <c:pt idx="0">
                  <c:v>Average</c:v>
                </c:pt>
              </c:strCache>
            </c:strRef>
          </c:tx>
          <c:spPr>
            <a:ln w="25400">
              <a:solidFill>
                <a:srgbClr val="000000"/>
              </a:solidFill>
              <a:prstDash val="solid"/>
            </a:ln>
          </c:spPr>
          <c:marker>
            <c:symbol val="none"/>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Calculations'!$W$108:$W$117</c:f>
              <c:numCache>
                <c:formatCode>General</c:formatCode>
                <c:ptCount val="10"/>
                <c:pt idx="0">
                  <c:v>4.7999999999999987E-3</c:v>
                </c:pt>
                <c:pt idx="1">
                  <c:v>4.7999999999999987E-3</c:v>
                </c:pt>
                <c:pt idx="2">
                  <c:v>4.7999999999999987E-3</c:v>
                </c:pt>
                <c:pt idx="3">
                  <c:v>4.7999999999999987E-3</c:v>
                </c:pt>
                <c:pt idx="4">
                  <c:v>4.7999999999999987E-3</c:v>
                </c:pt>
                <c:pt idx="5">
                  <c:v>4.7999999999999987E-3</c:v>
                </c:pt>
                <c:pt idx="6">
                  <c:v>4.7999999999999987E-3</c:v>
                </c:pt>
                <c:pt idx="7">
                  <c:v>4.7999999999999987E-3</c:v>
                </c:pt>
                <c:pt idx="8">
                  <c:v>4.7999999999999987E-3</c:v>
                </c:pt>
                <c:pt idx="9">
                  <c:v>4.7999999999999987E-3</c:v>
                </c:pt>
              </c:numCache>
            </c:numRef>
          </c:val>
          <c:smooth val="0"/>
          <c:extLst>
            <c:ext xmlns:c16="http://schemas.microsoft.com/office/drawing/2014/chart" uri="{C3380CC4-5D6E-409C-BE32-E72D297353CC}">
              <c16:uniqueId val="{00000003-C085-4ABA-8190-68558A9D8DEC}"/>
            </c:ext>
          </c:extLst>
        </c:ser>
        <c:ser>
          <c:idx val="4"/>
          <c:order val="4"/>
          <c:tx>
            <c:strRef>
              <c:f>'GRR Calculations'!$Z$107</c:f>
              <c:strCache>
                <c:ptCount val="1"/>
                <c:pt idx="0">
                  <c:v>UCL R</c:v>
                </c:pt>
              </c:strCache>
            </c:strRef>
          </c:tx>
          <c:spPr>
            <a:ln w="12700">
              <a:solidFill>
                <a:srgbClr val="FF0000"/>
              </a:solidFill>
              <a:prstDash val="solid"/>
            </a:ln>
          </c:spPr>
          <c:marker>
            <c:symbol val="none"/>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Calculations'!$Z$108:$Z$117</c:f>
              <c:numCache>
                <c:formatCode>General</c:formatCode>
                <c:ptCount val="10"/>
                <c:pt idx="0">
                  <c:v>1.5695999999999995E-2</c:v>
                </c:pt>
                <c:pt idx="1">
                  <c:v>1.5695999999999995E-2</c:v>
                </c:pt>
                <c:pt idx="2">
                  <c:v>1.5695999999999995E-2</c:v>
                </c:pt>
                <c:pt idx="3">
                  <c:v>1.5695999999999995E-2</c:v>
                </c:pt>
                <c:pt idx="4">
                  <c:v>1.5695999999999995E-2</c:v>
                </c:pt>
                <c:pt idx="5">
                  <c:v>1.5695999999999995E-2</c:v>
                </c:pt>
                <c:pt idx="6">
                  <c:v>1.5695999999999995E-2</c:v>
                </c:pt>
                <c:pt idx="7">
                  <c:v>1.5695999999999995E-2</c:v>
                </c:pt>
                <c:pt idx="8">
                  <c:v>1.5695999999999995E-2</c:v>
                </c:pt>
                <c:pt idx="9">
                  <c:v>1.5695999999999995E-2</c:v>
                </c:pt>
              </c:numCache>
            </c:numRef>
          </c:val>
          <c:smooth val="0"/>
          <c:extLst>
            <c:ext xmlns:c16="http://schemas.microsoft.com/office/drawing/2014/chart" uri="{C3380CC4-5D6E-409C-BE32-E72D297353CC}">
              <c16:uniqueId val="{00000004-C085-4ABA-8190-68558A9D8DEC}"/>
            </c:ext>
          </c:extLst>
        </c:ser>
        <c:dLbls>
          <c:showLegendKey val="0"/>
          <c:showVal val="0"/>
          <c:showCatName val="0"/>
          <c:showSerName val="0"/>
          <c:showPercent val="0"/>
          <c:showBubbleSize val="0"/>
        </c:dLbls>
        <c:marker val="1"/>
        <c:smooth val="0"/>
        <c:axId val="362283248"/>
        <c:axId val="362284032"/>
      </c:lineChart>
      <c:catAx>
        <c:axId val="362283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2284032"/>
        <c:crosses val="autoZero"/>
        <c:auto val="1"/>
        <c:lblAlgn val="ctr"/>
        <c:lblOffset val="100"/>
        <c:tickLblSkip val="1"/>
        <c:tickMarkSkip val="1"/>
        <c:noMultiLvlLbl val="0"/>
      </c:catAx>
      <c:valAx>
        <c:axId val="3622840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2283248"/>
        <c:crosses val="autoZero"/>
        <c:crossBetween val="between"/>
      </c:valAx>
      <c:spPr>
        <a:solidFill>
          <a:srgbClr val="FFFFFF"/>
        </a:solidFill>
        <a:ln w="3175">
          <a:solidFill>
            <a:srgbClr val="000000"/>
          </a:solidFill>
          <a:prstDash val="solid"/>
        </a:ln>
      </c:spPr>
    </c:plotArea>
    <c:legend>
      <c:legendPos val="r"/>
      <c:layout>
        <c:manualLayout>
          <c:xMode val="edge"/>
          <c:yMode val="edge"/>
          <c:x val="0.88054802786242159"/>
          <c:y val="0.42900810475853218"/>
          <c:w val="0.11169193273771132"/>
          <c:h val="0.313619717961409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CFFCC"/>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Operator - Part Interaction</a:t>
            </a:r>
          </a:p>
        </c:rich>
      </c:tx>
      <c:layout>
        <c:manualLayout>
          <c:xMode val="edge"/>
          <c:yMode val="edge"/>
          <c:x val="0.32728333778957275"/>
          <c:y val="1.3736713658941592E-2"/>
        </c:manualLayout>
      </c:layout>
      <c:overlay val="0"/>
      <c:spPr>
        <a:noFill/>
        <a:ln w="25400">
          <a:noFill/>
        </a:ln>
      </c:spPr>
    </c:title>
    <c:autoTitleDeleted val="0"/>
    <c:plotArea>
      <c:layout>
        <c:manualLayout>
          <c:layoutTarget val="inner"/>
          <c:xMode val="edge"/>
          <c:yMode val="edge"/>
          <c:x val="5.0650992753148161E-2"/>
          <c:y val="8.7914967417226209E-2"/>
          <c:w val="0.81690960107000488"/>
          <c:h val="0.78848736402324726"/>
        </c:manualLayout>
      </c:layout>
      <c:lineChart>
        <c:grouping val="standard"/>
        <c:varyColors val="0"/>
        <c:ser>
          <c:idx val="0"/>
          <c:order val="0"/>
          <c:spPr>
            <a:ln w="19050">
              <a:noFill/>
            </a:ln>
          </c:spPr>
          <c:marker>
            <c:symbol val="diamond"/>
            <c:size val="5"/>
            <c:spPr>
              <a:solidFill>
                <a:srgbClr val="000080"/>
              </a:solidFill>
              <a:ln>
                <a:solidFill>
                  <a:srgbClr val="000080"/>
                </a:solidFill>
                <a:prstDash val="solid"/>
              </a:ln>
            </c:spPr>
          </c:marker>
          <c:val>
            <c:numRef>
              <c:f>'GRR Calculations'!$AF$74:$AF$78</c:f>
              <c:numCache>
                <c:formatCode>General</c:formatCode>
                <c:ptCount val="5"/>
                <c:pt idx="0">
                  <c:v>0.52100000000000002</c:v>
                </c:pt>
                <c:pt idx="1">
                  <c:v>0.52200000000000002</c:v>
                </c:pt>
                <c:pt idx="2">
                  <c:v>0.52300000000000002</c:v>
                </c:pt>
                <c:pt idx="3">
                  <c:v>0.52100000000000002</c:v>
                </c:pt>
                <c:pt idx="4">
                  <c:v>0.52500000000000002</c:v>
                </c:pt>
              </c:numCache>
            </c:numRef>
          </c:val>
          <c:smooth val="0"/>
          <c:extLst>
            <c:ext xmlns:c16="http://schemas.microsoft.com/office/drawing/2014/chart" uri="{C3380CC4-5D6E-409C-BE32-E72D297353CC}">
              <c16:uniqueId val="{00000000-02D1-4CBC-8D77-35A6C7C9E2C4}"/>
            </c:ext>
          </c:extLst>
        </c:ser>
        <c:ser>
          <c:idx val="1"/>
          <c:order val="1"/>
          <c:spPr>
            <a:ln w="19050">
              <a:noFill/>
            </a:ln>
          </c:spPr>
          <c:marker>
            <c:symbol val="diamond"/>
            <c:size val="5"/>
            <c:spPr>
              <a:solidFill>
                <a:srgbClr val="000080"/>
              </a:solidFill>
              <a:ln>
                <a:solidFill>
                  <a:srgbClr val="000080"/>
                </a:solidFill>
                <a:prstDash val="solid"/>
              </a:ln>
            </c:spPr>
          </c:marker>
          <c:val>
            <c:numRef>
              <c:f>'GRR Calculations'!$AG$74:$AG$78</c:f>
              <c:numCache>
                <c:formatCode>General</c:formatCode>
                <c:ptCount val="5"/>
                <c:pt idx="0">
                  <c:v>0.52100000000000002</c:v>
                </c:pt>
                <c:pt idx="1">
                  <c:v>0.52300000000000002</c:v>
                </c:pt>
                <c:pt idx="2">
                  <c:v>0.52100000000000002</c:v>
                </c:pt>
                <c:pt idx="3">
                  <c:v>0.52200000000000002</c:v>
                </c:pt>
                <c:pt idx="4">
                  <c:v>0.52400000000000002</c:v>
                </c:pt>
              </c:numCache>
            </c:numRef>
          </c:val>
          <c:smooth val="0"/>
          <c:extLst>
            <c:ext xmlns:c16="http://schemas.microsoft.com/office/drawing/2014/chart" uri="{C3380CC4-5D6E-409C-BE32-E72D297353CC}">
              <c16:uniqueId val="{00000001-02D1-4CBC-8D77-35A6C7C9E2C4}"/>
            </c:ext>
          </c:extLst>
        </c:ser>
        <c:ser>
          <c:idx val="2"/>
          <c:order val="2"/>
          <c:spPr>
            <a:ln w="19050">
              <a:noFill/>
            </a:ln>
          </c:spPr>
          <c:marker>
            <c:symbol val="diamond"/>
            <c:size val="5"/>
            <c:spPr>
              <a:solidFill>
                <a:srgbClr val="000080"/>
              </a:solidFill>
              <a:ln>
                <a:solidFill>
                  <a:srgbClr val="000080"/>
                </a:solidFill>
                <a:prstDash val="solid"/>
              </a:ln>
            </c:spPr>
          </c:marker>
          <c:val>
            <c:numRef>
              <c:f>'GRR Calculations'!$AH$74:$AH$78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02D1-4CBC-8D77-35A6C7C9E2C4}"/>
            </c:ext>
          </c:extLst>
        </c:ser>
        <c:ser>
          <c:idx val="3"/>
          <c:order val="3"/>
          <c:tx>
            <c:strRef>
              <c:f>'GRR Calculations'!$AO$73</c:f>
              <c:strCache>
                <c:ptCount val="1"/>
                <c:pt idx="0">
                  <c:v>Op A</c:v>
                </c:pt>
              </c:strCache>
            </c:strRef>
          </c:tx>
          <c:spPr>
            <a:ln w="12700">
              <a:solidFill>
                <a:srgbClr val="000080"/>
              </a:solidFill>
              <a:prstDash val="solid"/>
            </a:ln>
          </c:spPr>
          <c:marker>
            <c:symbol val="none"/>
          </c:marker>
          <c:val>
            <c:numRef>
              <c:f>'GRR Calculations'!$AO$84:$AO$88</c:f>
              <c:numCache>
                <c:formatCode>General</c:formatCode>
                <c:ptCount val="5"/>
                <c:pt idx="0">
                  <c:v>0.52100000000000002</c:v>
                </c:pt>
                <c:pt idx="1">
                  <c:v>0.52249999999999996</c:v>
                </c:pt>
                <c:pt idx="2">
                  <c:v>0.52200000000000002</c:v>
                </c:pt>
                <c:pt idx="3">
                  <c:v>0.52150000000000007</c:v>
                </c:pt>
                <c:pt idx="4">
                  <c:v>0.52449999999999997</c:v>
                </c:pt>
              </c:numCache>
            </c:numRef>
          </c:val>
          <c:smooth val="0"/>
          <c:extLst>
            <c:ext xmlns:c16="http://schemas.microsoft.com/office/drawing/2014/chart" uri="{C3380CC4-5D6E-409C-BE32-E72D297353CC}">
              <c16:uniqueId val="{00000003-02D1-4CBC-8D77-35A6C7C9E2C4}"/>
            </c:ext>
          </c:extLst>
        </c:ser>
        <c:ser>
          <c:idx val="4"/>
          <c:order val="4"/>
          <c:spPr>
            <a:ln w="19050">
              <a:noFill/>
            </a:ln>
          </c:spPr>
          <c:marker>
            <c:symbol val="square"/>
            <c:size val="5"/>
            <c:spPr>
              <a:solidFill>
                <a:srgbClr val="FF00FF"/>
              </a:solidFill>
              <a:ln>
                <a:solidFill>
                  <a:srgbClr val="FF00FF"/>
                </a:solidFill>
                <a:prstDash val="solid"/>
              </a:ln>
            </c:spPr>
          </c:marker>
          <c:val>
            <c:numRef>
              <c:f>'GRR Calculations'!$AI$74:$AI$78</c:f>
              <c:numCache>
                <c:formatCode>General</c:formatCode>
                <c:ptCount val="5"/>
                <c:pt idx="0">
                  <c:v>0.498</c:v>
                </c:pt>
                <c:pt idx="1">
                  <c:v>0.52100000000000002</c:v>
                </c:pt>
                <c:pt idx="2">
                  <c:v>0.52200000000000002</c:v>
                </c:pt>
                <c:pt idx="3">
                  <c:v>0.52400000000000002</c:v>
                </c:pt>
                <c:pt idx="4">
                  <c:v>0.52100000000000002</c:v>
                </c:pt>
              </c:numCache>
            </c:numRef>
          </c:val>
          <c:smooth val="0"/>
          <c:extLst>
            <c:ext xmlns:c16="http://schemas.microsoft.com/office/drawing/2014/chart" uri="{C3380CC4-5D6E-409C-BE32-E72D297353CC}">
              <c16:uniqueId val="{00000004-02D1-4CBC-8D77-35A6C7C9E2C4}"/>
            </c:ext>
          </c:extLst>
        </c:ser>
        <c:ser>
          <c:idx val="5"/>
          <c:order val="5"/>
          <c:spPr>
            <a:ln w="19050">
              <a:noFill/>
            </a:ln>
          </c:spPr>
          <c:marker>
            <c:symbol val="square"/>
            <c:size val="5"/>
            <c:spPr>
              <a:solidFill>
                <a:srgbClr val="FF00FF"/>
              </a:solidFill>
              <a:ln>
                <a:solidFill>
                  <a:srgbClr val="FF00FF"/>
                </a:solidFill>
                <a:prstDash val="solid"/>
              </a:ln>
            </c:spPr>
          </c:marker>
          <c:val>
            <c:numRef>
              <c:f>'GRR Calculations'!$AJ$74:$AJ$78</c:f>
              <c:numCache>
                <c:formatCode>General</c:formatCode>
                <c:ptCount val="5"/>
                <c:pt idx="0">
                  <c:v>0.45700000000000002</c:v>
                </c:pt>
                <c:pt idx="1">
                  <c:v>0.52200000000000002</c:v>
                </c:pt>
                <c:pt idx="2">
                  <c:v>0.52200000000000002</c:v>
                </c:pt>
                <c:pt idx="3">
                  <c:v>0.52300000000000002</c:v>
                </c:pt>
                <c:pt idx="4">
                  <c:v>0.52100000000000002</c:v>
                </c:pt>
              </c:numCache>
            </c:numRef>
          </c:val>
          <c:smooth val="0"/>
          <c:extLst>
            <c:ext xmlns:c16="http://schemas.microsoft.com/office/drawing/2014/chart" uri="{C3380CC4-5D6E-409C-BE32-E72D297353CC}">
              <c16:uniqueId val="{00000005-02D1-4CBC-8D77-35A6C7C9E2C4}"/>
            </c:ext>
          </c:extLst>
        </c:ser>
        <c:ser>
          <c:idx val="6"/>
          <c:order val="6"/>
          <c:spPr>
            <a:ln w="19050">
              <a:noFill/>
            </a:ln>
          </c:spPr>
          <c:marker>
            <c:symbol val="square"/>
            <c:size val="5"/>
            <c:spPr>
              <a:solidFill>
                <a:srgbClr val="FF00FF"/>
              </a:solidFill>
              <a:ln>
                <a:solidFill>
                  <a:srgbClr val="FF00FF"/>
                </a:solidFill>
                <a:prstDash val="solid"/>
              </a:ln>
            </c:spPr>
          </c:marker>
          <c:val>
            <c:numRef>
              <c:f>'GRR Calculations'!$AK$74:$AK$78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02D1-4CBC-8D77-35A6C7C9E2C4}"/>
            </c:ext>
          </c:extLst>
        </c:ser>
        <c:ser>
          <c:idx val="7"/>
          <c:order val="7"/>
          <c:tx>
            <c:strRef>
              <c:f>'GRR Calculations'!$AP$73</c:f>
              <c:strCache>
                <c:ptCount val="1"/>
                <c:pt idx="0">
                  <c:v>Op B</c:v>
                </c:pt>
              </c:strCache>
            </c:strRef>
          </c:tx>
          <c:spPr>
            <a:ln w="12700">
              <a:solidFill>
                <a:srgbClr val="FF00FF"/>
              </a:solidFill>
              <a:prstDash val="solid"/>
            </a:ln>
          </c:spPr>
          <c:marker>
            <c:symbol val="none"/>
          </c:marker>
          <c:val>
            <c:numRef>
              <c:f>'GRR Calculations'!$AP$84:$AP$88</c:f>
              <c:numCache>
                <c:formatCode>General</c:formatCode>
                <c:ptCount val="5"/>
                <c:pt idx="0">
                  <c:v>0.47750000000000004</c:v>
                </c:pt>
                <c:pt idx="1">
                  <c:v>0.52150000000000007</c:v>
                </c:pt>
                <c:pt idx="2">
                  <c:v>0.52200000000000002</c:v>
                </c:pt>
                <c:pt idx="3">
                  <c:v>0.52350000000000008</c:v>
                </c:pt>
                <c:pt idx="4">
                  <c:v>0.52100000000000002</c:v>
                </c:pt>
              </c:numCache>
            </c:numRef>
          </c:val>
          <c:smooth val="0"/>
          <c:extLst>
            <c:ext xmlns:c16="http://schemas.microsoft.com/office/drawing/2014/chart" uri="{C3380CC4-5D6E-409C-BE32-E72D297353CC}">
              <c16:uniqueId val="{00000007-02D1-4CBC-8D77-35A6C7C9E2C4}"/>
            </c:ext>
          </c:extLst>
        </c:ser>
        <c:ser>
          <c:idx val="8"/>
          <c:order val="8"/>
          <c:spPr>
            <a:ln w="19050">
              <a:noFill/>
            </a:ln>
          </c:spPr>
          <c:marker>
            <c:symbol val="triangle"/>
            <c:size val="5"/>
            <c:spPr>
              <a:solidFill>
                <a:srgbClr val="008000"/>
              </a:solidFill>
              <a:ln>
                <a:solidFill>
                  <a:srgbClr val="008000"/>
                </a:solidFill>
                <a:prstDash val="solid"/>
              </a:ln>
            </c:spPr>
          </c:marker>
          <c:val>
            <c:numRef>
              <c:f>'GRR Calculations'!$AL$74:$AL$78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02D1-4CBC-8D77-35A6C7C9E2C4}"/>
            </c:ext>
          </c:extLst>
        </c:ser>
        <c:ser>
          <c:idx val="9"/>
          <c:order val="9"/>
          <c:spPr>
            <a:ln w="19050">
              <a:noFill/>
            </a:ln>
          </c:spPr>
          <c:marker>
            <c:symbol val="triangle"/>
            <c:size val="5"/>
            <c:spPr>
              <a:solidFill>
                <a:srgbClr val="008000"/>
              </a:solidFill>
              <a:ln>
                <a:solidFill>
                  <a:srgbClr val="008000"/>
                </a:solidFill>
                <a:prstDash val="solid"/>
              </a:ln>
            </c:spPr>
          </c:marker>
          <c:val>
            <c:numRef>
              <c:f>'GRR Calculations'!$AM$74:$AM$78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02D1-4CBC-8D77-35A6C7C9E2C4}"/>
            </c:ext>
          </c:extLst>
        </c:ser>
        <c:ser>
          <c:idx val="10"/>
          <c:order val="10"/>
          <c:spPr>
            <a:ln w="19050">
              <a:noFill/>
            </a:ln>
          </c:spPr>
          <c:marker>
            <c:symbol val="triangle"/>
            <c:size val="5"/>
            <c:spPr>
              <a:solidFill>
                <a:srgbClr val="008000"/>
              </a:solidFill>
              <a:ln>
                <a:solidFill>
                  <a:srgbClr val="008000"/>
                </a:solidFill>
                <a:prstDash val="solid"/>
              </a:ln>
            </c:spPr>
          </c:marker>
          <c:val>
            <c:numRef>
              <c:f>'GRR Calculations'!$AN$74:$AN$78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02D1-4CBC-8D77-35A6C7C9E2C4}"/>
            </c:ext>
          </c:extLst>
        </c:ser>
        <c:ser>
          <c:idx val="11"/>
          <c:order val="11"/>
          <c:tx>
            <c:strRef>
              <c:f>'GRR Calculations'!$AQ$73</c:f>
              <c:strCache>
                <c:ptCount val="1"/>
                <c:pt idx="0">
                  <c:v>Op C</c:v>
                </c:pt>
              </c:strCache>
            </c:strRef>
          </c:tx>
          <c:spPr>
            <a:ln w="12700">
              <a:solidFill>
                <a:srgbClr val="008000"/>
              </a:solidFill>
              <a:prstDash val="solid"/>
            </a:ln>
          </c:spPr>
          <c:marker>
            <c:symbol val="none"/>
          </c:marker>
          <c:val>
            <c:numRef>
              <c:f>'GRR Calculations'!$AQ$84:$AQ$88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02D1-4CBC-8D77-35A6C7C9E2C4}"/>
            </c:ext>
          </c:extLst>
        </c:ser>
        <c:dLbls>
          <c:showLegendKey val="0"/>
          <c:showVal val="0"/>
          <c:showCatName val="0"/>
          <c:showSerName val="0"/>
          <c:showPercent val="0"/>
          <c:showBubbleSize val="0"/>
        </c:dLbls>
        <c:marker val="1"/>
        <c:smooth val="0"/>
        <c:axId val="366309288"/>
        <c:axId val="366310856"/>
      </c:lineChart>
      <c:catAx>
        <c:axId val="366309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10856"/>
        <c:crosses val="autoZero"/>
        <c:auto val="1"/>
        <c:lblAlgn val="ctr"/>
        <c:lblOffset val="100"/>
        <c:tickLblSkip val="1"/>
        <c:tickMarkSkip val="1"/>
        <c:noMultiLvlLbl val="0"/>
      </c:catAx>
      <c:valAx>
        <c:axId val="3663108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09288"/>
        <c:crosses val="autoZero"/>
        <c:crossBetween val="between"/>
      </c:valAx>
      <c:spPr>
        <a:solidFill>
          <a:srgbClr val="FFFFFF"/>
        </a:solidFill>
        <a:ln w="3175">
          <a:solidFill>
            <a:srgbClr val="000000"/>
          </a:solidFill>
          <a:prstDash val="solid"/>
        </a:ln>
      </c:spPr>
    </c:plotArea>
    <c:legend>
      <c:legendPos val="r"/>
      <c:legendEntry>
        <c:idx val="0"/>
        <c:delete val="1"/>
      </c:legendEntry>
      <c:legendEntry>
        <c:idx val="1"/>
        <c:delete val="1"/>
      </c:legendEntry>
      <c:legendEntry>
        <c:idx val="2"/>
        <c:delete val="1"/>
      </c:legendEntry>
      <c:legendEntry>
        <c:idx val="4"/>
        <c:delete val="1"/>
      </c:legendEntry>
      <c:legendEntry>
        <c:idx val="5"/>
        <c:delete val="1"/>
      </c:legendEntry>
      <c:legendEntry>
        <c:idx val="6"/>
        <c:delete val="1"/>
      </c:legendEntry>
      <c:legendEntry>
        <c:idx val="8"/>
        <c:delete val="1"/>
      </c:legendEntry>
      <c:legendEntry>
        <c:idx val="9"/>
        <c:delete val="1"/>
      </c:legendEntry>
      <c:legendEntry>
        <c:idx val="10"/>
        <c:delete val="1"/>
      </c:legendEntry>
      <c:layout>
        <c:manualLayout>
          <c:xMode val="edge"/>
          <c:yMode val="edge"/>
          <c:x val="0.88704174488205589"/>
          <c:y val="0.46979560713580248"/>
          <c:w val="0.10779570252593072"/>
          <c:h val="0.1675879066390873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CFFCC"/>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Part</a:t>
            </a:r>
          </a:p>
        </c:rich>
      </c:tx>
      <c:layout>
        <c:manualLayout>
          <c:xMode val="edge"/>
          <c:yMode val="edge"/>
          <c:x val="0.47079463009123101"/>
          <c:y val="1.7752059507249607E-2"/>
        </c:manualLayout>
      </c:layout>
      <c:overlay val="0"/>
      <c:spPr>
        <a:noFill/>
        <a:ln w="25400">
          <a:noFill/>
        </a:ln>
      </c:spPr>
    </c:title>
    <c:autoTitleDeleted val="0"/>
    <c:plotArea>
      <c:layout>
        <c:manualLayout>
          <c:layoutTarget val="inner"/>
          <c:xMode val="edge"/>
          <c:yMode val="edge"/>
          <c:x val="6.8184049875281733E-2"/>
          <c:y val="9.7636327289872871E-2"/>
          <c:w val="0.9107440947626918"/>
          <c:h val="0.76629723539627481"/>
        </c:manualLayout>
      </c:layout>
      <c:lineChart>
        <c:grouping val="standard"/>
        <c:varyColors val="0"/>
        <c:ser>
          <c:idx val="0"/>
          <c:order val="0"/>
          <c:spPr>
            <a:ln w="19050">
              <a:noFill/>
            </a:ln>
          </c:spPr>
          <c:marker>
            <c:symbol val="diamond"/>
            <c:size val="5"/>
            <c:spPr>
              <a:solidFill>
                <a:srgbClr val="000080"/>
              </a:solidFill>
              <a:ln>
                <a:solidFill>
                  <a:srgbClr val="000080"/>
                </a:solidFill>
                <a:prstDash val="solid"/>
              </a:ln>
            </c:spPr>
          </c:marker>
          <c:val>
            <c:numRef>
              <c:f>'GRR Calculations'!$AF$74:$AF$78</c:f>
              <c:numCache>
                <c:formatCode>General</c:formatCode>
                <c:ptCount val="5"/>
                <c:pt idx="0">
                  <c:v>0.52100000000000002</c:v>
                </c:pt>
                <c:pt idx="1">
                  <c:v>0.52200000000000002</c:v>
                </c:pt>
                <c:pt idx="2">
                  <c:v>0.52300000000000002</c:v>
                </c:pt>
                <c:pt idx="3">
                  <c:v>0.52100000000000002</c:v>
                </c:pt>
                <c:pt idx="4">
                  <c:v>0.52500000000000002</c:v>
                </c:pt>
              </c:numCache>
            </c:numRef>
          </c:val>
          <c:smooth val="0"/>
          <c:extLst>
            <c:ext xmlns:c16="http://schemas.microsoft.com/office/drawing/2014/chart" uri="{C3380CC4-5D6E-409C-BE32-E72D297353CC}">
              <c16:uniqueId val="{00000000-2969-45AB-90DB-8EE7EE263185}"/>
            </c:ext>
          </c:extLst>
        </c:ser>
        <c:ser>
          <c:idx val="1"/>
          <c:order val="1"/>
          <c:spPr>
            <a:ln w="19050">
              <a:noFill/>
            </a:ln>
          </c:spPr>
          <c:marker>
            <c:symbol val="diamond"/>
            <c:size val="5"/>
            <c:spPr>
              <a:solidFill>
                <a:srgbClr val="000080"/>
              </a:solidFill>
              <a:ln>
                <a:solidFill>
                  <a:srgbClr val="000080"/>
                </a:solidFill>
                <a:prstDash val="solid"/>
              </a:ln>
            </c:spPr>
          </c:marker>
          <c:val>
            <c:numRef>
              <c:f>'GRR Calculations'!$AG$74:$AG$78</c:f>
              <c:numCache>
                <c:formatCode>General</c:formatCode>
                <c:ptCount val="5"/>
                <c:pt idx="0">
                  <c:v>0.52100000000000002</c:v>
                </c:pt>
                <c:pt idx="1">
                  <c:v>0.52300000000000002</c:v>
                </c:pt>
                <c:pt idx="2">
                  <c:v>0.52100000000000002</c:v>
                </c:pt>
                <c:pt idx="3">
                  <c:v>0.52200000000000002</c:v>
                </c:pt>
                <c:pt idx="4">
                  <c:v>0.52400000000000002</c:v>
                </c:pt>
              </c:numCache>
            </c:numRef>
          </c:val>
          <c:smooth val="0"/>
          <c:extLst>
            <c:ext xmlns:c16="http://schemas.microsoft.com/office/drawing/2014/chart" uri="{C3380CC4-5D6E-409C-BE32-E72D297353CC}">
              <c16:uniqueId val="{00000001-2969-45AB-90DB-8EE7EE263185}"/>
            </c:ext>
          </c:extLst>
        </c:ser>
        <c:ser>
          <c:idx val="2"/>
          <c:order val="2"/>
          <c:spPr>
            <a:ln w="19050">
              <a:noFill/>
            </a:ln>
          </c:spPr>
          <c:marker>
            <c:symbol val="diamond"/>
            <c:size val="5"/>
            <c:spPr>
              <a:solidFill>
                <a:srgbClr val="000080"/>
              </a:solidFill>
              <a:ln>
                <a:solidFill>
                  <a:srgbClr val="000080"/>
                </a:solidFill>
                <a:prstDash val="solid"/>
              </a:ln>
            </c:spPr>
          </c:marker>
          <c:val>
            <c:numRef>
              <c:f>'GRR Calculations'!$AH$74:$AH$78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2969-45AB-90DB-8EE7EE263185}"/>
            </c:ext>
          </c:extLst>
        </c:ser>
        <c:ser>
          <c:idx val="3"/>
          <c:order val="3"/>
          <c:spPr>
            <a:ln w="19050">
              <a:noFill/>
            </a:ln>
          </c:spPr>
          <c:marker>
            <c:symbol val="diamond"/>
            <c:size val="5"/>
            <c:spPr>
              <a:solidFill>
                <a:srgbClr val="000080"/>
              </a:solidFill>
              <a:ln>
                <a:solidFill>
                  <a:srgbClr val="000080"/>
                </a:solidFill>
                <a:prstDash val="solid"/>
              </a:ln>
            </c:spPr>
          </c:marker>
          <c:val>
            <c:numRef>
              <c:f>'GRR Calculations'!$AI$74:$AI$78</c:f>
              <c:numCache>
                <c:formatCode>General</c:formatCode>
                <c:ptCount val="5"/>
                <c:pt idx="0">
                  <c:v>0.498</c:v>
                </c:pt>
                <c:pt idx="1">
                  <c:v>0.52100000000000002</c:v>
                </c:pt>
                <c:pt idx="2">
                  <c:v>0.52200000000000002</c:v>
                </c:pt>
                <c:pt idx="3">
                  <c:v>0.52400000000000002</c:v>
                </c:pt>
                <c:pt idx="4">
                  <c:v>0.52100000000000002</c:v>
                </c:pt>
              </c:numCache>
            </c:numRef>
          </c:val>
          <c:smooth val="0"/>
          <c:extLst>
            <c:ext xmlns:c16="http://schemas.microsoft.com/office/drawing/2014/chart" uri="{C3380CC4-5D6E-409C-BE32-E72D297353CC}">
              <c16:uniqueId val="{00000003-2969-45AB-90DB-8EE7EE263185}"/>
            </c:ext>
          </c:extLst>
        </c:ser>
        <c:ser>
          <c:idx val="4"/>
          <c:order val="4"/>
          <c:spPr>
            <a:ln w="19050">
              <a:noFill/>
            </a:ln>
          </c:spPr>
          <c:marker>
            <c:symbol val="diamond"/>
            <c:size val="5"/>
            <c:spPr>
              <a:solidFill>
                <a:srgbClr val="000080"/>
              </a:solidFill>
              <a:ln>
                <a:solidFill>
                  <a:srgbClr val="000080"/>
                </a:solidFill>
                <a:prstDash val="solid"/>
              </a:ln>
            </c:spPr>
          </c:marker>
          <c:val>
            <c:numRef>
              <c:f>'GRR Calculations'!$AJ$74:$AJ$78</c:f>
              <c:numCache>
                <c:formatCode>General</c:formatCode>
                <c:ptCount val="5"/>
                <c:pt idx="0">
                  <c:v>0.45700000000000002</c:v>
                </c:pt>
                <c:pt idx="1">
                  <c:v>0.52200000000000002</c:v>
                </c:pt>
                <c:pt idx="2">
                  <c:v>0.52200000000000002</c:v>
                </c:pt>
                <c:pt idx="3">
                  <c:v>0.52300000000000002</c:v>
                </c:pt>
                <c:pt idx="4">
                  <c:v>0.52100000000000002</c:v>
                </c:pt>
              </c:numCache>
            </c:numRef>
          </c:val>
          <c:smooth val="0"/>
          <c:extLst>
            <c:ext xmlns:c16="http://schemas.microsoft.com/office/drawing/2014/chart" uri="{C3380CC4-5D6E-409C-BE32-E72D297353CC}">
              <c16:uniqueId val="{00000004-2969-45AB-90DB-8EE7EE263185}"/>
            </c:ext>
          </c:extLst>
        </c:ser>
        <c:ser>
          <c:idx val="5"/>
          <c:order val="5"/>
          <c:spPr>
            <a:ln w="19050">
              <a:noFill/>
            </a:ln>
          </c:spPr>
          <c:marker>
            <c:symbol val="diamond"/>
            <c:size val="5"/>
            <c:spPr>
              <a:solidFill>
                <a:srgbClr val="000080"/>
              </a:solidFill>
              <a:ln>
                <a:solidFill>
                  <a:srgbClr val="000080"/>
                </a:solidFill>
                <a:prstDash val="solid"/>
              </a:ln>
            </c:spPr>
          </c:marker>
          <c:val>
            <c:numRef>
              <c:f>'GRR Calculations'!$AK$74:$AK$78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2969-45AB-90DB-8EE7EE263185}"/>
            </c:ext>
          </c:extLst>
        </c:ser>
        <c:ser>
          <c:idx val="6"/>
          <c:order val="6"/>
          <c:spPr>
            <a:ln w="19050">
              <a:noFill/>
            </a:ln>
          </c:spPr>
          <c:marker>
            <c:symbol val="diamond"/>
            <c:size val="5"/>
            <c:spPr>
              <a:solidFill>
                <a:srgbClr val="000080"/>
              </a:solidFill>
              <a:ln>
                <a:solidFill>
                  <a:srgbClr val="000080"/>
                </a:solidFill>
                <a:prstDash val="solid"/>
              </a:ln>
            </c:spPr>
          </c:marker>
          <c:val>
            <c:numRef>
              <c:f>'GRR Calculations'!$AL$74:$AL$78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2969-45AB-90DB-8EE7EE263185}"/>
            </c:ext>
          </c:extLst>
        </c:ser>
        <c:ser>
          <c:idx val="7"/>
          <c:order val="7"/>
          <c:spPr>
            <a:ln w="19050">
              <a:noFill/>
            </a:ln>
          </c:spPr>
          <c:marker>
            <c:symbol val="diamond"/>
            <c:size val="5"/>
            <c:spPr>
              <a:solidFill>
                <a:srgbClr val="333399"/>
              </a:solidFill>
              <a:ln>
                <a:solidFill>
                  <a:srgbClr val="333399"/>
                </a:solidFill>
                <a:prstDash val="solid"/>
              </a:ln>
            </c:spPr>
          </c:marker>
          <c:val>
            <c:numRef>
              <c:f>'GRR Calculations'!$AM$74:$AM$78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2969-45AB-90DB-8EE7EE263185}"/>
            </c:ext>
          </c:extLst>
        </c:ser>
        <c:ser>
          <c:idx val="8"/>
          <c:order val="8"/>
          <c:spPr>
            <a:ln w="19050">
              <a:noFill/>
            </a:ln>
          </c:spPr>
          <c:marker>
            <c:symbol val="diamond"/>
            <c:size val="5"/>
            <c:spPr>
              <a:solidFill>
                <a:srgbClr val="000080"/>
              </a:solidFill>
              <a:ln>
                <a:solidFill>
                  <a:srgbClr val="000080"/>
                </a:solidFill>
                <a:prstDash val="solid"/>
              </a:ln>
            </c:spPr>
          </c:marker>
          <c:val>
            <c:numRef>
              <c:f>'GRR Calculations'!$AN$74:$AN$78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2969-45AB-90DB-8EE7EE263185}"/>
            </c:ext>
          </c:extLst>
        </c:ser>
        <c:ser>
          <c:idx val="9"/>
          <c:order val="9"/>
          <c:spPr>
            <a:ln w="12700">
              <a:solidFill>
                <a:srgbClr val="000080"/>
              </a:solidFill>
              <a:prstDash val="solid"/>
            </a:ln>
          </c:spPr>
          <c:marker>
            <c:symbol val="none"/>
          </c:marker>
          <c:val>
            <c:numRef>
              <c:f>'GRR Calculations'!$AO$74:$AO$78</c:f>
              <c:numCache>
                <c:formatCode>General</c:formatCode>
                <c:ptCount val="5"/>
                <c:pt idx="0">
                  <c:v>0.49925000000000003</c:v>
                </c:pt>
                <c:pt idx="1">
                  <c:v>0.52200000000000002</c:v>
                </c:pt>
                <c:pt idx="2">
                  <c:v>0.52200000000000002</c:v>
                </c:pt>
                <c:pt idx="3">
                  <c:v>0.52250000000000008</c:v>
                </c:pt>
                <c:pt idx="4">
                  <c:v>0.52274999999999994</c:v>
                </c:pt>
              </c:numCache>
            </c:numRef>
          </c:val>
          <c:smooth val="0"/>
          <c:extLst>
            <c:ext xmlns:c16="http://schemas.microsoft.com/office/drawing/2014/chart" uri="{C3380CC4-5D6E-409C-BE32-E72D297353CC}">
              <c16:uniqueId val="{00000009-2969-45AB-90DB-8EE7EE263185}"/>
            </c:ext>
          </c:extLst>
        </c:ser>
        <c:dLbls>
          <c:showLegendKey val="0"/>
          <c:showVal val="0"/>
          <c:showCatName val="0"/>
          <c:showSerName val="0"/>
          <c:showPercent val="0"/>
          <c:showBubbleSize val="0"/>
        </c:dLbls>
        <c:marker val="1"/>
        <c:smooth val="0"/>
        <c:axId val="366314776"/>
        <c:axId val="366309680"/>
      </c:lineChart>
      <c:catAx>
        <c:axId val="366314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09680"/>
        <c:crosses val="autoZero"/>
        <c:auto val="1"/>
        <c:lblAlgn val="ctr"/>
        <c:lblOffset val="100"/>
        <c:tickLblSkip val="1"/>
        <c:tickMarkSkip val="1"/>
        <c:noMultiLvlLbl val="0"/>
      </c:catAx>
      <c:valAx>
        <c:axId val="366309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147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CCFFCC"/>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Operator</a:t>
            </a:r>
          </a:p>
        </c:rich>
      </c:tx>
      <c:layout>
        <c:manualLayout>
          <c:xMode val="edge"/>
          <c:yMode val="edge"/>
          <c:x val="0.44157289443039605"/>
          <c:y val="1.7752059507249607E-2"/>
        </c:manualLayout>
      </c:layout>
      <c:overlay val="0"/>
      <c:spPr>
        <a:noFill/>
        <a:ln w="25400">
          <a:noFill/>
        </a:ln>
      </c:spPr>
    </c:title>
    <c:autoTitleDeleted val="0"/>
    <c:plotArea>
      <c:layout>
        <c:manualLayout>
          <c:layoutTarget val="inner"/>
          <c:xMode val="edge"/>
          <c:yMode val="edge"/>
          <c:x val="6.8184049875281733E-2"/>
          <c:y val="0.10651235704349764"/>
          <c:w val="0.9107440947626918"/>
          <c:h val="0.75742120564264992"/>
        </c:manualLayout>
      </c:layout>
      <c:lineChart>
        <c:grouping val="standard"/>
        <c:varyColors val="0"/>
        <c:ser>
          <c:idx val="0"/>
          <c:order val="0"/>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Calculations'!$AS$72:$AS$73</c:f>
              <c:numCache>
                <c:formatCode>General</c:formatCode>
                <c:ptCount val="2"/>
                <c:pt idx="0">
                  <c:v>0.52100000000000002</c:v>
                </c:pt>
                <c:pt idx="1">
                  <c:v>0.498</c:v>
                </c:pt>
              </c:numCache>
            </c:numRef>
          </c:val>
          <c:smooth val="0"/>
          <c:extLst>
            <c:ext xmlns:c16="http://schemas.microsoft.com/office/drawing/2014/chart" uri="{C3380CC4-5D6E-409C-BE32-E72D297353CC}">
              <c16:uniqueId val="{00000000-28A9-44A8-AC46-C7B288B05154}"/>
            </c:ext>
          </c:extLst>
        </c:ser>
        <c:ser>
          <c:idx val="1"/>
          <c:order val="1"/>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Calculations'!$AT$72:$AT$73</c:f>
              <c:numCache>
                <c:formatCode>General</c:formatCode>
                <c:ptCount val="2"/>
                <c:pt idx="0">
                  <c:v>0.52100000000000002</c:v>
                </c:pt>
                <c:pt idx="1">
                  <c:v>0.45700000000000002</c:v>
                </c:pt>
              </c:numCache>
            </c:numRef>
          </c:val>
          <c:smooth val="0"/>
          <c:extLst>
            <c:ext xmlns:c16="http://schemas.microsoft.com/office/drawing/2014/chart" uri="{C3380CC4-5D6E-409C-BE32-E72D297353CC}">
              <c16:uniqueId val="{00000001-28A9-44A8-AC46-C7B288B05154}"/>
            </c:ext>
          </c:extLst>
        </c:ser>
        <c:ser>
          <c:idx val="2"/>
          <c:order val="2"/>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Calculations'!$AU$72:$AU$73</c:f>
              <c:numCache>
                <c:formatCode>General</c:formatCode>
                <c:ptCount val="2"/>
                <c:pt idx="0">
                  <c:v>#N/A</c:v>
                </c:pt>
                <c:pt idx="1">
                  <c:v>#N/A</c:v>
                </c:pt>
              </c:numCache>
            </c:numRef>
          </c:val>
          <c:smooth val="0"/>
          <c:extLst>
            <c:ext xmlns:c16="http://schemas.microsoft.com/office/drawing/2014/chart" uri="{C3380CC4-5D6E-409C-BE32-E72D297353CC}">
              <c16:uniqueId val="{00000002-28A9-44A8-AC46-C7B288B05154}"/>
            </c:ext>
          </c:extLst>
        </c:ser>
        <c:ser>
          <c:idx val="3"/>
          <c:order val="3"/>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Calculations'!$AV$72:$AV$73</c:f>
              <c:numCache>
                <c:formatCode>General</c:formatCode>
                <c:ptCount val="2"/>
                <c:pt idx="0">
                  <c:v>0.52200000000000002</c:v>
                </c:pt>
                <c:pt idx="1">
                  <c:v>0.52100000000000002</c:v>
                </c:pt>
              </c:numCache>
            </c:numRef>
          </c:val>
          <c:smooth val="0"/>
          <c:extLst>
            <c:ext xmlns:c16="http://schemas.microsoft.com/office/drawing/2014/chart" uri="{C3380CC4-5D6E-409C-BE32-E72D297353CC}">
              <c16:uniqueId val="{00000003-28A9-44A8-AC46-C7B288B05154}"/>
            </c:ext>
          </c:extLst>
        </c:ser>
        <c:ser>
          <c:idx val="4"/>
          <c:order val="4"/>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Calculations'!$AW$72:$AW$73</c:f>
              <c:numCache>
                <c:formatCode>General</c:formatCode>
                <c:ptCount val="2"/>
                <c:pt idx="0">
                  <c:v>0.52300000000000002</c:v>
                </c:pt>
                <c:pt idx="1">
                  <c:v>0.52200000000000002</c:v>
                </c:pt>
              </c:numCache>
            </c:numRef>
          </c:val>
          <c:smooth val="0"/>
          <c:extLst>
            <c:ext xmlns:c16="http://schemas.microsoft.com/office/drawing/2014/chart" uri="{C3380CC4-5D6E-409C-BE32-E72D297353CC}">
              <c16:uniqueId val="{00000004-28A9-44A8-AC46-C7B288B05154}"/>
            </c:ext>
          </c:extLst>
        </c:ser>
        <c:ser>
          <c:idx val="5"/>
          <c:order val="5"/>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Calculations'!$AX$72:$AX$73</c:f>
              <c:numCache>
                <c:formatCode>General</c:formatCode>
                <c:ptCount val="2"/>
                <c:pt idx="0">
                  <c:v>#N/A</c:v>
                </c:pt>
                <c:pt idx="1">
                  <c:v>#N/A</c:v>
                </c:pt>
              </c:numCache>
            </c:numRef>
          </c:val>
          <c:smooth val="0"/>
          <c:extLst>
            <c:ext xmlns:c16="http://schemas.microsoft.com/office/drawing/2014/chart" uri="{C3380CC4-5D6E-409C-BE32-E72D297353CC}">
              <c16:uniqueId val="{00000005-28A9-44A8-AC46-C7B288B05154}"/>
            </c:ext>
          </c:extLst>
        </c:ser>
        <c:ser>
          <c:idx val="6"/>
          <c:order val="6"/>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Calculations'!$AY$72:$AY$73</c:f>
              <c:numCache>
                <c:formatCode>General</c:formatCode>
                <c:ptCount val="2"/>
                <c:pt idx="0">
                  <c:v>0.52300000000000002</c:v>
                </c:pt>
                <c:pt idx="1">
                  <c:v>0.52200000000000002</c:v>
                </c:pt>
              </c:numCache>
            </c:numRef>
          </c:val>
          <c:smooth val="0"/>
          <c:extLst>
            <c:ext xmlns:c16="http://schemas.microsoft.com/office/drawing/2014/chart" uri="{C3380CC4-5D6E-409C-BE32-E72D297353CC}">
              <c16:uniqueId val="{00000006-28A9-44A8-AC46-C7B288B05154}"/>
            </c:ext>
          </c:extLst>
        </c:ser>
        <c:ser>
          <c:idx val="7"/>
          <c:order val="7"/>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Calculations'!$AZ$72:$AZ$73</c:f>
              <c:numCache>
                <c:formatCode>General</c:formatCode>
                <c:ptCount val="2"/>
                <c:pt idx="0">
                  <c:v>0.52100000000000002</c:v>
                </c:pt>
                <c:pt idx="1">
                  <c:v>0.52200000000000002</c:v>
                </c:pt>
              </c:numCache>
            </c:numRef>
          </c:val>
          <c:smooth val="0"/>
          <c:extLst>
            <c:ext xmlns:c16="http://schemas.microsoft.com/office/drawing/2014/chart" uri="{C3380CC4-5D6E-409C-BE32-E72D297353CC}">
              <c16:uniqueId val="{00000007-28A9-44A8-AC46-C7B288B05154}"/>
            </c:ext>
          </c:extLst>
        </c:ser>
        <c:ser>
          <c:idx val="8"/>
          <c:order val="8"/>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Calculations'!$BA$72:$BA$73</c:f>
              <c:numCache>
                <c:formatCode>General</c:formatCode>
                <c:ptCount val="2"/>
                <c:pt idx="0">
                  <c:v>#N/A</c:v>
                </c:pt>
                <c:pt idx="1">
                  <c:v>#N/A</c:v>
                </c:pt>
              </c:numCache>
            </c:numRef>
          </c:val>
          <c:smooth val="0"/>
          <c:extLst>
            <c:ext xmlns:c16="http://schemas.microsoft.com/office/drawing/2014/chart" uri="{C3380CC4-5D6E-409C-BE32-E72D297353CC}">
              <c16:uniqueId val="{00000008-28A9-44A8-AC46-C7B288B05154}"/>
            </c:ext>
          </c:extLst>
        </c:ser>
        <c:ser>
          <c:idx val="9"/>
          <c:order val="9"/>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Calculations'!$BB$72:$BB$73</c:f>
              <c:numCache>
                <c:formatCode>General</c:formatCode>
                <c:ptCount val="2"/>
                <c:pt idx="0">
                  <c:v>0.52100000000000002</c:v>
                </c:pt>
                <c:pt idx="1">
                  <c:v>0.52400000000000002</c:v>
                </c:pt>
              </c:numCache>
            </c:numRef>
          </c:val>
          <c:smooth val="0"/>
          <c:extLst>
            <c:ext xmlns:c16="http://schemas.microsoft.com/office/drawing/2014/chart" uri="{C3380CC4-5D6E-409C-BE32-E72D297353CC}">
              <c16:uniqueId val="{00000009-28A9-44A8-AC46-C7B288B05154}"/>
            </c:ext>
          </c:extLst>
        </c:ser>
        <c:ser>
          <c:idx val="10"/>
          <c:order val="10"/>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Calculations'!$BC$72:$BC$73</c:f>
              <c:numCache>
                <c:formatCode>General</c:formatCode>
                <c:ptCount val="2"/>
                <c:pt idx="0">
                  <c:v>0.52200000000000002</c:v>
                </c:pt>
                <c:pt idx="1">
                  <c:v>0.52300000000000002</c:v>
                </c:pt>
              </c:numCache>
            </c:numRef>
          </c:val>
          <c:smooth val="0"/>
          <c:extLst>
            <c:ext xmlns:c16="http://schemas.microsoft.com/office/drawing/2014/chart" uri="{C3380CC4-5D6E-409C-BE32-E72D297353CC}">
              <c16:uniqueId val="{0000000A-28A9-44A8-AC46-C7B288B05154}"/>
            </c:ext>
          </c:extLst>
        </c:ser>
        <c:ser>
          <c:idx val="11"/>
          <c:order val="11"/>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Calculations'!$BD$72:$BD$73</c:f>
              <c:numCache>
                <c:formatCode>General</c:formatCode>
                <c:ptCount val="2"/>
                <c:pt idx="0">
                  <c:v>#N/A</c:v>
                </c:pt>
                <c:pt idx="1">
                  <c:v>#N/A</c:v>
                </c:pt>
              </c:numCache>
            </c:numRef>
          </c:val>
          <c:smooth val="0"/>
          <c:extLst>
            <c:ext xmlns:c16="http://schemas.microsoft.com/office/drawing/2014/chart" uri="{C3380CC4-5D6E-409C-BE32-E72D297353CC}">
              <c16:uniqueId val="{0000000B-28A9-44A8-AC46-C7B288B05154}"/>
            </c:ext>
          </c:extLst>
        </c:ser>
        <c:ser>
          <c:idx val="12"/>
          <c:order val="12"/>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Calculations'!$BE$72:$BE$73</c:f>
              <c:numCache>
                <c:formatCode>General</c:formatCode>
                <c:ptCount val="2"/>
                <c:pt idx="0">
                  <c:v>0.52500000000000002</c:v>
                </c:pt>
                <c:pt idx="1">
                  <c:v>0.52100000000000002</c:v>
                </c:pt>
              </c:numCache>
            </c:numRef>
          </c:val>
          <c:smooth val="0"/>
          <c:extLst>
            <c:ext xmlns:c16="http://schemas.microsoft.com/office/drawing/2014/chart" uri="{C3380CC4-5D6E-409C-BE32-E72D297353CC}">
              <c16:uniqueId val="{0000000C-28A9-44A8-AC46-C7B288B05154}"/>
            </c:ext>
          </c:extLst>
        </c:ser>
        <c:ser>
          <c:idx val="13"/>
          <c:order val="13"/>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Calculations'!$BF$72:$BF$73</c:f>
              <c:numCache>
                <c:formatCode>General</c:formatCode>
                <c:ptCount val="2"/>
                <c:pt idx="0">
                  <c:v>0.52400000000000002</c:v>
                </c:pt>
                <c:pt idx="1">
                  <c:v>0.52100000000000002</c:v>
                </c:pt>
              </c:numCache>
            </c:numRef>
          </c:val>
          <c:smooth val="0"/>
          <c:extLst>
            <c:ext xmlns:c16="http://schemas.microsoft.com/office/drawing/2014/chart" uri="{C3380CC4-5D6E-409C-BE32-E72D297353CC}">
              <c16:uniqueId val="{0000000D-28A9-44A8-AC46-C7B288B05154}"/>
            </c:ext>
          </c:extLst>
        </c:ser>
        <c:ser>
          <c:idx val="14"/>
          <c:order val="14"/>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Calculations'!$BG$72:$BG$73</c:f>
              <c:numCache>
                <c:formatCode>General</c:formatCode>
                <c:ptCount val="2"/>
                <c:pt idx="0">
                  <c:v>#N/A</c:v>
                </c:pt>
                <c:pt idx="1">
                  <c:v>#N/A</c:v>
                </c:pt>
              </c:numCache>
            </c:numRef>
          </c:val>
          <c:smooth val="0"/>
          <c:extLst>
            <c:ext xmlns:c16="http://schemas.microsoft.com/office/drawing/2014/chart" uri="{C3380CC4-5D6E-409C-BE32-E72D297353CC}">
              <c16:uniqueId val="{0000000E-28A9-44A8-AC46-C7B288B05154}"/>
            </c:ext>
          </c:extLst>
        </c:ser>
        <c:ser>
          <c:idx val="15"/>
          <c:order val="15"/>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Calculations'!$BH$72:$BH$73</c:f>
              <c:numCache>
                <c:formatCode>General</c:formatCode>
                <c:ptCount val="2"/>
                <c:pt idx="0">
                  <c:v>#N/A</c:v>
                </c:pt>
                <c:pt idx="1">
                  <c:v>#N/A</c:v>
                </c:pt>
              </c:numCache>
            </c:numRef>
          </c:val>
          <c:smooth val="0"/>
          <c:extLst>
            <c:ext xmlns:c16="http://schemas.microsoft.com/office/drawing/2014/chart" uri="{C3380CC4-5D6E-409C-BE32-E72D297353CC}">
              <c16:uniqueId val="{0000000F-28A9-44A8-AC46-C7B288B05154}"/>
            </c:ext>
          </c:extLst>
        </c:ser>
        <c:ser>
          <c:idx val="16"/>
          <c:order val="16"/>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Calculations'!$BI$72:$BI$73</c:f>
              <c:numCache>
                <c:formatCode>General</c:formatCode>
                <c:ptCount val="2"/>
                <c:pt idx="0">
                  <c:v>#N/A</c:v>
                </c:pt>
                <c:pt idx="1">
                  <c:v>#N/A</c:v>
                </c:pt>
              </c:numCache>
            </c:numRef>
          </c:val>
          <c:smooth val="0"/>
          <c:extLst>
            <c:ext xmlns:c16="http://schemas.microsoft.com/office/drawing/2014/chart" uri="{C3380CC4-5D6E-409C-BE32-E72D297353CC}">
              <c16:uniqueId val="{00000010-28A9-44A8-AC46-C7B288B05154}"/>
            </c:ext>
          </c:extLst>
        </c:ser>
        <c:ser>
          <c:idx val="17"/>
          <c:order val="17"/>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Calculations'!$BJ$72:$BJ$73</c:f>
              <c:numCache>
                <c:formatCode>General</c:formatCode>
                <c:ptCount val="2"/>
                <c:pt idx="0">
                  <c:v>#N/A</c:v>
                </c:pt>
                <c:pt idx="1">
                  <c:v>#N/A</c:v>
                </c:pt>
              </c:numCache>
            </c:numRef>
          </c:val>
          <c:smooth val="0"/>
          <c:extLst>
            <c:ext xmlns:c16="http://schemas.microsoft.com/office/drawing/2014/chart" uri="{C3380CC4-5D6E-409C-BE32-E72D297353CC}">
              <c16:uniqueId val="{00000011-28A9-44A8-AC46-C7B288B05154}"/>
            </c:ext>
          </c:extLst>
        </c:ser>
        <c:ser>
          <c:idx val="18"/>
          <c:order val="18"/>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Calculations'!$BK$72:$BK$73</c:f>
              <c:numCache>
                <c:formatCode>General</c:formatCode>
                <c:ptCount val="2"/>
                <c:pt idx="0">
                  <c:v>#N/A</c:v>
                </c:pt>
                <c:pt idx="1">
                  <c:v>#N/A</c:v>
                </c:pt>
              </c:numCache>
            </c:numRef>
          </c:val>
          <c:smooth val="0"/>
          <c:extLst>
            <c:ext xmlns:c16="http://schemas.microsoft.com/office/drawing/2014/chart" uri="{C3380CC4-5D6E-409C-BE32-E72D297353CC}">
              <c16:uniqueId val="{00000012-28A9-44A8-AC46-C7B288B05154}"/>
            </c:ext>
          </c:extLst>
        </c:ser>
        <c:ser>
          <c:idx val="19"/>
          <c:order val="19"/>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Calculations'!$BL$72:$BL$73</c:f>
              <c:numCache>
                <c:formatCode>General</c:formatCode>
                <c:ptCount val="2"/>
                <c:pt idx="0">
                  <c:v>#N/A</c:v>
                </c:pt>
                <c:pt idx="1">
                  <c:v>#N/A</c:v>
                </c:pt>
              </c:numCache>
            </c:numRef>
          </c:val>
          <c:smooth val="0"/>
          <c:extLst>
            <c:ext xmlns:c16="http://schemas.microsoft.com/office/drawing/2014/chart" uri="{C3380CC4-5D6E-409C-BE32-E72D297353CC}">
              <c16:uniqueId val="{00000013-28A9-44A8-AC46-C7B288B05154}"/>
            </c:ext>
          </c:extLst>
        </c:ser>
        <c:ser>
          <c:idx val="20"/>
          <c:order val="20"/>
          <c:spPr>
            <a:ln w="19050">
              <a:noFill/>
            </a:ln>
          </c:spPr>
          <c:marker>
            <c:symbol val="diamond"/>
            <c:size val="5"/>
            <c:spPr>
              <a:solidFill>
                <a:srgbClr val="000080"/>
              </a:solidFill>
              <a:ln>
                <a:solidFill>
                  <a:srgbClr val="333399"/>
                </a:solidFill>
                <a:prstDash val="solid"/>
              </a:ln>
            </c:spPr>
          </c:marker>
          <c:cat>
            <c:strRef>
              <c:f>'GRR Calculations'!$AR$72:$AR$73</c:f>
              <c:strCache>
                <c:ptCount val="2"/>
                <c:pt idx="0">
                  <c:v>Op A</c:v>
                </c:pt>
                <c:pt idx="1">
                  <c:v>Op B</c:v>
                </c:pt>
              </c:strCache>
            </c:strRef>
          </c:cat>
          <c:val>
            <c:numRef>
              <c:f>'GRR Calculations'!$BM$72:$BM$73</c:f>
              <c:numCache>
                <c:formatCode>General</c:formatCode>
                <c:ptCount val="2"/>
                <c:pt idx="0">
                  <c:v>#N/A</c:v>
                </c:pt>
                <c:pt idx="1">
                  <c:v>#N/A</c:v>
                </c:pt>
              </c:numCache>
            </c:numRef>
          </c:val>
          <c:smooth val="0"/>
          <c:extLst>
            <c:ext xmlns:c16="http://schemas.microsoft.com/office/drawing/2014/chart" uri="{C3380CC4-5D6E-409C-BE32-E72D297353CC}">
              <c16:uniqueId val="{00000014-28A9-44A8-AC46-C7B288B05154}"/>
            </c:ext>
          </c:extLst>
        </c:ser>
        <c:ser>
          <c:idx val="21"/>
          <c:order val="21"/>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Calculations'!$BN$72:$BN$73</c:f>
              <c:numCache>
                <c:formatCode>General</c:formatCode>
                <c:ptCount val="2"/>
                <c:pt idx="0">
                  <c:v>#N/A</c:v>
                </c:pt>
                <c:pt idx="1">
                  <c:v>#N/A</c:v>
                </c:pt>
              </c:numCache>
            </c:numRef>
          </c:val>
          <c:smooth val="0"/>
          <c:extLst>
            <c:ext xmlns:c16="http://schemas.microsoft.com/office/drawing/2014/chart" uri="{C3380CC4-5D6E-409C-BE32-E72D297353CC}">
              <c16:uniqueId val="{00000015-28A9-44A8-AC46-C7B288B05154}"/>
            </c:ext>
          </c:extLst>
        </c:ser>
        <c:ser>
          <c:idx val="22"/>
          <c:order val="22"/>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Calculations'!$BO$72:$BO$73</c:f>
              <c:numCache>
                <c:formatCode>General</c:formatCode>
                <c:ptCount val="2"/>
                <c:pt idx="0">
                  <c:v>#N/A</c:v>
                </c:pt>
                <c:pt idx="1">
                  <c:v>#N/A</c:v>
                </c:pt>
              </c:numCache>
            </c:numRef>
          </c:val>
          <c:smooth val="0"/>
          <c:extLst>
            <c:ext xmlns:c16="http://schemas.microsoft.com/office/drawing/2014/chart" uri="{C3380CC4-5D6E-409C-BE32-E72D297353CC}">
              <c16:uniqueId val="{00000016-28A9-44A8-AC46-C7B288B05154}"/>
            </c:ext>
          </c:extLst>
        </c:ser>
        <c:ser>
          <c:idx val="23"/>
          <c:order val="23"/>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Calculations'!$BP$72:$BP$73</c:f>
              <c:numCache>
                <c:formatCode>General</c:formatCode>
                <c:ptCount val="2"/>
                <c:pt idx="0">
                  <c:v>#N/A</c:v>
                </c:pt>
                <c:pt idx="1">
                  <c:v>#N/A</c:v>
                </c:pt>
              </c:numCache>
            </c:numRef>
          </c:val>
          <c:smooth val="0"/>
          <c:extLst>
            <c:ext xmlns:c16="http://schemas.microsoft.com/office/drawing/2014/chart" uri="{C3380CC4-5D6E-409C-BE32-E72D297353CC}">
              <c16:uniqueId val="{00000017-28A9-44A8-AC46-C7B288B05154}"/>
            </c:ext>
          </c:extLst>
        </c:ser>
        <c:ser>
          <c:idx val="24"/>
          <c:order val="24"/>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Calculations'!$BQ$72:$BQ$73</c:f>
              <c:numCache>
                <c:formatCode>General</c:formatCode>
                <c:ptCount val="2"/>
                <c:pt idx="0">
                  <c:v>#N/A</c:v>
                </c:pt>
                <c:pt idx="1">
                  <c:v>#N/A</c:v>
                </c:pt>
              </c:numCache>
            </c:numRef>
          </c:val>
          <c:smooth val="0"/>
          <c:extLst>
            <c:ext xmlns:c16="http://schemas.microsoft.com/office/drawing/2014/chart" uri="{C3380CC4-5D6E-409C-BE32-E72D297353CC}">
              <c16:uniqueId val="{00000018-28A9-44A8-AC46-C7B288B05154}"/>
            </c:ext>
          </c:extLst>
        </c:ser>
        <c:ser>
          <c:idx val="25"/>
          <c:order val="25"/>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Calculations'!$BR$72:$BR$73</c:f>
              <c:numCache>
                <c:formatCode>General</c:formatCode>
                <c:ptCount val="2"/>
                <c:pt idx="0">
                  <c:v>#N/A</c:v>
                </c:pt>
                <c:pt idx="1">
                  <c:v>#N/A</c:v>
                </c:pt>
              </c:numCache>
            </c:numRef>
          </c:val>
          <c:smooth val="0"/>
          <c:extLst>
            <c:ext xmlns:c16="http://schemas.microsoft.com/office/drawing/2014/chart" uri="{C3380CC4-5D6E-409C-BE32-E72D297353CC}">
              <c16:uniqueId val="{00000019-28A9-44A8-AC46-C7B288B05154}"/>
            </c:ext>
          </c:extLst>
        </c:ser>
        <c:ser>
          <c:idx val="26"/>
          <c:order val="26"/>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Calculations'!$BS$72:$BS$73</c:f>
              <c:numCache>
                <c:formatCode>General</c:formatCode>
                <c:ptCount val="2"/>
                <c:pt idx="0">
                  <c:v>#N/A</c:v>
                </c:pt>
                <c:pt idx="1">
                  <c:v>#N/A</c:v>
                </c:pt>
              </c:numCache>
            </c:numRef>
          </c:val>
          <c:smooth val="0"/>
          <c:extLst>
            <c:ext xmlns:c16="http://schemas.microsoft.com/office/drawing/2014/chart" uri="{C3380CC4-5D6E-409C-BE32-E72D297353CC}">
              <c16:uniqueId val="{0000001A-28A9-44A8-AC46-C7B288B05154}"/>
            </c:ext>
          </c:extLst>
        </c:ser>
        <c:ser>
          <c:idx val="27"/>
          <c:order val="27"/>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Calculations'!$BT$72:$BT$73</c:f>
              <c:numCache>
                <c:formatCode>General</c:formatCode>
                <c:ptCount val="2"/>
                <c:pt idx="0">
                  <c:v>#N/A</c:v>
                </c:pt>
                <c:pt idx="1">
                  <c:v>#N/A</c:v>
                </c:pt>
              </c:numCache>
            </c:numRef>
          </c:val>
          <c:smooth val="0"/>
          <c:extLst>
            <c:ext xmlns:c16="http://schemas.microsoft.com/office/drawing/2014/chart" uri="{C3380CC4-5D6E-409C-BE32-E72D297353CC}">
              <c16:uniqueId val="{0000001B-28A9-44A8-AC46-C7B288B05154}"/>
            </c:ext>
          </c:extLst>
        </c:ser>
        <c:ser>
          <c:idx val="28"/>
          <c:order val="28"/>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Calculations'!$BU$72:$BU$73</c:f>
              <c:numCache>
                <c:formatCode>General</c:formatCode>
                <c:ptCount val="2"/>
                <c:pt idx="0">
                  <c:v>#N/A</c:v>
                </c:pt>
                <c:pt idx="1">
                  <c:v>#N/A</c:v>
                </c:pt>
              </c:numCache>
            </c:numRef>
          </c:val>
          <c:smooth val="0"/>
          <c:extLst>
            <c:ext xmlns:c16="http://schemas.microsoft.com/office/drawing/2014/chart" uri="{C3380CC4-5D6E-409C-BE32-E72D297353CC}">
              <c16:uniqueId val="{0000001C-28A9-44A8-AC46-C7B288B05154}"/>
            </c:ext>
          </c:extLst>
        </c:ser>
        <c:ser>
          <c:idx val="29"/>
          <c:order val="29"/>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Calculations'!$BV$72:$BV$73</c:f>
              <c:numCache>
                <c:formatCode>General</c:formatCode>
                <c:ptCount val="2"/>
                <c:pt idx="0">
                  <c:v>#N/A</c:v>
                </c:pt>
                <c:pt idx="1">
                  <c:v>#N/A</c:v>
                </c:pt>
              </c:numCache>
            </c:numRef>
          </c:val>
          <c:smooth val="0"/>
          <c:extLst>
            <c:ext xmlns:c16="http://schemas.microsoft.com/office/drawing/2014/chart" uri="{C3380CC4-5D6E-409C-BE32-E72D297353CC}">
              <c16:uniqueId val="{0000001D-28A9-44A8-AC46-C7B288B05154}"/>
            </c:ext>
          </c:extLst>
        </c:ser>
        <c:ser>
          <c:idx val="30"/>
          <c:order val="30"/>
          <c:spPr>
            <a:ln w="12700">
              <a:solidFill>
                <a:srgbClr val="000080"/>
              </a:solidFill>
              <a:prstDash val="solid"/>
            </a:ln>
          </c:spPr>
          <c:marker>
            <c:symbol val="none"/>
          </c:marker>
          <c:val>
            <c:numRef>
              <c:f>'GRR Calculations'!$BW$72:$BW$73</c:f>
              <c:numCache>
                <c:formatCode>General</c:formatCode>
                <c:ptCount val="2"/>
                <c:pt idx="0">
                  <c:v>#N/A</c:v>
                </c:pt>
                <c:pt idx="1">
                  <c:v>#N/A</c:v>
                </c:pt>
              </c:numCache>
            </c:numRef>
          </c:val>
          <c:smooth val="0"/>
          <c:extLst>
            <c:ext xmlns:c16="http://schemas.microsoft.com/office/drawing/2014/chart" uri="{C3380CC4-5D6E-409C-BE32-E72D297353CC}">
              <c16:uniqueId val="{0000001E-28A9-44A8-AC46-C7B288B05154}"/>
            </c:ext>
          </c:extLst>
        </c:ser>
        <c:dLbls>
          <c:showLegendKey val="0"/>
          <c:showVal val="0"/>
          <c:showCatName val="0"/>
          <c:showSerName val="0"/>
          <c:showPercent val="0"/>
          <c:showBubbleSize val="0"/>
        </c:dLbls>
        <c:marker val="1"/>
        <c:smooth val="0"/>
        <c:axId val="366311640"/>
        <c:axId val="366315560"/>
      </c:lineChart>
      <c:catAx>
        <c:axId val="366311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15560"/>
        <c:crosses val="autoZero"/>
        <c:auto val="1"/>
        <c:lblAlgn val="ctr"/>
        <c:lblOffset val="100"/>
        <c:tickLblSkip val="1"/>
        <c:tickMarkSkip val="1"/>
        <c:noMultiLvlLbl val="0"/>
      </c:catAx>
      <c:valAx>
        <c:axId val="3663155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116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CCFFCC"/>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Components of Variation, Xbar/Range</a:t>
            </a:r>
          </a:p>
        </c:rich>
      </c:tx>
      <c:layout>
        <c:manualLayout>
          <c:xMode val="edge"/>
          <c:yMode val="edge"/>
          <c:x val="0.22078644721519805"/>
          <c:y val="2.5907593298855936E-2"/>
        </c:manualLayout>
      </c:layout>
      <c:overlay val="0"/>
      <c:spPr>
        <a:noFill/>
        <a:ln w="25400">
          <a:noFill/>
        </a:ln>
      </c:spPr>
    </c:title>
    <c:autoTitleDeleted val="0"/>
    <c:plotArea>
      <c:layout>
        <c:manualLayout>
          <c:layoutTarget val="inner"/>
          <c:xMode val="edge"/>
          <c:yMode val="edge"/>
          <c:x val="8.1171487946763973E-2"/>
          <c:y val="0.13471948515405094"/>
          <c:w val="0.69645136658323492"/>
          <c:h val="0.64768983247139877"/>
        </c:manualLayout>
      </c:layout>
      <c:barChart>
        <c:barDir val="col"/>
        <c:grouping val="clustered"/>
        <c:varyColors val="0"/>
        <c:ser>
          <c:idx val="0"/>
          <c:order val="0"/>
          <c:tx>
            <c:strRef>
              <c:f>'GRR Calculations'!$R$12</c:f>
              <c:strCache>
                <c:ptCount val="1"/>
                <c:pt idx="0">
                  <c:v>% Contribution</c:v>
                </c:pt>
              </c:strCache>
            </c:strRef>
          </c:tx>
          <c:spPr>
            <a:solidFill>
              <a:srgbClr val="9999FF"/>
            </a:solidFill>
            <a:ln w="12700">
              <a:solidFill>
                <a:srgbClr val="000000"/>
              </a:solidFill>
              <a:prstDash val="solid"/>
            </a:ln>
          </c:spPr>
          <c:invertIfNegative val="0"/>
          <c:cat>
            <c:strRef>
              <c:f>'GRR Calculations'!$S$11:$V$11</c:f>
              <c:strCache>
                <c:ptCount val="4"/>
                <c:pt idx="0">
                  <c:v>Gage R&amp;R</c:v>
                </c:pt>
                <c:pt idx="1">
                  <c:v>Repeat</c:v>
                </c:pt>
                <c:pt idx="2">
                  <c:v>Reprod</c:v>
                </c:pt>
                <c:pt idx="3">
                  <c:v>Part-Part</c:v>
                </c:pt>
              </c:strCache>
            </c:strRef>
          </c:cat>
          <c:val>
            <c:numRef>
              <c:f>'GRR Calculations'!$S$12:$V$12</c:f>
              <c:numCache>
                <c:formatCode>0.00%</c:formatCode>
                <c:ptCount val="4"/>
                <c:pt idx="0">
                  <c:v>0.39834721848965327</c:v>
                </c:pt>
                <c:pt idx="1">
                  <c:v>0.12422735823703304</c:v>
                </c:pt>
                <c:pt idx="2">
                  <c:v>0.27519484009674816</c:v>
                </c:pt>
                <c:pt idx="3">
                  <c:v>0.60635581832840624</c:v>
                </c:pt>
              </c:numCache>
            </c:numRef>
          </c:val>
          <c:extLst>
            <c:ext xmlns:c16="http://schemas.microsoft.com/office/drawing/2014/chart" uri="{C3380CC4-5D6E-409C-BE32-E72D297353CC}">
              <c16:uniqueId val="{00000000-E429-404D-BB08-7476C2880725}"/>
            </c:ext>
          </c:extLst>
        </c:ser>
        <c:ser>
          <c:idx val="1"/>
          <c:order val="1"/>
          <c:tx>
            <c:strRef>
              <c:f>'GRR Calculations'!$R$13</c:f>
              <c:strCache>
                <c:ptCount val="1"/>
                <c:pt idx="0">
                  <c:v>% Study Variation</c:v>
                </c:pt>
              </c:strCache>
            </c:strRef>
          </c:tx>
          <c:spPr>
            <a:solidFill>
              <a:srgbClr val="993366"/>
            </a:solidFill>
            <a:ln w="12700">
              <a:solidFill>
                <a:srgbClr val="000000"/>
              </a:solidFill>
              <a:prstDash val="solid"/>
            </a:ln>
          </c:spPr>
          <c:invertIfNegative val="0"/>
          <c:cat>
            <c:strRef>
              <c:f>'GRR Calculations'!$S$11:$V$11</c:f>
              <c:strCache>
                <c:ptCount val="4"/>
                <c:pt idx="0">
                  <c:v>Gage R&amp;R</c:v>
                </c:pt>
                <c:pt idx="1">
                  <c:v>Repeat</c:v>
                </c:pt>
                <c:pt idx="2">
                  <c:v>Reprod</c:v>
                </c:pt>
                <c:pt idx="3">
                  <c:v>Part-Part</c:v>
                </c:pt>
              </c:strCache>
            </c:strRef>
          </c:cat>
          <c:val>
            <c:numRef>
              <c:f>'GRR Calculations'!$S$13:$V$13</c:f>
              <c:numCache>
                <c:formatCode>0.00%</c:formatCode>
                <c:ptCount val="4"/>
                <c:pt idx="0">
                  <c:v>0.63114754098360648</c:v>
                </c:pt>
                <c:pt idx="1">
                  <c:v>0.35245901639344257</c:v>
                </c:pt>
                <c:pt idx="2">
                  <c:v>0.52459016393442615</c:v>
                </c:pt>
                <c:pt idx="3">
                  <c:v>0.7786885245901638</c:v>
                </c:pt>
              </c:numCache>
            </c:numRef>
          </c:val>
          <c:extLst>
            <c:ext xmlns:c16="http://schemas.microsoft.com/office/drawing/2014/chart" uri="{C3380CC4-5D6E-409C-BE32-E72D297353CC}">
              <c16:uniqueId val="{00000001-E429-404D-BB08-7476C2880725}"/>
            </c:ext>
          </c:extLst>
        </c:ser>
        <c:ser>
          <c:idx val="2"/>
          <c:order val="2"/>
          <c:tx>
            <c:strRef>
              <c:f>'GRR Calculations'!$R$14</c:f>
              <c:strCache>
                <c:ptCount val="1"/>
                <c:pt idx="0">
                  <c:v>% Tol (5.15 SD)</c:v>
                </c:pt>
              </c:strCache>
            </c:strRef>
          </c:tx>
          <c:spPr>
            <a:solidFill>
              <a:srgbClr val="FFFFCC"/>
            </a:solidFill>
            <a:ln w="12700">
              <a:solidFill>
                <a:srgbClr val="000000"/>
              </a:solidFill>
              <a:prstDash val="solid"/>
            </a:ln>
          </c:spPr>
          <c:invertIfNegative val="0"/>
          <c:cat>
            <c:strRef>
              <c:f>'GRR Calculations'!$S$11:$V$11</c:f>
              <c:strCache>
                <c:ptCount val="4"/>
                <c:pt idx="0">
                  <c:v>Gage R&amp;R</c:v>
                </c:pt>
                <c:pt idx="1">
                  <c:v>Repeat</c:v>
                </c:pt>
                <c:pt idx="2">
                  <c:v>Reprod</c:v>
                </c:pt>
                <c:pt idx="3">
                  <c:v>Part-Part</c:v>
                </c:pt>
              </c:strCache>
            </c:strRef>
          </c:cat>
          <c:val>
            <c:numRef>
              <c:f>'GRR Calculations'!$S$14:$V$14</c:f>
              <c:numCache>
                <c:formatCode>0.00%</c:formatCode>
                <c:ptCount val="4"/>
                <c:pt idx="0">
                  <c:v>0.99137499999999923</c:v>
                </c:pt>
                <c:pt idx="1">
                  <c:v>0.55362499999999959</c:v>
                </c:pt>
                <c:pt idx="2">
                  <c:v>0.8239999999999994</c:v>
                </c:pt>
                <c:pt idx="3">
                  <c:v>1.2231249999999989</c:v>
                </c:pt>
              </c:numCache>
            </c:numRef>
          </c:val>
          <c:extLst>
            <c:ext xmlns:c16="http://schemas.microsoft.com/office/drawing/2014/chart" uri="{C3380CC4-5D6E-409C-BE32-E72D297353CC}">
              <c16:uniqueId val="{00000002-E429-404D-BB08-7476C2880725}"/>
            </c:ext>
          </c:extLst>
        </c:ser>
        <c:ser>
          <c:idx val="3"/>
          <c:order val="3"/>
          <c:tx>
            <c:strRef>
              <c:f>'GRR Calculations'!$R$15</c:f>
              <c:strCache>
                <c:ptCount val="1"/>
                <c:pt idx="0">
                  <c:v>% Tol (6.0 SD)</c:v>
                </c:pt>
              </c:strCache>
            </c:strRef>
          </c:tx>
          <c:spPr>
            <a:solidFill>
              <a:srgbClr val="CCFFFF"/>
            </a:solidFill>
            <a:ln w="12700">
              <a:solidFill>
                <a:srgbClr val="000000"/>
              </a:solidFill>
              <a:prstDash val="solid"/>
            </a:ln>
          </c:spPr>
          <c:invertIfNegative val="0"/>
          <c:val>
            <c:numRef>
              <c:f>'GRR Calculations'!$S$15:$V$15</c:f>
              <c:numCache>
                <c:formatCode>0.00%</c:formatCode>
                <c:ptCount val="4"/>
                <c:pt idx="0">
                  <c:v>1.1549999999999991</c:v>
                </c:pt>
                <c:pt idx="1">
                  <c:v>0.64499999999999946</c:v>
                </c:pt>
                <c:pt idx="2">
                  <c:v>0.95999999999999919</c:v>
                </c:pt>
                <c:pt idx="3">
                  <c:v>1.4249999999999987</c:v>
                </c:pt>
              </c:numCache>
            </c:numRef>
          </c:val>
          <c:extLst>
            <c:ext xmlns:c16="http://schemas.microsoft.com/office/drawing/2014/chart" uri="{C3380CC4-5D6E-409C-BE32-E72D297353CC}">
              <c16:uniqueId val="{00000003-E429-404D-BB08-7476C2880725}"/>
            </c:ext>
          </c:extLst>
        </c:ser>
        <c:dLbls>
          <c:showLegendKey val="0"/>
          <c:showVal val="0"/>
          <c:showCatName val="0"/>
          <c:showSerName val="0"/>
          <c:showPercent val="0"/>
          <c:showBubbleSize val="0"/>
        </c:dLbls>
        <c:gapWidth val="150"/>
        <c:axId val="366310072"/>
        <c:axId val="366313208"/>
      </c:barChart>
      <c:catAx>
        <c:axId val="366310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66313208"/>
        <c:crosses val="autoZero"/>
        <c:auto val="1"/>
        <c:lblAlgn val="ctr"/>
        <c:lblOffset val="100"/>
        <c:tickLblSkip val="1"/>
        <c:tickMarkSkip val="1"/>
        <c:noMultiLvlLbl val="0"/>
      </c:catAx>
      <c:valAx>
        <c:axId val="3663132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663100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CCFFCC"/>
    </a:solidFill>
    <a:ln w="6350">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61928892147739E-2"/>
          <c:y val="0.11403557615292692"/>
          <c:w val="0.75585345998172615"/>
          <c:h val="0.76316116348497254"/>
        </c:manualLayout>
      </c:layout>
      <c:lineChart>
        <c:grouping val="standard"/>
        <c:varyColors val="0"/>
        <c:ser>
          <c:idx val="0"/>
          <c:order val="0"/>
          <c:tx>
            <c:strRef>
              <c:f>'GRR Calculations'!$O$106</c:f>
              <c:strCache>
                <c:ptCount val="1"/>
                <c:pt idx="0">
                  <c:v>Op.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Calculations'!$O$108:$O$117</c:f>
              <c:numCache>
                <c:formatCode>General</c:formatCode>
                <c:ptCount val="10"/>
                <c:pt idx="0">
                  <c:v>0.52100000000000002</c:v>
                </c:pt>
                <c:pt idx="1">
                  <c:v>0.52249999999999996</c:v>
                </c:pt>
                <c:pt idx="2">
                  <c:v>0.52200000000000002</c:v>
                </c:pt>
                <c:pt idx="3">
                  <c:v>0.52150000000000007</c:v>
                </c:pt>
                <c:pt idx="4">
                  <c:v>0.52449999999999997</c:v>
                </c:pt>
                <c:pt idx="5">
                  <c:v>#N/A</c:v>
                </c:pt>
                <c:pt idx="6">
                  <c:v>#N/A</c:v>
                </c:pt>
                <c:pt idx="7">
                  <c:v>#N/A</c:v>
                </c:pt>
                <c:pt idx="8">
                  <c:v>#N/A</c:v>
                </c:pt>
                <c:pt idx="9">
                  <c:v>#N/A</c:v>
                </c:pt>
              </c:numCache>
            </c:numRef>
          </c:val>
          <c:smooth val="0"/>
          <c:extLst>
            <c:ext xmlns:c16="http://schemas.microsoft.com/office/drawing/2014/chart" uri="{C3380CC4-5D6E-409C-BE32-E72D297353CC}">
              <c16:uniqueId val="{00000000-BA2F-459E-B444-E27F26DDB100}"/>
            </c:ext>
          </c:extLst>
        </c:ser>
        <c:ser>
          <c:idx val="1"/>
          <c:order val="1"/>
          <c:tx>
            <c:strRef>
              <c:f>'GRR Calculations'!$P$106</c:f>
              <c:strCache>
                <c:ptCount val="1"/>
                <c:pt idx="0">
                  <c:v>Op. B</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Calculations'!$P$108:$P$117</c:f>
              <c:numCache>
                <c:formatCode>General</c:formatCode>
                <c:ptCount val="10"/>
                <c:pt idx="0">
                  <c:v>#N/A</c:v>
                </c:pt>
                <c:pt idx="1">
                  <c:v>#N/A</c:v>
                </c:pt>
                <c:pt idx="2">
                  <c:v>#N/A</c:v>
                </c:pt>
                <c:pt idx="3">
                  <c:v>#N/A</c:v>
                </c:pt>
                <c:pt idx="4">
                  <c:v>#N/A</c:v>
                </c:pt>
                <c:pt idx="5">
                  <c:v>0.47750000000000004</c:v>
                </c:pt>
                <c:pt idx="6">
                  <c:v>0.52150000000000007</c:v>
                </c:pt>
                <c:pt idx="7">
                  <c:v>0.52200000000000002</c:v>
                </c:pt>
                <c:pt idx="8">
                  <c:v>0.52350000000000008</c:v>
                </c:pt>
                <c:pt idx="9">
                  <c:v>0.52100000000000002</c:v>
                </c:pt>
              </c:numCache>
            </c:numRef>
          </c:val>
          <c:smooth val="0"/>
          <c:extLst>
            <c:ext xmlns:c16="http://schemas.microsoft.com/office/drawing/2014/chart" uri="{C3380CC4-5D6E-409C-BE32-E72D297353CC}">
              <c16:uniqueId val="{00000001-BA2F-459E-B444-E27F26DDB100}"/>
            </c:ext>
          </c:extLst>
        </c:ser>
        <c:ser>
          <c:idx val="2"/>
          <c:order val="2"/>
          <c:tx>
            <c:strRef>
              <c:f>'GRR Calculations'!$Q$106</c:f>
              <c:strCache>
                <c:ptCount val="1"/>
                <c:pt idx="0">
                  <c:v>Op. 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'GRR Calculations'!$Q$108:$Q$117</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BA2F-459E-B444-E27F26DDB100}"/>
            </c:ext>
          </c:extLst>
        </c:ser>
        <c:ser>
          <c:idx val="3"/>
          <c:order val="3"/>
          <c:tx>
            <c:strRef>
              <c:f>'GRR Calculations'!$V$107</c:f>
              <c:strCache>
                <c:ptCount val="1"/>
                <c:pt idx="0">
                  <c:v>Average</c:v>
                </c:pt>
              </c:strCache>
            </c:strRef>
          </c:tx>
          <c:spPr>
            <a:ln w="25400">
              <a:solidFill>
                <a:srgbClr val="000000"/>
              </a:solidFill>
              <a:prstDash val="solid"/>
            </a:ln>
          </c:spPr>
          <c:marker>
            <c:symbol val="none"/>
          </c:marker>
          <c:val>
            <c:numRef>
              <c:f>'GRR Calculations'!$V$108:$V$117</c:f>
              <c:numCache>
                <c:formatCode>General</c:formatCode>
                <c:ptCount val="10"/>
                <c:pt idx="0">
                  <c:v>0.51769999999999994</c:v>
                </c:pt>
                <c:pt idx="1">
                  <c:v>0.51769999999999994</c:v>
                </c:pt>
                <c:pt idx="2">
                  <c:v>0.51769999999999994</c:v>
                </c:pt>
                <c:pt idx="3">
                  <c:v>0.51769999999999994</c:v>
                </c:pt>
                <c:pt idx="4">
                  <c:v>0.51769999999999994</c:v>
                </c:pt>
                <c:pt idx="5">
                  <c:v>0.51769999999999994</c:v>
                </c:pt>
                <c:pt idx="6">
                  <c:v>0.51769999999999994</c:v>
                </c:pt>
                <c:pt idx="7">
                  <c:v>0.51769999999999994</c:v>
                </c:pt>
                <c:pt idx="8">
                  <c:v>0.51769999999999994</c:v>
                </c:pt>
                <c:pt idx="9">
                  <c:v>0.51769999999999994</c:v>
                </c:pt>
              </c:numCache>
            </c:numRef>
          </c:val>
          <c:smooth val="0"/>
          <c:extLst>
            <c:ext xmlns:c16="http://schemas.microsoft.com/office/drawing/2014/chart" uri="{C3380CC4-5D6E-409C-BE32-E72D297353CC}">
              <c16:uniqueId val="{00000003-BA2F-459E-B444-E27F26DDB100}"/>
            </c:ext>
          </c:extLst>
        </c:ser>
        <c:ser>
          <c:idx val="4"/>
          <c:order val="4"/>
          <c:tx>
            <c:strRef>
              <c:f>'GRR Calculations'!$X$107</c:f>
              <c:strCache>
                <c:ptCount val="1"/>
                <c:pt idx="0">
                  <c:v>UCL X</c:v>
                </c:pt>
              </c:strCache>
            </c:strRef>
          </c:tx>
          <c:spPr>
            <a:ln w="12700">
              <a:solidFill>
                <a:srgbClr val="FF0000"/>
              </a:solidFill>
              <a:prstDash val="solid"/>
            </a:ln>
          </c:spPr>
          <c:marker>
            <c:symbol val="none"/>
          </c:marker>
          <c:val>
            <c:numRef>
              <c:f>'GRR Calculations'!$X$108:$X$117</c:f>
              <c:numCache>
                <c:formatCode>General</c:formatCode>
                <c:ptCount val="10"/>
                <c:pt idx="0">
                  <c:v>0.52672399999999997</c:v>
                </c:pt>
                <c:pt idx="1">
                  <c:v>0.52672399999999997</c:v>
                </c:pt>
                <c:pt idx="2">
                  <c:v>0.52672399999999997</c:v>
                </c:pt>
                <c:pt idx="3">
                  <c:v>0.52672399999999997</c:v>
                </c:pt>
                <c:pt idx="4">
                  <c:v>0.52672399999999997</c:v>
                </c:pt>
                <c:pt idx="5">
                  <c:v>0.52672399999999997</c:v>
                </c:pt>
                <c:pt idx="6">
                  <c:v>0.52672399999999997</c:v>
                </c:pt>
                <c:pt idx="7">
                  <c:v>0.52672399999999997</c:v>
                </c:pt>
                <c:pt idx="8">
                  <c:v>0.52672399999999997</c:v>
                </c:pt>
                <c:pt idx="9">
                  <c:v>0.52672399999999997</c:v>
                </c:pt>
              </c:numCache>
            </c:numRef>
          </c:val>
          <c:smooth val="0"/>
          <c:extLst>
            <c:ext xmlns:c16="http://schemas.microsoft.com/office/drawing/2014/chart" uri="{C3380CC4-5D6E-409C-BE32-E72D297353CC}">
              <c16:uniqueId val="{00000004-BA2F-459E-B444-E27F26DDB100}"/>
            </c:ext>
          </c:extLst>
        </c:ser>
        <c:ser>
          <c:idx val="5"/>
          <c:order val="5"/>
          <c:tx>
            <c:strRef>
              <c:f>'GRR Calculations'!$Y$107</c:f>
              <c:strCache>
                <c:ptCount val="1"/>
                <c:pt idx="0">
                  <c:v>LCL X</c:v>
                </c:pt>
              </c:strCache>
            </c:strRef>
          </c:tx>
          <c:spPr>
            <a:ln w="12700">
              <a:solidFill>
                <a:srgbClr val="FF0000"/>
              </a:solidFill>
              <a:prstDash val="solid"/>
            </a:ln>
          </c:spPr>
          <c:marker>
            <c:symbol val="none"/>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Calculations'!$Y$108:$Y$117</c:f>
              <c:numCache>
                <c:formatCode>General</c:formatCode>
                <c:ptCount val="10"/>
                <c:pt idx="0">
                  <c:v>0.50867599999999991</c:v>
                </c:pt>
                <c:pt idx="1">
                  <c:v>0.50867599999999991</c:v>
                </c:pt>
                <c:pt idx="2">
                  <c:v>0.50867599999999991</c:v>
                </c:pt>
                <c:pt idx="3">
                  <c:v>0.50867599999999991</c:v>
                </c:pt>
                <c:pt idx="4">
                  <c:v>0.50867599999999991</c:v>
                </c:pt>
                <c:pt idx="5">
                  <c:v>0.50867599999999991</c:v>
                </c:pt>
                <c:pt idx="6">
                  <c:v>0.50867599999999991</c:v>
                </c:pt>
                <c:pt idx="7">
                  <c:v>0.50867599999999991</c:v>
                </c:pt>
                <c:pt idx="8">
                  <c:v>0.50867599999999991</c:v>
                </c:pt>
                <c:pt idx="9">
                  <c:v>0.50867599999999991</c:v>
                </c:pt>
              </c:numCache>
            </c:numRef>
          </c:val>
          <c:smooth val="0"/>
          <c:extLst>
            <c:ext xmlns:c16="http://schemas.microsoft.com/office/drawing/2014/chart" uri="{C3380CC4-5D6E-409C-BE32-E72D297353CC}">
              <c16:uniqueId val="{00000005-BA2F-459E-B444-E27F26DDB100}"/>
            </c:ext>
          </c:extLst>
        </c:ser>
        <c:dLbls>
          <c:showLegendKey val="0"/>
          <c:showVal val="0"/>
          <c:showCatName val="0"/>
          <c:showSerName val="0"/>
          <c:showPercent val="0"/>
          <c:showBubbleSize val="0"/>
        </c:dLbls>
        <c:marker val="1"/>
        <c:smooth val="0"/>
        <c:axId val="366315168"/>
        <c:axId val="366313600"/>
      </c:lineChart>
      <c:catAx>
        <c:axId val="36631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13600"/>
        <c:crosses val="autoZero"/>
        <c:auto val="1"/>
        <c:lblAlgn val="ctr"/>
        <c:lblOffset val="100"/>
        <c:tickLblSkip val="1"/>
        <c:tickMarkSkip val="1"/>
        <c:noMultiLvlLbl val="0"/>
      </c:catAx>
      <c:valAx>
        <c:axId val="3663136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15168"/>
        <c:crosses val="autoZero"/>
        <c:crossBetween val="between"/>
      </c:valAx>
      <c:spPr>
        <a:solidFill>
          <a:srgbClr val="C0C0C0"/>
        </a:solidFill>
        <a:ln w="3175">
          <a:solidFill>
            <a:srgbClr val="000000"/>
          </a:solidFill>
          <a:prstDash val="solid"/>
        </a:ln>
      </c:spPr>
    </c:plotArea>
    <c:legend>
      <c:legendPos val="r"/>
      <c:layout>
        <c:manualLayout>
          <c:xMode val="edge"/>
          <c:yMode val="edge"/>
          <c:x val="0.8428100527229867"/>
          <c:y val="0.21929918490947489"/>
          <c:w val="0.14381282645670015"/>
          <c:h val="0.5570199296700660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50897564552388E-2"/>
          <c:y val="0.11659218354160146"/>
          <c:w val="0.75083673347742264"/>
          <c:h val="0.75784919302040954"/>
        </c:manualLayout>
      </c:layout>
      <c:lineChart>
        <c:grouping val="standard"/>
        <c:varyColors val="0"/>
        <c:ser>
          <c:idx val="0"/>
          <c:order val="0"/>
          <c:tx>
            <c:strRef>
              <c:f>'GRR Calculations'!$R$106</c:f>
              <c:strCache>
                <c:ptCount val="1"/>
                <c:pt idx="0">
                  <c:v>Op.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Calculations'!$R$108:$R$117</c:f>
              <c:numCache>
                <c:formatCode>General</c:formatCode>
                <c:ptCount val="10"/>
                <c:pt idx="0">
                  <c:v>0</c:v>
                </c:pt>
                <c:pt idx="1">
                  <c:v>1.0000000000000009E-3</c:v>
                </c:pt>
                <c:pt idx="2">
                  <c:v>2.0000000000000018E-3</c:v>
                </c:pt>
                <c:pt idx="3">
                  <c:v>1.0000000000000009E-3</c:v>
                </c:pt>
                <c:pt idx="4">
                  <c:v>1.0000000000000009E-3</c:v>
                </c:pt>
                <c:pt idx="5">
                  <c:v>#N/A</c:v>
                </c:pt>
                <c:pt idx="6">
                  <c:v>#N/A</c:v>
                </c:pt>
                <c:pt idx="7">
                  <c:v>#N/A</c:v>
                </c:pt>
                <c:pt idx="8">
                  <c:v>#N/A</c:v>
                </c:pt>
                <c:pt idx="9">
                  <c:v>#N/A</c:v>
                </c:pt>
              </c:numCache>
            </c:numRef>
          </c:val>
          <c:smooth val="0"/>
          <c:extLst>
            <c:ext xmlns:c16="http://schemas.microsoft.com/office/drawing/2014/chart" uri="{C3380CC4-5D6E-409C-BE32-E72D297353CC}">
              <c16:uniqueId val="{00000000-6EC1-4806-AD72-4EFD80C6179C}"/>
            </c:ext>
          </c:extLst>
        </c:ser>
        <c:ser>
          <c:idx val="1"/>
          <c:order val="1"/>
          <c:tx>
            <c:strRef>
              <c:f>'GRR Calculations'!$S$106</c:f>
              <c:strCache>
                <c:ptCount val="1"/>
                <c:pt idx="0">
                  <c:v>Op. B</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Calculations'!$S$108:$S$117</c:f>
              <c:numCache>
                <c:formatCode>General</c:formatCode>
                <c:ptCount val="10"/>
                <c:pt idx="0">
                  <c:v>#N/A</c:v>
                </c:pt>
                <c:pt idx="1">
                  <c:v>#N/A</c:v>
                </c:pt>
                <c:pt idx="2">
                  <c:v>#N/A</c:v>
                </c:pt>
                <c:pt idx="3">
                  <c:v>#N/A</c:v>
                </c:pt>
                <c:pt idx="4">
                  <c:v>#N/A</c:v>
                </c:pt>
                <c:pt idx="5">
                  <c:v>4.0999999999999981E-2</c:v>
                </c:pt>
                <c:pt idx="6">
                  <c:v>1.0000000000000009E-3</c:v>
                </c:pt>
                <c:pt idx="7">
                  <c:v>0</c:v>
                </c:pt>
                <c:pt idx="8">
                  <c:v>1.0000000000000009E-3</c:v>
                </c:pt>
                <c:pt idx="9">
                  <c:v>0</c:v>
                </c:pt>
              </c:numCache>
            </c:numRef>
          </c:val>
          <c:smooth val="0"/>
          <c:extLst>
            <c:ext xmlns:c16="http://schemas.microsoft.com/office/drawing/2014/chart" uri="{C3380CC4-5D6E-409C-BE32-E72D297353CC}">
              <c16:uniqueId val="{00000001-6EC1-4806-AD72-4EFD80C6179C}"/>
            </c:ext>
          </c:extLst>
        </c:ser>
        <c:ser>
          <c:idx val="2"/>
          <c:order val="2"/>
          <c:tx>
            <c:strRef>
              <c:f>'GRR Calculations'!$T$106</c:f>
              <c:strCache>
                <c:ptCount val="1"/>
                <c:pt idx="0">
                  <c:v>Op. 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Calculations'!$T$108:$T$117</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6EC1-4806-AD72-4EFD80C6179C}"/>
            </c:ext>
          </c:extLst>
        </c:ser>
        <c:ser>
          <c:idx val="3"/>
          <c:order val="3"/>
          <c:tx>
            <c:strRef>
              <c:f>'GRR Calculations'!$W$107</c:f>
              <c:strCache>
                <c:ptCount val="1"/>
                <c:pt idx="0">
                  <c:v>Average</c:v>
                </c:pt>
              </c:strCache>
            </c:strRef>
          </c:tx>
          <c:spPr>
            <a:ln w="25400">
              <a:solidFill>
                <a:srgbClr val="000000"/>
              </a:solidFill>
              <a:prstDash val="solid"/>
            </a:ln>
          </c:spPr>
          <c:marker>
            <c:symbol val="none"/>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Calculations'!$W$108:$W$117</c:f>
              <c:numCache>
                <c:formatCode>General</c:formatCode>
                <c:ptCount val="10"/>
                <c:pt idx="0">
                  <c:v>4.7999999999999987E-3</c:v>
                </c:pt>
                <c:pt idx="1">
                  <c:v>4.7999999999999987E-3</c:v>
                </c:pt>
                <c:pt idx="2">
                  <c:v>4.7999999999999987E-3</c:v>
                </c:pt>
                <c:pt idx="3">
                  <c:v>4.7999999999999987E-3</c:v>
                </c:pt>
                <c:pt idx="4">
                  <c:v>4.7999999999999987E-3</c:v>
                </c:pt>
                <c:pt idx="5">
                  <c:v>4.7999999999999987E-3</c:v>
                </c:pt>
                <c:pt idx="6">
                  <c:v>4.7999999999999987E-3</c:v>
                </c:pt>
                <c:pt idx="7">
                  <c:v>4.7999999999999987E-3</c:v>
                </c:pt>
                <c:pt idx="8">
                  <c:v>4.7999999999999987E-3</c:v>
                </c:pt>
                <c:pt idx="9">
                  <c:v>4.7999999999999987E-3</c:v>
                </c:pt>
              </c:numCache>
            </c:numRef>
          </c:val>
          <c:smooth val="0"/>
          <c:extLst>
            <c:ext xmlns:c16="http://schemas.microsoft.com/office/drawing/2014/chart" uri="{C3380CC4-5D6E-409C-BE32-E72D297353CC}">
              <c16:uniqueId val="{00000003-6EC1-4806-AD72-4EFD80C6179C}"/>
            </c:ext>
          </c:extLst>
        </c:ser>
        <c:ser>
          <c:idx val="4"/>
          <c:order val="4"/>
          <c:tx>
            <c:strRef>
              <c:f>'GRR Calculations'!$Z$107</c:f>
              <c:strCache>
                <c:ptCount val="1"/>
                <c:pt idx="0">
                  <c:v>UCL R</c:v>
                </c:pt>
              </c:strCache>
            </c:strRef>
          </c:tx>
          <c:spPr>
            <a:ln w="12700">
              <a:solidFill>
                <a:srgbClr val="FF0000"/>
              </a:solidFill>
              <a:prstDash val="solid"/>
            </a:ln>
          </c:spPr>
          <c:marker>
            <c:symbol val="none"/>
          </c:marker>
          <c:cat>
            <c:numRef>
              <c:f>'GRR Calculations'!$N$108:$N$117</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'GRR Calculations'!$Z$108:$Z$117</c:f>
              <c:numCache>
                <c:formatCode>General</c:formatCode>
                <c:ptCount val="10"/>
                <c:pt idx="0">
                  <c:v>1.5695999999999995E-2</c:v>
                </c:pt>
                <c:pt idx="1">
                  <c:v>1.5695999999999995E-2</c:v>
                </c:pt>
                <c:pt idx="2">
                  <c:v>1.5695999999999995E-2</c:v>
                </c:pt>
                <c:pt idx="3">
                  <c:v>1.5695999999999995E-2</c:v>
                </c:pt>
                <c:pt idx="4">
                  <c:v>1.5695999999999995E-2</c:v>
                </c:pt>
                <c:pt idx="5">
                  <c:v>1.5695999999999995E-2</c:v>
                </c:pt>
                <c:pt idx="6">
                  <c:v>1.5695999999999995E-2</c:v>
                </c:pt>
                <c:pt idx="7">
                  <c:v>1.5695999999999995E-2</c:v>
                </c:pt>
                <c:pt idx="8">
                  <c:v>1.5695999999999995E-2</c:v>
                </c:pt>
                <c:pt idx="9">
                  <c:v>1.5695999999999995E-2</c:v>
                </c:pt>
              </c:numCache>
            </c:numRef>
          </c:val>
          <c:smooth val="0"/>
          <c:extLst>
            <c:ext xmlns:c16="http://schemas.microsoft.com/office/drawing/2014/chart" uri="{C3380CC4-5D6E-409C-BE32-E72D297353CC}">
              <c16:uniqueId val="{00000004-6EC1-4806-AD72-4EFD80C6179C}"/>
            </c:ext>
          </c:extLst>
        </c:ser>
        <c:dLbls>
          <c:showLegendKey val="0"/>
          <c:showVal val="0"/>
          <c:showCatName val="0"/>
          <c:showSerName val="0"/>
          <c:showPercent val="0"/>
          <c:showBubbleSize val="0"/>
        </c:dLbls>
        <c:marker val="1"/>
        <c:smooth val="0"/>
        <c:axId val="366308504"/>
        <c:axId val="366313992"/>
      </c:lineChart>
      <c:catAx>
        <c:axId val="366308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13992"/>
        <c:crosses val="autoZero"/>
        <c:auto val="1"/>
        <c:lblAlgn val="ctr"/>
        <c:lblOffset val="100"/>
        <c:tickLblSkip val="1"/>
        <c:tickMarkSkip val="1"/>
        <c:noMultiLvlLbl val="0"/>
      </c:catAx>
      <c:valAx>
        <c:axId val="3663139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08504"/>
        <c:crosses val="autoZero"/>
        <c:crossBetween val="between"/>
      </c:valAx>
      <c:spPr>
        <a:solidFill>
          <a:srgbClr val="C0C0C0"/>
        </a:solidFill>
        <a:ln w="3175">
          <a:solidFill>
            <a:srgbClr val="000000"/>
          </a:solidFill>
          <a:prstDash val="solid"/>
        </a:ln>
      </c:spPr>
    </c:plotArea>
    <c:legend>
      <c:legendPos val="r"/>
      <c:layout>
        <c:manualLayout>
          <c:xMode val="edge"/>
          <c:yMode val="edge"/>
          <c:x val="0.84448229489108773"/>
          <c:y val="0.26009025559280324"/>
          <c:w val="0.14214058428859891"/>
          <c:h val="0.475337363669605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390851448569959E-2"/>
          <c:y val="0.10038628963993432"/>
          <c:w val="0.91228212264834196"/>
          <c:h val="0.72587009431952532"/>
        </c:manualLayout>
      </c:layout>
      <c:lineChart>
        <c:grouping val="standard"/>
        <c:varyColors val="0"/>
        <c:ser>
          <c:idx val="0"/>
          <c:order val="0"/>
          <c:spPr>
            <a:ln w="19050">
              <a:noFill/>
            </a:ln>
          </c:spPr>
          <c:marker>
            <c:symbol val="diamond"/>
            <c:size val="5"/>
            <c:spPr>
              <a:solidFill>
                <a:srgbClr val="000080"/>
              </a:solidFill>
              <a:ln>
                <a:solidFill>
                  <a:srgbClr val="000080"/>
                </a:solidFill>
                <a:prstDash val="solid"/>
              </a:ln>
            </c:spPr>
          </c:marker>
          <c:val>
            <c:numRef>
              <c:f>'GRR Calculations'!$AF$74:$AF$78</c:f>
              <c:numCache>
                <c:formatCode>General</c:formatCode>
                <c:ptCount val="5"/>
                <c:pt idx="0">
                  <c:v>0.52100000000000002</c:v>
                </c:pt>
                <c:pt idx="1">
                  <c:v>0.52200000000000002</c:v>
                </c:pt>
                <c:pt idx="2">
                  <c:v>0.52300000000000002</c:v>
                </c:pt>
                <c:pt idx="3">
                  <c:v>0.52100000000000002</c:v>
                </c:pt>
                <c:pt idx="4">
                  <c:v>0.52500000000000002</c:v>
                </c:pt>
              </c:numCache>
            </c:numRef>
          </c:val>
          <c:smooth val="0"/>
          <c:extLst>
            <c:ext xmlns:c16="http://schemas.microsoft.com/office/drawing/2014/chart" uri="{C3380CC4-5D6E-409C-BE32-E72D297353CC}">
              <c16:uniqueId val="{00000000-B256-4C4C-80E2-77838872E733}"/>
            </c:ext>
          </c:extLst>
        </c:ser>
        <c:ser>
          <c:idx val="1"/>
          <c:order val="1"/>
          <c:spPr>
            <a:ln w="19050">
              <a:noFill/>
            </a:ln>
          </c:spPr>
          <c:marker>
            <c:symbol val="diamond"/>
            <c:size val="5"/>
            <c:spPr>
              <a:solidFill>
                <a:srgbClr val="000080"/>
              </a:solidFill>
              <a:ln>
                <a:solidFill>
                  <a:srgbClr val="000080"/>
                </a:solidFill>
                <a:prstDash val="solid"/>
              </a:ln>
            </c:spPr>
          </c:marker>
          <c:val>
            <c:numRef>
              <c:f>'GRR Calculations'!$AG$74:$AG$78</c:f>
              <c:numCache>
                <c:formatCode>General</c:formatCode>
                <c:ptCount val="5"/>
                <c:pt idx="0">
                  <c:v>0.52100000000000002</c:v>
                </c:pt>
                <c:pt idx="1">
                  <c:v>0.52300000000000002</c:v>
                </c:pt>
                <c:pt idx="2">
                  <c:v>0.52100000000000002</c:v>
                </c:pt>
                <c:pt idx="3">
                  <c:v>0.52200000000000002</c:v>
                </c:pt>
                <c:pt idx="4">
                  <c:v>0.52400000000000002</c:v>
                </c:pt>
              </c:numCache>
            </c:numRef>
          </c:val>
          <c:smooth val="0"/>
          <c:extLst>
            <c:ext xmlns:c16="http://schemas.microsoft.com/office/drawing/2014/chart" uri="{C3380CC4-5D6E-409C-BE32-E72D297353CC}">
              <c16:uniqueId val="{00000001-B256-4C4C-80E2-77838872E733}"/>
            </c:ext>
          </c:extLst>
        </c:ser>
        <c:ser>
          <c:idx val="2"/>
          <c:order val="2"/>
          <c:spPr>
            <a:ln w="19050">
              <a:noFill/>
            </a:ln>
          </c:spPr>
          <c:marker>
            <c:symbol val="diamond"/>
            <c:size val="5"/>
            <c:spPr>
              <a:solidFill>
                <a:srgbClr val="000080"/>
              </a:solidFill>
              <a:ln>
                <a:solidFill>
                  <a:srgbClr val="000080"/>
                </a:solidFill>
                <a:prstDash val="solid"/>
              </a:ln>
            </c:spPr>
          </c:marker>
          <c:val>
            <c:numRef>
              <c:f>'GRR Calculations'!$AH$74:$AH$78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B256-4C4C-80E2-77838872E733}"/>
            </c:ext>
          </c:extLst>
        </c:ser>
        <c:ser>
          <c:idx val="3"/>
          <c:order val="3"/>
          <c:spPr>
            <a:ln w="19050">
              <a:noFill/>
            </a:ln>
          </c:spPr>
          <c:marker>
            <c:symbol val="diamond"/>
            <c:size val="5"/>
            <c:spPr>
              <a:solidFill>
                <a:srgbClr val="000080"/>
              </a:solidFill>
              <a:ln>
                <a:solidFill>
                  <a:srgbClr val="000080"/>
                </a:solidFill>
                <a:prstDash val="solid"/>
              </a:ln>
            </c:spPr>
          </c:marker>
          <c:val>
            <c:numRef>
              <c:f>'GRR Calculations'!$AI$74:$AI$78</c:f>
              <c:numCache>
                <c:formatCode>General</c:formatCode>
                <c:ptCount val="5"/>
                <c:pt idx="0">
                  <c:v>0.498</c:v>
                </c:pt>
                <c:pt idx="1">
                  <c:v>0.52100000000000002</c:v>
                </c:pt>
                <c:pt idx="2">
                  <c:v>0.52200000000000002</c:v>
                </c:pt>
                <c:pt idx="3">
                  <c:v>0.52400000000000002</c:v>
                </c:pt>
                <c:pt idx="4">
                  <c:v>0.52100000000000002</c:v>
                </c:pt>
              </c:numCache>
            </c:numRef>
          </c:val>
          <c:smooth val="0"/>
          <c:extLst>
            <c:ext xmlns:c16="http://schemas.microsoft.com/office/drawing/2014/chart" uri="{C3380CC4-5D6E-409C-BE32-E72D297353CC}">
              <c16:uniqueId val="{00000003-B256-4C4C-80E2-77838872E733}"/>
            </c:ext>
          </c:extLst>
        </c:ser>
        <c:ser>
          <c:idx val="4"/>
          <c:order val="4"/>
          <c:spPr>
            <a:ln w="19050">
              <a:noFill/>
            </a:ln>
          </c:spPr>
          <c:marker>
            <c:symbol val="diamond"/>
            <c:size val="5"/>
            <c:spPr>
              <a:solidFill>
                <a:srgbClr val="000080"/>
              </a:solidFill>
              <a:ln>
                <a:solidFill>
                  <a:srgbClr val="000080"/>
                </a:solidFill>
                <a:prstDash val="solid"/>
              </a:ln>
            </c:spPr>
          </c:marker>
          <c:val>
            <c:numRef>
              <c:f>'GRR Calculations'!$AJ$74:$AJ$78</c:f>
              <c:numCache>
                <c:formatCode>General</c:formatCode>
                <c:ptCount val="5"/>
                <c:pt idx="0">
                  <c:v>0.45700000000000002</c:v>
                </c:pt>
                <c:pt idx="1">
                  <c:v>0.52200000000000002</c:v>
                </c:pt>
                <c:pt idx="2">
                  <c:v>0.52200000000000002</c:v>
                </c:pt>
                <c:pt idx="3">
                  <c:v>0.52300000000000002</c:v>
                </c:pt>
                <c:pt idx="4">
                  <c:v>0.52100000000000002</c:v>
                </c:pt>
              </c:numCache>
            </c:numRef>
          </c:val>
          <c:smooth val="0"/>
          <c:extLst>
            <c:ext xmlns:c16="http://schemas.microsoft.com/office/drawing/2014/chart" uri="{C3380CC4-5D6E-409C-BE32-E72D297353CC}">
              <c16:uniqueId val="{00000004-B256-4C4C-80E2-77838872E733}"/>
            </c:ext>
          </c:extLst>
        </c:ser>
        <c:ser>
          <c:idx val="5"/>
          <c:order val="5"/>
          <c:spPr>
            <a:ln w="19050">
              <a:noFill/>
            </a:ln>
          </c:spPr>
          <c:marker>
            <c:symbol val="diamond"/>
            <c:size val="5"/>
            <c:spPr>
              <a:solidFill>
                <a:srgbClr val="000080"/>
              </a:solidFill>
              <a:ln>
                <a:solidFill>
                  <a:srgbClr val="000080"/>
                </a:solidFill>
                <a:prstDash val="solid"/>
              </a:ln>
            </c:spPr>
          </c:marker>
          <c:val>
            <c:numRef>
              <c:f>'GRR Calculations'!$AK$74:$AK$78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B256-4C4C-80E2-77838872E733}"/>
            </c:ext>
          </c:extLst>
        </c:ser>
        <c:ser>
          <c:idx val="6"/>
          <c:order val="6"/>
          <c:spPr>
            <a:ln w="19050">
              <a:noFill/>
            </a:ln>
          </c:spPr>
          <c:marker>
            <c:symbol val="diamond"/>
            <c:size val="5"/>
            <c:spPr>
              <a:solidFill>
                <a:srgbClr val="000080"/>
              </a:solidFill>
              <a:ln>
                <a:solidFill>
                  <a:srgbClr val="000080"/>
                </a:solidFill>
                <a:prstDash val="solid"/>
              </a:ln>
            </c:spPr>
          </c:marker>
          <c:val>
            <c:numRef>
              <c:f>'GRR Calculations'!$AL$74:$AL$78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B256-4C4C-80E2-77838872E733}"/>
            </c:ext>
          </c:extLst>
        </c:ser>
        <c:ser>
          <c:idx val="7"/>
          <c:order val="7"/>
          <c:spPr>
            <a:ln w="19050">
              <a:noFill/>
            </a:ln>
          </c:spPr>
          <c:marker>
            <c:symbol val="diamond"/>
            <c:size val="5"/>
            <c:spPr>
              <a:solidFill>
                <a:srgbClr val="333399"/>
              </a:solidFill>
              <a:ln>
                <a:solidFill>
                  <a:srgbClr val="333399"/>
                </a:solidFill>
                <a:prstDash val="solid"/>
              </a:ln>
            </c:spPr>
          </c:marker>
          <c:val>
            <c:numRef>
              <c:f>'GRR Calculations'!$AM$74:$AM$78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B256-4C4C-80E2-77838872E733}"/>
            </c:ext>
          </c:extLst>
        </c:ser>
        <c:ser>
          <c:idx val="8"/>
          <c:order val="8"/>
          <c:spPr>
            <a:ln w="19050">
              <a:noFill/>
            </a:ln>
          </c:spPr>
          <c:marker>
            <c:symbol val="diamond"/>
            <c:size val="5"/>
            <c:spPr>
              <a:solidFill>
                <a:srgbClr val="000080"/>
              </a:solidFill>
              <a:ln>
                <a:solidFill>
                  <a:srgbClr val="000080"/>
                </a:solidFill>
                <a:prstDash val="solid"/>
              </a:ln>
            </c:spPr>
          </c:marker>
          <c:val>
            <c:numRef>
              <c:f>'GRR Calculations'!$AN$74:$AN$78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B256-4C4C-80E2-77838872E733}"/>
            </c:ext>
          </c:extLst>
        </c:ser>
        <c:ser>
          <c:idx val="9"/>
          <c:order val="9"/>
          <c:spPr>
            <a:ln w="12700">
              <a:solidFill>
                <a:srgbClr val="000080"/>
              </a:solidFill>
              <a:prstDash val="solid"/>
            </a:ln>
          </c:spPr>
          <c:marker>
            <c:symbol val="none"/>
          </c:marker>
          <c:val>
            <c:numRef>
              <c:f>'GRR Calculations'!$AO$74:$AO$78</c:f>
              <c:numCache>
                <c:formatCode>General</c:formatCode>
                <c:ptCount val="5"/>
                <c:pt idx="0">
                  <c:v>0.49925000000000003</c:v>
                </c:pt>
                <c:pt idx="1">
                  <c:v>0.52200000000000002</c:v>
                </c:pt>
                <c:pt idx="2">
                  <c:v>0.52200000000000002</c:v>
                </c:pt>
                <c:pt idx="3">
                  <c:v>0.52250000000000008</c:v>
                </c:pt>
                <c:pt idx="4">
                  <c:v>0.52274999999999994</c:v>
                </c:pt>
              </c:numCache>
            </c:numRef>
          </c:val>
          <c:smooth val="0"/>
          <c:extLst>
            <c:ext xmlns:c16="http://schemas.microsoft.com/office/drawing/2014/chart" uri="{C3380CC4-5D6E-409C-BE32-E72D297353CC}">
              <c16:uniqueId val="{00000009-B256-4C4C-80E2-77838872E733}"/>
            </c:ext>
          </c:extLst>
        </c:ser>
        <c:dLbls>
          <c:showLegendKey val="0"/>
          <c:showVal val="0"/>
          <c:showCatName val="0"/>
          <c:showSerName val="0"/>
          <c:showPercent val="0"/>
          <c:showBubbleSize val="0"/>
        </c:dLbls>
        <c:marker val="1"/>
        <c:smooth val="0"/>
        <c:axId val="366308896"/>
        <c:axId val="439245472"/>
      </c:lineChart>
      <c:catAx>
        <c:axId val="36630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9245472"/>
        <c:crosses val="autoZero"/>
        <c:auto val="1"/>
        <c:lblAlgn val="ctr"/>
        <c:lblOffset val="100"/>
        <c:tickLblSkip val="1"/>
        <c:tickMarkSkip val="1"/>
        <c:noMultiLvlLbl val="0"/>
      </c:catAx>
      <c:valAx>
        <c:axId val="4392454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63088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82829888712254E-2"/>
          <c:y val="0.10526336598432356"/>
          <c:w val="0.79491255961844198"/>
          <c:h val="0.71255201589388262"/>
        </c:manualLayout>
      </c:layout>
      <c:lineChart>
        <c:grouping val="standard"/>
        <c:varyColors val="0"/>
        <c:ser>
          <c:idx val="0"/>
          <c:order val="0"/>
          <c:spPr>
            <a:ln w="19050">
              <a:noFill/>
            </a:ln>
          </c:spPr>
          <c:marker>
            <c:symbol val="diamond"/>
            <c:size val="5"/>
            <c:spPr>
              <a:solidFill>
                <a:srgbClr val="000080"/>
              </a:solidFill>
              <a:ln>
                <a:solidFill>
                  <a:srgbClr val="000080"/>
                </a:solidFill>
                <a:prstDash val="solid"/>
              </a:ln>
            </c:spPr>
          </c:marker>
          <c:val>
            <c:numRef>
              <c:f>'GRR Calculations'!$AF$74:$AF$78</c:f>
              <c:numCache>
                <c:formatCode>General</c:formatCode>
                <c:ptCount val="5"/>
                <c:pt idx="0">
                  <c:v>0.52100000000000002</c:v>
                </c:pt>
                <c:pt idx="1">
                  <c:v>0.52200000000000002</c:v>
                </c:pt>
                <c:pt idx="2">
                  <c:v>0.52300000000000002</c:v>
                </c:pt>
                <c:pt idx="3">
                  <c:v>0.52100000000000002</c:v>
                </c:pt>
                <c:pt idx="4">
                  <c:v>0.52500000000000002</c:v>
                </c:pt>
              </c:numCache>
            </c:numRef>
          </c:val>
          <c:smooth val="0"/>
          <c:extLst>
            <c:ext xmlns:c16="http://schemas.microsoft.com/office/drawing/2014/chart" uri="{C3380CC4-5D6E-409C-BE32-E72D297353CC}">
              <c16:uniqueId val="{00000000-5DD3-4F82-BD64-061869471BDC}"/>
            </c:ext>
          </c:extLst>
        </c:ser>
        <c:ser>
          <c:idx val="1"/>
          <c:order val="1"/>
          <c:spPr>
            <a:ln w="19050">
              <a:noFill/>
            </a:ln>
          </c:spPr>
          <c:marker>
            <c:symbol val="diamond"/>
            <c:size val="5"/>
            <c:spPr>
              <a:solidFill>
                <a:srgbClr val="000080"/>
              </a:solidFill>
              <a:ln>
                <a:solidFill>
                  <a:srgbClr val="000080"/>
                </a:solidFill>
                <a:prstDash val="solid"/>
              </a:ln>
            </c:spPr>
          </c:marker>
          <c:val>
            <c:numRef>
              <c:f>'GRR Calculations'!$AG$74:$AG$78</c:f>
              <c:numCache>
                <c:formatCode>General</c:formatCode>
                <c:ptCount val="5"/>
                <c:pt idx="0">
                  <c:v>0.52100000000000002</c:v>
                </c:pt>
                <c:pt idx="1">
                  <c:v>0.52300000000000002</c:v>
                </c:pt>
                <c:pt idx="2">
                  <c:v>0.52100000000000002</c:v>
                </c:pt>
                <c:pt idx="3">
                  <c:v>0.52200000000000002</c:v>
                </c:pt>
                <c:pt idx="4">
                  <c:v>0.52400000000000002</c:v>
                </c:pt>
              </c:numCache>
            </c:numRef>
          </c:val>
          <c:smooth val="0"/>
          <c:extLst>
            <c:ext xmlns:c16="http://schemas.microsoft.com/office/drawing/2014/chart" uri="{C3380CC4-5D6E-409C-BE32-E72D297353CC}">
              <c16:uniqueId val="{00000001-5DD3-4F82-BD64-061869471BDC}"/>
            </c:ext>
          </c:extLst>
        </c:ser>
        <c:ser>
          <c:idx val="2"/>
          <c:order val="2"/>
          <c:spPr>
            <a:ln w="19050">
              <a:noFill/>
            </a:ln>
          </c:spPr>
          <c:marker>
            <c:symbol val="diamond"/>
            <c:size val="5"/>
            <c:spPr>
              <a:solidFill>
                <a:srgbClr val="000080"/>
              </a:solidFill>
              <a:ln>
                <a:solidFill>
                  <a:srgbClr val="000080"/>
                </a:solidFill>
                <a:prstDash val="solid"/>
              </a:ln>
            </c:spPr>
          </c:marker>
          <c:val>
            <c:numRef>
              <c:f>'GRR Calculations'!$AH$74:$AH$78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5DD3-4F82-BD64-061869471BDC}"/>
            </c:ext>
          </c:extLst>
        </c:ser>
        <c:ser>
          <c:idx val="3"/>
          <c:order val="3"/>
          <c:tx>
            <c:strRef>
              <c:f>'GRR Calculations'!$AO$73</c:f>
              <c:strCache>
                <c:ptCount val="1"/>
                <c:pt idx="0">
                  <c:v>Op A</c:v>
                </c:pt>
              </c:strCache>
            </c:strRef>
          </c:tx>
          <c:spPr>
            <a:ln w="12700">
              <a:solidFill>
                <a:srgbClr val="000080"/>
              </a:solidFill>
              <a:prstDash val="solid"/>
            </a:ln>
          </c:spPr>
          <c:marker>
            <c:symbol val="none"/>
          </c:marker>
          <c:val>
            <c:numRef>
              <c:f>'GRR Calculations'!$AO$84:$AO$88</c:f>
              <c:numCache>
                <c:formatCode>General</c:formatCode>
                <c:ptCount val="5"/>
                <c:pt idx="0">
                  <c:v>0.52100000000000002</c:v>
                </c:pt>
                <c:pt idx="1">
                  <c:v>0.52249999999999996</c:v>
                </c:pt>
                <c:pt idx="2">
                  <c:v>0.52200000000000002</c:v>
                </c:pt>
                <c:pt idx="3">
                  <c:v>0.52150000000000007</c:v>
                </c:pt>
                <c:pt idx="4">
                  <c:v>0.52449999999999997</c:v>
                </c:pt>
              </c:numCache>
            </c:numRef>
          </c:val>
          <c:smooth val="0"/>
          <c:extLst>
            <c:ext xmlns:c16="http://schemas.microsoft.com/office/drawing/2014/chart" uri="{C3380CC4-5D6E-409C-BE32-E72D297353CC}">
              <c16:uniqueId val="{00000003-5DD3-4F82-BD64-061869471BDC}"/>
            </c:ext>
          </c:extLst>
        </c:ser>
        <c:ser>
          <c:idx val="4"/>
          <c:order val="4"/>
          <c:spPr>
            <a:ln w="19050">
              <a:noFill/>
            </a:ln>
          </c:spPr>
          <c:marker>
            <c:symbol val="square"/>
            <c:size val="5"/>
            <c:spPr>
              <a:solidFill>
                <a:srgbClr val="FF00FF"/>
              </a:solidFill>
              <a:ln>
                <a:solidFill>
                  <a:srgbClr val="FF00FF"/>
                </a:solidFill>
                <a:prstDash val="solid"/>
              </a:ln>
            </c:spPr>
          </c:marker>
          <c:val>
            <c:numRef>
              <c:f>'GRR Calculations'!$AI$74:$AI$78</c:f>
              <c:numCache>
                <c:formatCode>General</c:formatCode>
                <c:ptCount val="5"/>
                <c:pt idx="0">
                  <c:v>0.498</c:v>
                </c:pt>
                <c:pt idx="1">
                  <c:v>0.52100000000000002</c:v>
                </c:pt>
                <c:pt idx="2">
                  <c:v>0.52200000000000002</c:v>
                </c:pt>
                <c:pt idx="3">
                  <c:v>0.52400000000000002</c:v>
                </c:pt>
                <c:pt idx="4">
                  <c:v>0.52100000000000002</c:v>
                </c:pt>
              </c:numCache>
            </c:numRef>
          </c:val>
          <c:smooth val="0"/>
          <c:extLst>
            <c:ext xmlns:c16="http://schemas.microsoft.com/office/drawing/2014/chart" uri="{C3380CC4-5D6E-409C-BE32-E72D297353CC}">
              <c16:uniqueId val="{00000004-5DD3-4F82-BD64-061869471BDC}"/>
            </c:ext>
          </c:extLst>
        </c:ser>
        <c:ser>
          <c:idx val="5"/>
          <c:order val="5"/>
          <c:spPr>
            <a:ln w="19050">
              <a:noFill/>
            </a:ln>
          </c:spPr>
          <c:marker>
            <c:symbol val="square"/>
            <c:size val="5"/>
            <c:spPr>
              <a:solidFill>
                <a:srgbClr val="FF00FF"/>
              </a:solidFill>
              <a:ln>
                <a:solidFill>
                  <a:srgbClr val="FF00FF"/>
                </a:solidFill>
                <a:prstDash val="solid"/>
              </a:ln>
            </c:spPr>
          </c:marker>
          <c:val>
            <c:numRef>
              <c:f>'GRR Calculations'!$AJ$74:$AJ$78</c:f>
              <c:numCache>
                <c:formatCode>General</c:formatCode>
                <c:ptCount val="5"/>
                <c:pt idx="0">
                  <c:v>0.45700000000000002</c:v>
                </c:pt>
                <c:pt idx="1">
                  <c:v>0.52200000000000002</c:v>
                </c:pt>
                <c:pt idx="2">
                  <c:v>0.52200000000000002</c:v>
                </c:pt>
                <c:pt idx="3">
                  <c:v>0.52300000000000002</c:v>
                </c:pt>
                <c:pt idx="4">
                  <c:v>0.52100000000000002</c:v>
                </c:pt>
              </c:numCache>
            </c:numRef>
          </c:val>
          <c:smooth val="0"/>
          <c:extLst>
            <c:ext xmlns:c16="http://schemas.microsoft.com/office/drawing/2014/chart" uri="{C3380CC4-5D6E-409C-BE32-E72D297353CC}">
              <c16:uniqueId val="{00000005-5DD3-4F82-BD64-061869471BDC}"/>
            </c:ext>
          </c:extLst>
        </c:ser>
        <c:ser>
          <c:idx val="6"/>
          <c:order val="6"/>
          <c:spPr>
            <a:ln w="19050">
              <a:noFill/>
            </a:ln>
          </c:spPr>
          <c:marker>
            <c:symbol val="square"/>
            <c:size val="5"/>
            <c:spPr>
              <a:solidFill>
                <a:srgbClr val="FF00FF"/>
              </a:solidFill>
              <a:ln>
                <a:solidFill>
                  <a:srgbClr val="FF00FF"/>
                </a:solidFill>
                <a:prstDash val="solid"/>
              </a:ln>
            </c:spPr>
          </c:marker>
          <c:val>
            <c:numRef>
              <c:f>'GRR Calculations'!$AK$74:$AK$78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5DD3-4F82-BD64-061869471BDC}"/>
            </c:ext>
          </c:extLst>
        </c:ser>
        <c:ser>
          <c:idx val="7"/>
          <c:order val="7"/>
          <c:tx>
            <c:strRef>
              <c:f>'GRR Calculations'!$AP$73</c:f>
              <c:strCache>
                <c:ptCount val="1"/>
                <c:pt idx="0">
                  <c:v>Op B</c:v>
                </c:pt>
              </c:strCache>
            </c:strRef>
          </c:tx>
          <c:spPr>
            <a:ln w="12700">
              <a:solidFill>
                <a:srgbClr val="FF00FF"/>
              </a:solidFill>
              <a:prstDash val="solid"/>
            </a:ln>
          </c:spPr>
          <c:marker>
            <c:symbol val="none"/>
          </c:marker>
          <c:val>
            <c:numRef>
              <c:f>'GRR Calculations'!$AP$84:$AP$88</c:f>
              <c:numCache>
                <c:formatCode>General</c:formatCode>
                <c:ptCount val="5"/>
                <c:pt idx="0">
                  <c:v>0.47750000000000004</c:v>
                </c:pt>
                <c:pt idx="1">
                  <c:v>0.52150000000000007</c:v>
                </c:pt>
                <c:pt idx="2">
                  <c:v>0.52200000000000002</c:v>
                </c:pt>
                <c:pt idx="3">
                  <c:v>0.52350000000000008</c:v>
                </c:pt>
                <c:pt idx="4">
                  <c:v>0.52100000000000002</c:v>
                </c:pt>
              </c:numCache>
            </c:numRef>
          </c:val>
          <c:smooth val="0"/>
          <c:extLst>
            <c:ext xmlns:c16="http://schemas.microsoft.com/office/drawing/2014/chart" uri="{C3380CC4-5D6E-409C-BE32-E72D297353CC}">
              <c16:uniqueId val="{00000007-5DD3-4F82-BD64-061869471BDC}"/>
            </c:ext>
          </c:extLst>
        </c:ser>
        <c:ser>
          <c:idx val="8"/>
          <c:order val="8"/>
          <c:spPr>
            <a:ln w="19050">
              <a:noFill/>
            </a:ln>
          </c:spPr>
          <c:marker>
            <c:symbol val="triangle"/>
            <c:size val="5"/>
            <c:spPr>
              <a:solidFill>
                <a:srgbClr val="FFFF00"/>
              </a:solidFill>
              <a:ln>
                <a:solidFill>
                  <a:srgbClr val="FFFF00"/>
                </a:solidFill>
                <a:prstDash val="solid"/>
              </a:ln>
            </c:spPr>
          </c:marker>
          <c:val>
            <c:numRef>
              <c:f>'GRR Calculations'!$AL$74:$AL$78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5DD3-4F82-BD64-061869471BDC}"/>
            </c:ext>
          </c:extLst>
        </c:ser>
        <c:ser>
          <c:idx val="9"/>
          <c:order val="9"/>
          <c:spPr>
            <a:ln w="19050">
              <a:noFill/>
            </a:ln>
          </c:spPr>
          <c:marker>
            <c:symbol val="triangle"/>
            <c:size val="5"/>
            <c:spPr>
              <a:solidFill>
                <a:srgbClr val="FFFF00"/>
              </a:solidFill>
              <a:ln>
                <a:solidFill>
                  <a:srgbClr val="FFFF00"/>
                </a:solidFill>
                <a:prstDash val="solid"/>
              </a:ln>
            </c:spPr>
          </c:marker>
          <c:val>
            <c:numRef>
              <c:f>'GRR Calculations'!$AM$74:$AM$78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5DD3-4F82-BD64-061869471BDC}"/>
            </c:ext>
          </c:extLst>
        </c:ser>
        <c:ser>
          <c:idx val="10"/>
          <c:order val="10"/>
          <c:spPr>
            <a:ln w="19050">
              <a:noFill/>
            </a:ln>
          </c:spPr>
          <c:marker>
            <c:symbol val="triangle"/>
            <c:size val="5"/>
            <c:spPr>
              <a:solidFill>
                <a:srgbClr val="FFFF00"/>
              </a:solidFill>
              <a:ln>
                <a:solidFill>
                  <a:srgbClr val="FFFF00"/>
                </a:solidFill>
                <a:prstDash val="solid"/>
              </a:ln>
            </c:spPr>
          </c:marker>
          <c:val>
            <c:numRef>
              <c:f>'GRR Calculations'!$AN$74:$AN$78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5DD3-4F82-BD64-061869471BDC}"/>
            </c:ext>
          </c:extLst>
        </c:ser>
        <c:ser>
          <c:idx val="11"/>
          <c:order val="11"/>
          <c:tx>
            <c:strRef>
              <c:f>'GRR Calculations'!$AQ$73</c:f>
              <c:strCache>
                <c:ptCount val="1"/>
                <c:pt idx="0">
                  <c:v>Op C</c:v>
                </c:pt>
              </c:strCache>
            </c:strRef>
          </c:tx>
          <c:spPr>
            <a:ln w="12700">
              <a:solidFill>
                <a:srgbClr val="FFFF00"/>
              </a:solidFill>
              <a:prstDash val="solid"/>
            </a:ln>
          </c:spPr>
          <c:marker>
            <c:symbol val="none"/>
          </c:marker>
          <c:val>
            <c:numRef>
              <c:f>'GRR Calculations'!$AQ$84:$AQ$88</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5DD3-4F82-BD64-061869471BDC}"/>
            </c:ext>
          </c:extLst>
        </c:ser>
        <c:dLbls>
          <c:showLegendKey val="0"/>
          <c:showVal val="0"/>
          <c:showCatName val="0"/>
          <c:showSerName val="0"/>
          <c:showPercent val="0"/>
          <c:showBubbleSize val="0"/>
        </c:dLbls>
        <c:marker val="1"/>
        <c:smooth val="0"/>
        <c:axId val="439245864"/>
        <c:axId val="439247040"/>
      </c:lineChart>
      <c:catAx>
        <c:axId val="439245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9247040"/>
        <c:crosses val="autoZero"/>
        <c:auto val="1"/>
        <c:lblAlgn val="ctr"/>
        <c:lblOffset val="100"/>
        <c:tickLblSkip val="1"/>
        <c:tickMarkSkip val="1"/>
        <c:noMultiLvlLbl val="0"/>
      </c:catAx>
      <c:valAx>
        <c:axId val="439247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9245864"/>
        <c:crosses val="autoZero"/>
        <c:crossBetween val="between"/>
      </c:valAx>
      <c:spPr>
        <a:solidFill>
          <a:srgbClr val="C0C0C0"/>
        </a:solidFill>
        <a:ln w="3175">
          <a:solidFill>
            <a:srgbClr val="000000"/>
          </a:solidFill>
          <a:prstDash val="solid"/>
        </a:ln>
      </c:spPr>
    </c:plotArea>
    <c:legend>
      <c:legendPos val="r"/>
      <c:legendEntry>
        <c:idx val="0"/>
        <c:delete val="1"/>
      </c:legendEntry>
      <c:legendEntry>
        <c:idx val="1"/>
        <c:delete val="1"/>
      </c:legendEntry>
      <c:legendEntry>
        <c:idx val="2"/>
        <c:delete val="1"/>
      </c:legendEntry>
      <c:legendEntry>
        <c:idx val="4"/>
        <c:delete val="1"/>
      </c:legendEntry>
      <c:legendEntry>
        <c:idx val="5"/>
        <c:delete val="1"/>
      </c:legendEntry>
      <c:legendEntry>
        <c:idx val="6"/>
        <c:delete val="1"/>
      </c:legendEntry>
      <c:legendEntry>
        <c:idx val="8"/>
        <c:delete val="1"/>
      </c:legendEntry>
      <c:legendEntry>
        <c:idx val="9"/>
        <c:delete val="1"/>
      </c:legendEntry>
      <c:legendEntry>
        <c:idx val="10"/>
        <c:delete val="1"/>
      </c:legendEntry>
      <c:layout>
        <c:manualLayout>
          <c:xMode val="edge"/>
          <c:yMode val="edge"/>
          <c:x val="0.87758346581875979"/>
          <c:y val="0.33198446195055914"/>
          <c:w val="0.10969793322734499"/>
          <c:h val="0.259109823961411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Operator</a:t>
            </a:r>
          </a:p>
        </c:rich>
      </c:tx>
      <c:layout>
        <c:manualLayout>
          <c:xMode val="edge"/>
          <c:yMode val="edge"/>
          <c:x val="0.4558062782697736"/>
          <c:y val="2.2522621597962401E-2"/>
        </c:manualLayout>
      </c:layout>
      <c:overlay val="0"/>
      <c:spPr>
        <a:noFill/>
        <a:ln w="25400">
          <a:noFill/>
        </a:ln>
      </c:spPr>
    </c:title>
    <c:autoTitleDeleted val="0"/>
    <c:plotArea>
      <c:layout>
        <c:manualLayout>
          <c:layoutTarget val="inner"/>
          <c:xMode val="edge"/>
          <c:yMode val="edge"/>
          <c:x val="7.1057252505934268E-2"/>
          <c:y val="0.25225336189717895"/>
          <c:w val="0.90468014166091926"/>
          <c:h val="0.5450474426706905"/>
        </c:manualLayout>
      </c:layout>
      <c:lineChart>
        <c:grouping val="standard"/>
        <c:varyColors val="0"/>
        <c:ser>
          <c:idx val="0"/>
          <c:order val="0"/>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Calculations'!$AS$72:$AS$73</c:f>
              <c:numCache>
                <c:formatCode>General</c:formatCode>
                <c:ptCount val="2"/>
                <c:pt idx="0">
                  <c:v>0.52100000000000002</c:v>
                </c:pt>
                <c:pt idx="1">
                  <c:v>0.498</c:v>
                </c:pt>
              </c:numCache>
            </c:numRef>
          </c:val>
          <c:smooth val="0"/>
          <c:extLst>
            <c:ext xmlns:c16="http://schemas.microsoft.com/office/drawing/2014/chart" uri="{C3380CC4-5D6E-409C-BE32-E72D297353CC}">
              <c16:uniqueId val="{00000000-FAC8-492E-B8D8-ECC1595205C6}"/>
            </c:ext>
          </c:extLst>
        </c:ser>
        <c:ser>
          <c:idx val="1"/>
          <c:order val="1"/>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Calculations'!$AT$72:$AT$73</c:f>
              <c:numCache>
                <c:formatCode>General</c:formatCode>
                <c:ptCount val="2"/>
                <c:pt idx="0">
                  <c:v>0.52100000000000002</c:v>
                </c:pt>
                <c:pt idx="1">
                  <c:v>0.45700000000000002</c:v>
                </c:pt>
              </c:numCache>
            </c:numRef>
          </c:val>
          <c:smooth val="0"/>
          <c:extLst>
            <c:ext xmlns:c16="http://schemas.microsoft.com/office/drawing/2014/chart" uri="{C3380CC4-5D6E-409C-BE32-E72D297353CC}">
              <c16:uniqueId val="{00000001-FAC8-492E-B8D8-ECC1595205C6}"/>
            </c:ext>
          </c:extLst>
        </c:ser>
        <c:ser>
          <c:idx val="2"/>
          <c:order val="2"/>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Calculations'!$AU$72:$AU$73</c:f>
              <c:numCache>
                <c:formatCode>General</c:formatCode>
                <c:ptCount val="2"/>
                <c:pt idx="0">
                  <c:v>#N/A</c:v>
                </c:pt>
                <c:pt idx="1">
                  <c:v>#N/A</c:v>
                </c:pt>
              </c:numCache>
            </c:numRef>
          </c:val>
          <c:smooth val="0"/>
          <c:extLst>
            <c:ext xmlns:c16="http://schemas.microsoft.com/office/drawing/2014/chart" uri="{C3380CC4-5D6E-409C-BE32-E72D297353CC}">
              <c16:uniqueId val="{00000002-FAC8-492E-B8D8-ECC1595205C6}"/>
            </c:ext>
          </c:extLst>
        </c:ser>
        <c:ser>
          <c:idx val="3"/>
          <c:order val="3"/>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Calculations'!$AV$72:$AV$73</c:f>
              <c:numCache>
                <c:formatCode>General</c:formatCode>
                <c:ptCount val="2"/>
                <c:pt idx="0">
                  <c:v>0.52200000000000002</c:v>
                </c:pt>
                <c:pt idx="1">
                  <c:v>0.52100000000000002</c:v>
                </c:pt>
              </c:numCache>
            </c:numRef>
          </c:val>
          <c:smooth val="0"/>
          <c:extLst>
            <c:ext xmlns:c16="http://schemas.microsoft.com/office/drawing/2014/chart" uri="{C3380CC4-5D6E-409C-BE32-E72D297353CC}">
              <c16:uniqueId val="{00000003-FAC8-492E-B8D8-ECC1595205C6}"/>
            </c:ext>
          </c:extLst>
        </c:ser>
        <c:ser>
          <c:idx val="4"/>
          <c:order val="4"/>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Calculations'!$AW$72:$AW$73</c:f>
              <c:numCache>
                <c:formatCode>General</c:formatCode>
                <c:ptCount val="2"/>
                <c:pt idx="0">
                  <c:v>0.52300000000000002</c:v>
                </c:pt>
                <c:pt idx="1">
                  <c:v>0.52200000000000002</c:v>
                </c:pt>
              </c:numCache>
            </c:numRef>
          </c:val>
          <c:smooth val="0"/>
          <c:extLst>
            <c:ext xmlns:c16="http://schemas.microsoft.com/office/drawing/2014/chart" uri="{C3380CC4-5D6E-409C-BE32-E72D297353CC}">
              <c16:uniqueId val="{00000004-FAC8-492E-B8D8-ECC1595205C6}"/>
            </c:ext>
          </c:extLst>
        </c:ser>
        <c:ser>
          <c:idx val="5"/>
          <c:order val="5"/>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Calculations'!$AX$72:$AX$73</c:f>
              <c:numCache>
                <c:formatCode>General</c:formatCode>
                <c:ptCount val="2"/>
                <c:pt idx="0">
                  <c:v>#N/A</c:v>
                </c:pt>
                <c:pt idx="1">
                  <c:v>#N/A</c:v>
                </c:pt>
              </c:numCache>
            </c:numRef>
          </c:val>
          <c:smooth val="0"/>
          <c:extLst>
            <c:ext xmlns:c16="http://schemas.microsoft.com/office/drawing/2014/chart" uri="{C3380CC4-5D6E-409C-BE32-E72D297353CC}">
              <c16:uniqueId val="{00000005-FAC8-492E-B8D8-ECC1595205C6}"/>
            </c:ext>
          </c:extLst>
        </c:ser>
        <c:ser>
          <c:idx val="6"/>
          <c:order val="6"/>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Calculations'!$AY$72:$AY$73</c:f>
              <c:numCache>
                <c:formatCode>General</c:formatCode>
                <c:ptCount val="2"/>
                <c:pt idx="0">
                  <c:v>0.52300000000000002</c:v>
                </c:pt>
                <c:pt idx="1">
                  <c:v>0.52200000000000002</c:v>
                </c:pt>
              </c:numCache>
            </c:numRef>
          </c:val>
          <c:smooth val="0"/>
          <c:extLst>
            <c:ext xmlns:c16="http://schemas.microsoft.com/office/drawing/2014/chart" uri="{C3380CC4-5D6E-409C-BE32-E72D297353CC}">
              <c16:uniqueId val="{00000006-FAC8-492E-B8D8-ECC1595205C6}"/>
            </c:ext>
          </c:extLst>
        </c:ser>
        <c:ser>
          <c:idx val="7"/>
          <c:order val="7"/>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Calculations'!$AZ$72:$AZ$73</c:f>
              <c:numCache>
                <c:formatCode>General</c:formatCode>
                <c:ptCount val="2"/>
                <c:pt idx="0">
                  <c:v>0.52100000000000002</c:v>
                </c:pt>
                <c:pt idx="1">
                  <c:v>0.52200000000000002</c:v>
                </c:pt>
              </c:numCache>
            </c:numRef>
          </c:val>
          <c:smooth val="0"/>
          <c:extLst>
            <c:ext xmlns:c16="http://schemas.microsoft.com/office/drawing/2014/chart" uri="{C3380CC4-5D6E-409C-BE32-E72D297353CC}">
              <c16:uniqueId val="{00000007-FAC8-492E-B8D8-ECC1595205C6}"/>
            </c:ext>
          </c:extLst>
        </c:ser>
        <c:ser>
          <c:idx val="8"/>
          <c:order val="8"/>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Calculations'!$BA$72:$BA$73</c:f>
              <c:numCache>
                <c:formatCode>General</c:formatCode>
                <c:ptCount val="2"/>
                <c:pt idx="0">
                  <c:v>#N/A</c:v>
                </c:pt>
                <c:pt idx="1">
                  <c:v>#N/A</c:v>
                </c:pt>
              </c:numCache>
            </c:numRef>
          </c:val>
          <c:smooth val="0"/>
          <c:extLst>
            <c:ext xmlns:c16="http://schemas.microsoft.com/office/drawing/2014/chart" uri="{C3380CC4-5D6E-409C-BE32-E72D297353CC}">
              <c16:uniqueId val="{00000008-FAC8-492E-B8D8-ECC1595205C6}"/>
            </c:ext>
          </c:extLst>
        </c:ser>
        <c:ser>
          <c:idx val="9"/>
          <c:order val="9"/>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Calculations'!$BB$72:$BB$73</c:f>
              <c:numCache>
                <c:formatCode>General</c:formatCode>
                <c:ptCount val="2"/>
                <c:pt idx="0">
                  <c:v>0.52100000000000002</c:v>
                </c:pt>
                <c:pt idx="1">
                  <c:v>0.52400000000000002</c:v>
                </c:pt>
              </c:numCache>
            </c:numRef>
          </c:val>
          <c:smooth val="0"/>
          <c:extLst>
            <c:ext xmlns:c16="http://schemas.microsoft.com/office/drawing/2014/chart" uri="{C3380CC4-5D6E-409C-BE32-E72D297353CC}">
              <c16:uniqueId val="{00000009-FAC8-492E-B8D8-ECC1595205C6}"/>
            </c:ext>
          </c:extLst>
        </c:ser>
        <c:ser>
          <c:idx val="10"/>
          <c:order val="10"/>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Calculations'!$BC$72:$BC$73</c:f>
              <c:numCache>
                <c:formatCode>General</c:formatCode>
                <c:ptCount val="2"/>
                <c:pt idx="0">
                  <c:v>0.52200000000000002</c:v>
                </c:pt>
                <c:pt idx="1">
                  <c:v>0.52300000000000002</c:v>
                </c:pt>
              </c:numCache>
            </c:numRef>
          </c:val>
          <c:smooth val="0"/>
          <c:extLst>
            <c:ext xmlns:c16="http://schemas.microsoft.com/office/drawing/2014/chart" uri="{C3380CC4-5D6E-409C-BE32-E72D297353CC}">
              <c16:uniqueId val="{0000000A-FAC8-492E-B8D8-ECC1595205C6}"/>
            </c:ext>
          </c:extLst>
        </c:ser>
        <c:ser>
          <c:idx val="11"/>
          <c:order val="11"/>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Calculations'!$BD$72:$BD$73</c:f>
              <c:numCache>
                <c:formatCode>General</c:formatCode>
                <c:ptCount val="2"/>
                <c:pt idx="0">
                  <c:v>#N/A</c:v>
                </c:pt>
                <c:pt idx="1">
                  <c:v>#N/A</c:v>
                </c:pt>
              </c:numCache>
            </c:numRef>
          </c:val>
          <c:smooth val="0"/>
          <c:extLst>
            <c:ext xmlns:c16="http://schemas.microsoft.com/office/drawing/2014/chart" uri="{C3380CC4-5D6E-409C-BE32-E72D297353CC}">
              <c16:uniqueId val="{0000000B-FAC8-492E-B8D8-ECC1595205C6}"/>
            </c:ext>
          </c:extLst>
        </c:ser>
        <c:ser>
          <c:idx val="12"/>
          <c:order val="12"/>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Calculations'!$BE$72:$BE$73</c:f>
              <c:numCache>
                <c:formatCode>General</c:formatCode>
                <c:ptCount val="2"/>
                <c:pt idx="0">
                  <c:v>0.52500000000000002</c:v>
                </c:pt>
                <c:pt idx="1">
                  <c:v>0.52100000000000002</c:v>
                </c:pt>
              </c:numCache>
            </c:numRef>
          </c:val>
          <c:smooth val="0"/>
          <c:extLst>
            <c:ext xmlns:c16="http://schemas.microsoft.com/office/drawing/2014/chart" uri="{C3380CC4-5D6E-409C-BE32-E72D297353CC}">
              <c16:uniqueId val="{0000000C-FAC8-492E-B8D8-ECC1595205C6}"/>
            </c:ext>
          </c:extLst>
        </c:ser>
        <c:ser>
          <c:idx val="13"/>
          <c:order val="13"/>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Calculations'!$BF$72:$BF$73</c:f>
              <c:numCache>
                <c:formatCode>General</c:formatCode>
                <c:ptCount val="2"/>
                <c:pt idx="0">
                  <c:v>0.52400000000000002</c:v>
                </c:pt>
                <c:pt idx="1">
                  <c:v>0.52100000000000002</c:v>
                </c:pt>
              </c:numCache>
            </c:numRef>
          </c:val>
          <c:smooth val="0"/>
          <c:extLst>
            <c:ext xmlns:c16="http://schemas.microsoft.com/office/drawing/2014/chart" uri="{C3380CC4-5D6E-409C-BE32-E72D297353CC}">
              <c16:uniqueId val="{0000000D-FAC8-492E-B8D8-ECC1595205C6}"/>
            </c:ext>
          </c:extLst>
        </c:ser>
        <c:ser>
          <c:idx val="14"/>
          <c:order val="14"/>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Calculations'!$BG$72:$BG$73</c:f>
              <c:numCache>
                <c:formatCode>General</c:formatCode>
                <c:ptCount val="2"/>
                <c:pt idx="0">
                  <c:v>#N/A</c:v>
                </c:pt>
                <c:pt idx="1">
                  <c:v>#N/A</c:v>
                </c:pt>
              </c:numCache>
            </c:numRef>
          </c:val>
          <c:smooth val="0"/>
          <c:extLst>
            <c:ext xmlns:c16="http://schemas.microsoft.com/office/drawing/2014/chart" uri="{C3380CC4-5D6E-409C-BE32-E72D297353CC}">
              <c16:uniqueId val="{0000000E-FAC8-492E-B8D8-ECC1595205C6}"/>
            </c:ext>
          </c:extLst>
        </c:ser>
        <c:ser>
          <c:idx val="15"/>
          <c:order val="15"/>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Calculations'!$BH$72:$BH$73</c:f>
              <c:numCache>
                <c:formatCode>General</c:formatCode>
                <c:ptCount val="2"/>
                <c:pt idx="0">
                  <c:v>#N/A</c:v>
                </c:pt>
                <c:pt idx="1">
                  <c:v>#N/A</c:v>
                </c:pt>
              </c:numCache>
            </c:numRef>
          </c:val>
          <c:smooth val="0"/>
          <c:extLst>
            <c:ext xmlns:c16="http://schemas.microsoft.com/office/drawing/2014/chart" uri="{C3380CC4-5D6E-409C-BE32-E72D297353CC}">
              <c16:uniqueId val="{0000000F-FAC8-492E-B8D8-ECC1595205C6}"/>
            </c:ext>
          </c:extLst>
        </c:ser>
        <c:ser>
          <c:idx val="16"/>
          <c:order val="16"/>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Calculations'!$BI$72:$BI$73</c:f>
              <c:numCache>
                <c:formatCode>General</c:formatCode>
                <c:ptCount val="2"/>
                <c:pt idx="0">
                  <c:v>#N/A</c:v>
                </c:pt>
                <c:pt idx="1">
                  <c:v>#N/A</c:v>
                </c:pt>
              </c:numCache>
            </c:numRef>
          </c:val>
          <c:smooth val="0"/>
          <c:extLst>
            <c:ext xmlns:c16="http://schemas.microsoft.com/office/drawing/2014/chart" uri="{C3380CC4-5D6E-409C-BE32-E72D297353CC}">
              <c16:uniqueId val="{00000010-FAC8-492E-B8D8-ECC1595205C6}"/>
            </c:ext>
          </c:extLst>
        </c:ser>
        <c:ser>
          <c:idx val="17"/>
          <c:order val="17"/>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Calculations'!$BJ$72:$BJ$73</c:f>
              <c:numCache>
                <c:formatCode>General</c:formatCode>
                <c:ptCount val="2"/>
                <c:pt idx="0">
                  <c:v>#N/A</c:v>
                </c:pt>
                <c:pt idx="1">
                  <c:v>#N/A</c:v>
                </c:pt>
              </c:numCache>
            </c:numRef>
          </c:val>
          <c:smooth val="0"/>
          <c:extLst>
            <c:ext xmlns:c16="http://schemas.microsoft.com/office/drawing/2014/chart" uri="{C3380CC4-5D6E-409C-BE32-E72D297353CC}">
              <c16:uniqueId val="{00000011-FAC8-492E-B8D8-ECC1595205C6}"/>
            </c:ext>
          </c:extLst>
        </c:ser>
        <c:ser>
          <c:idx val="18"/>
          <c:order val="18"/>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Calculations'!$BK$72:$BK$73</c:f>
              <c:numCache>
                <c:formatCode>General</c:formatCode>
                <c:ptCount val="2"/>
                <c:pt idx="0">
                  <c:v>#N/A</c:v>
                </c:pt>
                <c:pt idx="1">
                  <c:v>#N/A</c:v>
                </c:pt>
              </c:numCache>
            </c:numRef>
          </c:val>
          <c:smooth val="0"/>
          <c:extLst>
            <c:ext xmlns:c16="http://schemas.microsoft.com/office/drawing/2014/chart" uri="{C3380CC4-5D6E-409C-BE32-E72D297353CC}">
              <c16:uniqueId val="{00000012-FAC8-492E-B8D8-ECC1595205C6}"/>
            </c:ext>
          </c:extLst>
        </c:ser>
        <c:ser>
          <c:idx val="19"/>
          <c:order val="19"/>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Calculations'!$BL$72:$BL$73</c:f>
              <c:numCache>
                <c:formatCode>General</c:formatCode>
                <c:ptCount val="2"/>
                <c:pt idx="0">
                  <c:v>#N/A</c:v>
                </c:pt>
                <c:pt idx="1">
                  <c:v>#N/A</c:v>
                </c:pt>
              </c:numCache>
            </c:numRef>
          </c:val>
          <c:smooth val="0"/>
          <c:extLst>
            <c:ext xmlns:c16="http://schemas.microsoft.com/office/drawing/2014/chart" uri="{C3380CC4-5D6E-409C-BE32-E72D297353CC}">
              <c16:uniqueId val="{00000013-FAC8-492E-B8D8-ECC1595205C6}"/>
            </c:ext>
          </c:extLst>
        </c:ser>
        <c:ser>
          <c:idx val="20"/>
          <c:order val="20"/>
          <c:spPr>
            <a:ln w="19050">
              <a:noFill/>
            </a:ln>
          </c:spPr>
          <c:marker>
            <c:symbol val="diamond"/>
            <c:size val="5"/>
            <c:spPr>
              <a:solidFill>
                <a:srgbClr val="000080"/>
              </a:solidFill>
              <a:ln>
                <a:solidFill>
                  <a:srgbClr val="333399"/>
                </a:solidFill>
                <a:prstDash val="solid"/>
              </a:ln>
            </c:spPr>
          </c:marker>
          <c:cat>
            <c:strRef>
              <c:f>'GRR Calculations'!$AR$72:$AR$73</c:f>
              <c:strCache>
                <c:ptCount val="2"/>
                <c:pt idx="0">
                  <c:v>Op A</c:v>
                </c:pt>
                <c:pt idx="1">
                  <c:v>Op B</c:v>
                </c:pt>
              </c:strCache>
            </c:strRef>
          </c:cat>
          <c:val>
            <c:numRef>
              <c:f>'GRR Calculations'!$BM$72:$BM$73</c:f>
              <c:numCache>
                <c:formatCode>General</c:formatCode>
                <c:ptCount val="2"/>
                <c:pt idx="0">
                  <c:v>#N/A</c:v>
                </c:pt>
                <c:pt idx="1">
                  <c:v>#N/A</c:v>
                </c:pt>
              </c:numCache>
            </c:numRef>
          </c:val>
          <c:smooth val="0"/>
          <c:extLst>
            <c:ext xmlns:c16="http://schemas.microsoft.com/office/drawing/2014/chart" uri="{C3380CC4-5D6E-409C-BE32-E72D297353CC}">
              <c16:uniqueId val="{00000014-FAC8-492E-B8D8-ECC1595205C6}"/>
            </c:ext>
          </c:extLst>
        </c:ser>
        <c:ser>
          <c:idx val="21"/>
          <c:order val="21"/>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Calculations'!$BN$72:$BN$73</c:f>
              <c:numCache>
                <c:formatCode>General</c:formatCode>
                <c:ptCount val="2"/>
                <c:pt idx="0">
                  <c:v>#N/A</c:v>
                </c:pt>
                <c:pt idx="1">
                  <c:v>#N/A</c:v>
                </c:pt>
              </c:numCache>
            </c:numRef>
          </c:val>
          <c:smooth val="0"/>
          <c:extLst>
            <c:ext xmlns:c16="http://schemas.microsoft.com/office/drawing/2014/chart" uri="{C3380CC4-5D6E-409C-BE32-E72D297353CC}">
              <c16:uniqueId val="{00000015-FAC8-492E-B8D8-ECC1595205C6}"/>
            </c:ext>
          </c:extLst>
        </c:ser>
        <c:ser>
          <c:idx val="22"/>
          <c:order val="22"/>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Calculations'!$BO$72:$BO$73</c:f>
              <c:numCache>
                <c:formatCode>General</c:formatCode>
                <c:ptCount val="2"/>
                <c:pt idx="0">
                  <c:v>#N/A</c:v>
                </c:pt>
                <c:pt idx="1">
                  <c:v>#N/A</c:v>
                </c:pt>
              </c:numCache>
            </c:numRef>
          </c:val>
          <c:smooth val="0"/>
          <c:extLst>
            <c:ext xmlns:c16="http://schemas.microsoft.com/office/drawing/2014/chart" uri="{C3380CC4-5D6E-409C-BE32-E72D297353CC}">
              <c16:uniqueId val="{00000016-FAC8-492E-B8D8-ECC1595205C6}"/>
            </c:ext>
          </c:extLst>
        </c:ser>
        <c:ser>
          <c:idx val="23"/>
          <c:order val="23"/>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Calculations'!$BP$72:$BP$73</c:f>
              <c:numCache>
                <c:formatCode>General</c:formatCode>
                <c:ptCount val="2"/>
                <c:pt idx="0">
                  <c:v>#N/A</c:v>
                </c:pt>
                <c:pt idx="1">
                  <c:v>#N/A</c:v>
                </c:pt>
              </c:numCache>
            </c:numRef>
          </c:val>
          <c:smooth val="0"/>
          <c:extLst>
            <c:ext xmlns:c16="http://schemas.microsoft.com/office/drawing/2014/chart" uri="{C3380CC4-5D6E-409C-BE32-E72D297353CC}">
              <c16:uniqueId val="{00000017-FAC8-492E-B8D8-ECC1595205C6}"/>
            </c:ext>
          </c:extLst>
        </c:ser>
        <c:ser>
          <c:idx val="24"/>
          <c:order val="24"/>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Calculations'!$BQ$72:$BQ$73</c:f>
              <c:numCache>
                <c:formatCode>General</c:formatCode>
                <c:ptCount val="2"/>
                <c:pt idx="0">
                  <c:v>#N/A</c:v>
                </c:pt>
                <c:pt idx="1">
                  <c:v>#N/A</c:v>
                </c:pt>
              </c:numCache>
            </c:numRef>
          </c:val>
          <c:smooth val="0"/>
          <c:extLst>
            <c:ext xmlns:c16="http://schemas.microsoft.com/office/drawing/2014/chart" uri="{C3380CC4-5D6E-409C-BE32-E72D297353CC}">
              <c16:uniqueId val="{00000018-FAC8-492E-B8D8-ECC1595205C6}"/>
            </c:ext>
          </c:extLst>
        </c:ser>
        <c:ser>
          <c:idx val="25"/>
          <c:order val="25"/>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Calculations'!$BR$72:$BR$73</c:f>
              <c:numCache>
                <c:formatCode>General</c:formatCode>
                <c:ptCount val="2"/>
                <c:pt idx="0">
                  <c:v>#N/A</c:v>
                </c:pt>
                <c:pt idx="1">
                  <c:v>#N/A</c:v>
                </c:pt>
              </c:numCache>
            </c:numRef>
          </c:val>
          <c:smooth val="0"/>
          <c:extLst>
            <c:ext xmlns:c16="http://schemas.microsoft.com/office/drawing/2014/chart" uri="{C3380CC4-5D6E-409C-BE32-E72D297353CC}">
              <c16:uniqueId val="{00000019-FAC8-492E-B8D8-ECC1595205C6}"/>
            </c:ext>
          </c:extLst>
        </c:ser>
        <c:ser>
          <c:idx val="26"/>
          <c:order val="26"/>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Calculations'!$BS$72:$BS$73</c:f>
              <c:numCache>
                <c:formatCode>General</c:formatCode>
                <c:ptCount val="2"/>
                <c:pt idx="0">
                  <c:v>#N/A</c:v>
                </c:pt>
                <c:pt idx="1">
                  <c:v>#N/A</c:v>
                </c:pt>
              </c:numCache>
            </c:numRef>
          </c:val>
          <c:smooth val="0"/>
          <c:extLst>
            <c:ext xmlns:c16="http://schemas.microsoft.com/office/drawing/2014/chart" uri="{C3380CC4-5D6E-409C-BE32-E72D297353CC}">
              <c16:uniqueId val="{0000001A-FAC8-492E-B8D8-ECC1595205C6}"/>
            </c:ext>
          </c:extLst>
        </c:ser>
        <c:ser>
          <c:idx val="27"/>
          <c:order val="27"/>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Calculations'!$BT$72:$BT$73</c:f>
              <c:numCache>
                <c:formatCode>General</c:formatCode>
                <c:ptCount val="2"/>
                <c:pt idx="0">
                  <c:v>#N/A</c:v>
                </c:pt>
                <c:pt idx="1">
                  <c:v>#N/A</c:v>
                </c:pt>
              </c:numCache>
            </c:numRef>
          </c:val>
          <c:smooth val="0"/>
          <c:extLst>
            <c:ext xmlns:c16="http://schemas.microsoft.com/office/drawing/2014/chart" uri="{C3380CC4-5D6E-409C-BE32-E72D297353CC}">
              <c16:uniqueId val="{0000001B-FAC8-492E-B8D8-ECC1595205C6}"/>
            </c:ext>
          </c:extLst>
        </c:ser>
        <c:ser>
          <c:idx val="28"/>
          <c:order val="28"/>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Calculations'!$BU$72:$BU$73</c:f>
              <c:numCache>
                <c:formatCode>General</c:formatCode>
                <c:ptCount val="2"/>
                <c:pt idx="0">
                  <c:v>#N/A</c:v>
                </c:pt>
                <c:pt idx="1">
                  <c:v>#N/A</c:v>
                </c:pt>
              </c:numCache>
            </c:numRef>
          </c:val>
          <c:smooth val="0"/>
          <c:extLst>
            <c:ext xmlns:c16="http://schemas.microsoft.com/office/drawing/2014/chart" uri="{C3380CC4-5D6E-409C-BE32-E72D297353CC}">
              <c16:uniqueId val="{0000001C-FAC8-492E-B8D8-ECC1595205C6}"/>
            </c:ext>
          </c:extLst>
        </c:ser>
        <c:ser>
          <c:idx val="29"/>
          <c:order val="29"/>
          <c:spPr>
            <a:ln w="19050">
              <a:noFill/>
            </a:ln>
          </c:spPr>
          <c:marker>
            <c:symbol val="diamond"/>
            <c:size val="5"/>
            <c:spPr>
              <a:solidFill>
                <a:srgbClr val="000080"/>
              </a:solidFill>
              <a:ln>
                <a:solidFill>
                  <a:srgbClr val="000080"/>
                </a:solidFill>
                <a:prstDash val="solid"/>
              </a:ln>
            </c:spPr>
          </c:marker>
          <c:cat>
            <c:strRef>
              <c:f>'GRR Calculations'!$AR$72:$AR$73</c:f>
              <c:strCache>
                <c:ptCount val="2"/>
                <c:pt idx="0">
                  <c:v>Op A</c:v>
                </c:pt>
                <c:pt idx="1">
                  <c:v>Op B</c:v>
                </c:pt>
              </c:strCache>
            </c:strRef>
          </c:cat>
          <c:val>
            <c:numRef>
              <c:f>'GRR Calculations'!$BV$72:$BV$73</c:f>
              <c:numCache>
                <c:formatCode>General</c:formatCode>
                <c:ptCount val="2"/>
                <c:pt idx="0">
                  <c:v>#N/A</c:v>
                </c:pt>
                <c:pt idx="1">
                  <c:v>#N/A</c:v>
                </c:pt>
              </c:numCache>
            </c:numRef>
          </c:val>
          <c:smooth val="0"/>
          <c:extLst>
            <c:ext xmlns:c16="http://schemas.microsoft.com/office/drawing/2014/chart" uri="{C3380CC4-5D6E-409C-BE32-E72D297353CC}">
              <c16:uniqueId val="{0000001D-FAC8-492E-B8D8-ECC1595205C6}"/>
            </c:ext>
          </c:extLst>
        </c:ser>
        <c:ser>
          <c:idx val="30"/>
          <c:order val="30"/>
          <c:spPr>
            <a:ln w="12700">
              <a:solidFill>
                <a:srgbClr val="000080"/>
              </a:solidFill>
              <a:prstDash val="solid"/>
            </a:ln>
          </c:spPr>
          <c:marker>
            <c:symbol val="none"/>
          </c:marker>
          <c:val>
            <c:numRef>
              <c:f>'GRR Calculations'!$BW$72:$BW$73</c:f>
              <c:numCache>
                <c:formatCode>General</c:formatCode>
                <c:ptCount val="2"/>
                <c:pt idx="0">
                  <c:v>#N/A</c:v>
                </c:pt>
                <c:pt idx="1">
                  <c:v>#N/A</c:v>
                </c:pt>
              </c:numCache>
            </c:numRef>
          </c:val>
          <c:smooth val="0"/>
          <c:extLst>
            <c:ext xmlns:c16="http://schemas.microsoft.com/office/drawing/2014/chart" uri="{C3380CC4-5D6E-409C-BE32-E72D297353CC}">
              <c16:uniqueId val="{0000001E-FAC8-492E-B8D8-ECC1595205C6}"/>
            </c:ext>
          </c:extLst>
        </c:ser>
        <c:dLbls>
          <c:showLegendKey val="0"/>
          <c:showVal val="0"/>
          <c:showCatName val="0"/>
          <c:showSerName val="0"/>
          <c:showPercent val="0"/>
          <c:showBubbleSize val="0"/>
        </c:dLbls>
        <c:marker val="1"/>
        <c:smooth val="0"/>
        <c:axId val="439245080"/>
        <c:axId val="439247432"/>
      </c:lineChart>
      <c:catAx>
        <c:axId val="439245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39247432"/>
        <c:crosses val="autoZero"/>
        <c:auto val="1"/>
        <c:lblAlgn val="ctr"/>
        <c:lblOffset val="100"/>
        <c:tickLblSkip val="1"/>
        <c:tickMarkSkip val="1"/>
        <c:noMultiLvlLbl val="0"/>
      </c:catAx>
      <c:valAx>
        <c:axId val="4392474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392450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00000000000001"/>
          <c:y val="0.10441808020394157"/>
          <c:w val="0.59199999999999997"/>
          <c:h val="0.71486224139621524"/>
        </c:manualLayout>
      </c:layout>
      <c:barChart>
        <c:barDir val="col"/>
        <c:grouping val="clustered"/>
        <c:varyColors val="0"/>
        <c:ser>
          <c:idx val="0"/>
          <c:order val="0"/>
          <c:tx>
            <c:strRef>
              <c:f>'GRR Calculations'!$R$12</c:f>
              <c:strCache>
                <c:ptCount val="1"/>
                <c:pt idx="0">
                  <c:v>% Contribution</c:v>
                </c:pt>
              </c:strCache>
            </c:strRef>
          </c:tx>
          <c:spPr>
            <a:solidFill>
              <a:srgbClr val="9999FF"/>
            </a:solidFill>
            <a:ln w="12700">
              <a:solidFill>
                <a:srgbClr val="000000"/>
              </a:solidFill>
              <a:prstDash val="solid"/>
            </a:ln>
          </c:spPr>
          <c:invertIfNegative val="0"/>
          <c:cat>
            <c:strRef>
              <c:f>'GRR Calculations'!$S$11:$V$11</c:f>
              <c:strCache>
                <c:ptCount val="4"/>
                <c:pt idx="0">
                  <c:v>Gage R&amp;R</c:v>
                </c:pt>
                <c:pt idx="1">
                  <c:v>Repeat</c:v>
                </c:pt>
                <c:pt idx="2">
                  <c:v>Reprod</c:v>
                </c:pt>
                <c:pt idx="3">
                  <c:v>Part-Part</c:v>
                </c:pt>
              </c:strCache>
            </c:strRef>
          </c:cat>
          <c:val>
            <c:numRef>
              <c:f>'GRR Calculations'!$S$12:$V$12</c:f>
              <c:numCache>
                <c:formatCode>0.00%</c:formatCode>
                <c:ptCount val="4"/>
                <c:pt idx="0">
                  <c:v>0.39834721848965327</c:v>
                </c:pt>
                <c:pt idx="1">
                  <c:v>0.12422735823703304</c:v>
                </c:pt>
                <c:pt idx="2">
                  <c:v>0.27519484009674816</c:v>
                </c:pt>
                <c:pt idx="3">
                  <c:v>0.60635581832840624</c:v>
                </c:pt>
              </c:numCache>
            </c:numRef>
          </c:val>
          <c:extLst>
            <c:ext xmlns:c16="http://schemas.microsoft.com/office/drawing/2014/chart" uri="{C3380CC4-5D6E-409C-BE32-E72D297353CC}">
              <c16:uniqueId val="{00000000-F217-41B5-85EC-774CB0267390}"/>
            </c:ext>
          </c:extLst>
        </c:ser>
        <c:ser>
          <c:idx val="1"/>
          <c:order val="1"/>
          <c:tx>
            <c:strRef>
              <c:f>'GRR Calculations'!$R$13</c:f>
              <c:strCache>
                <c:ptCount val="1"/>
                <c:pt idx="0">
                  <c:v>% Study Variation</c:v>
                </c:pt>
              </c:strCache>
            </c:strRef>
          </c:tx>
          <c:spPr>
            <a:solidFill>
              <a:srgbClr val="993366"/>
            </a:solidFill>
            <a:ln w="12700">
              <a:solidFill>
                <a:srgbClr val="000000"/>
              </a:solidFill>
              <a:prstDash val="solid"/>
            </a:ln>
          </c:spPr>
          <c:invertIfNegative val="0"/>
          <c:cat>
            <c:strRef>
              <c:f>'GRR Calculations'!$S$11:$V$11</c:f>
              <c:strCache>
                <c:ptCount val="4"/>
                <c:pt idx="0">
                  <c:v>Gage R&amp;R</c:v>
                </c:pt>
                <c:pt idx="1">
                  <c:v>Repeat</c:v>
                </c:pt>
                <c:pt idx="2">
                  <c:v>Reprod</c:v>
                </c:pt>
                <c:pt idx="3">
                  <c:v>Part-Part</c:v>
                </c:pt>
              </c:strCache>
            </c:strRef>
          </c:cat>
          <c:val>
            <c:numRef>
              <c:f>'GRR Calculations'!$S$13:$V$13</c:f>
              <c:numCache>
                <c:formatCode>0.00%</c:formatCode>
                <c:ptCount val="4"/>
                <c:pt idx="0">
                  <c:v>0.63114754098360648</c:v>
                </c:pt>
                <c:pt idx="1">
                  <c:v>0.35245901639344257</c:v>
                </c:pt>
                <c:pt idx="2">
                  <c:v>0.52459016393442615</c:v>
                </c:pt>
                <c:pt idx="3">
                  <c:v>0.7786885245901638</c:v>
                </c:pt>
              </c:numCache>
            </c:numRef>
          </c:val>
          <c:extLst>
            <c:ext xmlns:c16="http://schemas.microsoft.com/office/drawing/2014/chart" uri="{C3380CC4-5D6E-409C-BE32-E72D297353CC}">
              <c16:uniqueId val="{00000001-F217-41B5-85EC-774CB0267390}"/>
            </c:ext>
          </c:extLst>
        </c:ser>
        <c:ser>
          <c:idx val="2"/>
          <c:order val="2"/>
          <c:tx>
            <c:strRef>
              <c:f>'GRR Calculations'!$R$14</c:f>
              <c:strCache>
                <c:ptCount val="1"/>
                <c:pt idx="0">
                  <c:v>% Tol (5.15 SD)</c:v>
                </c:pt>
              </c:strCache>
            </c:strRef>
          </c:tx>
          <c:spPr>
            <a:solidFill>
              <a:srgbClr val="FFFFCC"/>
            </a:solidFill>
            <a:ln w="12700">
              <a:solidFill>
                <a:srgbClr val="000000"/>
              </a:solidFill>
              <a:prstDash val="solid"/>
            </a:ln>
          </c:spPr>
          <c:invertIfNegative val="0"/>
          <c:cat>
            <c:strRef>
              <c:f>'GRR Calculations'!$S$11:$V$11</c:f>
              <c:strCache>
                <c:ptCount val="4"/>
                <c:pt idx="0">
                  <c:v>Gage R&amp;R</c:v>
                </c:pt>
                <c:pt idx="1">
                  <c:v>Repeat</c:v>
                </c:pt>
                <c:pt idx="2">
                  <c:v>Reprod</c:v>
                </c:pt>
                <c:pt idx="3">
                  <c:v>Part-Part</c:v>
                </c:pt>
              </c:strCache>
            </c:strRef>
          </c:cat>
          <c:val>
            <c:numRef>
              <c:f>'GRR Calculations'!$S$14:$V$14</c:f>
              <c:numCache>
                <c:formatCode>0.00%</c:formatCode>
                <c:ptCount val="4"/>
                <c:pt idx="0">
                  <c:v>0.99137499999999923</c:v>
                </c:pt>
                <c:pt idx="1">
                  <c:v>0.55362499999999959</c:v>
                </c:pt>
                <c:pt idx="2">
                  <c:v>0.8239999999999994</c:v>
                </c:pt>
                <c:pt idx="3">
                  <c:v>1.2231249999999989</c:v>
                </c:pt>
              </c:numCache>
            </c:numRef>
          </c:val>
          <c:extLst>
            <c:ext xmlns:c16="http://schemas.microsoft.com/office/drawing/2014/chart" uri="{C3380CC4-5D6E-409C-BE32-E72D297353CC}">
              <c16:uniqueId val="{00000002-F217-41B5-85EC-774CB0267390}"/>
            </c:ext>
          </c:extLst>
        </c:ser>
        <c:ser>
          <c:idx val="3"/>
          <c:order val="3"/>
          <c:tx>
            <c:strRef>
              <c:f>'GRR Calculations'!$R$15</c:f>
              <c:strCache>
                <c:ptCount val="1"/>
                <c:pt idx="0">
                  <c:v>% Tol (6.0 SD)</c:v>
                </c:pt>
              </c:strCache>
            </c:strRef>
          </c:tx>
          <c:spPr>
            <a:solidFill>
              <a:srgbClr val="CCFFFF"/>
            </a:solidFill>
            <a:ln w="12700">
              <a:solidFill>
                <a:srgbClr val="000000"/>
              </a:solidFill>
              <a:prstDash val="solid"/>
            </a:ln>
          </c:spPr>
          <c:invertIfNegative val="0"/>
          <c:val>
            <c:numRef>
              <c:f>'GRR Calculations'!$S$15:$V$15</c:f>
              <c:numCache>
                <c:formatCode>0.00%</c:formatCode>
                <c:ptCount val="4"/>
                <c:pt idx="0">
                  <c:v>1.1549999999999991</c:v>
                </c:pt>
                <c:pt idx="1">
                  <c:v>0.64499999999999946</c:v>
                </c:pt>
                <c:pt idx="2">
                  <c:v>0.95999999999999919</c:v>
                </c:pt>
                <c:pt idx="3">
                  <c:v>1.4249999999999987</c:v>
                </c:pt>
              </c:numCache>
            </c:numRef>
          </c:val>
          <c:extLst>
            <c:ext xmlns:c16="http://schemas.microsoft.com/office/drawing/2014/chart" uri="{C3380CC4-5D6E-409C-BE32-E72D297353CC}">
              <c16:uniqueId val="{00000003-F217-41B5-85EC-774CB0267390}"/>
            </c:ext>
          </c:extLst>
        </c:ser>
        <c:dLbls>
          <c:showLegendKey val="0"/>
          <c:showVal val="0"/>
          <c:showCatName val="0"/>
          <c:showSerName val="0"/>
          <c:showPercent val="0"/>
          <c:showBubbleSize val="0"/>
        </c:dLbls>
        <c:gapWidth val="150"/>
        <c:axId val="439241552"/>
        <c:axId val="439244296"/>
      </c:barChart>
      <c:catAx>
        <c:axId val="43924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9244296"/>
        <c:crosses val="autoZero"/>
        <c:auto val="1"/>
        <c:lblAlgn val="ctr"/>
        <c:lblOffset val="100"/>
        <c:tickLblSkip val="1"/>
        <c:tickMarkSkip val="1"/>
        <c:noMultiLvlLbl val="0"/>
      </c:catAx>
      <c:valAx>
        <c:axId val="43924429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9241552"/>
        <c:crosses val="autoZero"/>
        <c:crossBetween val="between"/>
      </c:valAx>
      <c:spPr>
        <a:solidFill>
          <a:srgbClr val="C0C0C0"/>
        </a:solidFill>
        <a:ln w="12700">
          <a:solidFill>
            <a:srgbClr val="808080"/>
          </a:solidFill>
          <a:prstDash val="solid"/>
        </a:ln>
      </c:spPr>
    </c:plotArea>
    <c:legend>
      <c:legendPos val="r"/>
      <c:layout>
        <c:manualLayout>
          <c:xMode val="edge"/>
          <c:yMode val="edge"/>
          <c:x val="0.7400000000000001"/>
          <c:y val="0.30120600058829294"/>
          <c:w val="0.25"/>
          <c:h val="0.3413668006667320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Components of Variation, ANOVA</a:t>
            </a:r>
          </a:p>
        </c:rich>
      </c:tx>
      <c:layout>
        <c:manualLayout>
          <c:xMode val="edge"/>
          <c:yMode val="edge"/>
          <c:x val="0.24000000000000002"/>
          <c:y val="4.0160800078439057E-2"/>
        </c:manualLayout>
      </c:layout>
      <c:overlay val="0"/>
      <c:spPr>
        <a:noFill/>
        <a:ln w="25400">
          <a:noFill/>
        </a:ln>
      </c:spPr>
    </c:title>
    <c:autoTitleDeleted val="0"/>
    <c:plotArea>
      <c:layout>
        <c:manualLayout>
          <c:layoutTarget val="inner"/>
          <c:xMode val="edge"/>
          <c:yMode val="edge"/>
          <c:x val="0.12000000000000001"/>
          <c:y val="0.26104520050985391"/>
          <c:w val="0.59199999999999997"/>
          <c:h val="0.55823512109030282"/>
        </c:manualLayout>
      </c:layout>
      <c:barChart>
        <c:barDir val="col"/>
        <c:grouping val="clustered"/>
        <c:varyColors val="0"/>
        <c:ser>
          <c:idx val="0"/>
          <c:order val="0"/>
          <c:tx>
            <c:strRef>
              <c:f>'GRR Calculations'!$R$18</c:f>
              <c:strCache>
                <c:ptCount val="1"/>
                <c:pt idx="0">
                  <c:v>% Contribution</c:v>
                </c:pt>
              </c:strCache>
            </c:strRef>
          </c:tx>
          <c:spPr>
            <a:solidFill>
              <a:srgbClr val="9999FF"/>
            </a:solidFill>
            <a:ln w="12700">
              <a:solidFill>
                <a:srgbClr val="000000"/>
              </a:solidFill>
              <a:prstDash val="solid"/>
            </a:ln>
          </c:spPr>
          <c:invertIfNegative val="0"/>
          <c:val>
            <c:numRef>
              <c:f>'GRR Calculations'!$S$18:$V$18</c:f>
              <c:numCache>
                <c:formatCode>0.00%</c:formatCode>
                <c:ptCount val="4"/>
                <c:pt idx="0">
                  <c:v>0.94494251127122719</c:v>
                </c:pt>
                <c:pt idx="1">
                  <c:v>0.34239983791731593</c:v>
                </c:pt>
                <c:pt idx="2">
                  <c:v>0.60254267335391121</c:v>
                </c:pt>
                <c:pt idx="3">
                  <c:v>5.5057488728772967E-2</c:v>
                </c:pt>
              </c:numCache>
            </c:numRef>
          </c:val>
          <c:extLst>
            <c:ext xmlns:c16="http://schemas.microsoft.com/office/drawing/2014/chart" uri="{C3380CC4-5D6E-409C-BE32-E72D297353CC}">
              <c16:uniqueId val="{00000000-0DE2-47AD-B06B-EE975B90AD1B}"/>
            </c:ext>
          </c:extLst>
        </c:ser>
        <c:ser>
          <c:idx val="1"/>
          <c:order val="1"/>
          <c:tx>
            <c:strRef>
              <c:f>'GRR Calculations'!$R$19</c:f>
              <c:strCache>
                <c:ptCount val="1"/>
                <c:pt idx="0">
                  <c:v>% Study Variation</c:v>
                </c:pt>
              </c:strCache>
            </c:strRef>
          </c:tx>
          <c:spPr>
            <a:solidFill>
              <a:srgbClr val="993366"/>
            </a:solidFill>
            <a:ln w="12700">
              <a:solidFill>
                <a:srgbClr val="000000"/>
              </a:solidFill>
              <a:prstDash val="solid"/>
            </a:ln>
          </c:spPr>
          <c:invertIfNegative val="0"/>
          <c:val>
            <c:numRef>
              <c:f>'GRR Calculations'!$S$19:$V$19</c:f>
              <c:numCache>
                <c:formatCode>0.00%</c:formatCode>
                <c:ptCount val="4"/>
                <c:pt idx="0">
                  <c:v>0.97208153530001118</c:v>
                </c:pt>
                <c:pt idx="1">
                  <c:v>0.58514941503629303</c:v>
                </c:pt>
                <c:pt idx="2">
                  <c:v>0.77623622264998104</c:v>
                </c:pt>
                <c:pt idx="3">
                  <c:v>0.23464332236135116</c:v>
                </c:pt>
              </c:numCache>
            </c:numRef>
          </c:val>
          <c:extLst>
            <c:ext xmlns:c16="http://schemas.microsoft.com/office/drawing/2014/chart" uri="{C3380CC4-5D6E-409C-BE32-E72D297353CC}">
              <c16:uniqueId val="{00000001-0DE2-47AD-B06B-EE975B90AD1B}"/>
            </c:ext>
          </c:extLst>
        </c:ser>
        <c:ser>
          <c:idx val="2"/>
          <c:order val="2"/>
          <c:tx>
            <c:strRef>
              <c:f>'GRR Calculations'!$R$20</c:f>
              <c:strCache>
                <c:ptCount val="1"/>
                <c:pt idx="0">
                  <c:v>% Tol (5.15 SD)</c:v>
                </c:pt>
              </c:strCache>
            </c:strRef>
          </c:tx>
          <c:spPr>
            <a:solidFill>
              <a:srgbClr val="FFFFCC"/>
            </a:solidFill>
            <a:ln w="12700">
              <a:solidFill>
                <a:srgbClr val="000000"/>
              </a:solidFill>
              <a:prstDash val="solid"/>
            </a:ln>
          </c:spPr>
          <c:invertIfNegative val="0"/>
          <c:val>
            <c:numRef>
              <c:f>'GRR Calculations'!$S$20:$V$20</c:f>
              <c:numCache>
                <c:formatCode>0.00%</c:formatCode>
                <c:ptCount val="4"/>
                <c:pt idx="0">
                  <c:v>1.9661267443887565</c:v>
                </c:pt>
                <c:pt idx="1">
                  <c:v>1.1835199750103502</c:v>
                </c:pt>
                <c:pt idx="2">
                  <c:v>1.5700110966971639</c:v>
                </c:pt>
                <c:pt idx="3">
                  <c:v>0.47458828784820312</c:v>
                </c:pt>
              </c:numCache>
            </c:numRef>
          </c:val>
          <c:extLst>
            <c:ext xmlns:c16="http://schemas.microsoft.com/office/drawing/2014/chart" uri="{C3380CC4-5D6E-409C-BE32-E72D297353CC}">
              <c16:uniqueId val="{00000002-0DE2-47AD-B06B-EE975B90AD1B}"/>
            </c:ext>
          </c:extLst>
        </c:ser>
        <c:ser>
          <c:idx val="3"/>
          <c:order val="3"/>
          <c:tx>
            <c:strRef>
              <c:f>'GRR Calculations'!$R$21</c:f>
              <c:strCache>
                <c:ptCount val="1"/>
                <c:pt idx="0">
                  <c:v>% Tol (6.0 SD)</c:v>
                </c:pt>
              </c:strCache>
            </c:strRef>
          </c:tx>
          <c:spPr>
            <a:solidFill>
              <a:srgbClr val="CCFFFF"/>
            </a:solidFill>
            <a:ln w="12700">
              <a:solidFill>
                <a:srgbClr val="000000"/>
              </a:solidFill>
              <a:prstDash val="solid"/>
            </a:ln>
          </c:spPr>
          <c:invertIfNegative val="0"/>
          <c:val>
            <c:numRef>
              <c:f>'GRR Calculations'!$S$21:$V$21</c:f>
              <c:numCache>
                <c:formatCode>0.00%</c:formatCode>
                <c:ptCount val="4"/>
                <c:pt idx="0">
                  <c:v>2.2906331002587454</c:v>
                </c:pt>
                <c:pt idx="1">
                  <c:v>1.3788582233130293</c:v>
                </c:pt>
                <c:pt idx="2">
                  <c:v>1.8291391417831036</c:v>
                </c:pt>
                <c:pt idx="3">
                  <c:v>0.55291839360955697</c:v>
                </c:pt>
              </c:numCache>
            </c:numRef>
          </c:val>
          <c:extLst>
            <c:ext xmlns:c16="http://schemas.microsoft.com/office/drawing/2014/chart" uri="{C3380CC4-5D6E-409C-BE32-E72D297353CC}">
              <c16:uniqueId val="{00000003-0DE2-47AD-B06B-EE975B90AD1B}"/>
            </c:ext>
          </c:extLst>
        </c:ser>
        <c:dLbls>
          <c:showLegendKey val="0"/>
          <c:showVal val="0"/>
          <c:showCatName val="0"/>
          <c:showSerName val="0"/>
          <c:showPercent val="0"/>
          <c:showBubbleSize val="0"/>
        </c:dLbls>
        <c:gapWidth val="150"/>
        <c:axId val="439246256"/>
        <c:axId val="439248216"/>
      </c:barChart>
      <c:catAx>
        <c:axId val="43924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FFFFFF"/>
                </a:solidFill>
                <a:latin typeface="Arial"/>
                <a:ea typeface="Arial"/>
                <a:cs typeface="Arial"/>
              </a:defRPr>
            </a:pPr>
            <a:endParaRPr lang="en-US"/>
          </a:p>
        </c:txPr>
        <c:crossAx val="439248216"/>
        <c:crosses val="autoZero"/>
        <c:auto val="1"/>
        <c:lblAlgn val="ctr"/>
        <c:lblOffset val="100"/>
        <c:tickLblSkip val="1"/>
        <c:tickMarkSkip val="1"/>
        <c:noMultiLvlLbl val="0"/>
      </c:catAx>
      <c:valAx>
        <c:axId val="4392482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9246256"/>
        <c:crosses val="autoZero"/>
        <c:crossBetween val="between"/>
      </c:valAx>
      <c:spPr>
        <a:solidFill>
          <a:srgbClr val="C0C0C0"/>
        </a:solidFill>
        <a:ln w="12700">
          <a:solidFill>
            <a:srgbClr val="808080"/>
          </a:solidFill>
          <a:prstDash val="solid"/>
        </a:ln>
      </c:spPr>
    </c:plotArea>
    <c:legend>
      <c:legendPos val="r"/>
      <c:layout>
        <c:manualLayout>
          <c:xMode val="edge"/>
          <c:yMode val="edge"/>
          <c:x val="0.7400000000000001"/>
          <c:y val="0.37751152073732724"/>
          <c:w val="0.25"/>
          <c:h val="0.3413668006667320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Histogram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6.8420236169093304E-2"/>
          <c:y val="0.14226946749856301"/>
          <c:w val="0.890196850393701"/>
          <c:h val="0.720887649460484"/>
        </c:manualLayout>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'Hist 10 bars'!$V$2:$V$13</c:f>
              <c:strCache>
                <c:ptCount val="11"/>
                <c:pt idx="1">
                  <c:v>93.6</c:v>
                </c:pt>
                <c:pt idx="2">
                  <c:v>94.8</c:v>
                </c:pt>
                <c:pt idx="3">
                  <c:v>96.1</c:v>
                </c:pt>
                <c:pt idx="4">
                  <c:v>97.3</c:v>
                </c:pt>
                <c:pt idx="5">
                  <c:v>98.5</c:v>
                </c:pt>
                <c:pt idx="6">
                  <c:v>99.7</c:v>
                </c:pt>
                <c:pt idx="7">
                  <c:v>100.9</c:v>
                </c:pt>
                <c:pt idx="8">
                  <c:v>102.1</c:v>
                </c:pt>
                <c:pt idx="9">
                  <c:v>103.4</c:v>
                </c:pt>
                <c:pt idx="10">
                  <c:v>104.6</c:v>
                </c:pt>
              </c:strCache>
            </c:strRef>
          </c:cat>
          <c:val>
            <c:numRef>
              <c:f>'Hist 10 bars'!$W$2:$W$13</c:f>
              <c:numCache>
                <c:formatCode>General</c:formatCode>
                <c:ptCount val="12"/>
                <c:pt idx="1">
                  <c:v>1</c:v>
                </c:pt>
                <c:pt idx="2">
                  <c:v>0</c:v>
                </c:pt>
                <c:pt idx="3">
                  <c:v>9</c:v>
                </c:pt>
                <c:pt idx="4">
                  <c:v>16</c:v>
                </c:pt>
                <c:pt idx="5">
                  <c:v>46</c:v>
                </c:pt>
                <c:pt idx="6">
                  <c:v>88</c:v>
                </c:pt>
                <c:pt idx="7">
                  <c:v>122</c:v>
                </c:pt>
                <c:pt idx="8">
                  <c:v>109</c:v>
                </c:pt>
                <c:pt idx="9">
                  <c:v>74</c:v>
                </c:pt>
                <c:pt idx="10">
                  <c:v>27</c:v>
                </c:pt>
              </c:numCache>
            </c:numRef>
          </c:val>
          <c:extLst>
            <c:ext xmlns:c16="http://schemas.microsoft.com/office/drawing/2014/chart" uri="{C3380CC4-5D6E-409C-BE32-E72D297353CC}">
              <c16:uniqueId val="{00000000-2880-45E3-ADA3-88053218EC27}"/>
            </c:ext>
          </c:extLst>
        </c:ser>
        <c:dLbls>
          <c:showLegendKey val="0"/>
          <c:showVal val="0"/>
          <c:showCatName val="0"/>
          <c:showSerName val="0"/>
          <c:showPercent val="0"/>
          <c:showBubbleSize val="0"/>
        </c:dLbls>
        <c:gapWidth val="30"/>
        <c:overlap val="-27"/>
        <c:axId val="324563608"/>
        <c:axId val="324564000"/>
      </c:barChart>
      <c:barChart>
        <c:barDir val="col"/>
        <c:grouping val="clustered"/>
        <c:varyColors val="0"/>
        <c:ser>
          <c:idx val="1"/>
          <c:order val="1"/>
          <c:tx>
            <c:strRef>
              <c:f>'Hist 10 bars'!$X$1</c:f>
              <c:strCache>
                <c:ptCount val="1"/>
                <c:pt idx="0">
                  <c:v>LSL</c:v>
                </c:pt>
              </c:strCache>
            </c:strRef>
          </c:tx>
          <c:spPr>
            <a:solidFill>
              <a:schemeClr val="accent6"/>
            </a:solidFill>
            <a:ln>
              <a:noFill/>
            </a:ln>
            <a:effectLst>
              <a:outerShdw blurRad="40000" dist="23000" dir="5400000" rotWithShape="0">
                <a:srgbClr val="000000">
                  <a:alpha val="35000"/>
                </a:srgbClr>
              </a:outerShdw>
            </a:effectLst>
          </c:spPr>
          <c:invertIfNegative val="0"/>
          <c:cat>
            <c:strRef>
              <c:f>'Hist 10 bars'!$V$2:$V$13</c:f>
              <c:strCache>
                <c:ptCount val="11"/>
                <c:pt idx="1">
                  <c:v>93.6</c:v>
                </c:pt>
                <c:pt idx="2">
                  <c:v>94.8</c:v>
                </c:pt>
                <c:pt idx="3">
                  <c:v>96.1</c:v>
                </c:pt>
                <c:pt idx="4">
                  <c:v>97.3</c:v>
                </c:pt>
                <c:pt idx="5">
                  <c:v>98.5</c:v>
                </c:pt>
                <c:pt idx="6">
                  <c:v>99.7</c:v>
                </c:pt>
                <c:pt idx="7">
                  <c:v>100.9</c:v>
                </c:pt>
                <c:pt idx="8">
                  <c:v>102.1</c:v>
                </c:pt>
                <c:pt idx="9">
                  <c:v>103.4</c:v>
                </c:pt>
                <c:pt idx="10">
                  <c:v>104.6</c:v>
                </c:pt>
              </c:strCache>
            </c:strRef>
          </c:cat>
          <c:val>
            <c:numRef>
              <c:f>'Hist 10 bars'!$X$2:$X$13</c:f>
              <c:numCache>
                <c:formatCode>General</c:formatCode>
                <c:ptCount val="12"/>
                <c:pt idx="0">
                  <c:v>0</c:v>
                </c:pt>
                <c:pt idx="1">
                  <c:v>0</c:v>
                </c:pt>
                <c:pt idx="2">
                  <c:v>0</c:v>
                </c:pt>
                <c:pt idx="3">
                  <c:v>0</c:v>
                </c:pt>
                <c:pt idx="4">
                  <c:v>122</c:v>
                </c:pt>
                <c:pt idx="5">
                  <c:v>0</c:v>
                </c:pt>
                <c:pt idx="6">
                  <c:v>0</c:v>
                </c:pt>
                <c:pt idx="7">
                  <c:v>0</c:v>
                </c:pt>
                <c:pt idx="8">
                  <c:v>0</c:v>
                </c:pt>
                <c:pt idx="9">
                  <c:v>0</c:v>
                </c:pt>
                <c:pt idx="10">
                  <c:v>0</c:v>
                </c:pt>
              </c:numCache>
            </c:numRef>
          </c:val>
          <c:extLst>
            <c:ext xmlns:c16="http://schemas.microsoft.com/office/drawing/2014/chart" uri="{C3380CC4-5D6E-409C-BE32-E72D297353CC}">
              <c16:uniqueId val="{00000001-2880-45E3-ADA3-88053218EC27}"/>
            </c:ext>
          </c:extLst>
        </c:ser>
        <c:ser>
          <c:idx val="2"/>
          <c:order val="2"/>
          <c:tx>
            <c:v>USL</c:v>
          </c:tx>
          <c:spPr>
            <a:solidFill>
              <a:schemeClr val="accent6"/>
            </a:solidFill>
            <a:ln>
              <a:noFill/>
            </a:ln>
            <a:effectLst>
              <a:outerShdw blurRad="40000" dist="23000" dir="5400000" rotWithShape="0">
                <a:srgbClr val="000000">
                  <a:alpha val="35000"/>
                </a:srgbClr>
              </a:outerShdw>
            </a:effectLst>
          </c:spPr>
          <c:invertIfNegative val="0"/>
          <c:cat>
            <c:strRef>
              <c:f>'Hist 10 bars'!$V$2:$V$13</c:f>
              <c:strCache>
                <c:ptCount val="11"/>
                <c:pt idx="1">
                  <c:v>93.6</c:v>
                </c:pt>
                <c:pt idx="2">
                  <c:v>94.8</c:v>
                </c:pt>
                <c:pt idx="3">
                  <c:v>96.1</c:v>
                </c:pt>
                <c:pt idx="4">
                  <c:v>97.3</c:v>
                </c:pt>
                <c:pt idx="5">
                  <c:v>98.5</c:v>
                </c:pt>
                <c:pt idx="6">
                  <c:v>99.7</c:v>
                </c:pt>
                <c:pt idx="7">
                  <c:v>100.9</c:v>
                </c:pt>
                <c:pt idx="8">
                  <c:v>102.1</c:v>
                </c:pt>
                <c:pt idx="9">
                  <c:v>103.4</c:v>
                </c:pt>
                <c:pt idx="10">
                  <c:v>104.6</c:v>
                </c:pt>
              </c:strCache>
            </c:strRef>
          </c:cat>
          <c:val>
            <c:numRef>
              <c:f>'Hist 10 bars'!$Y$2:$Y$13</c:f>
              <c:numCache>
                <c:formatCode>General</c:formatCode>
                <c:ptCount val="12"/>
                <c:pt idx="1">
                  <c:v>0</c:v>
                </c:pt>
                <c:pt idx="2">
                  <c:v>0</c:v>
                </c:pt>
                <c:pt idx="3">
                  <c:v>0</c:v>
                </c:pt>
                <c:pt idx="4">
                  <c:v>0</c:v>
                </c:pt>
                <c:pt idx="5">
                  <c:v>0</c:v>
                </c:pt>
                <c:pt idx="6">
                  <c:v>0</c:v>
                </c:pt>
                <c:pt idx="7">
                  <c:v>0</c:v>
                </c:pt>
                <c:pt idx="8">
                  <c:v>0</c:v>
                </c:pt>
                <c:pt idx="9">
                  <c:v>122</c:v>
                </c:pt>
                <c:pt idx="10">
                  <c:v>0</c:v>
                </c:pt>
                <c:pt idx="11">
                  <c:v>0</c:v>
                </c:pt>
              </c:numCache>
            </c:numRef>
          </c:val>
          <c:extLst>
            <c:ext xmlns:c16="http://schemas.microsoft.com/office/drawing/2014/chart" uri="{C3380CC4-5D6E-409C-BE32-E72D297353CC}">
              <c16:uniqueId val="{00000002-2880-45E3-ADA3-88053218EC27}"/>
            </c:ext>
          </c:extLst>
        </c:ser>
        <c:dLbls>
          <c:showLegendKey val="0"/>
          <c:showVal val="0"/>
          <c:showCatName val="0"/>
          <c:showSerName val="0"/>
          <c:showPercent val="0"/>
          <c:showBubbleSize val="0"/>
        </c:dLbls>
        <c:gapWidth val="500"/>
        <c:axId val="324564784"/>
        <c:axId val="324564392"/>
      </c:barChart>
      <c:catAx>
        <c:axId val="324563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24564000"/>
        <c:crosses val="autoZero"/>
        <c:auto val="1"/>
        <c:lblAlgn val="ctr"/>
        <c:lblOffset val="100"/>
        <c:noMultiLvlLbl val="0"/>
      </c:catAx>
      <c:valAx>
        <c:axId val="32456400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24563608"/>
        <c:crosses val="autoZero"/>
        <c:crossBetween val="between"/>
      </c:valAx>
      <c:valAx>
        <c:axId val="324564392"/>
        <c:scaling>
          <c:orientation val="minMax"/>
        </c:scaling>
        <c:delete val="1"/>
        <c:axPos val="r"/>
        <c:numFmt formatCode="General" sourceLinked="1"/>
        <c:majorTickMark val="none"/>
        <c:minorTickMark val="none"/>
        <c:tickLblPos val="nextTo"/>
        <c:crossAx val="324564784"/>
        <c:crosses val="max"/>
        <c:crossBetween val="between"/>
      </c:valAx>
      <c:catAx>
        <c:axId val="324564784"/>
        <c:scaling>
          <c:orientation val="minMax"/>
        </c:scaling>
        <c:delete val="1"/>
        <c:axPos val="b"/>
        <c:numFmt formatCode="General" sourceLinked="1"/>
        <c:majorTickMark val="none"/>
        <c:minorTickMark val="none"/>
        <c:tickLblPos val="nextTo"/>
        <c:crossAx val="324564392"/>
        <c:crosses val="autoZero"/>
        <c:auto val="1"/>
        <c:lblAlgn val="ctr"/>
        <c:lblOffset val="100"/>
        <c:noMultiLvlLbl val="0"/>
      </c:catAx>
      <c:spPr>
        <a:noFill/>
        <a:ln>
          <a:noFill/>
        </a:ln>
        <a:effectLst/>
      </c:spPr>
    </c:plotArea>
    <c:plotVisOnly val="0"/>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CA"/>
              <a:t>Individuals (X) Chart</a:t>
            </a:r>
          </a:p>
        </c:rich>
      </c:tx>
      <c:layout>
        <c:manualLayout>
          <c:xMode val="edge"/>
          <c:yMode val="edge"/>
          <c:x val="0.34671163721915632"/>
          <c:y val="3.0732931471934729E-2"/>
        </c:manualLayout>
      </c:layout>
      <c:overlay val="0"/>
      <c:spPr>
        <a:noFill/>
        <a:ln w="25400">
          <a:noFill/>
        </a:ln>
      </c:spPr>
    </c:title>
    <c:autoTitleDeleted val="0"/>
    <c:plotArea>
      <c:layout>
        <c:manualLayout>
          <c:layoutTarget val="inner"/>
          <c:xMode val="edge"/>
          <c:yMode val="edge"/>
          <c:x val="0.11036801313407227"/>
          <c:y val="0.19858201874173209"/>
          <c:w val="0.86176236517816029"/>
          <c:h val="0.63120713100050563"/>
        </c:manualLayout>
      </c:layout>
      <c:lineChart>
        <c:grouping val="standard"/>
        <c:varyColors val="0"/>
        <c:ser>
          <c:idx val="0"/>
          <c:order val="0"/>
          <c:tx>
            <c:v>Individuals</c:v>
          </c:tx>
          <c:spPr>
            <a:ln w="25400">
              <a:solidFill>
                <a:srgbClr val="000000"/>
              </a:solidFill>
              <a:prstDash val="solid"/>
            </a:ln>
          </c:spPr>
          <c:marker>
            <c:symbol val="diamond"/>
            <c:size val="7"/>
            <c:spPr>
              <a:solidFill>
                <a:srgbClr val="000000"/>
              </a:solidFill>
              <a:ln>
                <a:solidFill>
                  <a:srgbClr val="000000"/>
                </a:solidFill>
                <a:prstDash val="solid"/>
              </a:ln>
            </c:spPr>
          </c:marker>
          <c:val>
            <c:numRef>
              <c:f>'IMR Data and calculations'!$B$14:$B$88</c:f>
              <c:numCache>
                <c:formatCode>General</c:formatCode>
                <c:ptCount val="75"/>
                <c:pt idx="0">
                  <c:v>3.4</c:v>
                </c:pt>
                <c:pt idx="1">
                  <c:v>3.6</c:v>
                </c:pt>
                <c:pt idx="2">
                  <c:v>3.2</c:v>
                </c:pt>
                <c:pt idx="3">
                  <c:v>3.7</c:v>
                </c:pt>
                <c:pt idx="4">
                  <c:v>3.6</c:v>
                </c:pt>
                <c:pt idx="5">
                  <c:v>3.2</c:v>
                </c:pt>
                <c:pt idx="6">
                  <c:v>3.7</c:v>
                </c:pt>
                <c:pt idx="7">
                  <c:v>3.6</c:v>
                </c:pt>
                <c:pt idx="8">
                  <c:v>3.2</c:v>
                </c:pt>
                <c:pt idx="9">
                  <c:v>3.7</c:v>
                </c:pt>
                <c:pt idx="10">
                  <c:v>3.8</c:v>
                </c:pt>
                <c:pt idx="11">
                  <c:v>3.9</c:v>
                </c:pt>
                <c:pt idx="12">
                  <c:v>4.2</c:v>
                </c:pt>
                <c:pt idx="13">
                  <c:v>2.2000000000000002</c:v>
                </c:pt>
                <c:pt idx="14">
                  <c:v>2.6</c:v>
                </c:pt>
              </c:numCache>
            </c:numRef>
          </c:val>
          <c:smooth val="0"/>
          <c:extLst>
            <c:ext xmlns:c16="http://schemas.microsoft.com/office/drawing/2014/chart" uri="{C3380CC4-5D6E-409C-BE32-E72D297353CC}">
              <c16:uniqueId val="{00000000-BFF7-466A-AF0C-871C07FBB3BB}"/>
            </c:ext>
          </c:extLst>
        </c:ser>
        <c:ser>
          <c:idx val="1"/>
          <c:order val="1"/>
          <c:tx>
            <c:v>Upper control limit</c:v>
          </c:tx>
          <c:spPr>
            <a:ln w="12700">
              <a:solidFill>
                <a:srgbClr val="993300"/>
              </a:solidFill>
              <a:prstDash val="solid"/>
            </a:ln>
          </c:spPr>
          <c:marker>
            <c:symbol val="triangle"/>
            <c:size val="5"/>
            <c:spPr>
              <a:solidFill>
                <a:srgbClr val="993300"/>
              </a:solidFill>
              <a:ln>
                <a:solidFill>
                  <a:srgbClr val="993300"/>
                </a:solidFill>
                <a:prstDash val="solid"/>
              </a:ln>
            </c:spPr>
          </c:marker>
          <c:val>
            <c:numRef>
              <c:f>'IMR Data and calculations'!$E$14:$E$88</c:f>
              <c:numCache>
                <c:formatCode>General</c:formatCode>
                <c:ptCount val="75"/>
                <c:pt idx="0">
                  <c:v>6.9330496453900707</c:v>
                </c:pt>
                <c:pt idx="1">
                  <c:v>6.9330496453900707</c:v>
                </c:pt>
                <c:pt idx="2">
                  <c:v>6.9330496453900707</c:v>
                </c:pt>
                <c:pt idx="3">
                  <c:v>6.9330496453900707</c:v>
                </c:pt>
                <c:pt idx="4">
                  <c:v>6.9330496453900707</c:v>
                </c:pt>
                <c:pt idx="5">
                  <c:v>6.9330496453900707</c:v>
                </c:pt>
                <c:pt idx="6">
                  <c:v>6.9330496453900707</c:v>
                </c:pt>
                <c:pt idx="7">
                  <c:v>6.9330496453900707</c:v>
                </c:pt>
                <c:pt idx="8">
                  <c:v>6.9330496453900707</c:v>
                </c:pt>
                <c:pt idx="9">
                  <c:v>6.9330496453900707</c:v>
                </c:pt>
                <c:pt idx="10">
                  <c:v>6.9330496453900707</c:v>
                </c:pt>
                <c:pt idx="11">
                  <c:v>6.9330496453900707</c:v>
                </c:pt>
                <c:pt idx="12">
                  <c:v>6.9330496453900707</c:v>
                </c:pt>
                <c:pt idx="13">
                  <c:v>6.9330496453900707</c:v>
                </c:pt>
                <c:pt idx="14">
                  <c:v>6.9330496453900707</c:v>
                </c:pt>
                <c:pt idx="15">
                  <c:v>6.9330496453900707</c:v>
                </c:pt>
                <c:pt idx="16">
                  <c:v>6.9330496453900707</c:v>
                </c:pt>
                <c:pt idx="17">
                  <c:v>6.9330496453900707</c:v>
                </c:pt>
                <c:pt idx="18">
                  <c:v>6.9330496453900707</c:v>
                </c:pt>
                <c:pt idx="19">
                  <c:v>6.9330496453900707</c:v>
                </c:pt>
                <c:pt idx="20">
                  <c:v>6.9330496453900707</c:v>
                </c:pt>
                <c:pt idx="21">
                  <c:v>6.9330496453900707</c:v>
                </c:pt>
                <c:pt idx="22">
                  <c:v>6.9330496453900707</c:v>
                </c:pt>
                <c:pt idx="23">
                  <c:v>6.9330496453900707</c:v>
                </c:pt>
                <c:pt idx="24">
                  <c:v>6.9330496453900707</c:v>
                </c:pt>
                <c:pt idx="25">
                  <c:v>6.9330496453900707</c:v>
                </c:pt>
                <c:pt idx="26">
                  <c:v>6.9330496453900707</c:v>
                </c:pt>
                <c:pt idx="27">
                  <c:v>6.9330496453900707</c:v>
                </c:pt>
                <c:pt idx="28">
                  <c:v>6.9330496453900707</c:v>
                </c:pt>
                <c:pt idx="29">
                  <c:v>6.9330496453900707</c:v>
                </c:pt>
                <c:pt idx="30">
                  <c:v>6.9330496453900707</c:v>
                </c:pt>
                <c:pt idx="31">
                  <c:v>6.9330496453900707</c:v>
                </c:pt>
                <c:pt idx="32">
                  <c:v>6.9330496453900707</c:v>
                </c:pt>
                <c:pt idx="33">
                  <c:v>6.9330496453900707</c:v>
                </c:pt>
                <c:pt idx="34">
                  <c:v>6.9330496453900707</c:v>
                </c:pt>
                <c:pt idx="35">
                  <c:v>6.9330496453900707</c:v>
                </c:pt>
                <c:pt idx="36">
                  <c:v>6.9330496453900707</c:v>
                </c:pt>
                <c:pt idx="37">
                  <c:v>6.9330496453900707</c:v>
                </c:pt>
                <c:pt idx="38">
                  <c:v>6.9330496453900707</c:v>
                </c:pt>
                <c:pt idx="39">
                  <c:v>6.9330496453900707</c:v>
                </c:pt>
                <c:pt idx="40">
                  <c:v>6.9330496453900707</c:v>
                </c:pt>
                <c:pt idx="41">
                  <c:v>6.9330496453900707</c:v>
                </c:pt>
                <c:pt idx="42">
                  <c:v>6.9330496453900707</c:v>
                </c:pt>
                <c:pt idx="43">
                  <c:v>6.9330496453900707</c:v>
                </c:pt>
                <c:pt idx="44">
                  <c:v>6.9330496453900707</c:v>
                </c:pt>
                <c:pt idx="45">
                  <c:v>6.9330496453900707</c:v>
                </c:pt>
                <c:pt idx="46">
                  <c:v>6.9330496453900707</c:v>
                </c:pt>
                <c:pt idx="47">
                  <c:v>6.9330496453900707</c:v>
                </c:pt>
                <c:pt idx="48">
                  <c:v>6.9330496453900707</c:v>
                </c:pt>
                <c:pt idx="49">
                  <c:v>6.9330496453900707</c:v>
                </c:pt>
                <c:pt idx="50">
                  <c:v>6.9330496453900707</c:v>
                </c:pt>
                <c:pt idx="51">
                  <c:v>6.9330496453900707</c:v>
                </c:pt>
                <c:pt idx="52">
                  <c:v>6.9330496453900707</c:v>
                </c:pt>
                <c:pt idx="53">
                  <c:v>6.9330496453900707</c:v>
                </c:pt>
                <c:pt idx="54">
                  <c:v>6.9330496453900707</c:v>
                </c:pt>
                <c:pt idx="55">
                  <c:v>6.9330496453900707</c:v>
                </c:pt>
                <c:pt idx="56">
                  <c:v>6.9330496453900707</c:v>
                </c:pt>
                <c:pt idx="57">
                  <c:v>6.9330496453900707</c:v>
                </c:pt>
                <c:pt idx="58">
                  <c:v>6.9330496453900707</c:v>
                </c:pt>
                <c:pt idx="59">
                  <c:v>6.9330496453900707</c:v>
                </c:pt>
                <c:pt idx="60">
                  <c:v>6.9330496453900707</c:v>
                </c:pt>
                <c:pt idx="61">
                  <c:v>6.9330496453900707</c:v>
                </c:pt>
                <c:pt idx="62">
                  <c:v>6.9330496453900707</c:v>
                </c:pt>
                <c:pt idx="63">
                  <c:v>6.9330496453900707</c:v>
                </c:pt>
                <c:pt idx="64">
                  <c:v>6.9330496453900707</c:v>
                </c:pt>
                <c:pt idx="65">
                  <c:v>6.9330496453900707</c:v>
                </c:pt>
                <c:pt idx="66">
                  <c:v>6.9330496453900707</c:v>
                </c:pt>
                <c:pt idx="67">
                  <c:v>6.9330496453900707</c:v>
                </c:pt>
                <c:pt idx="68">
                  <c:v>6.9330496453900707</c:v>
                </c:pt>
                <c:pt idx="69">
                  <c:v>6.9330496453900707</c:v>
                </c:pt>
                <c:pt idx="70">
                  <c:v>6.9330496453900707</c:v>
                </c:pt>
                <c:pt idx="71">
                  <c:v>6.9330496453900707</c:v>
                </c:pt>
                <c:pt idx="72">
                  <c:v>6.9330496453900707</c:v>
                </c:pt>
                <c:pt idx="73">
                  <c:v>6.9330496453900707</c:v>
                </c:pt>
                <c:pt idx="74">
                  <c:v>6.9330496453900707</c:v>
                </c:pt>
              </c:numCache>
            </c:numRef>
          </c:val>
          <c:smooth val="0"/>
          <c:extLst>
            <c:ext xmlns:c16="http://schemas.microsoft.com/office/drawing/2014/chart" uri="{C3380CC4-5D6E-409C-BE32-E72D297353CC}">
              <c16:uniqueId val="{00000001-BFF7-466A-AF0C-871C07FBB3BB}"/>
            </c:ext>
          </c:extLst>
        </c:ser>
        <c:ser>
          <c:idx val="2"/>
          <c:order val="2"/>
          <c:tx>
            <c:v>Center line</c:v>
          </c:tx>
          <c:spPr>
            <a:ln w="38100">
              <a:solidFill>
                <a:srgbClr val="333399"/>
              </a:solidFill>
              <a:prstDash val="solid"/>
            </a:ln>
          </c:spPr>
          <c:marker>
            <c:symbol val="none"/>
          </c:marker>
          <c:val>
            <c:numRef>
              <c:f>'IMR Data and calculations'!$D$14:$D$88</c:f>
              <c:numCache>
                <c:formatCode>General</c:formatCode>
                <c:ptCount val="75"/>
                <c:pt idx="0">
                  <c:v>5.16</c:v>
                </c:pt>
                <c:pt idx="1">
                  <c:v>5.16</c:v>
                </c:pt>
                <c:pt idx="2">
                  <c:v>5.16</c:v>
                </c:pt>
                <c:pt idx="3">
                  <c:v>5.16</c:v>
                </c:pt>
                <c:pt idx="4">
                  <c:v>5.16</c:v>
                </c:pt>
                <c:pt idx="5">
                  <c:v>5.16</c:v>
                </c:pt>
                <c:pt idx="6">
                  <c:v>5.16</c:v>
                </c:pt>
                <c:pt idx="7">
                  <c:v>5.16</c:v>
                </c:pt>
                <c:pt idx="8">
                  <c:v>5.16</c:v>
                </c:pt>
                <c:pt idx="9">
                  <c:v>5.16</c:v>
                </c:pt>
                <c:pt idx="10">
                  <c:v>5.16</c:v>
                </c:pt>
                <c:pt idx="11">
                  <c:v>5.16</c:v>
                </c:pt>
                <c:pt idx="12">
                  <c:v>5.16</c:v>
                </c:pt>
                <c:pt idx="13">
                  <c:v>5.16</c:v>
                </c:pt>
                <c:pt idx="14">
                  <c:v>5.16</c:v>
                </c:pt>
                <c:pt idx="15">
                  <c:v>5.16</c:v>
                </c:pt>
                <c:pt idx="16">
                  <c:v>5.16</c:v>
                </c:pt>
                <c:pt idx="17">
                  <c:v>5.16</c:v>
                </c:pt>
                <c:pt idx="18">
                  <c:v>5.16</c:v>
                </c:pt>
                <c:pt idx="19">
                  <c:v>5.16</c:v>
                </c:pt>
                <c:pt idx="20">
                  <c:v>5.16</c:v>
                </c:pt>
                <c:pt idx="21">
                  <c:v>5.16</c:v>
                </c:pt>
                <c:pt idx="22">
                  <c:v>5.16</c:v>
                </c:pt>
                <c:pt idx="23">
                  <c:v>5.16</c:v>
                </c:pt>
                <c:pt idx="24">
                  <c:v>5.16</c:v>
                </c:pt>
                <c:pt idx="25">
                  <c:v>5.16</c:v>
                </c:pt>
                <c:pt idx="26">
                  <c:v>5.16</c:v>
                </c:pt>
                <c:pt idx="27">
                  <c:v>5.16</c:v>
                </c:pt>
                <c:pt idx="28">
                  <c:v>5.16</c:v>
                </c:pt>
                <c:pt idx="29">
                  <c:v>5.16</c:v>
                </c:pt>
                <c:pt idx="30">
                  <c:v>5.16</c:v>
                </c:pt>
                <c:pt idx="31">
                  <c:v>5.16</c:v>
                </c:pt>
                <c:pt idx="32">
                  <c:v>5.16</c:v>
                </c:pt>
                <c:pt idx="33">
                  <c:v>5.16</c:v>
                </c:pt>
                <c:pt idx="34">
                  <c:v>5.16</c:v>
                </c:pt>
                <c:pt idx="35">
                  <c:v>5.16</c:v>
                </c:pt>
                <c:pt idx="36">
                  <c:v>5.16</c:v>
                </c:pt>
                <c:pt idx="37">
                  <c:v>5.16</c:v>
                </c:pt>
                <c:pt idx="38">
                  <c:v>5.16</c:v>
                </c:pt>
                <c:pt idx="39">
                  <c:v>5.16</c:v>
                </c:pt>
                <c:pt idx="40">
                  <c:v>5.16</c:v>
                </c:pt>
                <c:pt idx="41">
                  <c:v>5.16</c:v>
                </c:pt>
                <c:pt idx="42">
                  <c:v>5.16</c:v>
                </c:pt>
                <c:pt idx="43">
                  <c:v>5.16</c:v>
                </c:pt>
                <c:pt idx="44">
                  <c:v>5.16</c:v>
                </c:pt>
                <c:pt idx="45">
                  <c:v>5.16</c:v>
                </c:pt>
                <c:pt idx="46">
                  <c:v>5.16</c:v>
                </c:pt>
                <c:pt idx="47">
                  <c:v>5.16</c:v>
                </c:pt>
                <c:pt idx="48">
                  <c:v>5.16</c:v>
                </c:pt>
                <c:pt idx="49">
                  <c:v>5.16</c:v>
                </c:pt>
                <c:pt idx="50">
                  <c:v>5.16</c:v>
                </c:pt>
                <c:pt idx="51">
                  <c:v>5.16</c:v>
                </c:pt>
                <c:pt idx="52">
                  <c:v>5.16</c:v>
                </c:pt>
                <c:pt idx="53">
                  <c:v>5.16</c:v>
                </c:pt>
                <c:pt idx="54">
                  <c:v>5.16</c:v>
                </c:pt>
                <c:pt idx="55">
                  <c:v>5.16</c:v>
                </c:pt>
                <c:pt idx="56">
                  <c:v>5.16</c:v>
                </c:pt>
                <c:pt idx="57">
                  <c:v>5.16</c:v>
                </c:pt>
                <c:pt idx="58">
                  <c:v>5.16</c:v>
                </c:pt>
                <c:pt idx="59">
                  <c:v>5.16</c:v>
                </c:pt>
                <c:pt idx="60">
                  <c:v>5.16</c:v>
                </c:pt>
                <c:pt idx="61">
                  <c:v>5.16</c:v>
                </c:pt>
                <c:pt idx="62">
                  <c:v>5.16</c:v>
                </c:pt>
                <c:pt idx="63">
                  <c:v>5.16</c:v>
                </c:pt>
                <c:pt idx="64">
                  <c:v>5.16</c:v>
                </c:pt>
                <c:pt idx="65">
                  <c:v>5.16</c:v>
                </c:pt>
                <c:pt idx="66">
                  <c:v>5.16</c:v>
                </c:pt>
                <c:pt idx="67">
                  <c:v>5.16</c:v>
                </c:pt>
                <c:pt idx="68">
                  <c:v>5.16</c:v>
                </c:pt>
                <c:pt idx="69">
                  <c:v>5.16</c:v>
                </c:pt>
                <c:pt idx="70">
                  <c:v>5.16</c:v>
                </c:pt>
                <c:pt idx="71">
                  <c:v>5.16</c:v>
                </c:pt>
                <c:pt idx="72">
                  <c:v>5.16</c:v>
                </c:pt>
                <c:pt idx="73">
                  <c:v>5.16</c:v>
                </c:pt>
                <c:pt idx="74">
                  <c:v>5.16</c:v>
                </c:pt>
              </c:numCache>
            </c:numRef>
          </c:val>
          <c:smooth val="0"/>
          <c:extLst>
            <c:ext xmlns:c16="http://schemas.microsoft.com/office/drawing/2014/chart" uri="{C3380CC4-5D6E-409C-BE32-E72D297353CC}">
              <c16:uniqueId val="{00000002-BFF7-466A-AF0C-871C07FBB3BB}"/>
            </c:ext>
          </c:extLst>
        </c:ser>
        <c:ser>
          <c:idx val="3"/>
          <c:order val="3"/>
          <c:tx>
            <c:v>Lower control limit</c:v>
          </c:tx>
          <c:spPr>
            <a:ln w="12700">
              <a:solidFill>
                <a:srgbClr val="008000"/>
              </a:solidFill>
              <a:prstDash val="solid"/>
            </a:ln>
          </c:spPr>
          <c:marker>
            <c:symbol val="square"/>
            <c:size val="5"/>
            <c:spPr>
              <a:solidFill>
                <a:srgbClr val="008000"/>
              </a:solidFill>
              <a:ln>
                <a:solidFill>
                  <a:srgbClr val="008000"/>
                </a:solidFill>
                <a:prstDash val="solid"/>
              </a:ln>
            </c:spPr>
          </c:marker>
          <c:val>
            <c:numRef>
              <c:f>'IMR Data and calculations'!$C$14:$C$88</c:f>
              <c:numCache>
                <c:formatCode>General</c:formatCode>
                <c:ptCount val="75"/>
                <c:pt idx="0">
                  <c:v>3.3869503546099291</c:v>
                </c:pt>
                <c:pt idx="1">
                  <c:v>3.3869503546099291</c:v>
                </c:pt>
                <c:pt idx="2">
                  <c:v>3.3869503546099291</c:v>
                </c:pt>
                <c:pt idx="3">
                  <c:v>3.3869503546099291</c:v>
                </c:pt>
                <c:pt idx="4">
                  <c:v>3.3869503546099291</c:v>
                </c:pt>
                <c:pt idx="5">
                  <c:v>3.3869503546099291</c:v>
                </c:pt>
                <c:pt idx="6">
                  <c:v>3.3869503546099291</c:v>
                </c:pt>
                <c:pt idx="7">
                  <c:v>3.3869503546099291</c:v>
                </c:pt>
                <c:pt idx="8">
                  <c:v>3.3869503546099291</c:v>
                </c:pt>
                <c:pt idx="9">
                  <c:v>3.3869503546099291</c:v>
                </c:pt>
                <c:pt idx="10">
                  <c:v>3.3869503546099291</c:v>
                </c:pt>
                <c:pt idx="11">
                  <c:v>3.3869503546099291</c:v>
                </c:pt>
                <c:pt idx="12">
                  <c:v>3.3869503546099291</c:v>
                </c:pt>
                <c:pt idx="13">
                  <c:v>3.3869503546099291</c:v>
                </c:pt>
                <c:pt idx="14">
                  <c:v>3.3869503546099291</c:v>
                </c:pt>
                <c:pt idx="15">
                  <c:v>3.3869503546099291</c:v>
                </c:pt>
                <c:pt idx="16">
                  <c:v>3.3869503546099291</c:v>
                </c:pt>
                <c:pt idx="17">
                  <c:v>3.3869503546099291</c:v>
                </c:pt>
                <c:pt idx="18">
                  <c:v>3.3869503546099291</c:v>
                </c:pt>
                <c:pt idx="19">
                  <c:v>3.3869503546099291</c:v>
                </c:pt>
                <c:pt idx="20">
                  <c:v>3.3869503546099291</c:v>
                </c:pt>
                <c:pt idx="21">
                  <c:v>3.3869503546099291</c:v>
                </c:pt>
                <c:pt idx="22">
                  <c:v>3.3869503546099291</c:v>
                </c:pt>
                <c:pt idx="23">
                  <c:v>3.3869503546099291</c:v>
                </c:pt>
                <c:pt idx="24">
                  <c:v>3.3869503546099291</c:v>
                </c:pt>
                <c:pt idx="25">
                  <c:v>3.3869503546099291</c:v>
                </c:pt>
                <c:pt idx="26">
                  <c:v>3.3869503546099291</c:v>
                </c:pt>
                <c:pt idx="27">
                  <c:v>3.3869503546099291</c:v>
                </c:pt>
                <c:pt idx="28">
                  <c:v>3.3869503546099291</c:v>
                </c:pt>
                <c:pt idx="29">
                  <c:v>3.3869503546099291</c:v>
                </c:pt>
                <c:pt idx="30">
                  <c:v>3.3869503546099291</c:v>
                </c:pt>
                <c:pt idx="31">
                  <c:v>3.3869503546099291</c:v>
                </c:pt>
                <c:pt idx="32">
                  <c:v>3.3869503546099291</c:v>
                </c:pt>
                <c:pt idx="33">
                  <c:v>3.3869503546099291</c:v>
                </c:pt>
                <c:pt idx="34">
                  <c:v>3.3869503546099291</c:v>
                </c:pt>
                <c:pt idx="35">
                  <c:v>3.3869503546099291</c:v>
                </c:pt>
                <c:pt idx="36">
                  <c:v>3.3869503546099291</c:v>
                </c:pt>
                <c:pt idx="37">
                  <c:v>3.3869503546099291</c:v>
                </c:pt>
                <c:pt idx="38">
                  <c:v>3.3869503546099291</c:v>
                </c:pt>
                <c:pt idx="39">
                  <c:v>3.3869503546099291</c:v>
                </c:pt>
                <c:pt idx="40">
                  <c:v>3.3869503546099291</c:v>
                </c:pt>
                <c:pt idx="41">
                  <c:v>3.3869503546099291</c:v>
                </c:pt>
                <c:pt idx="42">
                  <c:v>3.3869503546099291</c:v>
                </c:pt>
                <c:pt idx="43">
                  <c:v>3.3869503546099291</c:v>
                </c:pt>
                <c:pt idx="44">
                  <c:v>3.3869503546099291</c:v>
                </c:pt>
                <c:pt idx="45">
                  <c:v>3.3869503546099291</c:v>
                </c:pt>
                <c:pt idx="46">
                  <c:v>3.3869503546099291</c:v>
                </c:pt>
                <c:pt idx="47">
                  <c:v>3.3869503546099291</c:v>
                </c:pt>
                <c:pt idx="48">
                  <c:v>3.3869503546099291</c:v>
                </c:pt>
                <c:pt idx="49">
                  <c:v>3.3869503546099291</c:v>
                </c:pt>
                <c:pt idx="50">
                  <c:v>3.3869503546099291</c:v>
                </c:pt>
                <c:pt idx="51">
                  <c:v>3.3869503546099291</c:v>
                </c:pt>
                <c:pt idx="52">
                  <c:v>3.3869503546099291</c:v>
                </c:pt>
                <c:pt idx="53">
                  <c:v>3.3869503546099291</c:v>
                </c:pt>
                <c:pt idx="54">
                  <c:v>3.3869503546099291</c:v>
                </c:pt>
                <c:pt idx="55">
                  <c:v>3.3869503546099291</c:v>
                </c:pt>
                <c:pt idx="56">
                  <c:v>3.3869503546099291</c:v>
                </c:pt>
                <c:pt idx="57">
                  <c:v>3.3869503546099291</c:v>
                </c:pt>
                <c:pt idx="58">
                  <c:v>3.3869503546099291</c:v>
                </c:pt>
                <c:pt idx="59">
                  <c:v>3.3869503546099291</c:v>
                </c:pt>
                <c:pt idx="60">
                  <c:v>3.3869503546099291</c:v>
                </c:pt>
                <c:pt idx="61">
                  <c:v>3.3869503546099291</c:v>
                </c:pt>
                <c:pt idx="62">
                  <c:v>3.3869503546099291</c:v>
                </c:pt>
                <c:pt idx="63">
                  <c:v>3.3869503546099291</c:v>
                </c:pt>
                <c:pt idx="64">
                  <c:v>3.3869503546099291</c:v>
                </c:pt>
                <c:pt idx="65">
                  <c:v>3.3869503546099291</c:v>
                </c:pt>
                <c:pt idx="66">
                  <c:v>3.3869503546099291</c:v>
                </c:pt>
                <c:pt idx="67">
                  <c:v>3.3869503546099291</c:v>
                </c:pt>
                <c:pt idx="68">
                  <c:v>3.3869503546099291</c:v>
                </c:pt>
                <c:pt idx="69">
                  <c:v>3.3869503546099291</c:v>
                </c:pt>
                <c:pt idx="70">
                  <c:v>3.3869503546099291</c:v>
                </c:pt>
                <c:pt idx="71">
                  <c:v>3.3869503546099291</c:v>
                </c:pt>
                <c:pt idx="72">
                  <c:v>3.3869503546099291</c:v>
                </c:pt>
                <c:pt idx="73">
                  <c:v>3.3869503546099291</c:v>
                </c:pt>
                <c:pt idx="74">
                  <c:v>3.3869503546099291</c:v>
                </c:pt>
              </c:numCache>
            </c:numRef>
          </c:val>
          <c:smooth val="0"/>
          <c:extLst>
            <c:ext xmlns:c16="http://schemas.microsoft.com/office/drawing/2014/chart" uri="{C3380CC4-5D6E-409C-BE32-E72D297353CC}">
              <c16:uniqueId val="{00000003-BFF7-466A-AF0C-871C07FBB3BB}"/>
            </c:ext>
          </c:extLst>
        </c:ser>
        <c:dLbls>
          <c:showLegendKey val="0"/>
          <c:showVal val="0"/>
          <c:showCatName val="0"/>
          <c:showSerName val="0"/>
          <c:showPercent val="0"/>
          <c:showBubbleSize val="0"/>
        </c:dLbls>
        <c:marker val="1"/>
        <c:smooth val="0"/>
        <c:axId val="518673760"/>
        <c:axId val="1"/>
      </c:lineChart>
      <c:catAx>
        <c:axId val="518673760"/>
        <c:scaling>
          <c:orientation val="minMax"/>
        </c:scaling>
        <c:delete val="0"/>
        <c:axPos val="b"/>
        <c:majorGridlines>
          <c:spPr>
            <a:ln w="3175">
              <a:solidFill>
                <a:srgbClr val="000000"/>
              </a:solidFill>
              <a:prstDash val="solid"/>
            </a:ln>
          </c:spPr>
        </c:majorGridlines>
        <c:title>
          <c:tx>
            <c:rich>
              <a:bodyPr/>
              <a:lstStyle/>
              <a:p>
                <a:pPr>
                  <a:defRPr sz="1600" b="1" i="0" u="none" strike="noStrike" baseline="0">
                    <a:solidFill>
                      <a:srgbClr val="000000"/>
                    </a:solidFill>
                    <a:latin typeface="Arial"/>
                    <a:ea typeface="Arial"/>
                    <a:cs typeface="Arial"/>
                  </a:defRPr>
                </a:pPr>
                <a:r>
                  <a:rPr lang="en-CA"/>
                  <a:t>Observation number</a:t>
                </a:r>
              </a:p>
            </c:rich>
          </c:tx>
          <c:layout>
            <c:manualLayout>
              <c:xMode val="edge"/>
              <c:yMode val="edge"/>
              <c:x val="0.42140514105736687"/>
              <c:y val="0.903075370944543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3"/>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2100" b="1" i="0" u="none" strike="noStrike" baseline="0">
                    <a:solidFill>
                      <a:srgbClr val="000000"/>
                    </a:solidFill>
                    <a:latin typeface="Arial"/>
                    <a:ea typeface="Arial"/>
                    <a:cs typeface="Arial"/>
                  </a:defRPr>
                </a:pPr>
                <a:r>
                  <a:rPr lang="en-CA"/>
                  <a:t>Value</a:t>
                </a:r>
              </a:p>
            </c:rich>
          </c:tx>
          <c:layout>
            <c:manualLayout>
              <c:xMode val="edge"/>
              <c:yMode val="edge"/>
              <c:x val="1.2263112570452475E-2"/>
              <c:y val="0.413712539045275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18673760"/>
        <c:crosses val="autoZero"/>
        <c:crossBetween val="between"/>
      </c:valAx>
      <c:spPr>
        <a:solidFill>
          <a:srgbClr val="FFFFFF"/>
        </a:solidFill>
        <a:ln w="12700">
          <a:solidFill>
            <a:srgbClr val="000000"/>
          </a:solidFill>
          <a:prstDash val="solid"/>
        </a:ln>
      </c:spPr>
    </c:plotArea>
    <c:legend>
      <c:legendPos val="r"/>
      <c:layout>
        <c:manualLayout>
          <c:xMode val="edge"/>
          <c:yMode val="edge"/>
          <c:x val="0.79487266024841952"/>
          <c:y val="2.8368859820247443E-2"/>
          <c:w val="0.15496114975389946"/>
          <c:h val="0.1347520841461753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span"/>
    <c:showDLblsOverMax val="0"/>
  </c:chart>
  <c:spPr>
    <a:solidFill>
      <a:srgbClr val="FFFFCC"/>
    </a:solidFill>
    <a:ln w="3175">
      <a:solidFill>
        <a:srgbClr val="000000"/>
      </a:solidFill>
      <a:prstDash val="solid"/>
    </a:ln>
  </c:spPr>
  <c:txPr>
    <a:bodyPr/>
    <a:lstStyle/>
    <a:p>
      <a:pPr>
        <a:defRPr sz="2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CA"/>
              <a:t>Moving Range Chart</a:t>
            </a:r>
          </a:p>
        </c:rich>
      </c:tx>
      <c:layout>
        <c:manualLayout>
          <c:xMode val="edge"/>
          <c:yMode val="edge"/>
          <c:x val="0.35412045981111445"/>
          <c:y val="3.0588235294117649E-2"/>
        </c:manualLayout>
      </c:layout>
      <c:overlay val="0"/>
      <c:spPr>
        <a:noFill/>
        <a:ln w="25400">
          <a:noFill/>
        </a:ln>
      </c:spPr>
    </c:title>
    <c:autoTitleDeleted val="0"/>
    <c:plotArea>
      <c:layout>
        <c:manualLayout>
          <c:layoutTarget val="inner"/>
          <c:xMode val="edge"/>
          <c:yMode val="edge"/>
          <c:x val="0.11247222151233509"/>
          <c:y val="0.19294117647058823"/>
          <c:w val="0.85189355897956776"/>
          <c:h val="0.6470588235294118"/>
        </c:manualLayout>
      </c:layout>
      <c:lineChart>
        <c:grouping val="standard"/>
        <c:varyColors val="0"/>
        <c:ser>
          <c:idx val="1"/>
          <c:order val="0"/>
          <c:tx>
            <c:v>Moving ranges</c:v>
          </c:tx>
          <c:spPr>
            <a:ln w="25400">
              <a:solidFill>
                <a:srgbClr val="000000"/>
              </a:solidFill>
              <a:prstDash val="solid"/>
            </a:ln>
          </c:spPr>
          <c:marker>
            <c:symbol val="diamond"/>
            <c:size val="7"/>
            <c:spPr>
              <a:solidFill>
                <a:srgbClr val="000000"/>
              </a:solidFill>
              <a:ln>
                <a:solidFill>
                  <a:srgbClr val="000000"/>
                </a:solidFill>
                <a:prstDash val="solid"/>
              </a:ln>
            </c:spPr>
          </c:marker>
          <c:val>
            <c:numRef>
              <c:f>'IMR Data and calculations'!$F$15:$F$88</c:f>
              <c:numCache>
                <c:formatCode>General</c:formatCode>
                <c:ptCount val="74"/>
                <c:pt idx="0">
                  <c:v>0.20000000000000018</c:v>
                </c:pt>
                <c:pt idx="1">
                  <c:v>0.39999999999999991</c:v>
                </c:pt>
                <c:pt idx="2">
                  <c:v>0.5</c:v>
                </c:pt>
                <c:pt idx="3">
                  <c:v>0.10000000000000009</c:v>
                </c:pt>
                <c:pt idx="4">
                  <c:v>0.39999999999999991</c:v>
                </c:pt>
                <c:pt idx="5">
                  <c:v>0.5</c:v>
                </c:pt>
                <c:pt idx="6">
                  <c:v>0.10000000000000009</c:v>
                </c:pt>
                <c:pt idx="7">
                  <c:v>0.39999999999999991</c:v>
                </c:pt>
                <c:pt idx="8">
                  <c:v>0.5</c:v>
                </c:pt>
                <c:pt idx="9">
                  <c:v>9.9999999999999645E-2</c:v>
                </c:pt>
                <c:pt idx="10">
                  <c:v>0.10000000000000009</c:v>
                </c:pt>
                <c:pt idx="11">
                  <c:v>0.30000000000000027</c:v>
                </c:pt>
                <c:pt idx="12">
                  <c:v>2</c:v>
                </c:pt>
                <c:pt idx="13">
                  <c:v>0.39999999999999991</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Cache>
            </c:numRef>
          </c:val>
          <c:smooth val="0"/>
          <c:extLst>
            <c:ext xmlns:c16="http://schemas.microsoft.com/office/drawing/2014/chart" uri="{C3380CC4-5D6E-409C-BE32-E72D297353CC}">
              <c16:uniqueId val="{00000000-C55A-4A97-AA60-9525E4ECD5B2}"/>
            </c:ext>
          </c:extLst>
        </c:ser>
        <c:ser>
          <c:idx val="0"/>
          <c:order val="1"/>
          <c:tx>
            <c:v>Lower control limit</c:v>
          </c:tx>
          <c:spPr>
            <a:ln w="12700">
              <a:solidFill>
                <a:srgbClr val="008000"/>
              </a:solidFill>
              <a:prstDash val="solid"/>
            </a:ln>
          </c:spPr>
          <c:marker>
            <c:symbol val="square"/>
            <c:size val="5"/>
            <c:spPr>
              <a:solidFill>
                <a:srgbClr val="008000"/>
              </a:solidFill>
              <a:ln>
                <a:solidFill>
                  <a:srgbClr val="008000"/>
                </a:solidFill>
                <a:prstDash val="solid"/>
              </a:ln>
            </c:spPr>
          </c:marker>
          <c:val>
            <c:numRef>
              <c:f>'IMR Data and calculations'!$G$15:$G$88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val>
          <c:smooth val="0"/>
          <c:extLst>
            <c:ext xmlns:c16="http://schemas.microsoft.com/office/drawing/2014/chart" uri="{C3380CC4-5D6E-409C-BE32-E72D297353CC}">
              <c16:uniqueId val="{00000001-C55A-4A97-AA60-9525E4ECD5B2}"/>
            </c:ext>
          </c:extLst>
        </c:ser>
        <c:ser>
          <c:idx val="2"/>
          <c:order val="2"/>
          <c:tx>
            <c:v>Center line</c:v>
          </c:tx>
          <c:spPr>
            <a:ln w="38100">
              <a:solidFill>
                <a:srgbClr val="333399"/>
              </a:solidFill>
              <a:prstDash val="solid"/>
            </a:ln>
          </c:spPr>
          <c:marker>
            <c:symbol val="none"/>
          </c:marker>
          <c:val>
            <c:numRef>
              <c:f>'IMR Data and calculations'!$H$15:$H$88</c:f>
              <c:numCache>
                <c:formatCode>General</c:formatCode>
                <c:ptCount val="74"/>
                <c:pt idx="0">
                  <c:v>0.66666666666666663</c:v>
                </c:pt>
                <c:pt idx="1">
                  <c:v>0.66666666666666663</c:v>
                </c:pt>
                <c:pt idx="2">
                  <c:v>0.66666666666666663</c:v>
                </c:pt>
                <c:pt idx="3">
                  <c:v>0.66666666666666663</c:v>
                </c:pt>
                <c:pt idx="4">
                  <c:v>0.66666666666666663</c:v>
                </c:pt>
                <c:pt idx="5">
                  <c:v>0.66666666666666663</c:v>
                </c:pt>
                <c:pt idx="6">
                  <c:v>0.66666666666666663</c:v>
                </c:pt>
                <c:pt idx="7">
                  <c:v>0.66666666666666663</c:v>
                </c:pt>
                <c:pt idx="8">
                  <c:v>0.66666666666666663</c:v>
                </c:pt>
                <c:pt idx="9">
                  <c:v>0.66666666666666663</c:v>
                </c:pt>
                <c:pt idx="10">
                  <c:v>0.66666666666666663</c:v>
                </c:pt>
                <c:pt idx="11">
                  <c:v>0.66666666666666663</c:v>
                </c:pt>
                <c:pt idx="12">
                  <c:v>0.66666666666666663</c:v>
                </c:pt>
                <c:pt idx="13">
                  <c:v>0.66666666666666663</c:v>
                </c:pt>
                <c:pt idx="14">
                  <c:v>0.66666666666666663</c:v>
                </c:pt>
                <c:pt idx="15">
                  <c:v>0.66666666666666663</c:v>
                </c:pt>
                <c:pt idx="16">
                  <c:v>0.66666666666666663</c:v>
                </c:pt>
                <c:pt idx="17">
                  <c:v>0.66666666666666663</c:v>
                </c:pt>
                <c:pt idx="18">
                  <c:v>0.66666666666666663</c:v>
                </c:pt>
                <c:pt idx="19">
                  <c:v>0.66666666666666663</c:v>
                </c:pt>
                <c:pt idx="20">
                  <c:v>0.66666666666666663</c:v>
                </c:pt>
                <c:pt idx="21">
                  <c:v>0.66666666666666663</c:v>
                </c:pt>
                <c:pt idx="22">
                  <c:v>0.66666666666666663</c:v>
                </c:pt>
                <c:pt idx="23">
                  <c:v>0.66666666666666663</c:v>
                </c:pt>
                <c:pt idx="24">
                  <c:v>0.66666666666666663</c:v>
                </c:pt>
                <c:pt idx="25">
                  <c:v>0.66666666666666663</c:v>
                </c:pt>
                <c:pt idx="26">
                  <c:v>0.66666666666666663</c:v>
                </c:pt>
                <c:pt idx="27">
                  <c:v>0.66666666666666663</c:v>
                </c:pt>
                <c:pt idx="28">
                  <c:v>0.66666666666666663</c:v>
                </c:pt>
                <c:pt idx="29">
                  <c:v>0.66666666666666663</c:v>
                </c:pt>
                <c:pt idx="30">
                  <c:v>0.66666666666666663</c:v>
                </c:pt>
                <c:pt idx="31">
                  <c:v>0.66666666666666663</c:v>
                </c:pt>
                <c:pt idx="32">
                  <c:v>0.66666666666666663</c:v>
                </c:pt>
                <c:pt idx="33">
                  <c:v>0.66666666666666663</c:v>
                </c:pt>
                <c:pt idx="34">
                  <c:v>0.66666666666666663</c:v>
                </c:pt>
                <c:pt idx="35">
                  <c:v>0.66666666666666663</c:v>
                </c:pt>
                <c:pt idx="36">
                  <c:v>0.66666666666666663</c:v>
                </c:pt>
                <c:pt idx="37">
                  <c:v>0.66666666666666663</c:v>
                </c:pt>
                <c:pt idx="38">
                  <c:v>0.66666666666666663</c:v>
                </c:pt>
                <c:pt idx="39">
                  <c:v>0.66666666666666663</c:v>
                </c:pt>
                <c:pt idx="40">
                  <c:v>0.66666666666666663</c:v>
                </c:pt>
                <c:pt idx="41">
                  <c:v>0.66666666666666663</c:v>
                </c:pt>
                <c:pt idx="42">
                  <c:v>0.66666666666666663</c:v>
                </c:pt>
                <c:pt idx="43">
                  <c:v>0.66666666666666663</c:v>
                </c:pt>
                <c:pt idx="44">
                  <c:v>0.66666666666666663</c:v>
                </c:pt>
                <c:pt idx="45">
                  <c:v>0.66666666666666663</c:v>
                </c:pt>
                <c:pt idx="46">
                  <c:v>0.66666666666666663</c:v>
                </c:pt>
                <c:pt idx="47">
                  <c:v>0.66666666666666663</c:v>
                </c:pt>
                <c:pt idx="48">
                  <c:v>0.66666666666666663</c:v>
                </c:pt>
                <c:pt idx="49">
                  <c:v>0.66666666666666663</c:v>
                </c:pt>
                <c:pt idx="50">
                  <c:v>0.66666666666666663</c:v>
                </c:pt>
                <c:pt idx="51">
                  <c:v>0.66666666666666663</c:v>
                </c:pt>
                <c:pt idx="52">
                  <c:v>0.66666666666666663</c:v>
                </c:pt>
                <c:pt idx="53">
                  <c:v>0.66666666666666663</c:v>
                </c:pt>
                <c:pt idx="54">
                  <c:v>0.66666666666666663</c:v>
                </c:pt>
                <c:pt idx="55">
                  <c:v>0.66666666666666663</c:v>
                </c:pt>
                <c:pt idx="56">
                  <c:v>0.66666666666666663</c:v>
                </c:pt>
                <c:pt idx="57">
                  <c:v>0.66666666666666663</c:v>
                </c:pt>
                <c:pt idx="58">
                  <c:v>0.66666666666666663</c:v>
                </c:pt>
                <c:pt idx="59">
                  <c:v>0.66666666666666663</c:v>
                </c:pt>
                <c:pt idx="60">
                  <c:v>0.66666666666666663</c:v>
                </c:pt>
                <c:pt idx="61">
                  <c:v>0.66666666666666663</c:v>
                </c:pt>
                <c:pt idx="62">
                  <c:v>0.66666666666666663</c:v>
                </c:pt>
                <c:pt idx="63">
                  <c:v>0.66666666666666663</c:v>
                </c:pt>
                <c:pt idx="64">
                  <c:v>0.66666666666666663</c:v>
                </c:pt>
                <c:pt idx="65">
                  <c:v>0.66666666666666663</c:v>
                </c:pt>
                <c:pt idx="66">
                  <c:v>0.66666666666666663</c:v>
                </c:pt>
                <c:pt idx="67">
                  <c:v>0.66666666666666663</c:v>
                </c:pt>
                <c:pt idx="68">
                  <c:v>0.66666666666666663</c:v>
                </c:pt>
                <c:pt idx="69">
                  <c:v>0.66666666666666663</c:v>
                </c:pt>
                <c:pt idx="70">
                  <c:v>0.66666666666666663</c:v>
                </c:pt>
                <c:pt idx="71">
                  <c:v>0.66666666666666663</c:v>
                </c:pt>
                <c:pt idx="72">
                  <c:v>0.66666666666666663</c:v>
                </c:pt>
                <c:pt idx="73">
                  <c:v>0.66666666666666663</c:v>
                </c:pt>
              </c:numCache>
            </c:numRef>
          </c:val>
          <c:smooth val="0"/>
          <c:extLst>
            <c:ext xmlns:c16="http://schemas.microsoft.com/office/drawing/2014/chart" uri="{C3380CC4-5D6E-409C-BE32-E72D297353CC}">
              <c16:uniqueId val="{00000002-C55A-4A97-AA60-9525E4ECD5B2}"/>
            </c:ext>
          </c:extLst>
        </c:ser>
        <c:ser>
          <c:idx val="3"/>
          <c:order val="3"/>
          <c:tx>
            <c:v>Upper control limit</c:v>
          </c:tx>
          <c:spPr>
            <a:ln w="12700">
              <a:solidFill>
                <a:srgbClr val="993300"/>
              </a:solidFill>
              <a:prstDash val="solid"/>
            </a:ln>
          </c:spPr>
          <c:marker>
            <c:symbol val="triangle"/>
            <c:size val="5"/>
            <c:spPr>
              <a:solidFill>
                <a:srgbClr val="993300"/>
              </a:solidFill>
              <a:ln>
                <a:solidFill>
                  <a:srgbClr val="993300"/>
                </a:solidFill>
                <a:prstDash val="solid"/>
              </a:ln>
            </c:spPr>
          </c:marker>
          <c:val>
            <c:numRef>
              <c:f>'IMR Data and calculations'!$I$15:$I$88</c:f>
              <c:numCache>
                <c:formatCode>General</c:formatCode>
                <c:ptCount val="74"/>
                <c:pt idx="0">
                  <c:v>2.1779999999999999</c:v>
                </c:pt>
                <c:pt idx="1">
                  <c:v>2.1779999999999999</c:v>
                </c:pt>
                <c:pt idx="2">
                  <c:v>2.1779999999999999</c:v>
                </c:pt>
                <c:pt idx="3">
                  <c:v>2.1779999999999999</c:v>
                </c:pt>
                <c:pt idx="4">
                  <c:v>2.1779999999999999</c:v>
                </c:pt>
                <c:pt idx="5">
                  <c:v>2.1779999999999999</c:v>
                </c:pt>
                <c:pt idx="6">
                  <c:v>2.1779999999999999</c:v>
                </c:pt>
                <c:pt idx="7">
                  <c:v>2.1779999999999999</c:v>
                </c:pt>
                <c:pt idx="8">
                  <c:v>2.1779999999999999</c:v>
                </c:pt>
                <c:pt idx="9">
                  <c:v>2.1779999999999999</c:v>
                </c:pt>
                <c:pt idx="10">
                  <c:v>2.1779999999999999</c:v>
                </c:pt>
                <c:pt idx="11">
                  <c:v>2.1779999999999999</c:v>
                </c:pt>
                <c:pt idx="12">
                  <c:v>2.1779999999999999</c:v>
                </c:pt>
                <c:pt idx="13">
                  <c:v>2.1779999999999999</c:v>
                </c:pt>
                <c:pt idx="14">
                  <c:v>2.1779999999999999</c:v>
                </c:pt>
                <c:pt idx="15">
                  <c:v>2.1779999999999999</c:v>
                </c:pt>
                <c:pt idx="16">
                  <c:v>2.1779999999999999</c:v>
                </c:pt>
                <c:pt idx="17">
                  <c:v>2.1779999999999999</c:v>
                </c:pt>
                <c:pt idx="18">
                  <c:v>2.1779999999999999</c:v>
                </c:pt>
                <c:pt idx="19">
                  <c:v>2.1779999999999999</c:v>
                </c:pt>
                <c:pt idx="20">
                  <c:v>2.1779999999999999</c:v>
                </c:pt>
                <c:pt idx="21">
                  <c:v>2.1779999999999999</c:v>
                </c:pt>
                <c:pt idx="22">
                  <c:v>2.1779999999999999</c:v>
                </c:pt>
                <c:pt idx="23">
                  <c:v>2.1779999999999999</c:v>
                </c:pt>
                <c:pt idx="24">
                  <c:v>2.1779999999999999</c:v>
                </c:pt>
                <c:pt idx="25">
                  <c:v>2.1779999999999999</c:v>
                </c:pt>
                <c:pt idx="26">
                  <c:v>2.1779999999999999</c:v>
                </c:pt>
                <c:pt idx="27">
                  <c:v>2.1779999999999999</c:v>
                </c:pt>
                <c:pt idx="28">
                  <c:v>2.1779999999999999</c:v>
                </c:pt>
                <c:pt idx="29">
                  <c:v>2.1779999999999999</c:v>
                </c:pt>
                <c:pt idx="30">
                  <c:v>2.1779999999999999</c:v>
                </c:pt>
                <c:pt idx="31">
                  <c:v>2.1779999999999999</c:v>
                </c:pt>
                <c:pt idx="32">
                  <c:v>2.1779999999999999</c:v>
                </c:pt>
                <c:pt idx="33">
                  <c:v>2.1779999999999999</c:v>
                </c:pt>
                <c:pt idx="34">
                  <c:v>2.1779999999999999</c:v>
                </c:pt>
                <c:pt idx="35">
                  <c:v>2.1779999999999999</c:v>
                </c:pt>
                <c:pt idx="36">
                  <c:v>2.1779999999999999</c:v>
                </c:pt>
                <c:pt idx="37">
                  <c:v>2.1779999999999999</c:v>
                </c:pt>
                <c:pt idx="38">
                  <c:v>2.1779999999999999</c:v>
                </c:pt>
                <c:pt idx="39">
                  <c:v>2.1779999999999999</c:v>
                </c:pt>
                <c:pt idx="40">
                  <c:v>2.1779999999999999</c:v>
                </c:pt>
                <c:pt idx="41">
                  <c:v>2.1779999999999999</c:v>
                </c:pt>
                <c:pt idx="42">
                  <c:v>2.1779999999999999</c:v>
                </c:pt>
                <c:pt idx="43">
                  <c:v>2.1779999999999999</c:v>
                </c:pt>
                <c:pt idx="44">
                  <c:v>2.1779999999999999</c:v>
                </c:pt>
                <c:pt idx="45">
                  <c:v>2.1779999999999999</c:v>
                </c:pt>
                <c:pt idx="46">
                  <c:v>2.1779999999999999</c:v>
                </c:pt>
                <c:pt idx="47">
                  <c:v>2.1779999999999999</c:v>
                </c:pt>
                <c:pt idx="48">
                  <c:v>2.1779999999999999</c:v>
                </c:pt>
                <c:pt idx="49">
                  <c:v>2.1779999999999999</c:v>
                </c:pt>
                <c:pt idx="50">
                  <c:v>2.1779999999999999</c:v>
                </c:pt>
                <c:pt idx="51">
                  <c:v>2.1779999999999999</c:v>
                </c:pt>
                <c:pt idx="52">
                  <c:v>2.1779999999999999</c:v>
                </c:pt>
                <c:pt idx="53">
                  <c:v>2.1779999999999999</c:v>
                </c:pt>
                <c:pt idx="54">
                  <c:v>2.1779999999999999</c:v>
                </c:pt>
                <c:pt idx="55">
                  <c:v>2.1779999999999999</c:v>
                </c:pt>
                <c:pt idx="56">
                  <c:v>2.1779999999999999</c:v>
                </c:pt>
                <c:pt idx="57">
                  <c:v>2.1779999999999999</c:v>
                </c:pt>
                <c:pt idx="58">
                  <c:v>2.1779999999999999</c:v>
                </c:pt>
                <c:pt idx="59">
                  <c:v>2.1779999999999999</c:v>
                </c:pt>
                <c:pt idx="60">
                  <c:v>2.1779999999999999</c:v>
                </c:pt>
                <c:pt idx="61">
                  <c:v>2.1779999999999999</c:v>
                </c:pt>
                <c:pt idx="62">
                  <c:v>2.1779999999999999</c:v>
                </c:pt>
                <c:pt idx="63">
                  <c:v>2.1779999999999999</c:v>
                </c:pt>
                <c:pt idx="64">
                  <c:v>2.1779999999999999</c:v>
                </c:pt>
                <c:pt idx="65">
                  <c:v>2.1779999999999999</c:v>
                </c:pt>
                <c:pt idx="66">
                  <c:v>2.1779999999999999</c:v>
                </c:pt>
                <c:pt idx="67">
                  <c:v>2.1779999999999999</c:v>
                </c:pt>
                <c:pt idx="68">
                  <c:v>2.1779999999999999</c:v>
                </c:pt>
                <c:pt idx="69">
                  <c:v>2.1779999999999999</c:v>
                </c:pt>
                <c:pt idx="70">
                  <c:v>2.1779999999999999</c:v>
                </c:pt>
                <c:pt idx="71">
                  <c:v>2.1779999999999999</c:v>
                </c:pt>
                <c:pt idx="72">
                  <c:v>2.1779999999999999</c:v>
                </c:pt>
                <c:pt idx="73">
                  <c:v>2.1779999999999999</c:v>
                </c:pt>
              </c:numCache>
            </c:numRef>
          </c:val>
          <c:smooth val="0"/>
          <c:extLst>
            <c:ext xmlns:c16="http://schemas.microsoft.com/office/drawing/2014/chart" uri="{C3380CC4-5D6E-409C-BE32-E72D297353CC}">
              <c16:uniqueId val="{00000003-C55A-4A97-AA60-9525E4ECD5B2}"/>
            </c:ext>
          </c:extLst>
        </c:ser>
        <c:dLbls>
          <c:showLegendKey val="0"/>
          <c:showVal val="0"/>
          <c:showCatName val="0"/>
          <c:showSerName val="0"/>
          <c:showPercent val="0"/>
          <c:showBubbleSize val="0"/>
        </c:dLbls>
        <c:marker val="1"/>
        <c:smooth val="0"/>
        <c:axId val="518678352"/>
        <c:axId val="1"/>
      </c:lineChart>
      <c:catAx>
        <c:axId val="518678352"/>
        <c:scaling>
          <c:orientation val="minMax"/>
        </c:scaling>
        <c:delete val="0"/>
        <c:axPos val="b"/>
        <c:majorGridlines>
          <c:spPr>
            <a:ln w="3175">
              <a:solidFill>
                <a:srgbClr val="000000"/>
              </a:solidFill>
              <a:prstDash val="solid"/>
            </a:ln>
          </c:spPr>
        </c:majorGridlines>
        <c:title>
          <c:tx>
            <c:rich>
              <a:bodyPr/>
              <a:lstStyle/>
              <a:p>
                <a:pPr>
                  <a:defRPr sz="1600" b="1" i="0" u="none" strike="noStrike" baseline="0">
                    <a:solidFill>
                      <a:srgbClr val="000000"/>
                    </a:solidFill>
                    <a:latin typeface="Arial"/>
                    <a:ea typeface="Arial"/>
                    <a:cs typeface="Arial"/>
                  </a:defRPr>
                </a:pPr>
                <a:r>
                  <a:rPr lang="en-CA"/>
                  <a:t>Observation number</a:t>
                </a:r>
              </a:p>
            </c:rich>
          </c:tx>
          <c:layout>
            <c:manualLayout>
              <c:xMode val="edge"/>
              <c:yMode val="edge"/>
              <c:x val="0.41870846820433655"/>
              <c:y val="0.9035294117647059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3"/>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2100" b="1" i="0" u="none" strike="noStrike" baseline="0">
                    <a:solidFill>
                      <a:srgbClr val="000000"/>
                    </a:solidFill>
                    <a:latin typeface="Arial"/>
                    <a:ea typeface="Arial"/>
                    <a:cs typeface="Arial"/>
                  </a:defRPr>
                </a:pPr>
                <a:r>
                  <a:rPr lang="en-CA"/>
                  <a:t>Moving ranges</a:t>
                </a:r>
              </a:p>
            </c:rich>
          </c:tx>
          <c:layout>
            <c:manualLayout>
              <c:xMode val="edge"/>
              <c:yMode val="edge"/>
              <c:x val="1.4476622570894616E-2"/>
              <c:y val="0.272941176470588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18678352"/>
        <c:crosses val="autoZero"/>
        <c:crossBetween val="between"/>
      </c:valAx>
      <c:spPr>
        <a:solidFill>
          <a:srgbClr val="FFFFFF"/>
        </a:solidFill>
        <a:ln w="12700">
          <a:solidFill>
            <a:srgbClr val="000000"/>
          </a:solidFill>
          <a:prstDash val="solid"/>
        </a:ln>
      </c:spPr>
    </c:plotArea>
    <c:legend>
      <c:legendPos val="r"/>
      <c:layout>
        <c:manualLayout>
          <c:xMode val="edge"/>
          <c:yMode val="edge"/>
          <c:x val="0.75389796003812726"/>
          <c:y val="2.3529411764705882E-2"/>
          <c:w val="0.16481078003787716"/>
          <c:h val="0.1411764705882352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span"/>
    <c:showDLblsOverMax val="0"/>
  </c:chart>
  <c:spPr>
    <a:solidFill>
      <a:srgbClr val="FFFFCC"/>
    </a:solidFill>
    <a:ln w="3175">
      <a:solidFill>
        <a:srgbClr val="000000"/>
      </a:solidFill>
      <a:prstDash val="solid"/>
    </a:ln>
  </c:spPr>
  <c:txPr>
    <a:bodyPr/>
    <a:lstStyle/>
    <a:p>
      <a:pPr>
        <a:defRPr sz="2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CA"/>
              <a:t>Number nonconforming (np) chart</a:t>
            </a:r>
          </a:p>
        </c:rich>
      </c:tx>
      <c:layout>
        <c:manualLayout>
          <c:xMode val="edge"/>
          <c:yMode val="edge"/>
          <c:x val="5.6626506024096385E-2"/>
          <c:y val="3.0660412667227882E-2"/>
        </c:manualLayout>
      </c:layout>
      <c:overlay val="0"/>
      <c:spPr>
        <a:noFill/>
        <a:ln w="25400">
          <a:noFill/>
        </a:ln>
      </c:spPr>
    </c:title>
    <c:autoTitleDeleted val="0"/>
    <c:plotArea>
      <c:layout>
        <c:manualLayout>
          <c:layoutTarget val="inner"/>
          <c:xMode val="edge"/>
          <c:yMode val="edge"/>
          <c:x val="0.11204819277108434"/>
          <c:y val="0.28066070056923986"/>
          <c:w val="0.86265060240963853"/>
          <c:h val="0.54009496159962966"/>
        </c:manualLayout>
      </c:layout>
      <c:lineChart>
        <c:grouping val="standard"/>
        <c:varyColors val="0"/>
        <c:ser>
          <c:idx val="0"/>
          <c:order val="0"/>
          <c:tx>
            <c:v>Number nonconforming</c:v>
          </c:tx>
          <c:spPr>
            <a:ln w="25400">
              <a:solidFill>
                <a:srgbClr val="000000"/>
              </a:solidFill>
              <a:prstDash val="solid"/>
            </a:ln>
          </c:spPr>
          <c:marker>
            <c:symbol val="diamond"/>
            <c:size val="7"/>
            <c:spPr>
              <a:solidFill>
                <a:srgbClr val="000000"/>
              </a:solidFill>
              <a:ln>
                <a:solidFill>
                  <a:srgbClr val="000000"/>
                </a:solidFill>
                <a:prstDash val="solid"/>
              </a:ln>
            </c:spPr>
          </c:marker>
          <c:val>
            <c:numRef>
              <c:f>'np Data and calculations'!$B$13:$B$62</c:f>
              <c:numCache>
                <c:formatCode>General</c:formatCode>
                <c:ptCount val="50"/>
                <c:pt idx="0">
                  <c:v>1</c:v>
                </c:pt>
                <c:pt idx="1">
                  <c:v>1</c:v>
                </c:pt>
                <c:pt idx="2">
                  <c:v>1</c:v>
                </c:pt>
                <c:pt idx="3">
                  <c:v>3</c:v>
                </c:pt>
                <c:pt idx="4">
                  <c:v>2</c:v>
                </c:pt>
                <c:pt idx="5">
                  <c:v>2</c:v>
                </c:pt>
                <c:pt idx="6">
                  <c:v>1</c:v>
                </c:pt>
                <c:pt idx="7">
                  <c:v>1</c:v>
                </c:pt>
              </c:numCache>
            </c:numRef>
          </c:val>
          <c:smooth val="0"/>
          <c:extLst>
            <c:ext xmlns:c16="http://schemas.microsoft.com/office/drawing/2014/chart" uri="{C3380CC4-5D6E-409C-BE32-E72D297353CC}">
              <c16:uniqueId val="{00000000-D96E-4A22-BB5E-704D626D30F3}"/>
            </c:ext>
          </c:extLst>
        </c:ser>
        <c:ser>
          <c:idx val="1"/>
          <c:order val="1"/>
          <c:tx>
            <c:v>Lower control limit</c:v>
          </c:tx>
          <c:spPr>
            <a:ln w="12700">
              <a:solidFill>
                <a:srgbClr val="008000"/>
              </a:solidFill>
              <a:prstDash val="solid"/>
            </a:ln>
          </c:spPr>
          <c:marker>
            <c:symbol val="square"/>
            <c:size val="5"/>
            <c:spPr>
              <a:solidFill>
                <a:srgbClr val="008000"/>
              </a:solidFill>
              <a:ln>
                <a:solidFill>
                  <a:srgbClr val="008000"/>
                </a:solidFill>
                <a:prstDash val="solid"/>
              </a:ln>
            </c:spPr>
          </c:marker>
          <c:val>
            <c:numRef>
              <c:f>'np Data and calculations'!$C$13:$C$62</c:f>
              <c:numCache>
                <c:formatCode>General</c:formatCode>
                <c:ptCount val="50"/>
                <c:pt idx="0">
                  <c:v>0</c:v>
                </c:pt>
                <c:pt idx="1">
                  <c:v>0</c:v>
                </c:pt>
                <c:pt idx="2">
                  <c:v>0</c:v>
                </c:pt>
                <c:pt idx="3">
                  <c:v>0</c:v>
                </c:pt>
                <c:pt idx="4">
                  <c:v>0</c:v>
                </c:pt>
                <c:pt idx="5">
                  <c:v>0</c:v>
                </c:pt>
                <c:pt idx="6">
                  <c:v>0</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1-D96E-4A22-BB5E-704D626D30F3}"/>
            </c:ext>
          </c:extLst>
        </c:ser>
        <c:ser>
          <c:idx val="2"/>
          <c:order val="2"/>
          <c:tx>
            <c:v>Upper control limit</c:v>
          </c:tx>
          <c:spPr>
            <a:ln w="12700">
              <a:solidFill>
                <a:srgbClr val="993300"/>
              </a:solidFill>
              <a:prstDash val="solid"/>
            </a:ln>
          </c:spPr>
          <c:marker>
            <c:symbol val="triangle"/>
            <c:size val="5"/>
            <c:spPr>
              <a:solidFill>
                <a:srgbClr val="993300"/>
              </a:solidFill>
              <a:ln>
                <a:solidFill>
                  <a:srgbClr val="993300"/>
                </a:solidFill>
                <a:prstDash val="solid"/>
              </a:ln>
            </c:spPr>
          </c:marker>
          <c:val>
            <c:numRef>
              <c:f>'np Data and calculations'!$E$13:$E$62</c:f>
              <c:numCache>
                <c:formatCode>General</c:formatCode>
                <c:ptCount val="50"/>
                <c:pt idx="0">
                  <c:v>4.404737509655563</c:v>
                </c:pt>
                <c:pt idx="1">
                  <c:v>4.404737509655563</c:v>
                </c:pt>
                <c:pt idx="2">
                  <c:v>4.404737509655563</c:v>
                </c:pt>
                <c:pt idx="3">
                  <c:v>4.404737509655563</c:v>
                </c:pt>
                <c:pt idx="4">
                  <c:v>4.404737509655563</c:v>
                </c:pt>
                <c:pt idx="5">
                  <c:v>4.404737509655563</c:v>
                </c:pt>
                <c:pt idx="6">
                  <c:v>4.404737509655563</c:v>
                </c:pt>
                <c:pt idx="7">
                  <c:v>4.404737509655563</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2-D96E-4A22-BB5E-704D626D30F3}"/>
            </c:ext>
          </c:extLst>
        </c:ser>
        <c:ser>
          <c:idx val="3"/>
          <c:order val="3"/>
          <c:tx>
            <c:v>Center line</c:v>
          </c:tx>
          <c:spPr>
            <a:ln w="38100">
              <a:solidFill>
                <a:srgbClr val="333399"/>
              </a:solidFill>
              <a:prstDash val="solid"/>
            </a:ln>
          </c:spPr>
          <c:marker>
            <c:symbol val="none"/>
          </c:marker>
          <c:val>
            <c:numRef>
              <c:f>'np Data and calculations'!$D$13:$D$62</c:f>
              <c:numCache>
                <c:formatCode>General</c:formatCode>
                <c:ptCount val="50"/>
                <c:pt idx="0">
                  <c:v>1.5</c:v>
                </c:pt>
                <c:pt idx="1">
                  <c:v>1.5</c:v>
                </c:pt>
                <c:pt idx="2">
                  <c:v>1.5</c:v>
                </c:pt>
                <c:pt idx="3">
                  <c:v>1.5</c:v>
                </c:pt>
                <c:pt idx="4">
                  <c:v>1.5</c:v>
                </c:pt>
                <c:pt idx="5">
                  <c:v>1.5</c:v>
                </c:pt>
                <c:pt idx="6">
                  <c:v>1.5</c:v>
                </c:pt>
                <c:pt idx="7">
                  <c:v>1.5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3-D96E-4A22-BB5E-704D626D30F3}"/>
            </c:ext>
          </c:extLst>
        </c:ser>
        <c:dLbls>
          <c:showLegendKey val="0"/>
          <c:showVal val="0"/>
          <c:showCatName val="0"/>
          <c:showSerName val="0"/>
          <c:showPercent val="0"/>
          <c:showBubbleSize val="0"/>
        </c:dLbls>
        <c:marker val="1"/>
        <c:smooth val="0"/>
        <c:axId val="522421816"/>
        <c:axId val="1"/>
      </c:lineChart>
      <c:catAx>
        <c:axId val="522421816"/>
        <c:scaling>
          <c:orientation val="minMax"/>
        </c:scaling>
        <c:delete val="0"/>
        <c:axPos val="b"/>
        <c:majorGridlines>
          <c:spPr>
            <a:ln w="3175">
              <a:solidFill>
                <a:srgbClr val="000000"/>
              </a:solidFill>
              <a:prstDash val="solid"/>
            </a:ln>
          </c:spPr>
        </c:majorGridlines>
        <c:title>
          <c:tx>
            <c:rich>
              <a:bodyPr/>
              <a:lstStyle/>
              <a:p>
                <a:pPr>
                  <a:defRPr sz="1600" b="1" i="0" u="none" strike="noStrike" baseline="0">
                    <a:solidFill>
                      <a:srgbClr val="000000"/>
                    </a:solidFill>
                    <a:latin typeface="Arial"/>
                    <a:ea typeface="Arial"/>
                    <a:cs typeface="Arial"/>
                  </a:defRPr>
                </a:pPr>
                <a:r>
                  <a:rPr lang="en-CA"/>
                  <a:t>Sample number</a:t>
                </a:r>
              </a:p>
            </c:rich>
          </c:tx>
          <c:layout>
            <c:manualLayout>
              <c:xMode val="edge"/>
              <c:yMode val="edge"/>
              <c:x val="0.44457831325301206"/>
              <c:y val="0.90330292704217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600" b="1" i="0" u="none" strike="noStrike" baseline="0">
                    <a:solidFill>
                      <a:srgbClr val="000000"/>
                    </a:solidFill>
                    <a:latin typeface="Arial"/>
                    <a:ea typeface="Arial"/>
                    <a:cs typeface="Arial"/>
                  </a:defRPr>
                </a:pPr>
                <a:r>
                  <a:rPr lang="en-CA"/>
                  <a:t>Number nonconforming</a:t>
                </a:r>
              </a:p>
            </c:rich>
          </c:tx>
          <c:layout>
            <c:manualLayout>
              <c:xMode val="edge"/>
              <c:yMode val="edge"/>
              <c:x val="2.1686746987951807E-2"/>
              <c:y val="0.198113435695934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22421816"/>
        <c:crosses val="autoZero"/>
        <c:crossBetween val="between"/>
      </c:valAx>
      <c:spPr>
        <a:solidFill>
          <a:srgbClr val="FFFFFF"/>
        </a:solidFill>
        <a:ln w="12700">
          <a:solidFill>
            <a:srgbClr val="000000"/>
          </a:solidFill>
          <a:prstDash val="solid"/>
        </a:ln>
      </c:spPr>
    </c:plotArea>
    <c:legend>
      <c:legendPos val="r"/>
      <c:layout>
        <c:manualLayout>
          <c:xMode val="edge"/>
          <c:yMode val="edge"/>
          <c:x val="0.72048192771084341"/>
          <c:y val="5.6603838770266861E-2"/>
          <c:w val="0.20722891566265061"/>
          <c:h val="0.15330206333613941"/>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span"/>
    <c:showDLblsOverMax val="0"/>
  </c:chart>
  <c:spPr>
    <a:solidFill>
      <a:srgbClr val="FFFFCC"/>
    </a:solidFill>
    <a:ln w="3175">
      <a:solidFill>
        <a:srgbClr val="000000"/>
      </a:solidFill>
      <a:prstDash val="solid"/>
    </a:ln>
  </c:spPr>
  <c:txPr>
    <a:bodyPr/>
    <a:lstStyle/>
    <a:p>
      <a:pPr>
        <a:defRPr sz="2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CA"/>
              <a:t>Attribute (p) Chart</a:t>
            </a:r>
          </a:p>
        </c:rich>
      </c:tx>
      <c:layout>
        <c:manualLayout>
          <c:xMode val="edge"/>
          <c:yMode val="edge"/>
          <c:x val="0.28177491027675156"/>
          <c:y val="3.0444999685532794E-2"/>
        </c:manualLayout>
      </c:layout>
      <c:overlay val="0"/>
      <c:spPr>
        <a:noFill/>
        <a:ln w="25400">
          <a:noFill/>
        </a:ln>
      </c:spPr>
    </c:title>
    <c:autoTitleDeleted val="0"/>
    <c:plotArea>
      <c:layout>
        <c:manualLayout>
          <c:layoutTarget val="inner"/>
          <c:xMode val="edge"/>
          <c:yMode val="edge"/>
          <c:x val="0.13189463885294755"/>
          <c:y val="0.25058576664246224"/>
          <c:w val="0.78297453791795224"/>
          <c:h val="0.52459076381225733"/>
        </c:manualLayout>
      </c:layout>
      <c:lineChart>
        <c:grouping val="standard"/>
        <c:varyColors val="0"/>
        <c:ser>
          <c:idx val="1"/>
          <c:order val="0"/>
          <c:tx>
            <c:v>Fraction nonconforming</c:v>
          </c:tx>
          <c:spPr>
            <a:ln w="25400">
              <a:solidFill>
                <a:srgbClr val="000000"/>
              </a:solidFill>
              <a:prstDash val="solid"/>
            </a:ln>
          </c:spPr>
          <c:marker>
            <c:symbol val="diamond"/>
            <c:size val="7"/>
            <c:spPr>
              <a:solidFill>
                <a:srgbClr val="000000"/>
              </a:solidFill>
              <a:ln>
                <a:solidFill>
                  <a:srgbClr val="000000"/>
                </a:solidFill>
                <a:prstDash val="solid"/>
              </a:ln>
            </c:spPr>
          </c:marker>
          <c:val>
            <c:numRef>
              <c:f>'p Data and calculations'!$D$10:$D$34</c:f>
              <c:numCache>
                <c:formatCode>0.0000</c:formatCode>
                <c:ptCount val="25"/>
                <c:pt idx="0">
                  <c:v>0.2</c:v>
                </c:pt>
                <c:pt idx="1">
                  <c:v>0.5</c:v>
                </c:pt>
                <c:pt idx="2">
                  <c:v>0.4</c:v>
                </c:pt>
                <c:pt idx="3">
                  <c:v>0.125</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85F5-4189-83BE-5745833626B4}"/>
            </c:ext>
          </c:extLst>
        </c:ser>
        <c:ser>
          <c:idx val="2"/>
          <c:order val="1"/>
          <c:tx>
            <c:v>Lower control limit</c:v>
          </c:tx>
          <c:spPr>
            <a:ln w="12700">
              <a:solidFill>
                <a:srgbClr val="008000"/>
              </a:solidFill>
              <a:prstDash val="solid"/>
            </a:ln>
          </c:spPr>
          <c:marker>
            <c:symbol val="square"/>
            <c:size val="5"/>
            <c:spPr>
              <a:solidFill>
                <a:srgbClr val="008000"/>
              </a:solidFill>
              <a:ln>
                <a:solidFill>
                  <a:srgbClr val="008000"/>
                </a:solidFill>
                <a:prstDash val="solid"/>
              </a:ln>
            </c:spPr>
          </c:marker>
          <c:val>
            <c:numRef>
              <c:f>'p Data and calculations'!$F$10:$F$59</c:f>
              <c:numCache>
                <c:formatCode>General</c:formatCode>
                <c:ptCount val="5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1-85F5-4189-83BE-5745833626B4}"/>
            </c:ext>
          </c:extLst>
        </c:ser>
        <c:ser>
          <c:idx val="3"/>
          <c:order val="2"/>
          <c:tx>
            <c:v>Center line</c:v>
          </c:tx>
          <c:spPr>
            <a:ln w="38100">
              <a:solidFill>
                <a:srgbClr val="333399"/>
              </a:solidFill>
              <a:prstDash val="solid"/>
            </a:ln>
          </c:spPr>
          <c:marker>
            <c:symbol val="none"/>
          </c:marker>
          <c:val>
            <c:numRef>
              <c:f>'p Data and calculations'!$G$10:$G$59</c:f>
              <c:numCache>
                <c:formatCode>General</c:formatCode>
                <c:ptCount val="50"/>
                <c:pt idx="0">
                  <c:v>0.31428571428571428</c:v>
                </c:pt>
                <c:pt idx="1">
                  <c:v>0.31428571428571428</c:v>
                </c:pt>
                <c:pt idx="2">
                  <c:v>0.31428571428571428</c:v>
                </c:pt>
                <c:pt idx="3">
                  <c:v>0.31428571428571428</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2-85F5-4189-83BE-5745833626B4}"/>
            </c:ext>
          </c:extLst>
        </c:ser>
        <c:ser>
          <c:idx val="0"/>
          <c:order val="3"/>
          <c:tx>
            <c:v>Upper control limit</c:v>
          </c:tx>
          <c:spPr>
            <a:ln w="12700">
              <a:solidFill>
                <a:srgbClr val="993300"/>
              </a:solidFill>
              <a:prstDash val="solid"/>
            </a:ln>
          </c:spPr>
          <c:marker>
            <c:symbol val="triangle"/>
            <c:size val="5"/>
            <c:spPr>
              <a:solidFill>
                <a:srgbClr val="993300"/>
              </a:solidFill>
              <a:ln>
                <a:solidFill>
                  <a:srgbClr val="993300"/>
                </a:solidFill>
                <a:prstDash val="solid"/>
              </a:ln>
            </c:spPr>
          </c:marker>
          <c:val>
            <c:numRef>
              <c:f>'p Data and calculations'!$H$10:$H$59</c:f>
              <c:numCache>
                <c:formatCode>General</c:formatCode>
                <c:ptCount val="50"/>
                <c:pt idx="0">
                  <c:v>0.75469368841137585</c:v>
                </c:pt>
                <c:pt idx="1">
                  <c:v>0.71632135084200821</c:v>
                </c:pt>
                <c:pt idx="2">
                  <c:v>0.937116644271484</c:v>
                </c:pt>
                <c:pt idx="3">
                  <c:v>0.80667679827468819</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3-85F5-4189-83BE-5745833626B4}"/>
            </c:ext>
          </c:extLst>
        </c:ser>
        <c:dLbls>
          <c:showLegendKey val="0"/>
          <c:showVal val="0"/>
          <c:showCatName val="0"/>
          <c:showSerName val="0"/>
          <c:showPercent val="0"/>
          <c:showBubbleSize val="0"/>
        </c:dLbls>
        <c:marker val="1"/>
        <c:smooth val="0"/>
        <c:axId val="237082856"/>
        <c:axId val="1"/>
      </c:lineChart>
      <c:catAx>
        <c:axId val="237082856"/>
        <c:scaling>
          <c:orientation val="minMax"/>
        </c:scaling>
        <c:delete val="0"/>
        <c:axPos val="b"/>
        <c:majorGridlines>
          <c:spPr>
            <a:ln w="3175">
              <a:solidFill>
                <a:srgbClr val="000000"/>
              </a:solidFill>
              <a:prstDash val="solid"/>
            </a:ln>
          </c:spPr>
        </c:majorGridlines>
        <c:title>
          <c:tx>
            <c:rich>
              <a:bodyPr/>
              <a:lstStyle/>
              <a:p>
                <a:pPr>
                  <a:defRPr sz="1600" b="1" i="0" u="none" strike="noStrike" baseline="0">
                    <a:solidFill>
                      <a:srgbClr val="000000"/>
                    </a:solidFill>
                    <a:latin typeface="Arial"/>
                    <a:ea typeface="Arial"/>
                    <a:cs typeface="Arial"/>
                  </a:defRPr>
                </a:pPr>
                <a:r>
                  <a:rPr lang="en-CA"/>
                  <a:t>Sample number</a:t>
                </a:r>
              </a:p>
            </c:rich>
          </c:tx>
          <c:layout>
            <c:manualLayout>
              <c:xMode val="edge"/>
              <c:yMode val="edge"/>
              <c:x val="0.42446092867221302"/>
              <c:y val="0.859485760353118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600" b="1" i="0" u="none" strike="noStrike" baseline="0">
                    <a:solidFill>
                      <a:srgbClr val="000000"/>
                    </a:solidFill>
                    <a:latin typeface="Arial"/>
                    <a:ea typeface="Arial"/>
                    <a:cs typeface="Arial"/>
                  </a:defRPr>
                </a:pPr>
                <a:r>
                  <a:rPr lang="en-CA"/>
                  <a:t>Fraction nonconforming</a:t>
                </a:r>
              </a:p>
            </c:rich>
          </c:tx>
          <c:layout>
            <c:manualLayout>
              <c:xMode val="edge"/>
              <c:yMode val="edge"/>
              <c:x val="9.5923373711234577E-3"/>
              <c:y val="0.22014076695692944"/>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37082856"/>
        <c:crosses val="autoZero"/>
        <c:crossBetween val="between"/>
      </c:valAx>
      <c:spPr>
        <a:solidFill>
          <a:srgbClr val="FFFFFF"/>
        </a:solidFill>
        <a:ln w="12700">
          <a:solidFill>
            <a:srgbClr val="000000"/>
          </a:solidFill>
          <a:prstDash val="solid"/>
        </a:ln>
      </c:spPr>
    </c:plotArea>
    <c:legend>
      <c:legendPos val="r"/>
      <c:layout>
        <c:manualLayout>
          <c:xMode val="edge"/>
          <c:yMode val="edge"/>
          <c:x val="0.70143967026340281"/>
          <c:y val="5.8548076318332296E-2"/>
          <c:w val="0.23381322342113428"/>
          <c:h val="0.1358315370585309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2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CA"/>
              <a:t>Attribute (p) Chart 
(approximate control limits)</a:t>
            </a:r>
          </a:p>
        </c:rich>
      </c:tx>
      <c:layout>
        <c:manualLayout>
          <c:xMode val="edge"/>
          <c:yMode val="edge"/>
          <c:x val="0.174850401648111"/>
          <c:y val="2.336448598130841E-2"/>
        </c:manualLayout>
      </c:layout>
      <c:overlay val="0"/>
      <c:spPr>
        <a:noFill/>
        <a:ln w="25400">
          <a:noFill/>
        </a:ln>
      </c:spPr>
    </c:title>
    <c:autoTitleDeleted val="0"/>
    <c:plotArea>
      <c:layout>
        <c:manualLayout>
          <c:layoutTarget val="inner"/>
          <c:xMode val="edge"/>
          <c:yMode val="edge"/>
          <c:x val="9.1018017296276954E-2"/>
          <c:y val="0.24532710280373832"/>
          <c:w val="0.82275497213871407"/>
          <c:h val="0.58411214953271029"/>
        </c:manualLayout>
      </c:layout>
      <c:lineChart>
        <c:grouping val="standard"/>
        <c:varyColors val="0"/>
        <c:ser>
          <c:idx val="1"/>
          <c:order val="0"/>
          <c:tx>
            <c:v>Fraction nonconforming</c:v>
          </c:tx>
          <c:spPr>
            <a:ln w="25400">
              <a:solidFill>
                <a:srgbClr val="000000"/>
              </a:solidFill>
              <a:prstDash val="solid"/>
            </a:ln>
          </c:spPr>
          <c:marker>
            <c:symbol val="diamond"/>
            <c:size val="7"/>
            <c:spPr>
              <a:solidFill>
                <a:srgbClr val="000000"/>
              </a:solidFill>
              <a:ln>
                <a:solidFill>
                  <a:srgbClr val="000000"/>
                </a:solidFill>
                <a:prstDash val="solid"/>
              </a:ln>
            </c:spPr>
          </c:marker>
          <c:val>
            <c:numRef>
              <c:f>'p Data and calculations'!$D$10:$D$34</c:f>
              <c:numCache>
                <c:formatCode>0.0000</c:formatCode>
                <c:ptCount val="25"/>
                <c:pt idx="0">
                  <c:v>0.2</c:v>
                </c:pt>
                <c:pt idx="1">
                  <c:v>0.5</c:v>
                </c:pt>
                <c:pt idx="2">
                  <c:v>0.4</c:v>
                </c:pt>
                <c:pt idx="3">
                  <c:v>0.125</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ADEB-4CF6-87B6-41029FB5BE7C}"/>
            </c:ext>
          </c:extLst>
        </c:ser>
        <c:ser>
          <c:idx val="2"/>
          <c:order val="1"/>
          <c:tx>
            <c:v>Lower control limit</c:v>
          </c:tx>
          <c:spPr>
            <a:ln w="12700">
              <a:solidFill>
                <a:srgbClr val="008000"/>
              </a:solidFill>
              <a:prstDash val="solid"/>
            </a:ln>
          </c:spPr>
          <c:marker>
            <c:symbol val="square"/>
            <c:size val="5"/>
            <c:spPr>
              <a:solidFill>
                <a:srgbClr val="008000"/>
              </a:solidFill>
              <a:ln>
                <a:solidFill>
                  <a:srgbClr val="008000"/>
                </a:solidFill>
                <a:prstDash val="solid"/>
              </a:ln>
            </c:spPr>
          </c:marker>
          <c:val>
            <c:numRef>
              <c:f>'p Data and calculations'!$J$10:$J$59</c:f>
              <c:numCache>
                <c:formatCode>General</c:formatCode>
                <c:ptCount val="5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1-ADEB-4CF6-87B6-41029FB5BE7C}"/>
            </c:ext>
          </c:extLst>
        </c:ser>
        <c:ser>
          <c:idx val="3"/>
          <c:order val="2"/>
          <c:tx>
            <c:v>Center line</c:v>
          </c:tx>
          <c:spPr>
            <a:ln w="38100">
              <a:solidFill>
                <a:srgbClr val="333399"/>
              </a:solidFill>
              <a:prstDash val="solid"/>
            </a:ln>
          </c:spPr>
          <c:marker>
            <c:symbol val="none"/>
          </c:marker>
          <c:val>
            <c:numRef>
              <c:f>'p Data and calculations'!$K$10:$K$59</c:f>
              <c:numCache>
                <c:formatCode>General</c:formatCode>
                <c:ptCount val="50"/>
                <c:pt idx="0">
                  <c:v>0.31428571428571428</c:v>
                </c:pt>
                <c:pt idx="1">
                  <c:v>0.31428571428571428</c:v>
                </c:pt>
                <c:pt idx="2">
                  <c:v>0.31428571428571428</c:v>
                </c:pt>
                <c:pt idx="3">
                  <c:v>0.31428571428571428</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2-ADEB-4CF6-87B6-41029FB5BE7C}"/>
            </c:ext>
          </c:extLst>
        </c:ser>
        <c:ser>
          <c:idx val="0"/>
          <c:order val="3"/>
          <c:tx>
            <c:v>Upper control limit</c:v>
          </c:tx>
          <c:spPr>
            <a:ln w="12700">
              <a:solidFill>
                <a:srgbClr val="993300"/>
              </a:solidFill>
              <a:prstDash val="solid"/>
            </a:ln>
          </c:spPr>
          <c:marker>
            <c:symbol val="triangle"/>
            <c:size val="5"/>
            <c:spPr>
              <a:solidFill>
                <a:srgbClr val="993300"/>
              </a:solidFill>
              <a:ln>
                <a:solidFill>
                  <a:srgbClr val="993300"/>
                </a:solidFill>
                <a:prstDash val="solid"/>
              </a:ln>
            </c:spPr>
          </c:marker>
          <c:val>
            <c:numRef>
              <c:f>'p Data and calculations'!$L$10:$L$59</c:f>
              <c:numCache>
                <c:formatCode>General</c:formatCode>
                <c:ptCount val="50"/>
                <c:pt idx="0">
                  <c:v>0.78510164273755101</c:v>
                </c:pt>
                <c:pt idx="1">
                  <c:v>0.78510164273755101</c:v>
                </c:pt>
                <c:pt idx="2">
                  <c:v>0.78510164273755101</c:v>
                </c:pt>
                <c:pt idx="3">
                  <c:v>0.78510164273755101</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3-ADEB-4CF6-87B6-41029FB5BE7C}"/>
            </c:ext>
          </c:extLst>
        </c:ser>
        <c:dLbls>
          <c:showLegendKey val="0"/>
          <c:showVal val="0"/>
          <c:showCatName val="0"/>
          <c:showSerName val="0"/>
          <c:showPercent val="0"/>
          <c:showBubbleSize val="0"/>
        </c:dLbls>
        <c:marker val="1"/>
        <c:smooth val="0"/>
        <c:axId val="360039440"/>
        <c:axId val="1"/>
      </c:lineChart>
      <c:catAx>
        <c:axId val="360039440"/>
        <c:scaling>
          <c:orientation val="minMax"/>
        </c:scaling>
        <c:delete val="0"/>
        <c:axPos val="b"/>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CA"/>
                  <a:t>Sample number</a:t>
                </a:r>
              </a:p>
            </c:rich>
          </c:tx>
          <c:layout>
            <c:manualLayout>
              <c:xMode val="edge"/>
              <c:yMode val="edge"/>
              <c:x val="0.43832360961101796"/>
              <c:y val="0.892523364485981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CA"/>
                  <a:t>Fraction nonconforming</a:t>
                </a:r>
              </a:p>
            </c:rich>
          </c:tx>
          <c:layout>
            <c:manualLayout>
              <c:xMode val="edge"/>
              <c:yMode val="edge"/>
              <c:x val="1.1976054907404863E-2"/>
              <c:y val="0.35514018691588783"/>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0039440"/>
        <c:crosses val="autoZero"/>
        <c:crossBetween val="between"/>
      </c:valAx>
      <c:spPr>
        <a:solidFill>
          <a:srgbClr val="FFFFFF"/>
        </a:solidFill>
        <a:ln w="12700">
          <a:solidFill>
            <a:srgbClr val="000000"/>
          </a:solidFill>
          <a:prstDash val="solid"/>
        </a:ln>
      </c:spPr>
    </c:plotArea>
    <c:legend>
      <c:legendPos val="r"/>
      <c:layout>
        <c:manualLayout>
          <c:xMode val="edge"/>
          <c:yMode val="edge"/>
          <c:x val="0.69461118462948201"/>
          <c:y val="5.6074766355140186E-2"/>
          <c:w val="0.23353307069439483"/>
          <c:h val="0.1355140186915887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2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barChart>
        <c:barDir val="col"/>
        <c:grouping val="clustered"/>
        <c:varyColors val="0"/>
        <c:ser>
          <c:idx val="0"/>
          <c:order val="0"/>
          <c:tx>
            <c:strRef>
              <c:f>Pareto!$B$2</c:f>
              <c:strCache>
                <c:ptCount val="1"/>
                <c:pt idx="0">
                  <c:v># occurrence</c:v>
                </c:pt>
              </c:strCache>
            </c:strRef>
          </c:tx>
          <c:spPr>
            <a:solidFill>
              <a:schemeClr val="accent1"/>
            </a:solidFill>
            <a:ln>
              <a:noFill/>
            </a:ln>
            <a:effectLst/>
          </c:spPr>
          <c:invertIfNegative val="0"/>
          <c:cat>
            <c:strRef>
              <c:f>Pareto!$A$3:$A$19</c:f>
              <c:strCache>
                <c:ptCount val="17"/>
                <c:pt idx="0">
                  <c:v>A</c:v>
                </c:pt>
                <c:pt idx="1">
                  <c:v>B</c:v>
                </c:pt>
                <c:pt idx="2">
                  <c:v>C</c:v>
                </c:pt>
                <c:pt idx="3">
                  <c:v>D</c:v>
                </c:pt>
                <c:pt idx="4">
                  <c:v>E</c:v>
                </c:pt>
                <c:pt idx="5">
                  <c:v>F</c:v>
                </c:pt>
                <c:pt idx="6">
                  <c:v>G</c:v>
                </c:pt>
                <c:pt idx="7">
                  <c:v>H</c:v>
                </c:pt>
                <c:pt idx="8">
                  <c:v>I</c:v>
                </c:pt>
                <c:pt idx="9">
                  <c:v>J</c:v>
                </c:pt>
                <c:pt idx="10">
                  <c:v>G</c:v>
                </c:pt>
                <c:pt idx="11">
                  <c:v>H</c:v>
                </c:pt>
                <c:pt idx="12">
                  <c:v>I</c:v>
                </c:pt>
                <c:pt idx="13">
                  <c:v>J</c:v>
                </c:pt>
                <c:pt idx="14">
                  <c:v>G</c:v>
                </c:pt>
                <c:pt idx="15">
                  <c:v>H</c:v>
                </c:pt>
                <c:pt idx="16">
                  <c:v>I</c:v>
                </c:pt>
              </c:strCache>
            </c:strRef>
          </c:cat>
          <c:val>
            <c:numRef>
              <c:f>Pareto!$B$3:$B$19</c:f>
              <c:numCache>
                <c:formatCode>General</c:formatCode>
                <c:ptCount val="17"/>
                <c:pt idx="0">
                  <c:v>90</c:v>
                </c:pt>
                <c:pt idx="1">
                  <c:v>87</c:v>
                </c:pt>
                <c:pt idx="2">
                  <c:v>45</c:v>
                </c:pt>
                <c:pt idx="3">
                  <c:v>33</c:v>
                </c:pt>
                <c:pt idx="4">
                  <c:v>23</c:v>
                </c:pt>
                <c:pt idx="5">
                  <c:v>18</c:v>
                </c:pt>
                <c:pt idx="6">
                  <c:v>14</c:v>
                </c:pt>
                <c:pt idx="7">
                  <c:v>13</c:v>
                </c:pt>
                <c:pt idx="8">
                  <c:v>5</c:v>
                </c:pt>
                <c:pt idx="9">
                  <c:v>4</c:v>
                </c:pt>
                <c:pt idx="10">
                  <c:v>3</c:v>
                </c:pt>
                <c:pt idx="11">
                  <c:v>3</c:v>
                </c:pt>
                <c:pt idx="12">
                  <c:v>2</c:v>
                </c:pt>
                <c:pt idx="13">
                  <c:v>2</c:v>
                </c:pt>
                <c:pt idx="14">
                  <c:v>1</c:v>
                </c:pt>
                <c:pt idx="15">
                  <c:v>1</c:v>
                </c:pt>
                <c:pt idx="16">
                  <c:v>1</c:v>
                </c:pt>
              </c:numCache>
            </c:numRef>
          </c:val>
          <c:extLst>
            <c:ext xmlns:c16="http://schemas.microsoft.com/office/drawing/2014/chart" uri="{C3380CC4-5D6E-409C-BE32-E72D297353CC}">
              <c16:uniqueId val="{00000000-5FA2-41C0-8B99-A2813073B4C9}"/>
            </c:ext>
          </c:extLst>
        </c:ser>
        <c:dLbls>
          <c:showLegendKey val="0"/>
          <c:showVal val="0"/>
          <c:showCatName val="0"/>
          <c:showSerName val="0"/>
          <c:showPercent val="0"/>
          <c:showBubbleSize val="0"/>
        </c:dLbls>
        <c:gapWidth val="219"/>
        <c:overlap val="-27"/>
        <c:axId val="441827592"/>
        <c:axId val="361587768"/>
        <c:extLst>
          <c:ext xmlns:c15="http://schemas.microsoft.com/office/drawing/2012/chart" uri="{02D57815-91ED-43cb-92C2-25804820EDAC}">
            <c15:filteredBarSeries>
              <c15:ser>
                <c:idx val="1"/>
                <c:order val="1"/>
                <c:tx>
                  <c:v>% of all defect</c:v>
                </c:tx>
                <c:spPr>
                  <a:solidFill>
                    <a:schemeClr val="accent2"/>
                  </a:solidFill>
                  <a:ln>
                    <a:noFill/>
                  </a:ln>
                  <a:effectLst/>
                </c:spPr>
                <c:invertIfNegative val="0"/>
                <c:cat>
                  <c:strLit>
                    <c:ptCount val="11"/>
                    <c:pt idx="0">
                      <c:v>A</c:v>
                    </c:pt>
                    <c:pt idx="1">
                      <c:v>B</c:v>
                    </c:pt>
                    <c:pt idx="2">
                      <c:v>C</c:v>
                    </c:pt>
                    <c:pt idx="3">
                      <c:v>D</c:v>
                    </c:pt>
                    <c:pt idx="4">
                      <c:v>E</c:v>
                    </c:pt>
                    <c:pt idx="5">
                      <c:v>F</c:v>
                    </c:pt>
                    <c:pt idx="6">
                      <c:v>G</c:v>
                    </c:pt>
                    <c:pt idx="7">
                      <c:v>H</c:v>
                    </c:pt>
                    <c:pt idx="8">
                      <c:v>I</c:v>
                    </c:pt>
                    <c:pt idx="9">
                      <c:v>J</c:v>
                    </c:pt>
                    <c:pt idx="10">
                      <c:v>K</c:v>
                    </c:pt>
                  </c:strLit>
                </c:cat>
                <c:val>
                  <c:numLit>
                    <c:formatCode>General</c:formatCode>
                    <c:ptCount val="11"/>
                    <c:pt idx="0">
                      <c:v>0.28753993610223644</c:v>
                    </c:pt>
                    <c:pt idx="1">
                      <c:v>0.21405750798722045</c:v>
                    </c:pt>
                    <c:pt idx="2">
                      <c:v>0.14376996805111822</c:v>
                    </c:pt>
                    <c:pt idx="3">
                      <c:v>0.10543130990415335</c:v>
                    </c:pt>
                    <c:pt idx="4">
                      <c:v>7.3482428115015971E-2</c:v>
                    </c:pt>
                    <c:pt idx="5">
                      <c:v>5.7507987220447282E-2</c:v>
                    </c:pt>
                    <c:pt idx="6">
                      <c:v>4.472843450479233E-2</c:v>
                    </c:pt>
                    <c:pt idx="7">
                      <c:v>4.1533546325878593E-2</c:v>
                    </c:pt>
                    <c:pt idx="8">
                      <c:v>1.5974440894568689E-2</c:v>
                    </c:pt>
                    <c:pt idx="9">
                      <c:v>1.2779552715654952E-2</c:v>
                    </c:pt>
                    <c:pt idx="10">
                      <c:v>3.1948881789137379E-3</c:v>
                    </c:pt>
                  </c:numLit>
                </c:val>
                <c:extLst>
                  <c:ext xmlns:c16="http://schemas.microsoft.com/office/drawing/2014/chart" uri="{C3380CC4-5D6E-409C-BE32-E72D297353CC}">
                    <c16:uniqueId val="{00000002-5FA2-41C0-8B99-A2813073B4C9}"/>
                  </c:ext>
                </c:extLst>
              </c15:ser>
            </c15:filteredBarSeries>
          </c:ext>
        </c:extLst>
      </c:barChart>
      <c:lineChart>
        <c:grouping val="standard"/>
        <c:varyColors val="0"/>
        <c:ser>
          <c:idx val="2"/>
          <c:order val="2"/>
          <c:tx>
            <c:strRef>
              <c:f>Pareto!$D$2</c:f>
              <c:strCache>
                <c:ptCount val="1"/>
                <c:pt idx="0">
                  <c:v>cumulative %</c:v>
                </c:pt>
              </c:strCache>
            </c:strRef>
          </c:tx>
          <c:spPr>
            <a:ln w="28575" cap="rnd">
              <a:solidFill>
                <a:schemeClr val="accent3"/>
              </a:solidFill>
              <a:round/>
            </a:ln>
            <a:effectLst/>
          </c:spPr>
          <c:marker>
            <c:symbol val="none"/>
          </c:marker>
          <c:cat>
            <c:strRef>
              <c:f>Pareto!$A$3:$A$19</c:f>
              <c:strCache>
                <c:ptCount val="17"/>
                <c:pt idx="0">
                  <c:v>A</c:v>
                </c:pt>
                <c:pt idx="1">
                  <c:v>B</c:v>
                </c:pt>
                <c:pt idx="2">
                  <c:v>C</c:v>
                </c:pt>
                <c:pt idx="3">
                  <c:v>D</c:v>
                </c:pt>
                <c:pt idx="4">
                  <c:v>E</c:v>
                </c:pt>
                <c:pt idx="5">
                  <c:v>F</c:v>
                </c:pt>
                <c:pt idx="6">
                  <c:v>G</c:v>
                </c:pt>
                <c:pt idx="7">
                  <c:v>H</c:v>
                </c:pt>
                <c:pt idx="8">
                  <c:v>I</c:v>
                </c:pt>
                <c:pt idx="9">
                  <c:v>J</c:v>
                </c:pt>
                <c:pt idx="10">
                  <c:v>G</c:v>
                </c:pt>
                <c:pt idx="11">
                  <c:v>H</c:v>
                </c:pt>
                <c:pt idx="12">
                  <c:v>I</c:v>
                </c:pt>
                <c:pt idx="13">
                  <c:v>J</c:v>
                </c:pt>
                <c:pt idx="14">
                  <c:v>G</c:v>
                </c:pt>
                <c:pt idx="15">
                  <c:v>H</c:v>
                </c:pt>
                <c:pt idx="16">
                  <c:v>I</c:v>
                </c:pt>
              </c:strCache>
            </c:strRef>
          </c:cat>
          <c:val>
            <c:numRef>
              <c:f>Pareto!$D$3:$D$19</c:f>
              <c:numCache>
                <c:formatCode>0%</c:formatCode>
                <c:ptCount val="17"/>
                <c:pt idx="0">
                  <c:v>0.2608695652173913</c:v>
                </c:pt>
                <c:pt idx="1">
                  <c:v>0.51304347826086949</c:v>
                </c:pt>
                <c:pt idx="2">
                  <c:v>0.64347826086956517</c:v>
                </c:pt>
                <c:pt idx="3">
                  <c:v>0.73913043478260865</c:v>
                </c:pt>
                <c:pt idx="4">
                  <c:v>0.8057971014492753</c:v>
                </c:pt>
                <c:pt idx="5">
                  <c:v>0.85797101449275359</c:v>
                </c:pt>
                <c:pt idx="6">
                  <c:v>0.89855072463768115</c:v>
                </c:pt>
                <c:pt idx="7">
                  <c:v>0.93623188405797098</c:v>
                </c:pt>
                <c:pt idx="8">
                  <c:v>0.95072463768115933</c:v>
                </c:pt>
                <c:pt idx="9">
                  <c:v>0.96231884057971007</c:v>
                </c:pt>
                <c:pt idx="10">
                  <c:v>0.97101449275362306</c:v>
                </c:pt>
                <c:pt idx="11">
                  <c:v>0.97971014492753605</c:v>
                </c:pt>
                <c:pt idx="12">
                  <c:v>0.98550724637681142</c:v>
                </c:pt>
                <c:pt idx="13">
                  <c:v>0.99130434782608678</c:v>
                </c:pt>
                <c:pt idx="14">
                  <c:v>0.99420289855072441</c:v>
                </c:pt>
                <c:pt idx="15">
                  <c:v>0.99710144927536204</c:v>
                </c:pt>
                <c:pt idx="16">
                  <c:v>0.99999999999999967</c:v>
                </c:pt>
              </c:numCache>
            </c:numRef>
          </c:val>
          <c:smooth val="0"/>
          <c:extLst>
            <c:ext xmlns:c16="http://schemas.microsoft.com/office/drawing/2014/chart" uri="{C3380CC4-5D6E-409C-BE32-E72D297353CC}">
              <c16:uniqueId val="{00000001-5FA2-41C0-8B99-A2813073B4C9}"/>
            </c:ext>
          </c:extLst>
        </c:ser>
        <c:dLbls>
          <c:showLegendKey val="0"/>
          <c:showVal val="0"/>
          <c:showCatName val="0"/>
          <c:showSerName val="0"/>
          <c:showPercent val="0"/>
          <c:showBubbleSize val="0"/>
        </c:dLbls>
        <c:marker val="1"/>
        <c:smooth val="0"/>
        <c:axId val="443908152"/>
        <c:axId val="443909328"/>
      </c:lineChart>
      <c:catAx>
        <c:axId val="441827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n-US"/>
          </a:p>
        </c:txPr>
        <c:crossAx val="361587768"/>
        <c:crosses val="autoZero"/>
        <c:auto val="1"/>
        <c:lblAlgn val="ctr"/>
        <c:lblOffset val="100"/>
        <c:noMultiLvlLbl val="0"/>
      </c:catAx>
      <c:valAx>
        <c:axId val="361587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vert="horz"/>
          <a:lstStyle/>
          <a:p>
            <a:pPr>
              <a:defRPr sz="900" b="0" i="0" u="none" strike="noStrike" baseline="0">
                <a:solidFill>
                  <a:srgbClr val="333333"/>
                </a:solidFill>
                <a:latin typeface="Calibri"/>
                <a:ea typeface="Calibri"/>
                <a:cs typeface="Calibri"/>
              </a:defRPr>
            </a:pPr>
            <a:endParaRPr lang="en-US"/>
          </a:p>
        </c:txPr>
        <c:crossAx val="441827592"/>
        <c:crosses val="autoZero"/>
        <c:crossBetween val="between"/>
      </c:valAx>
      <c:catAx>
        <c:axId val="443908152"/>
        <c:scaling>
          <c:orientation val="minMax"/>
        </c:scaling>
        <c:delete val="1"/>
        <c:axPos val="b"/>
        <c:numFmt formatCode="General" sourceLinked="1"/>
        <c:majorTickMark val="out"/>
        <c:minorTickMark val="none"/>
        <c:tickLblPos val="nextTo"/>
        <c:crossAx val="443909328"/>
        <c:crosses val="autoZero"/>
        <c:auto val="1"/>
        <c:lblAlgn val="ctr"/>
        <c:lblOffset val="100"/>
        <c:noMultiLvlLbl val="0"/>
      </c:catAx>
      <c:valAx>
        <c:axId val="443909328"/>
        <c:scaling>
          <c:orientation val="minMax"/>
        </c:scaling>
        <c:delete val="0"/>
        <c:axPos val="r"/>
        <c:numFmt formatCode="0%" sourceLinked="1"/>
        <c:majorTickMark val="none"/>
        <c:minorTickMark val="none"/>
        <c:tickLblPos val="nextTo"/>
        <c:spPr>
          <a:noFill/>
          <a:ln>
            <a:noFill/>
          </a:ln>
          <a:effectLst/>
        </c:spPr>
        <c:txPr>
          <a:bodyPr rot="0" vert="horz"/>
          <a:lstStyle/>
          <a:p>
            <a:pPr>
              <a:defRPr sz="900" b="0" i="0" u="none" strike="noStrike" baseline="0">
                <a:solidFill>
                  <a:srgbClr val="333333"/>
                </a:solidFill>
                <a:latin typeface="Calibri"/>
                <a:ea typeface="Calibri"/>
                <a:cs typeface="Calibri"/>
              </a:defRPr>
            </a:pPr>
            <a:endParaRPr lang="en-US"/>
          </a:p>
        </c:txPr>
        <c:crossAx val="443908152"/>
        <c:crosses val="max"/>
        <c:crossBetween val="between"/>
      </c:valAx>
      <c:spPr>
        <a:noFill/>
        <a:ln w="25400">
          <a:noFill/>
        </a:ln>
      </c:spPr>
    </c:plotArea>
    <c:legend>
      <c:legendPos val="b"/>
      <c:overlay val="0"/>
      <c:spPr>
        <a:noFill/>
        <a:ln>
          <a:noFill/>
        </a:ln>
        <a:effectLst/>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Avg +/-1 and +/-3 Sigma Boxplot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stockChart>
        <c:ser>
          <c:idx val="0"/>
          <c:order val="0"/>
          <c:spPr>
            <a:ln w="25400" cap="rnd">
              <a:noFill/>
              <a:round/>
            </a:ln>
            <a:effectLst/>
          </c:spPr>
          <c:marker>
            <c:symbol val="none"/>
          </c:marker>
          <c:cat>
            <c:strRef>
              <c:f>'Sigma Boxplot'!$B$3:$K$3</c:f>
              <c:strCache>
                <c:ptCount val="10"/>
                <c:pt idx="0">
                  <c:v>a</c:v>
                </c:pt>
                <c:pt idx="1">
                  <c:v>b</c:v>
                </c:pt>
                <c:pt idx="2">
                  <c:v>c</c:v>
                </c:pt>
                <c:pt idx="3">
                  <c:v>d</c:v>
                </c:pt>
                <c:pt idx="4">
                  <c:v>e</c:v>
                </c:pt>
                <c:pt idx="5">
                  <c:v>f</c:v>
                </c:pt>
                <c:pt idx="6">
                  <c:v>g</c:v>
                </c:pt>
                <c:pt idx="7">
                  <c:v>h</c:v>
                </c:pt>
                <c:pt idx="8">
                  <c:v>i</c:v>
                </c:pt>
                <c:pt idx="9">
                  <c:v>j</c:v>
                </c:pt>
              </c:strCache>
            </c:strRef>
          </c:cat>
          <c:val>
            <c:numRef>
              <c:f>'Sigma Boxplot'!$B$4:$K$4</c:f>
              <c:numCache>
                <c:formatCode>0.0</c:formatCode>
                <c:ptCount val="10"/>
                <c:pt idx="0">
                  <c:v>103.07820850466146</c:v>
                </c:pt>
                <c:pt idx="1">
                  <c:v>86.100633066852538</c:v>
                </c:pt>
                <c:pt idx="2">
                  <c:v>98.078208504661461</c:v>
                </c:pt>
                <c:pt idx="3">
                  <c:v>81.100633066852623</c:v>
                </c:pt>
                <c:pt idx="4">
                  <c:v>93.078208504661447</c:v>
                </c:pt>
                <c:pt idx="5">
                  <c:v>76.100633066852481</c:v>
                </c:pt>
                <c:pt idx="6">
                  <c:v>88.078208504661433</c:v>
                </c:pt>
                <c:pt idx="7">
                  <c:v>71.100633066852481</c:v>
                </c:pt>
                <c:pt idx="8">
                  <c:v>83.078208504661362</c:v>
                </c:pt>
                <c:pt idx="9">
                  <c:v>66.100633066852438</c:v>
                </c:pt>
              </c:numCache>
            </c:numRef>
          </c:val>
          <c:smooth val="0"/>
          <c:extLst>
            <c:ext xmlns:c16="http://schemas.microsoft.com/office/drawing/2014/chart" uri="{C3380CC4-5D6E-409C-BE32-E72D297353CC}">
              <c16:uniqueId val="{00000000-A338-4314-AC5D-B294CE6CB203}"/>
            </c:ext>
          </c:extLst>
        </c:ser>
        <c:ser>
          <c:idx val="1"/>
          <c:order val="1"/>
          <c:spPr>
            <a:ln w="25400" cap="rnd">
              <a:noFill/>
              <a:round/>
            </a:ln>
            <a:effectLst/>
          </c:spPr>
          <c:marker>
            <c:symbol val="none"/>
          </c:marker>
          <c:cat>
            <c:strRef>
              <c:f>'Sigma Boxplot'!$B$3:$K$3</c:f>
              <c:strCache>
                <c:ptCount val="10"/>
                <c:pt idx="0">
                  <c:v>a</c:v>
                </c:pt>
                <c:pt idx="1">
                  <c:v>b</c:v>
                </c:pt>
                <c:pt idx="2">
                  <c:v>c</c:v>
                </c:pt>
                <c:pt idx="3">
                  <c:v>d</c:v>
                </c:pt>
                <c:pt idx="4">
                  <c:v>e</c:v>
                </c:pt>
                <c:pt idx="5">
                  <c:v>f</c:v>
                </c:pt>
                <c:pt idx="6">
                  <c:v>g</c:v>
                </c:pt>
                <c:pt idx="7">
                  <c:v>h</c:v>
                </c:pt>
                <c:pt idx="8">
                  <c:v>i</c:v>
                </c:pt>
                <c:pt idx="9">
                  <c:v>j</c:v>
                </c:pt>
              </c:strCache>
            </c:strRef>
          </c:cat>
          <c:val>
            <c:numRef>
              <c:f>'Sigma Boxplot'!$B$5:$K$5</c:f>
              <c:numCache>
                <c:formatCode>0.0</c:formatCode>
                <c:ptCount val="10"/>
                <c:pt idx="0">
                  <c:v>120.12980872782818</c:v>
                </c:pt>
                <c:pt idx="1">
                  <c:v>110.89088895023313</c:v>
                </c:pt>
                <c:pt idx="2">
                  <c:v>115.12980872782818</c:v>
                </c:pt>
                <c:pt idx="3">
                  <c:v>105.89088895023343</c:v>
                </c:pt>
                <c:pt idx="4">
                  <c:v>110.12980872782816</c:v>
                </c:pt>
                <c:pt idx="5">
                  <c:v>100.89088895023295</c:v>
                </c:pt>
                <c:pt idx="6">
                  <c:v>105.12980872782806</c:v>
                </c:pt>
                <c:pt idx="7">
                  <c:v>95.890888950232949</c:v>
                </c:pt>
                <c:pt idx="8">
                  <c:v>100.12980872782785</c:v>
                </c:pt>
                <c:pt idx="9">
                  <c:v>90.890888950232807</c:v>
                </c:pt>
              </c:numCache>
            </c:numRef>
          </c:val>
          <c:smooth val="0"/>
          <c:extLst>
            <c:ext xmlns:c16="http://schemas.microsoft.com/office/drawing/2014/chart" uri="{C3380CC4-5D6E-409C-BE32-E72D297353CC}">
              <c16:uniqueId val="{00000001-A338-4314-AC5D-B294CE6CB203}"/>
            </c:ext>
          </c:extLst>
        </c:ser>
        <c:ser>
          <c:idx val="2"/>
          <c:order val="2"/>
          <c:spPr>
            <a:ln w="25400" cap="rnd">
              <a:noFill/>
              <a:round/>
            </a:ln>
            <a:effectLst/>
          </c:spPr>
          <c:marker>
            <c:symbol val="none"/>
          </c:marker>
          <c:cat>
            <c:strRef>
              <c:f>'Sigma Boxplot'!$B$3:$K$3</c:f>
              <c:strCache>
                <c:ptCount val="10"/>
                <c:pt idx="0">
                  <c:v>a</c:v>
                </c:pt>
                <c:pt idx="1">
                  <c:v>b</c:v>
                </c:pt>
                <c:pt idx="2">
                  <c:v>c</c:v>
                </c:pt>
                <c:pt idx="3">
                  <c:v>d</c:v>
                </c:pt>
                <c:pt idx="4">
                  <c:v>e</c:v>
                </c:pt>
                <c:pt idx="5">
                  <c:v>f</c:v>
                </c:pt>
                <c:pt idx="6">
                  <c:v>g</c:v>
                </c:pt>
                <c:pt idx="7">
                  <c:v>h</c:v>
                </c:pt>
                <c:pt idx="8">
                  <c:v>i</c:v>
                </c:pt>
                <c:pt idx="9">
                  <c:v>j</c:v>
                </c:pt>
              </c:strCache>
            </c:strRef>
          </c:cat>
          <c:val>
            <c:numRef>
              <c:f>'Sigma Boxplot'!$B$6:$K$6</c:f>
              <c:numCache>
                <c:formatCode>0.0</c:formatCode>
                <c:ptCount val="10"/>
                <c:pt idx="0">
                  <c:v>68.975008058328044</c:v>
                </c:pt>
                <c:pt idx="1">
                  <c:v>36.520121300091333</c:v>
                </c:pt>
                <c:pt idx="2">
                  <c:v>63.975008058328044</c:v>
                </c:pt>
                <c:pt idx="3">
                  <c:v>31.520121300091041</c:v>
                </c:pt>
                <c:pt idx="4">
                  <c:v>58.975008058328029</c:v>
                </c:pt>
                <c:pt idx="5">
                  <c:v>26.520121300091567</c:v>
                </c:pt>
                <c:pt idx="6">
                  <c:v>53.975008058328157</c:v>
                </c:pt>
                <c:pt idx="7">
                  <c:v>21.520121300091567</c:v>
                </c:pt>
                <c:pt idx="8">
                  <c:v>48.97500805832837</c:v>
                </c:pt>
                <c:pt idx="9">
                  <c:v>16.520121300091709</c:v>
                </c:pt>
              </c:numCache>
            </c:numRef>
          </c:val>
          <c:smooth val="0"/>
          <c:extLst>
            <c:ext xmlns:c16="http://schemas.microsoft.com/office/drawing/2014/chart" uri="{C3380CC4-5D6E-409C-BE32-E72D297353CC}">
              <c16:uniqueId val="{00000002-A338-4314-AC5D-B294CE6CB203}"/>
            </c:ext>
          </c:extLst>
        </c:ser>
        <c:ser>
          <c:idx val="3"/>
          <c:order val="3"/>
          <c:spPr>
            <a:ln w="25400" cap="rnd">
              <a:noFill/>
              <a:round/>
            </a:ln>
            <a:effectLst/>
          </c:spPr>
          <c:marker>
            <c:symbol val="none"/>
          </c:marker>
          <c:cat>
            <c:strRef>
              <c:f>'Sigma Boxplot'!$B$3:$K$3</c:f>
              <c:strCache>
                <c:ptCount val="10"/>
                <c:pt idx="0">
                  <c:v>a</c:v>
                </c:pt>
                <c:pt idx="1">
                  <c:v>b</c:v>
                </c:pt>
                <c:pt idx="2">
                  <c:v>c</c:v>
                </c:pt>
                <c:pt idx="3">
                  <c:v>d</c:v>
                </c:pt>
                <c:pt idx="4">
                  <c:v>e</c:v>
                </c:pt>
                <c:pt idx="5">
                  <c:v>f</c:v>
                </c:pt>
                <c:pt idx="6">
                  <c:v>g</c:v>
                </c:pt>
                <c:pt idx="7">
                  <c:v>h</c:v>
                </c:pt>
                <c:pt idx="8">
                  <c:v>i</c:v>
                </c:pt>
                <c:pt idx="9">
                  <c:v>j</c:v>
                </c:pt>
              </c:strCache>
            </c:strRef>
          </c:cat>
          <c:val>
            <c:numRef>
              <c:f>'Sigma Boxplot'!$B$7:$K$7</c:f>
              <c:numCache>
                <c:formatCode>0.0</c:formatCode>
                <c:ptCount val="10"/>
                <c:pt idx="0">
                  <c:v>86.026608281494759</c:v>
                </c:pt>
                <c:pt idx="1">
                  <c:v>61.310377183471928</c:v>
                </c:pt>
                <c:pt idx="2">
                  <c:v>81.026608281494759</c:v>
                </c:pt>
                <c:pt idx="3">
                  <c:v>56.310377183471836</c:v>
                </c:pt>
                <c:pt idx="4">
                  <c:v>76.026608281494745</c:v>
                </c:pt>
                <c:pt idx="5">
                  <c:v>51.310377183472028</c:v>
                </c:pt>
                <c:pt idx="6">
                  <c:v>71.026608281494788</c:v>
                </c:pt>
                <c:pt idx="7">
                  <c:v>46.310377183472028</c:v>
                </c:pt>
                <c:pt idx="8">
                  <c:v>66.026608281494859</c:v>
                </c:pt>
                <c:pt idx="9">
                  <c:v>41.31037718347207</c:v>
                </c:pt>
              </c:numCache>
            </c:numRef>
          </c:val>
          <c:smooth val="0"/>
          <c:extLst>
            <c:ext xmlns:c16="http://schemas.microsoft.com/office/drawing/2014/chart" uri="{C3380CC4-5D6E-409C-BE32-E72D297353CC}">
              <c16:uniqueId val="{00000003-A338-4314-AC5D-B294CE6CB203}"/>
            </c:ext>
          </c:extLst>
        </c:ser>
        <c:dLbls>
          <c:showLegendKey val="0"/>
          <c:showVal val="0"/>
          <c:showCatName val="0"/>
          <c:showSerName val="0"/>
          <c:showPercent val="0"/>
          <c:showBubbleSize val="0"/>
        </c:dLbls>
        <c:hiLowLines>
          <c:spPr>
            <a:ln w="15875" cap="flat" cmpd="sng" algn="ctr">
              <a:solidFill>
                <a:schemeClr val="dk1">
                  <a:lumMod val="65000"/>
                  <a:lumOff val="35000"/>
                </a:schemeClr>
              </a:solidFill>
              <a:round/>
            </a:ln>
            <a:effectLst/>
          </c:spPr>
        </c:hiLowLines>
        <c:upDownBars>
          <c:gapWidth val="150"/>
          <c:upBars>
            <c:spPr>
              <a:solidFill>
                <a:schemeClr val="lt1"/>
              </a:solidFill>
              <a:ln w="9525" cap="flat" cmpd="sng" algn="ctr">
                <a:solidFill>
                  <a:schemeClr val="lt1">
                    <a:lumMod val="85000"/>
                  </a:schemeClr>
                </a:solidFill>
                <a:round/>
              </a:ln>
              <a:effectLst/>
            </c:spPr>
          </c:upBars>
          <c:downBars>
            <c:spPr>
              <a:solidFill>
                <a:srgbClr val="0070C0"/>
              </a:solidFill>
              <a:ln w="9525" cap="flat" cmpd="sng" algn="ctr">
                <a:solidFill>
                  <a:schemeClr val="dk1">
                    <a:lumMod val="65000"/>
                    <a:lumOff val="35000"/>
                  </a:schemeClr>
                </a:solidFill>
                <a:round/>
              </a:ln>
              <a:effectLst/>
            </c:spPr>
          </c:downBars>
        </c:upDownBars>
        <c:axId val="443908544"/>
        <c:axId val="443913640"/>
      </c:stockChart>
      <c:catAx>
        <c:axId val="4439085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43913640"/>
        <c:crosses val="autoZero"/>
        <c:auto val="1"/>
        <c:lblAlgn val="ctr"/>
        <c:lblOffset val="100"/>
        <c:noMultiLvlLbl val="0"/>
      </c:catAx>
      <c:valAx>
        <c:axId val="443913640"/>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439085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X-bar Chart</a:t>
            </a:r>
          </a:p>
        </c:rich>
      </c:tx>
      <c:layout>
        <c:manualLayout>
          <c:xMode val="edge"/>
          <c:yMode val="edge"/>
          <c:x val="0.4174107142857143"/>
          <c:y val="3.0516501880918704E-2"/>
        </c:manualLayout>
      </c:layout>
      <c:overlay val="0"/>
      <c:spPr>
        <a:noFill/>
        <a:ln w="25400">
          <a:noFill/>
        </a:ln>
      </c:spPr>
    </c:title>
    <c:autoTitleDeleted val="0"/>
    <c:plotArea>
      <c:layout>
        <c:manualLayout>
          <c:layoutTarget val="inner"/>
          <c:xMode val="edge"/>
          <c:yMode val="edge"/>
          <c:x val="0.10825892857142858"/>
          <c:y val="0.23708974538252225"/>
          <c:w val="0.8783482142857143"/>
          <c:h val="0.58920322862389196"/>
        </c:manualLayout>
      </c:layout>
      <c:lineChart>
        <c:grouping val="standard"/>
        <c:varyColors val="0"/>
        <c:ser>
          <c:idx val="0"/>
          <c:order val="0"/>
          <c:tx>
            <c:v>Averages</c:v>
          </c:tx>
          <c:spPr>
            <a:ln w="25400">
              <a:solidFill>
                <a:srgbClr val="000000"/>
              </a:solidFill>
              <a:prstDash val="solid"/>
            </a:ln>
          </c:spPr>
          <c:marker>
            <c:symbol val="diamond"/>
            <c:size val="7"/>
            <c:spPr>
              <a:solidFill>
                <a:srgbClr val="000000"/>
              </a:solidFill>
              <a:ln>
                <a:solidFill>
                  <a:srgbClr val="000000"/>
                </a:solidFill>
                <a:prstDash val="solid"/>
              </a:ln>
            </c:spPr>
          </c:marker>
          <c:val>
            <c:numRef>
              <c:f>'Xbar R chart data'!$B$23:$AY$23</c:f>
              <c:numCache>
                <c:formatCode>General</c:formatCode>
                <c:ptCount val="50"/>
                <c:pt idx="0">
                  <c:v>3.28</c:v>
                </c:pt>
                <c:pt idx="1">
                  <c:v>3.2399999999999998</c:v>
                </c:pt>
                <c:pt idx="2">
                  <c:v>3.6</c:v>
                </c:pt>
                <c:pt idx="3">
                  <c:v>3.54</c:v>
                </c:pt>
                <c:pt idx="4">
                  <c:v>3.5199999999999996</c:v>
                </c:pt>
                <c:pt idx="5">
                  <c:v>3.6</c:v>
                </c:pt>
                <c:pt idx="6">
                  <c:v>3.1799999999999997</c:v>
                </c:pt>
                <c:pt idx="7">
                  <c:v>3.16</c:v>
                </c:pt>
                <c:pt idx="8">
                  <c:v>3.7199999999999998</c:v>
                </c:pt>
                <c:pt idx="9">
                  <c:v>3.2399999999999998</c:v>
                </c:pt>
                <c:pt idx="10">
                  <c:v>3.5</c:v>
                </c:pt>
                <c:pt idx="11">
                  <c:v>3.4</c:v>
                </c:pt>
                <c:pt idx="12">
                  <c:v>3.46</c:v>
                </c:pt>
                <c:pt idx="13">
                  <c:v>3.2399999999999998</c:v>
                </c:pt>
                <c:pt idx="14">
                  <c:v>3.4</c:v>
                </c:pt>
                <c:pt idx="15">
                  <c:v>3.5400000000000005</c:v>
                </c:pt>
                <c:pt idx="16">
                  <c:v>3.16</c:v>
                </c:pt>
                <c:pt idx="17">
                  <c:v>3.5199999999999996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0-DFA3-4AFC-BCDD-94BDB7F2D285}"/>
            </c:ext>
          </c:extLst>
        </c:ser>
        <c:ser>
          <c:idx val="1"/>
          <c:order val="1"/>
          <c:tx>
            <c:v>Lower control limit</c:v>
          </c:tx>
          <c:spPr>
            <a:ln w="12700">
              <a:solidFill>
                <a:srgbClr val="008000"/>
              </a:solidFill>
              <a:prstDash val="solid"/>
            </a:ln>
          </c:spPr>
          <c:marker>
            <c:symbol val="square"/>
            <c:size val="5"/>
            <c:spPr>
              <a:solidFill>
                <a:srgbClr val="008000"/>
              </a:solidFill>
              <a:ln>
                <a:solidFill>
                  <a:srgbClr val="008000"/>
                </a:solidFill>
                <a:prstDash val="solid"/>
              </a:ln>
            </c:spPr>
          </c:marker>
          <c:val>
            <c:numRef>
              <c:f>'Xbar R chart data'!$B$24:$AY$24</c:f>
              <c:numCache>
                <c:formatCode>General</c:formatCode>
                <c:ptCount val="50"/>
                <c:pt idx="0">
                  <c:v>2.6746888888888889</c:v>
                </c:pt>
                <c:pt idx="1">
                  <c:v>2.6746888888888889</c:v>
                </c:pt>
                <c:pt idx="2">
                  <c:v>2.6746888888888889</c:v>
                </c:pt>
                <c:pt idx="3">
                  <c:v>2.6746888888888889</c:v>
                </c:pt>
                <c:pt idx="4">
                  <c:v>2.6746888888888889</c:v>
                </c:pt>
                <c:pt idx="5">
                  <c:v>2.6746888888888889</c:v>
                </c:pt>
                <c:pt idx="6">
                  <c:v>2.6746888888888889</c:v>
                </c:pt>
                <c:pt idx="7">
                  <c:v>2.6746888888888889</c:v>
                </c:pt>
                <c:pt idx="8">
                  <c:v>2.6746888888888889</c:v>
                </c:pt>
                <c:pt idx="9">
                  <c:v>2.6746888888888889</c:v>
                </c:pt>
                <c:pt idx="10">
                  <c:v>2.6746888888888889</c:v>
                </c:pt>
                <c:pt idx="11">
                  <c:v>2.6746888888888889</c:v>
                </c:pt>
                <c:pt idx="12">
                  <c:v>2.6746888888888889</c:v>
                </c:pt>
                <c:pt idx="13">
                  <c:v>2.6746888888888889</c:v>
                </c:pt>
                <c:pt idx="14">
                  <c:v>2.6746888888888889</c:v>
                </c:pt>
                <c:pt idx="15">
                  <c:v>2.6746888888888889</c:v>
                </c:pt>
                <c:pt idx="16">
                  <c:v>2.6746888888888889</c:v>
                </c:pt>
                <c:pt idx="17">
                  <c:v>2.6746888888888889</c:v>
                </c:pt>
                <c:pt idx="18">
                  <c:v>2.6746888888888889</c:v>
                </c:pt>
                <c:pt idx="19">
                  <c:v>2.6746888888888889</c:v>
                </c:pt>
                <c:pt idx="20">
                  <c:v>2.6746888888888889</c:v>
                </c:pt>
                <c:pt idx="21">
                  <c:v>2.6746888888888889</c:v>
                </c:pt>
                <c:pt idx="22">
                  <c:v>2.6746888888888889</c:v>
                </c:pt>
                <c:pt idx="23">
                  <c:v>2.6746888888888889</c:v>
                </c:pt>
                <c:pt idx="24">
                  <c:v>2.6746888888888889</c:v>
                </c:pt>
                <c:pt idx="25">
                  <c:v>2.6746888888888889</c:v>
                </c:pt>
                <c:pt idx="26">
                  <c:v>2.6746888888888889</c:v>
                </c:pt>
                <c:pt idx="27">
                  <c:v>2.6746888888888889</c:v>
                </c:pt>
                <c:pt idx="28">
                  <c:v>2.6746888888888889</c:v>
                </c:pt>
                <c:pt idx="29">
                  <c:v>2.6746888888888889</c:v>
                </c:pt>
                <c:pt idx="30">
                  <c:v>2.6746888888888889</c:v>
                </c:pt>
                <c:pt idx="31">
                  <c:v>2.6746888888888889</c:v>
                </c:pt>
                <c:pt idx="32">
                  <c:v>2.6746888888888889</c:v>
                </c:pt>
                <c:pt idx="33">
                  <c:v>2.6746888888888889</c:v>
                </c:pt>
                <c:pt idx="34">
                  <c:v>2.6746888888888889</c:v>
                </c:pt>
                <c:pt idx="35">
                  <c:v>2.6746888888888889</c:v>
                </c:pt>
                <c:pt idx="36">
                  <c:v>2.6746888888888889</c:v>
                </c:pt>
                <c:pt idx="37">
                  <c:v>2.6746888888888889</c:v>
                </c:pt>
                <c:pt idx="38">
                  <c:v>2.6746888888888889</c:v>
                </c:pt>
                <c:pt idx="39">
                  <c:v>2.6746888888888889</c:v>
                </c:pt>
                <c:pt idx="40">
                  <c:v>2.6746888888888889</c:v>
                </c:pt>
                <c:pt idx="41">
                  <c:v>2.6746888888888889</c:v>
                </c:pt>
                <c:pt idx="42">
                  <c:v>2.6746888888888889</c:v>
                </c:pt>
                <c:pt idx="43">
                  <c:v>2.6746888888888889</c:v>
                </c:pt>
                <c:pt idx="44">
                  <c:v>2.6746888888888889</c:v>
                </c:pt>
                <c:pt idx="45">
                  <c:v>2.6746888888888889</c:v>
                </c:pt>
                <c:pt idx="46">
                  <c:v>2.6746888888888889</c:v>
                </c:pt>
                <c:pt idx="47">
                  <c:v>2.6746888888888889</c:v>
                </c:pt>
                <c:pt idx="48">
                  <c:v>2.6746888888888889</c:v>
                </c:pt>
                <c:pt idx="49">
                  <c:v>2.6746888888888889</c:v>
                </c:pt>
              </c:numCache>
            </c:numRef>
          </c:val>
          <c:smooth val="0"/>
          <c:extLst>
            <c:ext xmlns:c16="http://schemas.microsoft.com/office/drawing/2014/chart" uri="{C3380CC4-5D6E-409C-BE32-E72D297353CC}">
              <c16:uniqueId val="{00000001-DFA3-4AFC-BCDD-94BDB7F2D285}"/>
            </c:ext>
          </c:extLst>
        </c:ser>
        <c:ser>
          <c:idx val="2"/>
          <c:order val="2"/>
          <c:tx>
            <c:v>Upper control limit</c:v>
          </c:tx>
          <c:spPr>
            <a:ln w="12700">
              <a:solidFill>
                <a:srgbClr val="993300"/>
              </a:solidFill>
              <a:prstDash val="solid"/>
            </a:ln>
          </c:spPr>
          <c:marker>
            <c:symbol val="triangle"/>
            <c:size val="5"/>
            <c:spPr>
              <a:solidFill>
                <a:srgbClr val="993300"/>
              </a:solidFill>
              <a:ln>
                <a:solidFill>
                  <a:srgbClr val="993300"/>
                </a:solidFill>
                <a:prstDash val="solid"/>
              </a:ln>
            </c:spPr>
          </c:marker>
          <c:val>
            <c:numRef>
              <c:f>'Xbar R chart data'!$B$26:$AY$26</c:f>
              <c:numCache>
                <c:formatCode>General</c:formatCode>
                <c:ptCount val="50"/>
                <c:pt idx="0">
                  <c:v>4.1364222222222224</c:v>
                </c:pt>
                <c:pt idx="1">
                  <c:v>4.1364222222222224</c:v>
                </c:pt>
                <c:pt idx="2">
                  <c:v>4.1364222222222224</c:v>
                </c:pt>
                <c:pt idx="3">
                  <c:v>4.1364222222222224</c:v>
                </c:pt>
                <c:pt idx="4">
                  <c:v>4.1364222222222224</c:v>
                </c:pt>
                <c:pt idx="5">
                  <c:v>4.1364222222222224</c:v>
                </c:pt>
                <c:pt idx="6">
                  <c:v>4.1364222222222224</c:v>
                </c:pt>
                <c:pt idx="7">
                  <c:v>4.1364222222222224</c:v>
                </c:pt>
                <c:pt idx="8">
                  <c:v>4.1364222222222224</c:v>
                </c:pt>
                <c:pt idx="9">
                  <c:v>4.1364222222222224</c:v>
                </c:pt>
                <c:pt idx="10">
                  <c:v>4.1364222222222224</c:v>
                </c:pt>
                <c:pt idx="11">
                  <c:v>4.1364222222222224</c:v>
                </c:pt>
                <c:pt idx="12">
                  <c:v>4.1364222222222224</c:v>
                </c:pt>
                <c:pt idx="13">
                  <c:v>4.1364222222222224</c:v>
                </c:pt>
                <c:pt idx="14">
                  <c:v>4.1364222222222224</c:v>
                </c:pt>
                <c:pt idx="15">
                  <c:v>4.1364222222222224</c:v>
                </c:pt>
                <c:pt idx="16">
                  <c:v>4.1364222222222224</c:v>
                </c:pt>
                <c:pt idx="17">
                  <c:v>4.1364222222222224</c:v>
                </c:pt>
                <c:pt idx="18">
                  <c:v>4.1364222222222224</c:v>
                </c:pt>
                <c:pt idx="19">
                  <c:v>4.1364222222222224</c:v>
                </c:pt>
                <c:pt idx="20">
                  <c:v>4.1364222222222224</c:v>
                </c:pt>
                <c:pt idx="21">
                  <c:v>4.1364222222222224</c:v>
                </c:pt>
                <c:pt idx="22">
                  <c:v>4.1364222222222224</c:v>
                </c:pt>
                <c:pt idx="23">
                  <c:v>4.1364222222222224</c:v>
                </c:pt>
                <c:pt idx="24">
                  <c:v>4.1364222222222224</c:v>
                </c:pt>
                <c:pt idx="25">
                  <c:v>4.1364222222222224</c:v>
                </c:pt>
                <c:pt idx="26">
                  <c:v>4.1364222222222224</c:v>
                </c:pt>
                <c:pt idx="27">
                  <c:v>4.1364222222222224</c:v>
                </c:pt>
                <c:pt idx="28">
                  <c:v>4.1364222222222224</c:v>
                </c:pt>
                <c:pt idx="29">
                  <c:v>4.1364222222222224</c:v>
                </c:pt>
                <c:pt idx="30">
                  <c:v>4.1364222222222224</c:v>
                </c:pt>
                <c:pt idx="31">
                  <c:v>4.1364222222222224</c:v>
                </c:pt>
                <c:pt idx="32">
                  <c:v>4.1364222222222224</c:v>
                </c:pt>
                <c:pt idx="33">
                  <c:v>4.1364222222222224</c:v>
                </c:pt>
                <c:pt idx="34">
                  <c:v>4.1364222222222224</c:v>
                </c:pt>
                <c:pt idx="35">
                  <c:v>4.1364222222222224</c:v>
                </c:pt>
                <c:pt idx="36">
                  <c:v>4.1364222222222224</c:v>
                </c:pt>
                <c:pt idx="37">
                  <c:v>4.1364222222222224</c:v>
                </c:pt>
                <c:pt idx="38">
                  <c:v>4.1364222222222224</c:v>
                </c:pt>
                <c:pt idx="39">
                  <c:v>4.1364222222222224</c:v>
                </c:pt>
                <c:pt idx="40">
                  <c:v>4.1364222222222224</c:v>
                </c:pt>
                <c:pt idx="41">
                  <c:v>4.1364222222222224</c:v>
                </c:pt>
                <c:pt idx="42">
                  <c:v>4.1364222222222224</c:v>
                </c:pt>
                <c:pt idx="43">
                  <c:v>4.1364222222222224</c:v>
                </c:pt>
                <c:pt idx="44">
                  <c:v>4.1364222222222224</c:v>
                </c:pt>
                <c:pt idx="45">
                  <c:v>4.1364222222222224</c:v>
                </c:pt>
                <c:pt idx="46">
                  <c:v>4.1364222222222224</c:v>
                </c:pt>
                <c:pt idx="47">
                  <c:v>4.1364222222222224</c:v>
                </c:pt>
                <c:pt idx="48">
                  <c:v>4.1364222222222224</c:v>
                </c:pt>
                <c:pt idx="49">
                  <c:v>4.1364222222222224</c:v>
                </c:pt>
              </c:numCache>
            </c:numRef>
          </c:val>
          <c:smooth val="0"/>
          <c:extLst>
            <c:ext xmlns:c16="http://schemas.microsoft.com/office/drawing/2014/chart" uri="{C3380CC4-5D6E-409C-BE32-E72D297353CC}">
              <c16:uniqueId val="{00000002-DFA3-4AFC-BCDD-94BDB7F2D285}"/>
            </c:ext>
          </c:extLst>
        </c:ser>
        <c:ser>
          <c:idx val="3"/>
          <c:order val="3"/>
          <c:tx>
            <c:v>Center line</c:v>
          </c:tx>
          <c:spPr>
            <a:ln w="38100">
              <a:solidFill>
                <a:srgbClr val="333399"/>
              </a:solidFill>
              <a:prstDash val="solid"/>
            </a:ln>
          </c:spPr>
          <c:marker>
            <c:symbol val="none"/>
          </c:marker>
          <c:val>
            <c:numRef>
              <c:f>'Xbar R chart data'!$B$25:$AY$25</c:f>
              <c:numCache>
                <c:formatCode>General</c:formatCode>
                <c:ptCount val="50"/>
                <c:pt idx="0">
                  <c:v>3.4055555555555554</c:v>
                </c:pt>
                <c:pt idx="1">
                  <c:v>3.4055555555555554</c:v>
                </c:pt>
                <c:pt idx="2">
                  <c:v>3.4055555555555554</c:v>
                </c:pt>
                <c:pt idx="3">
                  <c:v>3.4055555555555554</c:v>
                </c:pt>
                <c:pt idx="4">
                  <c:v>3.4055555555555554</c:v>
                </c:pt>
                <c:pt idx="5">
                  <c:v>3.4055555555555554</c:v>
                </c:pt>
                <c:pt idx="6">
                  <c:v>3.4055555555555554</c:v>
                </c:pt>
                <c:pt idx="7">
                  <c:v>3.4055555555555554</c:v>
                </c:pt>
                <c:pt idx="8">
                  <c:v>3.4055555555555554</c:v>
                </c:pt>
                <c:pt idx="9">
                  <c:v>3.4055555555555554</c:v>
                </c:pt>
                <c:pt idx="10">
                  <c:v>3.4055555555555554</c:v>
                </c:pt>
                <c:pt idx="11">
                  <c:v>3.4055555555555554</c:v>
                </c:pt>
                <c:pt idx="12">
                  <c:v>3.4055555555555554</c:v>
                </c:pt>
                <c:pt idx="13">
                  <c:v>3.4055555555555554</c:v>
                </c:pt>
                <c:pt idx="14">
                  <c:v>3.4055555555555554</c:v>
                </c:pt>
                <c:pt idx="15">
                  <c:v>3.4055555555555554</c:v>
                </c:pt>
                <c:pt idx="16">
                  <c:v>3.4055555555555554</c:v>
                </c:pt>
                <c:pt idx="17">
                  <c:v>3.4055555555555554</c:v>
                </c:pt>
                <c:pt idx="18">
                  <c:v>3.4055555555555554</c:v>
                </c:pt>
                <c:pt idx="19">
                  <c:v>3.4055555555555554</c:v>
                </c:pt>
                <c:pt idx="20">
                  <c:v>3.4055555555555554</c:v>
                </c:pt>
                <c:pt idx="21">
                  <c:v>3.4055555555555554</c:v>
                </c:pt>
                <c:pt idx="22">
                  <c:v>3.4055555555555554</c:v>
                </c:pt>
                <c:pt idx="23">
                  <c:v>3.4055555555555554</c:v>
                </c:pt>
                <c:pt idx="24">
                  <c:v>3.4055555555555554</c:v>
                </c:pt>
                <c:pt idx="25">
                  <c:v>3.4055555555555554</c:v>
                </c:pt>
                <c:pt idx="26">
                  <c:v>3.4055555555555554</c:v>
                </c:pt>
                <c:pt idx="27">
                  <c:v>3.4055555555555554</c:v>
                </c:pt>
                <c:pt idx="28">
                  <c:v>3.4055555555555554</c:v>
                </c:pt>
                <c:pt idx="29">
                  <c:v>3.4055555555555554</c:v>
                </c:pt>
                <c:pt idx="30">
                  <c:v>3.4055555555555554</c:v>
                </c:pt>
                <c:pt idx="31">
                  <c:v>3.4055555555555554</c:v>
                </c:pt>
                <c:pt idx="32">
                  <c:v>3.4055555555555554</c:v>
                </c:pt>
                <c:pt idx="33">
                  <c:v>3.4055555555555554</c:v>
                </c:pt>
                <c:pt idx="34">
                  <c:v>3.4055555555555554</c:v>
                </c:pt>
                <c:pt idx="35">
                  <c:v>3.4055555555555554</c:v>
                </c:pt>
                <c:pt idx="36">
                  <c:v>3.4055555555555554</c:v>
                </c:pt>
                <c:pt idx="37">
                  <c:v>3.4055555555555554</c:v>
                </c:pt>
                <c:pt idx="38">
                  <c:v>3.4055555555555554</c:v>
                </c:pt>
                <c:pt idx="39">
                  <c:v>3.4055555555555554</c:v>
                </c:pt>
                <c:pt idx="40">
                  <c:v>3.4055555555555554</c:v>
                </c:pt>
                <c:pt idx="41">
                  <c:v>3.4055555555555554</c:v>
                </c:pt>
                <c:pt idx="42">
                  <c:v>3.4055555555555554</c:v>
                </c:pt>
                <c:pt idx="43">
                  <c:v>3.4055555555555554</c:v>
                </c:pt>
                <c:pt idx="44">
                  <c:v>3.4055555555555554</c:v>
                </c:pt>
                <c:pt idx="45">
                  <c:v>3.4055555555555554</c:v>
                </c:pt>
                <c:pt idx="46">
                  <c:v>3.4055555555555554</c:v>
                </c:pt>
                <c:pt idx="47">
                  <c:v>3.4055555555555554</c:v>
                </c:pt>
                <c:pt idx="48">
                  <c:v>3.4055555555555554</c:v>
                </c:pt>
                <c:pt idx="49">
                  <c:v>3.4055555555555554</c:v>
                </c:pt>
              </c:numCache>
            </c:numRef>
          </c:val>
          <c:smooth val="0"/>
          <c:extLst>
            <c:ext xmlns:c16="http://schemas.microsoft.com/office/drawing/2014/chart" uri="{C3380CC4-5D6E-409C-BE32-E72D297353CC}">
              <c16:uniqueId val="{00000003-DFA3-4AFC-BCDD-94BDB7F2D285}"/>
            </c:ext>
          </c:extLst>
        </c:ser>
        <c:dLbls>
          <c:showLegendKey val="0"/>
          <c:showVal val="0"/>
          <c:showCatName val="0"/>
          <c:showSerName val="0"/>
          <c:showPercent val="0"/>
          <c:showBubbleSize val="0"/>
        </c:dLbls>
        <c:marker val="1"/>
        <c:smooth val="0"/>
        <c:axId val="443911288"/>
        <c:axId val="443914032"/>
      </c:lineChart>
      <c:catAx>
        <c:axId val="443911288"/>
        <c:scaling>
          <c:orientation val="minMax"/>
        </c:scaling>
        <c:delete val="0"/>
        <c:axPos val="b"/>
        <c:majorGridlines>
          <c:spPr>
            <a:ln w="3175">
              <a:solidFill>
                <a:srgbClr val="000000"/>
              </a:solidFill>
              <a:prstDash val="solid"/>
            </a:ln>
          </c:spPr>
        </c:majorGridlines>
        <c:title>
          <c:tx>
            <c:rich>
              <a:bodyPr/>
              <a:lstStyle/>
              <a:p>
                <a:pPr>
                  <a:defRPr sz="1850" b="1" i="0" u="none" strike="noStrike" baseline="0">
                    <a:solidFill>
                      <a:srgbClr val="000000"/>
                    </a:solidFill>
                    <a:latin typeface="Arial"/>
                    <a:ea typeface="Arial"/>
                    <a:cs typeface="Arial"/>
                  </a:defRPr>
                </a:pPr>
                <a:r>
                  <a:rPr lang="en-US"/>
                  <a:t>Sample number</a:t>
                </a:r>
              </a:p>
            </c:rich>
          </c:tx>
          <c:layout>
            <c:manualLayout>
              <c:xMode val="edge"/>
              <c:yMode val="edge"/>
              <c:x val="0.43973214285714285"/>
              <c:y val="0.887325977768251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443914032"/>
        <c:crosses val="autoZero"/>
        <c:auto val="1"/>
        <c:lblAlgn val="ctr"/>
        <c:lblOffset val="100"/>
        <c:tickLblSkip val="2"/>
        <c:tickMarkSkip val="1"/>
        <c:noMultiLvlLbl val="0"/>
      </c:catAx>
      <c:valAx>
        <c:axId val="443914032"/>
        <c:scaling>
          <c:orientation val="minMax"/>
        </c:scaling>
        <c:delete val="0"/>
        <c:axPos val="l"/>
        <c:majorGridlines>
          <c:spPr>
            <a:ln w="3175">
              <a:solidFill>
                <a:srgbClr val="000000"/>
              </a:solidFill>
              <a:prstDash val="solid"/>
            </a:ln>
          </c:spPr>
        </c:majorGridlines>
        <c:title>
          <c:tx>
            <c:rich>
              <a:bodyPr/>
              <a:lstStyle/>
              <a:p>
                <a:pPr>
                  <a:defRPr sz="1850" b="1" i="0" u="none" strike="noStrike" baseline="0">
                    <a:solidFill>
                      <a:srgbClr val="000000"/>
                    </a:solidFill>
                    <a:latin typeface="Arial"/>
                    <a:ea typeface="Arial"/>
                    <a:cs typeface="Arial"/>
                  </a:defRPr>
                </a:pPr>
                <a:r>
                  <a:rPr lang="en-US"/>
                  <a:t>Averages</a:t>
                </a:r>
              </a:p>
            </c:rich>
          </c:tx>
          <c:layout>
            <c:manualLayout>
              <c:xMode val="edge"/>
              <c:yMode val="edge"/>
              <c:x val="2.5669642857142856E-2"/>
              <c:y val="0.33568152069010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443911288"/>
        <c:crosses val="autoZero"/>
        <c:crossBetween val="between"/>
      </c:valAx>
      <c:spPr>
        <a:solidFill>
          <a:srgbClr val="FFFFFF"/>
        </a:solidFill>
        <a:ln w="12700">
          <a:solidFill>
            <a:srgbClr val="000000"/>
          </a:solidFill>
          <a:prstDash val="solid"/>
        </a:ln>
      </c:spPr>
    </c:plotArea>
    <c:legend>
      <c:legendPos val="t"/>
      <c:layout>
        <c:manualLayout>
          <c:xMode val="edge"/>
          <c:yMode val="edge"/>
          <c:x val="0.7053571428571429"/>
          <c:y val="3.5211348324136964E-2"/>
          <c:w val="0.22879464285714285"/>
          <c:h val="0.145540239739766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span"/>
    <c:showDLblsOverMax val="0"/>
  </c:chart>
  <c:spPr>
    <a:solidFill>
      <a:schemeClr val="accent6">
        <a:lumMod val="20000"/>
        <a:lumOff val="80000"/>
      </a:schemeClr>
    </a:solidFill>
    <a:ln w="3175">
      <a:solidFill>
        <a:srgbClr val="000000"/>
      </a:solidFill>
      <a:prstDash val="solid"/>
    </a:ln>
  </c:spPr>
  <c:txPr>
    <a:bodyPr/>
    <a:lstStyle/>
    <a:p>
      <a:pPr>
        <a:defRPr sz="22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1" i="0" u="none" strike="noStrike" baseline="0">
                <a:solidFill>
                  <a:srgbClr val="000000"/>
                </a:solidFill>
                <a:latin typeface="Arial"/>
                <a:ea typeface="Arial"/>
                <a:cs typeface="Arial"/>
              </a:defRPr>
            </a:pPr>
            <a:r>
              <a:rPr lang="en-US"/>
              <a:t>R-Chart</a:t>
            </a:r>
          </a:p>
        </c:rich>
      </c:tx>
      <c:layout>
        <c:manualLayout>
          <c:xMode val="edge"/>
          <c:yMode val="edge"/>
          <c:x val="0.45302062908608287"/>
          <c:y val="3.0732931471934729E-2"/>
        </c:manualLayout>
      </c:layout>
      <c:overlay val="0"/>
      <c:spPr>
        <a:noFill/>
        <a:ln w="25400">
          <a:noFill/>
        </a:ln>
      </c:spPr>
    </c:title>
    <c:autoTitleDeleted val="0"/>
    <c:plotArea>
      <c:layout>
        <c:manualLayout>
          <c:layoutTarget val="inner"/>
          <c:xMode val="edge"/>
          <c:yMode val="edge"/>
          <c:x val="8.9485556362683044E-2"/>
          <c:y val="0.28132452655078716"/>
          <c:w val="0.86353561889989128"/>
          <c:h val="0.56028498144988703"/>
        </c:manualLayout>
      </c:layout>
      <c:lineChart>
        <c:grouping val="standard"/>
        <c:varyColors val="0"/>
        <c:ser>
          <c:idx val="0"/>
          <c:order val="0"/>
          <c:tx>
            <c:v>Ranges</c:v>
          </c:tx>
          <c:spPr>
            <a:ln w="25400">
              <a:solidFill>
                <a:srgbClr val="000000"/>
              </a:solidFill>
              <a:prstDash val="solid"/>
            </a:ln>
          </c:spPr>
          <c:marker>
            <c:symbol val="diamond"/>
            <c:size val="7"/>
            <c:spPr>
              <a:solidFill>
                <a:srgbClr val="000000"/>
              </a:solidFill>
              <a:ln>
                <a:solidFill>
                  <a:srgbClr val="000000"/>
                </a:solidFill>
                <a:prstDash val="solid"/>
              </a:ln>
            </c:spPr>
          </c:marker>
          <c:val>
            <c:numRef>
              <c:f>'Xbar R chart data'!$B$28:$AY$28</c:f>
              <c:numCache>
                <c:formatCode>General</c:formatCode>
                <c:ptCount val="50"/>
                <c:pt idx="0">
                  <c:v>1.4</c:v>
                </c:pt>
                <c:pt idx="1">
                  <c:v>1.3000000000000003</c:v>
                </c:pt>
                <c:pt idx="2">
                  <c:v>1.4</c:v>
                </c:pt>
                <c:pt idx="3">
                  <c:v>2.1</c:v>
                </c:pt>
                <c:pt idx="4">
                  <c:v>0.59999999999999964</c:v>
                </c:pt>
                <c:pt idx="5">
                  <c:v>1.4</c:v>
                </c:pt>
                <c:pt idx="6">
                  <c:v>1.1000000000000001</c:v>
                </c:pt>
                <c:pt idx="7">
                  <c:v>1.4</c:v>
                </c:pt>
                <c:pt idx="8">
                  <c:v>1.4</c:v>
                </c:pt>
                <c:pt idx="9">
                  <c:v>1.4</c:v>
                </c:pt>
                <c:pt idx="10">
                  <c:v>2.1</c:v>
                </c:pt>
                <c:pt idx="11">
                  <c:v>0.5</c:v>
                </c:pt>
                <c:pt idx="12">
                  <c:v>0.59999999999999964</c:v>
                </c:pt>
                <c:pt idx="13">
                  <c:v>1.3000000000000003</c:v>
                </c:pt>
                <c:pt idx="14">
                  <c:v>0.5</c:v>
                </c:pt>
                <c:pt idx="15">
                  <c:v>2.1</c:v>
                </c:pt>
                <c:pt idx="16">
                  <c:v>1.4</c:v>
                </c:pt>
                <c:pt idx="17">
                  <c:v>0.79999999999999982</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0-7559-4608-A6F9-4A17547BCE0E}"/>
            </c:ext>
          </c:extLst>
        </c:ser>
        <c:ser>
          <c:idx val="1"/>
          <c:order val="1"/>
          <c:tx>
            <c:v>Lower control limit</c:v>
          </c:tx>
          <c:spPr>
            <a:ln w="12700">
              <a:solidFill>
                <a:srgbClr val="008000"/>
              </a:solidFill>
              <a:prstDash val="solid"/>
            </a:ln>
          </c:spPr>
          <c:marker>
            <c:symbol val="square"/>
            <c:size val="5"/>
            <c:spPr>
              <a:solidFill>
                <a:srgbClr val="008000"/>
              </a:solidFill>
              <a:ln>
                <a:solidFill>
                  <a:srgbClr val="008000"/>
                </a:solidFill>
                <a:prstDash val="solid"/>
              </a:ln>
            </c:spPr>
          </c:marker>
          <c:val>
            <c:numRef>
              <c:f>'Xbar R chart data'!$B$29:$AY$29</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smooth val="0"/>
          <c:extLst>
            <c:ext xmlns:c16="http://schemas.microsoft.com/office/drawing/2014/chart" uri="{C3380CC4-5D6E-409C-BE32-E72D297353CC}">
              <c16:uniqueId val="{00000001-7559-4608-A6F9-4A17547BCE0E}"/>
            </c:ext>
          </c:extLst>
        </c:ser>
        <c:ser>
          <c:idx val="2"/>
          <c:order val="2"/>
          <c:tx>
            <c:v>Upper control limit</c:v>
          </c:tx>
          <c:spPr>
            <a:ln w="12700">
              <a:solidFill>
                <a:srgbClr val="993300"/>
              </a:solidFill>
              <a:prstDash val="solid"/>
            </a:ln>
          </c:spPr>
          <c:marker>
            <c:symbol val="triangle"/>
            <c:size val="5"/>
            <c:spPr>
              <a:solidFill>
                <a:srgbClr val="993300"/>
              </a:solidFill>
              <a:ln>
                <a:solidFill>
                  <a:srgbClr val="993300"/>
                </a:solidFill>
                <a:prstDash val="solid"/>
              </a:ln>
            </c:spPr>
          </c:marker>
          <c:val>
            <c:numRef>
              <c:f>'Xbar R chart data'!$B$31:$AY$31</c:f>
              <c:numCache>
                <c:formatCode>General</c:formatCode>
                <c:ptCount val="50"/>
                <c:pt idx="0">
                  <c:v>2.6777333333333337</c:v>
                </c:pt>
                <c:pt idx="1">
                  <c:v>2.6777333333333337</c:v>
                </c:pt>
                <c:pt idx="2">
                  <c:v>2.6777333333333337</c:v>
                </c:pt>
                <c:pt idx="3">
                  <c:v>2.6777333333333337</c:v>
                </c:pt>
                <c:pt idx="4">
                  <c:v>2.6777333333333337</c:v>
                </c:pt>
                <c:pt idx="5">
                  <c:v>2.6777333333333337</c:v>
                </c:pt>
                <c:pt idx="6">
                  <c:v>2.6777333333333337</c:v>
                </c:pt>
                <c:pt idx="7">
                  <c:v>2.6777333333333337</c:v>
                </c:pt>
                <c:pt idx="8">
                  <c:v>2.6777333333333337</c:v>
                </c:pt>
                <c:pt idx="9">
                  <c:v>2.6777333333333337</c:v>
                </c:pt>
                <c:pt idx="10">
                  <c:v>2.6777333333333337</c:v>
                </c:pt>
                <c:pt idx="11">
                  <c:v>2.6777333333333337</c:v>
                </c:pt>
                <c:pt idx="12">
                  <c:v>2.6777333333333337</c:v>
                </c:pt>
                <c:pt idx="13">
                  <c:v>2.6777333333333337</c:v>
                </c:pt>
                <c:pt idx="14">
                  <c:v>2.6777333333333337</c:v>
                </c:pt>
                <c:pt idx="15">
                  <c:v>2.6777333333333337</c:v>
                </c:pt>
                <c:pt idx="16">
                  <c:v>2.6777333333333337</c:v>
                </c:pt>
                <c:pt idx="17">
                  <c:v>2.6777333333333337</c:v>
                </c:pt>
                <c:pt idx="18">
                  <c:v>2.6777333333333337</c:v>
                </c:pt>
                <c:pt idx="19">
                  <c:v>2.6777333333333337</c:v>
                </c:pt>
                <c:pt idx="20">
                  <c:v>2.6777333333333337</c:v>
                </c:pt>
                <c:pt idx="21">
                  <c:v>2.6777333333333337</c:v>
                </c:pt>
                <c:pt idx="22">
                  <c:v>2.6777333333333337</c:v>
                </c:pt>
                <c:pt idx="23">
                  <c:v>2.6777333333333337</c:v>
                </c:pt>
                <c:pt idx="24">
                  <c:v>2.6777333333333337</c:v>
                </c:pt>
                <c:pt idx="25">
                  <c:v>2.6777333333333337</c:v>
                </c:pt>
                <c:pt idx="26">
                  <c:v>2.6777333333333337</c:v>
                </c:pt>
                <c:pt idx="27">
                  <c:v>2.6777333333333337</c:v>
                </c:pt>
                <c:pt idx="28">
                  <c:v>2.6777333333333337</c:v>
                </c:pt>
                <c:pt idx="29">
                  <c:v>2.6777333333333337</c:v>
                </c:pt>
                <c:pt idx="30">
                  <c:v>2.6777333333333337</c:v>
                </c:pt>
                <c:pt idx="31">
                  <c:v>2.6777333333333337</c:v>
                </c:pt>
                <c:pt idx="32">
                  <c:v>2.6777333333333337</c:v>
                </c:pt>
                <c:pt idx="33">
                  <c:v>2.6777333333333337</c:v>
                </c:pt>
                <c:pt idx="34">
                  <c:v>2.6777333333333337</c:v>
                </c:pt>
                <c:pt idx="35">
                  <c:v>2.6777333333333337</c:v>
                </c:pt>
                <c:pt idx="36">
                  <c:v>2.6777333333333337</c:v>
                </c:pt>
                <c:pt idx="37">
                  <c:v>2.6777333333333337</c:v>
                </c:pt>
                <c:pt idx="38">
                  <c:v>2.6777333333333337</c:v>
                </c:pt>
                <c:pt idx="39">
                  <c:v>2.6777333333333337</c:v>
                </c:pt>
                <c:pt idx="40">
                  <c:v>2.6777333333333337</c:v>
                </c:pt>
                <c:pt idx="41">
                  <c:v>2.6777333333333337</c:v>
                </c:pt>
                <c:pt idx="42">
                  <c:v>2.6777333333333337</c:v>
                </c:pt>
                <c:pt idx="43">
                  <c:v>2.6777333333333337</c:v>
                </c:pt>
                <c:pt idx="44">
                  <c:v>2.6777333333333337</c:v>
                </c:pt>
                <c:pt idx="45">
                  <c:v>2.6777333333333337</c:v>
                </c:pt>
                <c:pt idx="46">
                  <c:v>2.6777333333333337</c:v>
                </c:pt>
                <c:pt idx="47">
                  <c:v>2.6777333333333337</c:v>
                </c:pt>
                <c:pt idx="48">
                  <c:v>2.6777333333333337</c:v>
                </c:pt>
                <c:pt idx="49">
                  <c:v>2.6777333333333337</c:v>
                </c:pt>
              </c:numCache>
            </c:numRef>
          </c:val>
          <c:smooth val="0"/>
          <c:extLst>
            <c:ext xmlns:c16="http://schemas.microsoft.com/office/drawing/2014/chart" uri="{C3380CC4-5D6E-409C-BE32-E72D297353CC}">
              <c16:uniqueId val="{00000002-7559-4608-A6F9-4A17547BCE0E}"/>
            </c:ext>
          </c:extLst>
        </c:ser>
        <c:ser>
          <c:idx val="3"/>
          <c:order val="3"/>
          <c:tx>
            <c:v>Center line</c:v>
          </c:tx>
          <c:spPr>
            <a:ln w="38100">
              <a:solidFill>
                <a:srgbClr val="333399"/>
              </a:solidFill>
              <a:prstDash val="solid"/>
            </a:ln>
          </c:spPr>
          <c:marker>
            <c:symbol val="x"/>
            <c:size val="5"/>
            <c:spPr>
              <a:noFill/>
              <a:ln>
                <a:solidFill>
                  <a:srgbClr val="333399"/>
                </a:solidFill>
                <a:prstDash val="solid"/>
              </a:ln>
            </c:spPr>
          </c:marker>
          <c:val>
            <c:numRef>
              <c:f>'Xbar R chart data'!$B$30:$AY$30</c:f>
              <c:numCache>
                <c:formatCode>General</c:formatCode>
                <c:ptCount val="50"/>
                <c:pt idx="0">
                  <c:v>1.2666666666666668</c:v>
                </c:pt>
                <c:pt idx="1">
                  <c:v>1.2666666666666668</c:v>
                </c:pt>
                <c:pt idx="2">
                  <c:v>1.2666666666666668</c:v>
                </c:pt>
                <c:pt idx="3">
                  <c:v>1.2666666666666668</c:v>
                </c:pt>
                <c:pt idx="4">
                  <c:v>1.2666666666666668</c:v>
                </c:pt>
                <c:pt idx="5">
                  <c:v>1.2666666666666668</c:v>
                </c:pt>
                <c:pt idx="6">
                  <c:v>1.2666666666666668</c:v>
                </c:pt>
                <c:pt idx="7">
                  <c:v>1.2666666666666668</c:v>
                </c:pt>
                <c:pt idx="8">
                  <c:v>1.2666666666666668</c:v>
                </c:pt>
                <c:pt idx="9">
                  <c:v>1.2666666666666668</c:v>
                </c:pt>
                <c:pt idx="10">
                  <c:v>1.2666666666666668</c:v>
                </c:pt>
                <c:pt idx="11">
                  <c:v>1.2666666666666668</c:v>
                </c:pt>
                <c:pt idx="12">
                  <c:v>1.2666666666666668</c:v>
                </c:pt>
                <c:pt idx="13">
                  <c:v>1.2666666666666668</c:v>
                </c:pt>
                <c:pt idx="14">
                  <c:v>1.2666666666666668</c:v>
                </c:pt>
                <c:pt idx="15">
                  <c:v>1.2666666666666668</c:v>
                </c:pt>
                <c:pt idx="16">
                  <c:v>1.2666666666666668</c:v>
                </c:pt>
                <c:pt idx="17">
                  <c:v>1.2666666666666668</c:v>
                </c:pt>
                <c:pt idx="18">
                  <c:v>1.2666666666666668</c:v>
                </c:pt>
                <c:pt idx="19">
                  <c:v>1.2666666666666668</c:v>
                </c:pt>
                <c:pt idx="20">
                  <c:v>1.2666666666666668</c:v>
                </c:pt>
                <c:pt idx="21">
                  <c:v>1.2666666666666668</c:v>
                </c:pt>
                <c:pt idx="22">
                  <c:v>1.2666666666666668</c:v>
                </c:pt>
                <c:pt idx="23">
                  <c:v>1.2666666666666668</c:v>
                </c:pt>
                <c:pt idx="24">
                  <c:v>1.2666666666666668</c:v>
                </c:pt>
                <c:pt idx="25">
                  <c:v>1.2666666666666668</c:v>
                </c:pt>
                <c:pt idx="26">
                  <c:v>1.2666666666666668</c:v>
                </c:pt>
                <c:pt idx="27">
                  <c:v>1.2666666666666668</c:v>
                </c:pt>
                <c:pt idx="28">
                  <c:v>1.2666666666666668</c:v>
                </c:pt>
                <c:pt idx="29">
                  <c:v>1.2666666666666668</c:v>
                </c:pt>
                <c:pt idx="30">
                  <c:v>1.2666666666666668</c:v>
                </c:pt>
                <c:pt idx="31">
                  <c:v>1.2666666666666668</c:v>
                </c:pt>
                <c:pt idx="32">
                  <c:v>1.2666666666666668</c:v>
                </c:pt>
                <c:pt idx="33">
                  <c:v>1.2666666666666668</c:v>
                </c:pt>
                <c:pt idx="34">
                  <c:v>1.2666666666666668</c:v>
                </c:pt>
                <c:pt idx="35">
                  <c:v>1.2666666666666668</c:v>
                </c:pt>
                <c:pt idx="36">
                  <c:v>1.2666666666666668</c:v>
                </c:pt>
                <c:pt idx="37">
                  <c:v>1.2666666666666668</c:v>
                </c:pt>
                <c:pt idx="38">
                  <c:v>1.2666666666666668</c:v>
                </c:pt>
                <c:pt idx="39">
                  <c:v>1.2666666666666668</c:v>
                </c:pt>
                <c:pt idx="40">
                  <c:v>1.2666666666666668</c:v>
                </c:pt>
                <c:pt idx="41">
                  <c:v>1.2666666666666668</c:v>
                </c:pt>
                <c:pt idx="42">
                  <c:v>1.2666666666666668</c:v>
                </c:pt>
                <c:pt idx="43">
                  <c:v>1.2666666666666668</c:v>
                </c:pt>
                <c:pt idx="44">
                  <c:v>1.2666666666666668</c:v>
                </c:pt>
                <c:pt idx="45">
                  <c:v>1.2666666666666668</c:v>
                </c:pt>
                <c:pt idx="46">
                  <c:v>1.2666666666666668</c:v>
                </c:pt>
                <c:pt idx="47">
                  <c:v>1.2666666666666668</c:v>
                </c:pt>
                <c:pt idx="48">
                  <c:v>1.2666666666666668</c:v>
                </c:pt>
                <c:pt idx="49">
                  <c:v>1.2666666666666668</c:v>
                </c:pt>
              </c:numCache>
            </c:numRef>
          </c:val>
          <c:smooth val="0"/>
          <c:extLst>
            <c:ext xmlns:c16="http://schemas.microsoft.com/office/drawing/2014/chart" uri="{C3380CC4-5D6E-409C-BE32-E72D297353CC}">
              <c16:uniqueId val="{00000003-7559-4608-A6F9-4A17547BCE0E}"/>
            </c:ext>
          </c:extLst>
        </c:ser>
        <c:dLbls>
          <c:showLegendKey val="0"/>
          <c:showVal val="0"/>
          <c:showCatName val="0"/>
          <c:showSerName val="0"/>
          <c:showPercent val="0"/>
          <c:showBubbleSize val="0"/>
        </c:dLbls>
        <c:marker val="1"/>
        <c:smooth val="0"/>
        <c:axId val="443912072"/>
        <c:axId val="443912464"/>
      </c:lineChart>
      <c:catAx>
        <c:axId val="443912072"/>
        <c:scaling>
          <c:orientation val="minMax"/>
        </c:scaling>
        <c:delete val="0"/>
        <c:axPos val="b"/>
        <c:majorGridlines>
          <c:spPr>
            <a:ln w="3175">
              <a:solidFill>
                <a:srgbClr val="000000"/>
              </a:solidFill>
              <a:prstDash val="solid"/>
            </a:ln>
          </c:spPr>
        </c:majorGridlines>
        <c:title>
          <c:tx>
            <c:rich>
              <a:bodyPr/>
              <a:lstStyle/>
              <a:p>
                <a:pPr>
                  <a:defRPr sz="1750" b="1" i="0" u="none" strike="noStrike" baseline="0">
                    <a:solidFill>
                      <a:srgbClr val="000000"/>
                    </a:solidFill>
                    <a:latin typeface="Arial"/>
                    <a:ea typeface="Arial"/>
                    <a:cs typeface="Arial"/>
                  </a:defRPr>
                </a:pPr>
                <a:r>
                  <a:rPr lang="en-US"/>
                  <a:t>Sample number</a:t>
                </a:r>
              </a:p>
            </c:rich>
          </c:tx>
          <c:layout>
            <c:manualLayout>
              <c:xMode val="edge"/>
              <c:yMode val="edge"/>
              <c:x val="0.42058211490461028"/>
              <c:y val="0.898347227641169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3912464"/>
        <c:crosses val="autoZero"/>
        <c:auto val="1"/>
        <c:lblAlgn val="ctr"/>
        <c:lblOffset val="100"/>
        <c:tickLblSkip val="2"/>
        <c:tickMarkSkip val="1"/>
        <c:noMultiLvlLbl val="0"/>
      </c:catAx>
      <c:valAx>
        <c:axId val="443912464"/>
        <c:scaling>
          <c:orientation val="minMax"/>
        </c:scaling>
        <c:delete val="0"/>
        <c:axPos val="l"/>
        <c:majorGridlines>
          <c:spPr>
            <a:ln w="3175">
              <a:solidFill>
                <a:srgbClr val="000000"/>
              </a:solidFill>
              <a:prstDash val="solid"/>
            </a:ln>
          </c:spPr>
        </c:majorGridlines>
        <c:title>
          <c:tx>
            <c:rich>
              <a:bodyPr/>
              <a:lstStyle/>
              <a:p>
                <a:pPr>
                  <a:defRPr sz="1750" b="1" i="0" u="none" strike="noStrike" baseline="0">
                    <a:solidFill>
                      <a:srgbClr val="000000"/>
                    </a:solidFill>
                    <a:latin typeface="Arial"/>
                    <a:ea typeface="Arial"/>
                    <a:cs typeface="Arial"/>
                  </a:defRPr>
                </a:pPr>
                <a:r>
                  <a:rPr lang="en-US"/>
                  <a:t>Ranges</a:t>
                </a:r>
              </a:p>
            </c:rich>
          </c:tx>
          <c:layout>
            <c:manualLayout>
              <c:xMode val="edge"/>
              <c:yMode val="edge"/>
              <c:x val="1.2304263999868918E-2"/>
              <c:y val="0.45153768547227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3912072"/>
        <c:crosses val="autoZero"/>
        <c:crossBetween val="between"/>
      </c:valAx>
      <c:spPr>
        <a:solidFill>
          <a:srgbClr val="FFFFFF"/>
        </a:solidFill>
        <a:ln w="12700">
          <a:solidFill>
            <a:srgbClr val="000000"/>
          </a:solidFill>
          <a:prstDash val="solid"/>
        </a:ln>
      </c:spPr>
    </c:plotArea>
    <c:legend>
      <c:legendPos val="r"/>
      <c:layout>
        <c:manualLayout>
          <c:xMode val="edge"/>
          <c:yMode val="edge"/>
          <c:x val="0.7203587287195985"/>
          <c:y val="5.9101791292182175E-2"/>
          <c:w val="0.21923961308857345"/>
          <c:h val="0.160756872314735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span"/>
    <c:showDLblsOverMax val="0"/>
  </c:chart>
  <c:spPr>
    <a:solidFill>
      <a:schemeClr val="accent6">
        <a:lumMod val="20000"/>
        <a:lumOff val="80000"/>
      </a:schemeClr>
    </a:solidFill>
    <a:ln w="3175">
      <a:solidFill>
        <a:srgbClr val="000000"/>
      </a:solidFill>
      <a:prstDash val="solid"/>
    </a:ln>
  </c:spPr>
  <c:txPr>
    <a:bodyPr/>
    <a:lstStyle/>
    <a:p>
      <a:pPr>
        <a:defRPr sz="2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CA"/>
              <a:t>Attribute (u) Chart</a:t>
            </a:r>
          </a:p>
        </c:rich>
      </c:tx>
      <c:layout>
        <c:manualLayout>
          <c:xMode val="edge"/>
          <c:yMode val="edge"/>
          <c:x val="0.32893157262905159"/>
          <c:y val="0.04"/>
        </c:manualLayout>
      </c:layout>
      <c:overlay val="0"/>
      <c:spPr>
        <a:noFill/>
        <a:ln w="25400">
          <a:noFill/>
        </a:ln>
      </c:spPr>
    </c:title>
    <c:autoTitleDeleted val="0"/>
    <c:plotArea>
      <c:layout>
        <c:manualLayout>
          <c:layoutTarget val="inner"/>
          <c:xMode val="edge"/>
          <c:yMode val="edge"/>
          <c:x val="0.13925570228091236"/>
          <c:y val="0.28705882352941176"/>
          <c:w val="0.84033613445378152"/>
          <c:h val="0.5388235294117647"/>
        </c:manualLayout>
      </c:layout>
      <c:lineChart>
        <c:grouping val="standard"/>
        <c:varyColors val="0"/>
        <c:ser>
          <c:idx val="1"/>
          <c:order val="0"/>
          <c:tx>
            <c:v>Defects per unit</c:v>
          </c:tx>
          <c:spPr>
            <a:ln w="25400">
              <a:solidFill>
                <a:srgbClr val="000000"/>
              </a:solidFill>
              <a:prstDash val="solid"/>
            </a:ln>
          </c:spPr>
          <c:marker>
            <c:symbol val="diamond"/>
            <c:size val="7"/>
            <c:spPr>
              <a:solidFill>
                <a:srgbClr val="000000"/>
              </a:solidFill>
              <a:ln>
                <a:solidFill>
                  <a:srgbClr val="000000"/>
                </a:solidFill>
                <a:prstDash val="solid"/>
              </a:ln>
            </c:spPr>
          </c:marker>
          <c:val>
            <c:numRef>
              <c:f>'u Data and calculations'!$D$10:$D$59</c:f>
              <c:numCache>
                <c:formatCode>0.0000</c:formatCode>
                <c:ptCount val="50"/>
                <c:pt idx="0">
                  <c:v>0.2</c:v>
                </c:pt>
                <c:pt idx="1">
                  <c:v>0.25</c:v>
                </c:pt>
                <c:pt idx="2">
                  <c:v>0.54545454545454541</c:v>
                </c:pt>
                <c:pt idx="3">
                  <c:v>0.2</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0-391E-4B69-A820-9CA9FBAB729A}"/>
            </c:ext>
          </c:extLst>
        </c:ser>
        <c:ser>
          <c:idx val="2"/>
          <c:order val="1"/>
          <c:tx>
            <c:v>Lower control limit</c:v>
          </c:tx>
          <c:spPr>
            <a:ln w="12700">
              <a:solidFill>
                <a:srgbClr val="008000"/>
              </a:solidFill>
              <a:prstDash val="solid"/>
            </a:ln>
          </c:spPr>
          <c:marker>
            <c:symbol val="square"/>
            <c:size val="5"/>
            <c:spPr>
              <a:solidFill>
                <a:srgbClr val="008000"/>
              </a:solidFill>
              <a:ln>
                <a:solidFill>
                  <a:srgbClr val="008000"/>
                </a:solidFill>
                <a:prstDash val="solid"/>
              </a:ln>
            </c:spPr>
          </c:marker>
          <c:val>
            <c:numRef>
              <c:f>'u Data and calculations'!$F$10:$F$59</c:f>
              <c:numCache>
                <c:formatCode>General</c:formatCode>
                <c:ptCount val="5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1-391E-4B69-A820-9CA9FBAB729A}"/>
            </c:ext>
          </c:extLst>
        </c:ser>
        <c:ser>
          <c:idx val="3"/>
          <c:order val="2"/>
          <c:tx>
            <c:v>Upper control limit</c:v>
          </c:tx>
          <c:spPr>
            <a:ln w="12700">
              <a:solidFill>
                <a:srgbClr val="993300"/>
              </a:solidFill>
              <a:prstDash val="solid"/>
            </a:ln>
          </c:spPr>
          <c:marker>
            <c:symbol val="triangle"/>
            <c:size val="5"/>
            <c:spPr>
              <a:solidFill>
                <a:srgbClr val="993300"/>
              </a:solidFill>
              <a:ln>
                <a:solidFill>
                  <a:srgbClr val="993300"/>
                </a:solidFill>
                <a:prstDash val="solid"/>
              </a:ln>
            </c:spPr>
          </c:marker>
          <c:val>
            <c:numRef>
              <c:f>'u Data and calculations'!$H$10:$H$59</c:f>
              <c:numCache>
                <c:formatCode>General</c:formatCode>
                <c:ptCount val="50"/>
                <c:pt idx="0">
                  <c:v>0.82395094816331371</c:v>
                </c:pt>
                <c:pt idx="1">
                  <c:v>0.77850221463821556</c:v>
                </c:pt>
                <c:pt idx="2">
                  <c:v>0.79967585421011445</c:v>
                </c:pt>
                <c:pt idx="3">
                  <c:v>0.82395094816331371</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2-391E-4B69-A820-9CA9FBAB729A}"/>
            </c:ext>
          </c:extLst>
        </c:ser>
        <c:ser>
          <c:idx val="0"/>
          <c:order val="3"/>
          <c:tx>
            <c:v>Center line</c:v>
          </c:tx>
          <c:spPr>
            <a:ln w="38100">
              <a:solidFill>
                <a:srgbClr val="333399"/>
              </a:solidFill>
              <a:prstDash val="solid"/>
            </a:ln>
          </c:spPr>
          <c:marker>
            <c:symbol val="none"/>
          </c:marker>
          <c:val>
            <c:numRef>
              <c:f>'u Data and calculations'!$G$10:$G$59</c:f>
              <c:numCache>
                <c:formatCode>General</c:formatCode>
                <c:ptCount val="50"/>
                <c:pt idx="0">
                  <c:v>0.30232558139534882</c:v>
                </c:pt>
                <c:pt idx="1">
                  <c:v>0.30232558139534882</c:v>
                </c:pt>
                <c:pt idx="2">
                  <c:v>0.30232558139534882</c:v>
                </c:pt>
                <c:pt idx="3">
                  <c:v>0.30232558139534882</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smooth val="0"/>
          <c:extLst>
            <c:ext xmlns:c16="http://schemas.microsoft.com/office/drawing/2014/chart" uri="{C3380CC4-5D6E-409C-BE32-E72D297353CC}">
              <c16:uniqueId val="{00000003-391E-4B69-A820-9CA9FBAB729A}"/>
            </c:ext>
          </c:extLst>
        </c:ser>
        <c:dLbls>
          <c:showLegendKey val="0"/>
          <c:showVal val="0"/>
          <c:showCatName val="0"/>
          <c:showSerName val="0"/>
          <c:showPercent val="0"/>
          <c:showBubbleSize val="0"/>
        </c:dLbls>
        <c:marker val="1"/>
        <c:smooth val="0"/>
        <c:axId val="522415584"/>
        <c:axId val="1"/>
      </c:lineChart>
      <c:catAx>
        <c:axId val="522415584"/>
        <c:scaling>
          <c:orientation val="minMax"/>
        </c:scaling>
        <c:delete val="0"/>
        <c:axPos val="b"/>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CA"/>
                  <a:t>Sample number</a:t>
                </a:r>
              </a:p>
            </c:rich>
          </c:tx>
          <c:layout>
            <c:manualLayout>
              <c:xMode val="edge"/>
              <c:yMode val="edge"/>
              <c:x val="0.45138055222088835"/>
              <c:y val="0.898823529411764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CA"/>
                  <a:t>Defects per unit</a:t>
                </a:r>
              </a:p>
            </c:rich>
          </c:tx>
          <c:layout>
            <c:manualLayout>
              <c:xMode val="edge"/>
              <c:yMode val="edge"/>
              <c:x val="1.4405762304921969E-2"/>
              <c:y val="0.33647058823529413"/>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22415584"/>
        <c:crosses val="autoZero"/>
        <c:crossBetween val="between"/>
      </c:valAx>
      <c:spPr>
        <a:solidFill>
          <a:srgbClr val="FFFFFF"/>
        </a:solidFill>
        <a:ln w="12700">
          <a:solidFill>
            <a:srgbClr val="000000"/>
          </a:solidFill>
          <a:prstDash val="solid"/>
        </a:ln>
      </c:spPr>
    </c:plotArea>
    <c:legend>
      <c:legendPos val="r"/>
      <c:layout>
        <c:manualLayout>
          <c:xMode val="edge"/>
          <c:yMode val="edge"/>
          <c:x val="0.77791116446578634"/>
          <c:y val="6.1176470588235297E-2"/>
          <c:w val="0.15246098439375749"/>
          <c:h val="0.1552941176470588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span"/>
    <c:showDLblsOverMax val="0"/>
  </c:chart>
  <c:spPr>
    <a:solidFill>
      <a:srgbClr val="FFFFCC"/>
    </a:solidFill>
    <a:ln w="3175">
      <a:solidFill>
        <a:srgbClr val="000000"/>
      </a:solidFill>
      <a:prstDash val="solid"/>
    </a:ln>
  </c:spPr>
  <c:txPr>
    <a:bodyPr/>
    <a:lstStyle/>
    <a:p>
      <a:pPr>
        <a:defRPr sz="2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2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15875" cap="flat" cmpd="sng" algn="ctr">
        <a:solidFill>
          <a:schemeClr val="dk1">
            <a:lumMod val="65000"/>
            <a:lumOff val="35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cap="flat" cmpd="sng" algn="ctr">
        <a:solidFill>
          <a:schemeClr val="lt1">
            <a:lumMod val="85000"/>
          </a:schemeClr>
        </a:solidFill>
        <a:round/>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15875" cap="flat" cmpd="sng" algn="ctr">
        <a:solidFill>
          <a:schemeClr val="dk1">
            <a:lumMod val="65000"/>
            <a:lumOff val="35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cap="flat" cmpd="sng" algn="ctr">
        <a:solidFill>
          <a:schemeClr val="lt1">
            <a:lumMod val="85000"/>
          </a:schemeClr>
        </a:solidFill>
        <a:round/>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1</xdr:col>
      <xdr:colOff>82826</xdr:colOff>
      <xdr:row>38</xdr:row>
      <xdr:rowOff>157369</xdr:rowOff>
    </xdr:from>
    <xdr:to>
      <xdr:col>1</xdr:col>
      <xdr:colOff>1084547</xdr:colOff>
      <xdr:row>42</xdr:row>
      <xdr:rowOff>181096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1804" y="9566412"/>
          <a:ext cx="1005531" cy="855043"/>
        </a:xfrm>
        <a:prstGeom prst="rect">
          <a:avLst/>
        </a:prstGeom>
      </xdr:spPr>
    </xdr:pic>
    <xdr:clientData/>
  </xdr:twoCellAnchor>
  <xdr:twoCellAnchor>
    <xdr:from>
      <xdr:col>5</xdr:col>
      <xdr:colOff>183104</xdr:colOff>
      <xdr:row>2</xdr:row>
      <xdr:rowOff>405578</xdr:rowOff>
    </xdr:from>
    <xdr:to>
      <xdr:col>14</xdr:col>
      <xdr:colOff>326877</xdr:colOff>
      <xdr:row>15</xdr:row>
      <xdr:rowOff>90342</xdr:rowOff>
    </xdr:to>
    <xdr:sp macro="" textlink="">
      <xdr:nvSpPr>
        <xdr:cNvPr id="3" name="Rectangle 2">
          <a:extLst>
            <a:ext uri="{FF2B5EF4-FFF2-40B4-BE49-F238E27FC236}">
              <a16:creationId xmlns:a16="http://schemas.microsoft.com/office/drawing/2014/main" id="{E915C5AD-0CF1-441D-BB34-CD6C6458E386}"/>
            </a:ext>
          </a:extLst>
        </xdr:cNvPr>
        <xdr:cNvSpPr>
          <a:spLocks noChangeArrowheads="1"/>
        </xdr:cNvSpPr>
      </xdr:nvSpPr>
      <xdr:spPr bwMode="auto">
        <a:xfrm>
          <a:off x="8609928" y="1044313"/>
          <a:ext cx="5690684" cy="2351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fr-CA"/>
          </a:defPPr>
          <a:lvl1pPr algn="l" rtl="0" eaLnBrk="0" fontAlgn="base" hangingPunct="0">
            <a:spcBef>
              <a:spcPct val="0"/>
            </a:spcBef>
            <a:spcAft>
              <a:spcPct val="0"/>
            </a:spcAft>
            <a:defRPr sz="2400"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sz="2400"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sz="2400"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sz="2400"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sz="2400" kern="1200">
              <a:solidFill>
                <a:schemeClr val="tx1"/>
              </a:solidFill>
              <a:latin typeface="Tahoma" panose="020B0604030504040204" pitchFamily="34" charset="0"/>
              <a:ea typeface="+mn-ea"/>
              <a:cs typeface="+mn-cs"/>
            </a:defRPr>
          </a:lvl5pPr>
          <a:lvl6pPr marL="2286000" algn="l" defTabSz="914400" rtl="0" eaLnBrk="1" latinLnBrk="0" hangingPunct="1">
            <a:defRPr sz="2400" kern="1200">
              <a:solidFill>
                <a:schemeClr val="tx1"/>
              </a:solidFill>
              <a:latin typeface="Tahoma" panose="020B0604030504040204" pitchFamily="34" charset="0"/>
              <a:ea typeface="+mn-ea"/>
              <a:cs typeface="+mn-cs"/>
            </a:defRPr>
          </a:lvl6pPr>
          <a:lvl7pPr marL="2743200" algn="l" defTabSz="914400" rtl="0" eaLnBrk="1" latinLnBrk="0" hangingPunct="1">
            <a:defRPr sz="2400" kern="1200">
              <a:solidFill>
                <a:schemeClr val="tx1"/>
              </a:solidFill>
              <a:latin typeface="Tahoma" panose="020B0604030504040204" pitchFamily="34" charset="0"/>
              <a:ea typeface="+mn-ea"/>
              <a:cs typeface="+mn-cs"/>
            </a:defRPr>
          </a:lvl7pPr>
          <a:lvl8pPr marL="3200400" algn="l" defTabSz="914400" rtl="0" eaLnBrk="1" latinLnBrk="0" hangingPunct="1">
            <a:defRPr sz="2400" kern="1200">
              <a:solidFill>
                <a:schemeClr val="tx1"/>
              </a:solidFill>
              <a:latin typeface="Tahoma" panose="020B0604030504040204" pitchFamily="34" charset="0"/>
              <a:ea typeface="+mn-ea"/>
              <a:cs typeface="+mn-cs"/>
            </a:defRPr>
          </a:lvl8pPr>
          <a:lvl9pPr marL="3657600" algn="l" defTabSz="914400" rtl="0" eaLnBrk="1" latinLnBrk="0" hangingPunct="1">
            <a:defRPr sz="2400" kern="1200">
              <a:solidFill>
                <a:schemeClr val="tx1"/>
              </a:solidFill>
              <a:latin typeface="Tahoma" panose="020B0604030504040204" pitchFamily="34" charset="0"/>
              <a:ea typeface="+mn-ea"/>
              <a:cs typeface="+mn-cs"/>
            </a:defRPr>
          </a:lvl9pPr>
        </a:lstStyle>
        <a:p>
          <a:pPr algn="ctr" eaLnBrk="1" hangingPunct="1">
            <a:spcBef>
              <a:spcPct val="0"/>
            </a:spcBef>
            <a:buClrTx/>
            <a:buFontTx/>
            <a:buNone/>
          </a:pPr>
          <a:r>
            <a:rPr lang="fr-CA" altLang="en-US" sz="4800" b="1" i="1">
              <a:solidFill>
                <a:schemeClr val="tx2"/>
              </a:solidFill>
              <a:latin typeface="Arial Black" panose="020B0A04020102020204" pitchFamily="34" charset="0"/>
            </a:rPr>
            <a:t>6 </a:t>
          </a:r>
          <a:r>
            <a:rPr lang="fr-CA" altLang="en-US" sz="4800" b="1" i="1">
              <a:solidFill>
                <a:schemeClr val="tx2"/>
              </a:solidFill>
              <a:latin typeface="Arial Black" panose="020B0A04020102020204" pitchFamily="34" charset="0"/>
              <a:sym typeface="Symbol" panose="05050102010706020507" pitchFamily="18" charset="2"/>
            </a:rPr>
            <a:t></a:t>
          </a:r>
        </a:p>
        <a:p>
          <a:pPr algn="ctr" eaLnBrk="1" hangingPunct="1">
            <a:spcBef>
              <a:spcPct val="0"/>
            </a:spcBef>
            <a:buClrTx/>
            <a:buFontTx/>
            <a:buNone/>
          </a:pPr>
          <a:r>
            <a:rPr lang="fr-CA" altLang="en-US" sz="4400" i="1">
              <a:solidFill>
                <a:schemeClr val="tx2"/>
              </a:solidFill>
              <a:latin typeface="Arial Black" panose="020B0A04020102020204" pitchFamily="34" charset="0"/>
              <a:sym typeface="Symbol" panose="05050102010706020507" pitchFamily="18" charset="2"/>
            </a:rPr>
            <a:t>Lean Six Sigma</a:t>
          </a:r>
        </a:p>
        <a:p>
          <a:pPr algn="ctr" eaLnBrk="1" hangingPunct="1">
            <a:spcBef>
              <a:spcPct val="0"/>
            </a:spcBef>
            <a:buClrTx/>
            <a:buFontTx/>
            <a:buNone/>
          </a:pPr>
          <a:endParaRPr lang="fr-CA" altLang="en-US" sz="3600" b="1" i="1">
            <a:solidFill>
              <a:schemeClr val="tx2"/>
            </a:solidFill>
            <a:latin typeface="Stencil" panose="040409050D0802020404" pitchFamily="82" charset="0"/>
            <a:sym typeface="Symbol" panose="05050102010706020507" pitchFamily="18" charset="2"/>
          </a:endParaRPr>
        </a:p>
      </xdr:txBody>
    </xdr:sp>
    <xdr:clientData/>
  </xdr:twoCellAnchor>
  <xdr:twoCellAnchor>
    <xdr:from>
      <xdr:col>7</xdr:col>
      <xdr:colOff>480268</xdr:colOff>
      <xdr:row>2</xdr:row>
      <xdr:rowOff>168088</xdr:rowOff>
    </xdr:from>
    <xdr:to>
      <xdr:col>12</xdr:col>
      <xdr:colOff>156567</xdr:colOff>
      <xdr:row>6</xdr:row>
      <xdr:rowOff>160767</xdr:rowOff>
    </xdr:to>
    <xdr:sp macro="" textlink="">
      <xdr:nvSpPr>
        <xdr:cNvPr id="4" name="Freeform 7">
          <a:extLst>
            <a:ext uri="{FF2B5EF4-FFF2-40B4-BE49-F238E27FC236}">
              <a16:creationId xmlns:a16="http://schemas.microsoft.com/office/drawing/2014/main" id="{E067FCF3-8ACC-457D-B38F-037269A68A90}"/>
            </a:ext>
          </a:extLst>
        </xdr:cNvPr>
        <xdr:cNvSpPr>
          <a:spLocks/>
        </xdr:cNvSpPr>
      </xdr:nvSpPr>
      <xdr:spPr bwMode="auto">
        <a:xfrm>
          <a:off x="10184562" y="806823"/>
          <a:ext cx="2668270" cy="1023620"/>
        </a:xfrm>
        <a:custGeom>
          <a:avLst/>
          <a:gdLst>
            <a:gd name="T0" fmla="*/ 0 w 3840"/>
            <a:gd name="T1" fmla="*/ 2147483646 h 2067"/>
            <a:gd name="T2" fmla="*/ 2147483646 w 3840"/>
            <a:gd name="T3" fmla="*/ 2147483646 h 2067"/>
            <a:gd name="T4" fmla="*/ 2147483646 w 3840"/>
            <a:gd name="T5" fmla="*/ 2147483646 h 2067"/>
            <a:gd name="T6" fmla="*/ 2147483646 w 3840"/>
            <a:gd name="T7" fmla="*/ 2147483646 h 2067"/>
            <a:gd name="T8" fmla="*/ 2147483646 w 3840"/>
            <a:gd name="T9" fmla="*/ 2147483646 h 2067"/>
            <a:gd name="T10" fmla="*/ 0 60000 65536"/>
            <a:gd name="T11" fmla="*/ 0 60000 65536"/>
            <a:gd name="T12" fmla="*/ 0 60000 65536"/>
            <a:gd name="T13" fmla="*/ 0 60000 65536"/>
            <a:gd name="T14" fmla="*/ 0 60000 65536"/>
            <a:gd name="T15" fmla="*/ 0 w 3840"/>
            <a:gd name="T16" fmla="*/ 0 h 2067"/>
            <a:gd name="T17" fmla="*/ 3840 w 3840"/>
            <a:gd name="T18" fmla="*/ 2067 h 2067"/>
          </a:gdLst>
          <a:ahLst/>
          <a:cxnLst>
            <a:cxn ang="T10">
              <a:pos x="T0" y="T1"/>
            </a:cxn>
            <a:cxn ang="T11">
              <a:pos x="T2" y="T3"/>
            </a:cxn>
            <a:cxn ang="T12">
              <a:pos x="T4" y="T5"/>
            </a:cxn>
            <a:cxn ang="T13">
              <a:pos x="T6" y="T7"/>
            </a:cxn>
            <a:cxn ang="T14">
              <a:pos x="T8" y="T9"/>
            </a:cxn>
          </a:cxnLst>
          <a:rect l="T15" t="T16" r="T17" b="T18"/>
          <a:pathLst>
            <a:path w="3840" h="2067">
              <a:moveTo>
                <a:pt x="0" y="1973"/>
              </a:moveTo>
              <a:cubicBezTo>
                <a:pt x="97" y="1934"/>
                <a:pt x="262" y="2067"/>
                <a:pt x="582" y="1739"/>
              </a:cubicBezTo>
              <a:cubicBezTo>
                <a:pt x="902" y="1411"/>
                <a:pt x="1473" y="10"/>
                <a:pt x="1920" y="5"/>
              </a:cubicBezTo>
              <a:cubicBezTo>
                <a:pt x="2367" y="0"/>
                <a:pt x="2944" y="1381"/>
                <a:pt x="3264" y="1709"/>
              </a:cubicBezTo>
              <a:cubicBezTo>
                <a:pt x="3584" y="2037"/>
                <a:pt x="3720" y="1918"/>
                <a:pt x="3840" y="1973"/>
              </a:cubicBezTo>
            </a:path>
          </a:pathLst>
        </a:custGeom>
        <a:noFill/>
        <a:ln w="38100" cap="flat" cmpd="sng">
          <a:solidFill>
            <a:srgbClr val="80008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fr-CA"/>
          </a:defPPr>
          <a:lvl1pPr algn="l" rtl="0" eaLnBrk="0" fontAlgn="base" hangingPunct="0">
            <a:spcBef>
              <a:spcPct val="0"/>
            </a:spcBef>
            <a:spcAft>
              <a:spcPct val="0"/>
            </a:spcAft>
            <a:defRPr sz="2400"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sz="2400"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sz="2400"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sz="2400"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sz="2400" kern="1200">
              <a:solidFill>
                <a:schemeClr val="tx1"/>
              </a:solidFill>
              <a:latin typeface="Tahoma" panose="020B0604030504040204" pitchFamily="34" charset="0"/>
              <a:ea typeface="+mn-ea"/>
              <a:cs typeface="+mn-cs"/>
            </a:defRPr>
          </a:lvl5pPr>
          <a:lvl6pPr marL="2286000" algn="l" defTabSz="914400" rtl="0" eaLnBrk="1" latinLnBrk="0" hangingPunct="1">
            <a:defRPr sz="2400" kern="1200">
              <a:solidFill>
                <a:schemeClr val="tx1"/>
              </a:solidFill>
              <a:latin typeface="Tahoma" panose="020B0604030504040204" pitchFamily="34" charset="0"/>
              <a:ea typeface="+mn-ea"/>
              <a:cs typeface="+mn-cs"/>
            </a:defRPr>
          </a:lvl6pPr>
          <a:lvl7pPr marL="2743200" algn="l" defTabSz="914400" rtl="0" eaLnBrk="1" latinLnBrk="0" hangingPunct="1">
            <a:defRPr sz="2400" kern="1200">
              <a:solidFill>
                <a:schemeClr val="tx1"/>
              </a:solidFill>
              <a:latin typeface="Tahoma" panose="020B0604030504040204" pitchFamily="34" charset="0"/>
              <a:ea typeface="+mn-ea"/>
              <a:cs typeface="+mn-cs"/>
            </a:defRPr>
          </a:lvl7pPr>
          <a:lvl8pPr marL="3200400" algn="l" defTabSz="914400" rtl="0" eaLnBrk="1" latinLnBrk="0" hangingPunct="1">
            <a:defRPr sz="2400" kern="1200">
              <a:solidFill>
                <a:schemeClr val="tx1"/>
              </a:solidFill>
              <a:latin typeface="Tahoma" panose="020B0604030504040204" pitchFamily="34" charset="0"/>
              <a:ea typeface="+mn-ea"/>
              <a:cs typeface="+mn-cs"/>
            </a:defRPr>
          </a:lvl8pPr>
          <a:lvl9pPr marL="3657600" algn="l" defTabSz="914400" rtl="0" eaLnBrk="1" latinLnBrk="0" hangingPunct="1">
            <a:defRPr sz="2400" kern="1200">
              <a:solidFill>
                <a:schemeClr val="tx1"/>
              </a:solidFill>
              <a:latin typeface="Tahoma" panose="020B0604030504040204" pitchFamily="34" charset="0"/>
              <a:ea typeface="+mn-ea"/>
              <a:cs typeface="+mn-cs"/>
            </a:defRPr>
          </a:lvl9pPr>
        </a:lstStyle>
        <a:p>
          <a:endParaRPr lang="en-CA"/>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161923</xdr:colOff>
      <xdr:row>1</xdr:row>
      <xdr:rowOff>161243</xdr:rowOff>
    </xdr:from>
    <xdr:to>
      <xdr:col>26</xdr:col>
      <xdr:colOff>707571</xdr:colOff>
      <xdr:row>39</xdr:row>
      <xdr:rowOff>27214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9525</xdr:rowOff>
    </xdr:from>
    <xdr:to>
      <xdr:col>14</xdr:col>
      <xdr:colOff>0</xdr:colOff>
      <xdr:row>25</xdr:row>
      <xdr:rowOff>152400</xdr:rowOff>
    </xdr:to>
    <xdr:graphicFrame macro="">
      <xdr:nvGraphicFramePr>
        <xdr:cNvPr id="2" name="Chart 102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0</xdr:rowOff>
    </xdr:from>
    <xdr:to>
      <xdr:col>9</xdr:col>
      <xdr:colOff>190500</xdr:colOff>
      <xdr:row>49</xdr:row>
      <xdr:rowOff>104775</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90500" y="0"/>
          <a:ext cx="5486400" cy="80391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When to use this spreadsheet</a:t>
          </a:r>
        </a:p>
        <a:p>
          <a:pPr algn="l" rtl="0">
            <a:defRPr sz="1000"/>
          </a:pPr>
          <a:endParaRPr lang="en-US" sz="800" b="1"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1) This spreadsheet allows the user to perform a complete Gage Repeatability and Reproducibility (GR&amp;R) study.  Both Analysis of Variance (ANOVA) and Xbar/Range calculations are performed.  Up to three operators, ten parts and three trials can be accommodated.  The GR&amp;R is reported in terms of percent of study variation and percent of tolerance.  The percentage of equipment variation, appraiser variation, part variation, and the number of distinct categories that can be distinguished are also displayed.</a:t>
          </a:r>
        </a:p>
        <a:p>
          <a:pPr algn="l" rtl="0">
            <a:defRPr sz="1000"/>
          </a:pPr>
          <a:endParaRPr lang="en-US" sz="800" b="0"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Instructions for Data Entry</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1) Generally the coloring of the cells indicate their use.  White cells are for data entry, yellow cells provide instruction, turquoise cells are headings and light green cells display data that can't / shouldn't be changed.</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2) Enter the part number and / or name, the characteristic of the part being measured, the tolerance specification, the gage name, the gage number, the gage type, the name of the person conducting the study, the upper specification limit and the lower specification limit.  Both upper and lower specification limits are required.</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3) Determine the number of parts and the number of appraisers to be used.  Conduct the study and enter the data in the appropriate rows.  The spreadsheet will count the number of parts and appraisers automatically.</a:t>
          </a:r>
        </a:p>
        <a:p>
          <a:pPr algn="l" rtl="0">
            <a:defRPr sz="1000"/>
          </a:pPr>
          <a:endParaRPr lang="en-US" sz="800" b="0"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Reading the Results</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1) The GR&amp;R results are displayed as a percentage of part variation and percentage of tolerance.  If no tolerance is entered, the Percent of Tolerance report will display "Enter Tol" in the data fields.  Be sure to enter a value for the upper and lower specification, including zero, to ensure a proper result.</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2) The percentage of equipment variation, appraiser variation, part variation, and the number of distinct categories that can be distinguished are displayed.  Generally, an acceptable gage will have lower values for the equipment and the appraiser and higher values for the parts.  In most industries, a GR&amp;R less than 10% of the tolerance is considered acceptable while a GR&amp;R greater than 30% is unacceptable.  A GR&amp;R between 10% and 30% should be investigated for improvement.  The Number of Distinct Categories should be 5 or greater.</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3) The Graphical Summary provides a full graphical analysis of the data.  An Xbar and R chart is shown as well as Multi-vari charts showing Part Variation, Operator Variation and Part - Operator Interaction.  A bar chart summarizes the total Gage R&amp;R, Repeatability and Reproducibility for % Contribution, % Study Variation and % Tolerance.  Guidance for using the Xbar and R charts follows:</a:t>
          </a:r>
        </a:p>
        <a:p>
          <a:pPr algn="l" rtl="0">
            <a:defRPr sz="1000"/>
          </a:pPr>
          <a:endParaRPr lang="en-US" sz="800" b="0" i="0" u="none" strike="noStrike" baseline="0">
            <a:solidFill>
              <a:srgbClr val="000000"/>
            </a:solidFill>
            <a:latin typeface="Arial"/>
            <a:cs typeface="Arial"/>
          </a:endParaRPr>
        </a:p>
        <a:p>
          <a:pPr algn="l" rtl="0">
            <a:defRPr sz="1000"/>
          </a:pPr>
          <a:r>
            <a:rPr lang="en-US" sz="800" b="0" i="0" u="sng" strike="noStrike" baseline="0">
              <a:solidFill>
                <a:srgbClr val="000000"/>
              </a:solidFill>
              <a:latin typeface="Arial"/>
              <a:cs typeface="Arial"/>
            </a:rPr>
            <a:t>Xbar Chart</a:t>
          </a:r>
          <a:r>
            <a:rPr lang="en-US" sz="800" b="0" i="0" u="none" strike="noStrike" baseline="0">
              <a:solidFill>
                <a:srgbClr val="000000"/>
              </a:solidFill>
              <a:latin typeface="Arial"/>
              <a:cs typeface="Arial"/>
            </a:rPr>
            <a:t>: The area between the control limits represents the measurement uncertainty and so at least half of the points should be outside the control limits.  </a:t>
          </a:r>
        </a:p>
        <a:p>
          <a:pPr algn="l" rtl="0">
            <a:defRPr sz="1000"/>
          </a:pPr>
          <a:endParaRPr lang="en-US" sz="800" b="0" i="0" u="none" strike="noStrike" baseline="0">
            <a:solidFill>
              <a:srgbClr val="000000"/>
            </a:solidFill>
            <a:latin typeface="Arial"/>
            <a:cs typeface="Arial"/>
          </a:endParaRPr>
        </a:p>
        <a:p>
          <a:pPr algn="l" rtl="0">
            <a:defRPr sz="1000"/>
          </a:pPr>
          <a:r>
            <a:rPr lang="en-US" sz="800" b="0" i="0" u="sng" strike="noStrike" baseline="0">
              <a:solidFill>
                <a:srgbClr val="000000"/>
              </a:solidFill>
              <a:latin typeface="Arial"/>
              <a:cs typeface="Arial"/>
            </a:rPr>
            <a:t>R Chart</a:t>
          </a:r>
          <a:r>
            <a:rPr lang="en-US" sz="800" b="0" i="0" u="none" strike="noStrike" baseline="0">
              <a:solidFill>
                <a:srgbClr val="000000"/>
              </a:solidFill>
              <a:latin typeface="Arial"/>
              <a:cs typeface="Arial"/>
            </a:rPr>
            <a:t>:  All points should be stable and in control.</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4) The Numerical Summary displays the results of all calculations used in the ANOVA and Xbar/Range method of analysis.  The Variance, Standard Deviation and Percent of Variance for each variation component are displayed.  Gage R&amp;R for Percent of Study Variation and Percent of Tolerance are displayed.  The Percent of Tolerance is calculated using 5.15 standard deviations (99% of the variation) and 6.0 standard deviations (99.7% of the variation.)  Both 5.15 and 6.0 are commonly used and so both are displayed.  Also, the ANOVA table is displayed.</a:t>
          </a:r>
        </a:p>
        <a:p>
          <a:pPr algn="l" rtl="0">
            <a:defRPr sz="1000"/>
          </a:pPr>
          <a:endParaRPr lang="en-US" sz="800" b="0"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A Special Note Regarding K Factors</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1) All calculations are performed using the K factors outlined in revision three of the AIAG MSA manual.  The new K factors are just the old factors divided by 5.15 sigma.  The Percent of Tolerance report accounts for the new K factors by including 5.15 sigma in the calculations.</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End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333375</xdr:colOff>
      <xdr:row>1</xdr:row>
      <xdr:rowOff>0</xdr:rowOff>
    </xdr:from>
    <xdr:to>
      <xdr:col>7</xdr:col>
      <xdr:colOff>0</xdr:colOff>
      <xdr:row>2</xdr:row>
      <xdr:rowOff>0</xdr:rowOff>
    </xdr:to>
    <xdr:sp macro="" textlink="">
      <xdr:nvSpPr>
        <xdr:cNvPr id="2" name="Text Box 3">
          <a:extLst>
            <a:ext uri="{FF2B5EF4-FFF2-40B4-BE49-F238E27FC236}">
              <a16:creationId xmlns:a16="http://schemas.microsoft.com/office/drawing/2014/main" id="{00000000-0008-0000-0C00-000002000000}"/>
            </a:ext>
          </a:extLst>
        </xdr:cNvPr>
        <xdr:cNvSpPr txBox="1">
          <a:spLocks noChangeArrowheads="1"/>
        </xdr:cNvSpPr>
      </xdr:nvSpPr>
      <xdr:spPr bwMode="auto">
        <a:xfrm>
          <a:off x="3257550" y="514350"/>
          <a:ext cx="885825" cy="200025"/>
        </a:xfrm>
        <a:prstGeom prst="rect">
          <a:avLst/>
        </a:prstGeom>
        <a:solidFill>
          <a:srgbClr val="FFFF00"/>
        </a:solidFill>
        <a:ln w="9525">
          <a:solidFill>
            <a:srgbClr val="000000"/>
          </a:solidFill>
          <a:miter lim="800000"/>
          <a:headEnd/>
          <a:tailEnd/>
        </a:ln>
      </xdr:spPr>
      <xdr:txBody>
        <a:bodyPr vertOverflow="clip" wrap="square" lIns="0" tIns="22860" rIns="27432" bIns="22860" anchor="ctr" upright="1"/>
        <a:lstStyle/>
        <a:p>
          <a:pPr algn="r" rtl="0">
            <a:defRPr sz="1000"/>
          </a:pPr>
          <a:r>
            <a:rPr lang="en-US" sz="1000" b="0" i="0" u="none" strike="noStrike" baseline="0">
              <a:solidFill>
                <a:srgbClr val="000000"/>
              </a:solidFill>
              <a:latin typeface="Arial"/>
              <a:cs typeface="Arial"/>
            </a:rPr>
            <a:t>Gage Name: </a:t>
          </a:r>
        </a:p>
      </xdr:txBody>
    </xdr:sp>
    <xdr:clientData/>
  </xdr:twoCellAnchor>
  <xdr:twoCellAnchor>
    <xdr:from>
      <xdr:col>5</xdr:col>
      <xdr:colOff>333375</xdr:colOff>
      <xdr:row>2</xdr:row>
      <xdr:rowOff>0</xdr:rowOff>
    </xdr:from>
    <xdr:to>
      <xdr:col>7</xdr:col>
      <xdr:colOff>0</xdr:colOff>
      <xdr:row>3</xdr:row>
      <xdr:rowOff>0</xdr:rowOff>
    </xdr:to>
    <xdr:sp macro="" textlink="">
      <xdr:nvSpPr>
        <xdr:cNvPr id="3" name="Text Box 4">
          <a:extLst>
            <a:ext uri="{FF2B5EF4-FFF2-40B4-BE49-F238E27FC236}">
              <a16:creationId xmlns:a16="http://schemas.microsoft.com/office/drawing/2014/main" id="{00000000-0008-0000-0C00-000003000000}"/>
            </a:ext>
          </a:extLst>
        </xdr:cNvPr>
        <xdr:cNvSpPr txBox="1">
          <a:spLocks noChangeArrowheads="1"/>
        </xdr:cNvSpPr>
      </xdr:nvSpPr>
      <xdr:spPr bwMode="auto">
        <a:xfrm>
          <a:off x="3257550" y="714375"/>
          <a:ext cx="885825" cy="200025"/>
        </a:xfrm>
        <a:prstGeom prst="rect">
          <a:avLst/>
        </a:prstGeom>
        <a:solidFill>
          <a:srgbClr val="FFFF00"/>
        </a:solidFill>
        <a:ln w="9525">
          <a:solidFill>
            <a:srgbClr val="000000"/>
          </a:solidFill>
          <a:miter lim="800000"/>
          <a:headEnd/>
          <a:tailEnd/>
        </a:ln>
      </xdr:spPr>
      <xdr:txBody>
        <a:bodyPr vertOverflow="clip" wrap="square" lIns="0" tIns="22860" rIns="27432" bIns="22860" anchor="ctr" upright="1"/>
        <a:lstStyle/>
        <a:p>
          <a:pPr algn="r" rtl="0">
            <a:defRPr sz="1000"/>
          </a:pPr>
          <a:r>
            <a:rPr lang="en-US" sz="1000" b="0" i="0" u="none" strike="noStrike" baseline="0">
              <a:solidFill>
                <a:srgbClr val="000000"/>
              </a:solidFill>
              <a:latin typeface="Arial"/>
              <a:cs typeface="Arial"/>
            </a:rPr>
            <a:t>Gage Number:</a:t>
          </a:r>
        </a:p>
      </xdr:txBody>
    </xdr:sp>
    <xdr:clientData/>
  </xdr:twoCellAnchor>
  <xdr:twoCellAnchor>
    <xdr:from>
      <xdr:col>5</xdr:col>
      <xdr:colOff>333375</xdr:colOff>
      <xdr:row>3</xdr:row>
      <xdr:rowOff>0</xdr:rowOff>
    </xdr:from>
    <xdr:to>
      <xdr:col>7</xdr:col>
      <xdr:colOff>0</xdr:colOff>
      <xdr:row>4</xdr:row>
      <xdr:rowOff>0</xdr:rowOff>
    </xdr:to>
    <xdr:sp macro="" textlink="">
      <xdr:nvSpPr>
        <xdr:cNvPr id="4" name="Text Box 5">
          <a:extLst>
            <a:ext uri="{FF2B5EF4-FFF2-40B4-BE49-F238E27FC236}">
              <a16:creationId xmlns:a16="http://schemas.microsoft.com/office/drawing/2014/main" id="{00000000-0008-0000-0C00-000004000000}"/>
            </a:ext>
          </a:extLst>
        </xdr:cNvPr>
        <xdr:cNvSpPr txBox="1">
          <a:spLocks noChangeArrowheads="1"/>
        </xdr:cNvSpPr>
      </xdr:nvSpPr>
      <xdr:spPr bwMode="auto">
        <a:xfrm>
          <a:off x="3257550" y="914400"/>
          <a:ext cx="885825" cy="200025"/>
        </a:xfrm>
        <a:prstGeom prst="rect">
          <a:avLst/>
        </a:prstGeom>
        <a:solidFill>
          <a:srgbClr val="FFFF00"/>
        </a:solidFill>
        <a:ln w="9525">
          <a:solidFill>
            <a:srgbClr val="000000"/>
          </a:solidFill>
          <a:miter lim="800000"/>
          <a:headEnd/>
          <a:tailEnd/>
        </a:ln>
      </xdr:spPr>
      <xdr:txBody>
        <a:bodyPr vertOverflow="clip" wrap="square" lIns="0" tIns="22860" rIns="27432" bIns="22860" anchor="ctr" upright="1"/>
        <a:lstStyle/>
        <a:p>
          <a:pPr algn="r" rtl="0">
            <a:defRPr sz="1000"/>
          </a:pPr>
          <a:r>
            <a:rPr lang="en-US" sz="1000" b="0" i="0" u="none" strike="noStrike" baseline="0">
              <a:solidFill>
                <a:srgbClr val="000000"/>
              </a:solidFill>
              <a:latin typeface="Arial"/>
              <a:cs typeface="Arial"/>
            </a:rPr>
            <a:t>Gage Type: </a:t>
          </a:r>
        </a:p>
      </xdr:txBody>
    </xdr:sp>
    <xdr:clientData/>
  </xdr:twoCellAnchor>
  <xdr:twoCellAnchor>
    <xdr:from>
      <xdr:col>10</xdr:col>
      <xdr:colOff>333375</xdr:colOff>
      <xdr:row>1</xdr:row>
      <xdr:rowOff>0</xdr:rowOff>
    </xdr:from>
    <xdr:to>
      <xdr:col>12</xdr:col>
      <xdr:colOff>0</xdr:colOff>
      <xdr:row>2</xdr:row>
      <xdr:rowOff>0</xdr:rowOff>
    </xdr:to>
    <xdr:sp macro="" textlink="">
      <xdr:nvSpPr>
        <xdr:cNvPr id="5" name="Text Box 6">
          <a:extLst>
            <a:ext uri="{FF2B5EF4-FFF2-40B4-BE49-F238E27FC236}">
              <a16:creationId xmlns:a16="http://schemas.microsoft.com/office/drawing/2014/main" id="{00000000-0008-0000-0C00-000005000000}"/>
            </a:ext>
          </a:extLst>
        </xdr:cNvPr>
        <xdr:cNvSpPr txBox="1">
          <a:spLocks noChangeArrowheads="1"/>
        </xdr:cNvSpPr>
      </xdr:nvSpPr>
      <xdr:spPr bwMode="auto">
        <a:xfrm>
          <a:off x="6305550" y="514350"/>
          <a:ext cx="885825" cy="200025"/>
        </a:xfrm>
        <a:prstGeom prst="rect">
          <a:avLst/>
        </a:prstGeom>
        <a:solidFill>
          <a:srgbClr val="FFFF00"/>
        </a:solidFill>
        <a:ln w="9525">
          <a:solidFill>
            <a:srgbClr val="000000"/>
          </a:solidFill>
          <a:miter lim="800000"/>
          <a:headEnd/>
          <a:tailEnd/>
        </a:ln>
      </xdr:spPr>
      <xdr:txBody>
        <a:bodyPr vertOverflow="clip" wrap="square" lIns="0" tIns="22860" rIns="27432" bIns="22860" anchor="ctr" upright="1"/>
        <a:lstStyle/>
        <a:p>
          <a:pPr algn="r" rtl="0">
            <a:defRPr sz="1000"/>
          </a:pPr>
          <a:r>
            <a:rPr lang="en-US" sz="1000" b="0" i="0" u="none" strike="noStrike" baseline="0">
              <a:solidFill>
                <a:srgbClr val="000000"/>
              </a:solidFill>
              <a:latin typeface="Arial"/>
              <a:cs typeface="Arial"/>
            </a:rPr>
            <a:t>Date: </a:t>
          </a:r>
        </a:p>
      </xdr:txBody>
    </xdr:sp>
    <xdr:clientData/>
  </xdr:twoCellAnchor>
  <xdr:twoCellAnchor>
    <xdr:from>
      <xdr:col>10</xdr:col>
      <xdr:colOff>333375</xdr:colOff>
      <xdr:row>2</xdr:row>
      <xdr:rowOff>0</xdr:rowOff>
    </xdr:from>
    <xdr:to>
      <xdr:col>12</xdr:col>
      <xdr:colOff>0</xdr:colOff>
      <xdr:row>3</xdr:row>
      <xdr:rowOff>0</xdr:rowOff>
    </xdr:to>
    <xdr:sp macro="" textlink="">
      <xdr:nvSpPr>
        <xdr:cNvPr id="6" name="Text Box 7">
          <a:extLst>
            <a:ext uri="{FF2B5EF4-FFF2-40B4-BE49-F238E27FC236}">
              <a16:creationId xmlns:a16="http://schemas.microsoft.com/office/drawing/2014/main" id="{00000000-0008-0000-0C00-000006000000}"/>
            </a:ext>
          </a:extLst>
        </xdr:cNvPr>
        <xdr:cNvSpPr txBox="1">
          <a:spLocks noChangeArrowheads="1"/>
        </xdr:cNvSpPr>
      </xdr:nvSpPr>
      <xdr:spPr bwMode="auto">
        <a:xfrm>
          <a:off x="6305550" y="714375"/>
          <a:ext cx="885825" cy="200025"/>
        </a:xfrm>
        <a:prstGeom prst="rect">
          <a:avLst/>
        </a:prstGeom>
        <a:solidFill>
          <a:srgbClr val="FFFF00"/>
        </a:solidFill>
        <a:ln w="9525">
          <a:solidFill>
            <a:srgbClr val="000000"/>
          </a:solidFill>
          <a:miter lim="800000"/>
          <a:headEnd/>
          <a:tailEnd/>
        </a:ln>
      </xdr:spPr>
      <xdr:txBody>
        <a:bodyPr vertOverflow="clip" wrap="square" lIns="0" tIns="22860" rIns="27432" bIns="22860" anchor="ctr" upright="1"/>
        <a:lstStyle/>
        <a:p>
          <a:pPr algn="r" rtl="0">
            <a:defRPr sz="1000"/>
          </a:pPr>
          <a:r>
            <a:rPr lang="en-US" sz="1000" b="0" i="0" u="none" strike="noStrike" baseline="0">
              <a:solidFill>
                <a:srgbClr val="000000"/>
              </a:solidFill>
              <a:latin typeface="Arial"/>
              <a:cs typeface="Arial"/>
            </a:rPr>
            <a:t>Performed by: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31</xdr:row>
      <xdr:rowOff>0</xdr:rowOff>
    </xdr:from>
    <xdr:to>
      <xdr:col>17</xdr:col>
      <xdr:colOff>723900</xdr:colOff>
      <xdr:row>37</xdr:row>
      <xdr:rowOff>180975</xdr:rowOff>
    </xdr:to>
    <xdr:graphicFrame macro="">
      <xdr:nvGraphicFramePr>
        <xdr:cNvPr id="2" name="Chart 8">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10</xdr:col>
      <xdr:colOff>0</xdr:colOff>
      <xdr:row>31</xdr:row>
      <xdr:rowOff>0</xdr:rowOff>
    </xdr:to>
    <xdr:graphicFrame macro="">
      <xdr:nvGraphicFramePr>
        <xdr:cNvPr id="3" name="Chart 1">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xdr:row>
      <xdr:rowOff>0</xdr:rowOff>
    </xdr:from>
    <xdr:to>
      <xdr:col>10</xdr:col>
      <xdr:colOff>0</xdr:colOff>
      <xdr:row>18</xdr:row>
      <xdr:rowOff>0</xdr:rowOff>
    </xdr:to>
    <xdr:graphicFrame macro="">
      <xdr:nvGraphicFramePr>
        <xdr:cNvPr id="4" name="Chart 2">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31</xdr:row>
      <xdr:rowOff>0</xdr:rowOff>
    </xdr:from>
    <xdr:to>
      <xdr:col>10</xdr:col>
      <xdr:colOff>0</xdr:colOff>
      <xdr:row>45</xdr:row>
      <xdr:rowOff>0</xdr:rowOff>
    </xdr:to>
    <xdr:graphicFrame macro="">
      <xdr:nvGraphicFramePr>
        <xdr:cNvPr id="5" name="Chart 3">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5</xdr:row>
      <xdr:rowOff>0</xdr:rowOff>
    </xdr:from>
    <xdr:to>
      <xdr:col>18</xdr:col>
      <xdr:colOff>0</xdr:colOff>
      <xdr:row>18</xdr:row>
      <xdr:rowOff>0</xdr:rowOff>
    </xdr:to>
    <xdr:graphicFrame macro="">
      <xdr:nvGraphicFramePr>
        <xdr:cNvPr id="6" name="Chart 4">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18</xdr:row>
      <xdr:rowOff>0</xdr:rowOff>
    </xdr:from>
    <xdr:to>
      <xdr:col>18</xdr:col>
      <xdr:colOff>0</xdr:colOff>
      <xdr:row>31</xdr:row>
      <xdr:rowOff>0</xdr:rowOff>
    </xdr:to>
    <xdr:graphicFrame macro="">
      <xdr:nvGraphicFramePr>
        <xdr:cNvPr id="7" name="Chart 5">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723900</xdr:colOff>
      <xdr:row>37</xdr:row>
      <xdr:rowOff>142875</xdr:rowOff>
    </xdr:from>
    <xdr:to>
      <xdr:col>17</xdr:col>
      <xdr:colOff>723900</xdr:colOff>
      <xdr:row>45</xdr:row>
      <xdr:rowOff>0</xdr:rowOff>
    </xdr:to>
    <xdr:graphicFrame macro="">
      <xdr:nvGraphicFramePr>
        <xdr:cNvPr id="8" name="Chart 6">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0</xdr:row>
      <xdr:rowOff>0</xdr:rowOff>
    </xdr:from>
    <xdr:to>
      <xdr:col>17</xdr:col>
      <xdr:colOff>723900</xdr:colOff>
      <xdr:row>45</xdr:row>
      <xdr:rowOff>0</xdr:rowOff>
    </xdr:to>
    <xdr:sp macro="" textlink="">
      <xdr:nvSpPr>
        <xdr:cNvPr id="9" name="Rectangle 7">
          <a:extLst>
            <a:ext uri="{FF2B5EF4-FFF2-40B4-BE49-F238E27FC236}">
              <a16:creationId xmlns:a16="http://schemas.microsoft.com/office/drawing/2014/main" id="{00000000-0008-0000-0D00-000009000000}"/>
            </a:ext>
          </a:extLst>
        </xdr:cNvPr>
        <xdr:cNvSpPr>
          <a:spLocks noChangeArrowheads="1"/>
        </xdr:cNvSpPr>
      </xdr:nvSpPr>
      <xdr:spPr bwMode="auto">
        <a:xfrm>
          <a:off x="0" y="0"/>
          <a:ext cx="13192125" cy="11049000"/>
        </a:xfrm>
        <a:prstGeom prst="rect">
          <a:avLst/>
        </a:prstGeom>
        <a:noFill/>
        <a:ln w="1270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xdr:row>
      <xdr:rowOff>219075</xdr:rowOff>
    </xdr:from>
    <xdr:to>
      <xdr:col>17</xdr:col>
      <xdr:colOff>723900</xdr:colOff>
      <xdr:row>44</xdr:row>
      <xdr:rowOff>238125</xdr:rowOff>
    </xdr:to>
    <xdr:sp macro="" textlink="">
      <xdr:nvSpPr>
        <xdr:cNvPr id="10" name="Rectangle 9">
          <a:extLst>
            <a:ext uri="{FF2B5EF4-FFF2-40B4-BE49-F238E27FC236}">
              <a16:creationId xmlns:a16="http://schemas.microsoft.com/office/drawing/2014/main" id="{00000000-0008-0000-0D00-00000A000000}"/>
            </a:ext>
          </a:extLst>
        </xdr:cNvPr>
        <xdr:cNvSpPr>
          <a:spLocks noChangeArrowheads="1"/>
        </xdr:cNvSpPr>
      </xdr:nvSpPr>
      <xdr:spPr bwMode="auto">
        <a:xfrm>
          <a:off x="0" y="1133475"/>
          <a:ext cx="13192125" cy="9906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723900</xdr:colOff>
      <xdr:row>57</xdr:row>
      <xdr:rowOff>152400</xdr:rowOff>
    </xdr:to>
    <xdr:sp macro="" textlink="">
      <xdr:nvSpPr>
        <xdr:cNvPr id="2" name="Rectangle 11">
          <a:extLst>
            <a:ext uri="{FF2B5EF4-FFF2-40B4-BE49-F238E27FC236}">
              <a16:creationId xmlns:a16="http://schemas.microsoft.com/office/drawing/2014/main" id="{00000000-0008-0000-0E00-000002000000}"/>
            </a:ext>
          </a:extLst>
        </xdr:cNvPr>
        <xdr:cNvSpPr>
          <a:spLocks noChangeArrowheads="1"/>
        </xdr:cNvSpPr>
      </xdr:nvSpPr>
      <xdr:spPr bwMode="auto">
        <a:xfrm>
          <a:off x="0" y="0"/>
          <a:ext cx="12858750" cy="10887075"/>
        </a:xfrm>
        <a:prstGeom prst="rect">
          <a:avLst/>
        </a:prstGeom>
        <a:noFill/>
        <a:ln w="1270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18</xdr:col>
      <xdr:colOff>0</xdr:colOff>
      <xdr:row>57</xdr:row>
      <xdr:rowOff>152400</xdr:rowOff>
    </xdr:to>
    <xdr:sp macro="" textlink="">
      <xdr:nvSpPr>
        <xdr:cNvPr id="3" name="Rectangle 12">
          <a:extLst>
            <a:ext uri="{FF2B5EF4-FFF2-40B4-BE49-F238E27FC236}">
              <a16:creationId xmlns:a16="http://schemas.microsoft.com/office/drawing/2014/main" id="{00000000-0008-0000-0E00-000003000000}"/>
            </a:ext>
          </a:extLst>
        </xdr:cNvPr>
        <xdr:cNvSpPr>
          <a:spLocks noChangeArrowheads="1"/>
        </xdr:cNvSpPr>
      </xdr:nvSpPr>
      <xdr:spPr bwMode="auto">
        <a:xfrm>
          <a:off x="0" y="0"/>
          <a:ext cx="12858750" cy="10887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xdr:row>
      <xdr:rowOff>0</xdr:rowOff>
    </xdr:from>
    <xdr:to>
      <xdr:col>18</xdr:col>
      <xdr:colOff>0</xdr:colOff>
      <xdr:row>57</xdr:row>
      <xdr:rowOff>152400</xdr:rowOff>
    </xdr:to>
    <xdr:sp macro="" textlink="">
      <xdr:nvSpPr>
        <xdr:cNvPr id="4" name="Rectangle 13">
          <a:extLst>
            <a:ext uri="{FF2B5EF4-FFF2-40B4-BE49-F238E27FC236}">
              <a16:creationId xmlns:a16="http://schemas.microsoft.com/office/drawing/2014/main" id="{00000000-0008-0000-0E00-000004000000}"/>
            </a:ext>
          </a:extLst>
        </xdr:cNvPr>
        <xdr:cNvSpPr>
          <a:spLocks noChangeArrowheads="1"/>
        </xdr:cNvSpPr>
      </xdr:nvSpPr>
      <xdr:spPr bwMode="auto">
        <a:xfrm>
          <a:off x="0" y="1066800"/>
          <a:ext cx="12858750" cy="9820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142875</xdr:colOff>
      <xdr:row>162</xdr:row>
      <xdr:rowOff>0</xdr:rowOff>
    </xdr:from>
    <xdr:to>
      <xdr:col>11</xdr:col>
      <xdr:colOff>438150</xdr:colOff>
      <xdr:row>162</xdr:row>
      <xdr:rowOff>0</xdr:rowOff>
    </xdr:to>
    <xdr:sp macro="" textlink="">
      <xdr:nvSpPr>
        <xdr:cNvPr id="2" name="Text 49">
          <a:extLst>
            <a:ext uri="{FF2B5EF4-FFF2-40B4-BE49-F238E27FC236}">
              <a16:creationId xmlns:a16="http://schemas.microsoft.com/office/drawing/2014/main" id="{00000000-0008-0000-0F00-000002000000}"/>
            </a:ext>
          </a:extLst>
        </xdr:cNvPr>
        <xdr:cNvSpPr txBox="1">
          <a:spLocks noChangeArrowheads="1"/>
        </xdr:cNvSpPr>
      </xdr:nvSpPr>
      <xdr:spPr bwMode="auto">
        <a:xfrm>
          <a:off x="7124700" y="26308050"/>
          <a:ext cx="29527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Helv"/>
            </a:rPr>
            <a:t>Diff</a:t>
          </a:r>
        </a:p>
      </xdr:txBody>
    </xdr:sp>
    <xdr:clientData/>
  </xdr:twoCellAnchor>
  <xdr:twoCellAnchor>
    <xdr:from>
      <xdr:col>36</xdr:col>
      <xdr:colOff>647700</xdr:colOff>
      <xdr:row>81</xdr:row>
      <xdr:rowOff>0</xdr:rowOff>
    </xdr:from>
    <xdr:to>
      <xdr:col>37</xdr:col>
      <xdr:colOff>38100</xdr:colOff>
      <xdr:row>81</xdr:row>
      <xdr:rowOff>0</xdr:rowOff>
    </xdr:to>
    <xdr:sp macro="" textlink="">
      <xdr:nvSpPr>
        <xdr:cNvPr id="3" name="Text 55">
          <a:extLst>
            <a:ext uri="{FF2B5EF4-FFF2-40B4-BE49-F238E27FC236}">
              <a16:creationId xmlns:a16="http://schemas.microsoft.com/office/drawing/2014/main" id="{00000000-0008-0000-0F00-000003000000}"/>
            </a:ext>
          </a:extLst>
        </xdr:cNvPr>
        <xdr:cNvSpPr txBox="1">
          <a:spLocks noChangeArrowheads="1"/>
        </xdr:cNvSpPr>
      </xdr:nvSpPr>
      <xdr:spPr bwMode="auto">
        <a:xfrm>
          <a:off x="24774525" y="13192125"/>
          <a:ext cx="381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Helv"/>
            </a:rPr>
            <a:t>Diff</a:t>
          </a:r>
        </a:p>
      </xdr:txBody>
    </xdr:sp>
    <xdr:clientData/>
  </xdr:twoCellAnchor>
  <xdr:twoCellAnchor>
    <xdr:from>
      <xdr:col>26</xdr:col>
      <xdr:colOff>76200</xdr:colOff>
      <xdr:row>113</xdr:row>
      <xdr:rowOff>38100</xdr:rowOff>
    </xdr:from>
    <xdr:to>
      <xdr:col>35</xdr:col>
      <xdr:colOff>95250</xdr:colOff>
      <xdr:row>126</xdr:row>
      <xdr:rowOff>104775</xdr:rowOff>
    </xdr:to>
    <xdr:graphicFrame macro="">
      <xdr:nvGraphicFramePr>
        <xdr:cNvPr id="4" name="Chart 124">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66675</xdr:colOff>
      <xdr:row>127</xdr:row>
      <xdr:rowOff>66675</xdr:rowOff>
    </xdr:from>
    <xdr:to>
      <xdr:col>35</xdr:col>
      <xdr:colOff>85725</xdr:colOff>
      <xdr:row>140</xdr:row>
      <xdr:rowOff>85725</xdr:rowOff>
    </xdr:to>
    <xdr:graphicFrame macro="">
      <xdr:nvGraphicFramePr>
        <xdr:cNvPr id="5" name="Chart 127">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647700</xdr:colOff>
      <xdr:row>132</xdr:row>
      <xdr:rowOff>0</xdr:rowOff>
    </xdr:from>
    <xdr:to>
      <xdr:col>44</xdr:col>
      <xdr:colOff>38100</xdr:colOff>
      <xdr:row>132</xdr:row>
      <xdr:rowOff>0</xdr:rowOff>
    </xdr:to>
    <xdr:sp macro="" textlink="">
      <xdr:nvSpPr>
        <xdr:cNvPr id="6" name="Text 55">
          <a:extLst>
            <a:ext uri="{FF2B5EF4-FFF2-40B4-BE49-F238E27FC236}">
              <a16:creationId xmlns:a16="http://schemas.microsoft.com/office/drawing/2014/main" id="{00000000-0008-0000-0F00-000006000000}"/>
            </a:ext>
          </a:extLst>
        </xdr:cNvPr>
        <xdr:cNvSpPr txBox="1">
          <a:spLocks noChangeArrowheads="1"/>
        </xdr:cNvSpPr>
      </xdr:nvSpPr>
      <xdr:spPr bwMode="auto">
        <a:xfrm>
          <a:off x="29041725" y="21450300"/>
          <a:ext cx="381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Helv"/>
            </a:rPr>
            <a:t>Diff</a:t>
          </a:r>
        </a:p>
      </xdr:txBody>
    </xdr:sp>
    <xdr:clientData/>
  </xdr:twoCellAnchor>
  <xdr:twoCellAnchor>
    <xdr:from>
      <xdr:col>31</xdr:col>
      <xdr:colOff>19050</xdr:colOff>
      <xdr:row>93</xdr:row>
      <xdr:rowOff>9525</xdr:rowOff>
    </xdr:from>
    <xdr:to>
      <xdr:col>40</xdr:col>
      <xdr:colOff>504825</xdr:colOff>
      <xdr:row>108</xdr:row>
      <xdr:rowOff>47625</xdr:rowOff>
    </xdr:to>
    <xdr:graphicFrame macro="">
      <xdr:nvGraphicFramePr>
        <xdr:cNvPr id="7" name="Chart 132">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38100</xdr:colOff>
      <xdr:row>102</xdr:row>
      <xdr:rowOff>133350</xdr:rowOff>
    </xdr:from>
    <xdr:to>
      <xdr:col>40</xdr:col>
      <xdr:colOff>542925</xdr:colOff>
      <xdr:row>117</xdr:row>
      <xdr:rowOff>57150</xdr:rowOff>
    </xdr:to>
    <xdr:graphicFrame macro="">
      <xdr:nvGraphicFramePr>
        <xdr:cNvPr id="8" name="Chart 134">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47</xdr:col>
      <xdr:colOff>161925</xdr:colOff>
      <xdr:row>75</xdr:row>
      <xdr:rowOff>28575</xdr:rowOff>
    </xdr:from>
    <xdr:to>
      <xdr:col>56</xdr:col>
      <xdr:colOff>171450</xdr:colOff>
      <xdr:row>88</xdr:row>
      <xdr:rowOff>38100</xdr:rowOff>
    </xdr:to>
    <xdr:graphicFrame macro="">
      <xdr:nvGraphicFramePr>
        <xdr:cNvPr id="9" name="Chart 135">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342900</xdr:colOff>
      <xdr:row>21</xdr:row>
      <xdr:rowOff>114300</xdr:rowOff>
    </xdr:from>
    <xdr:to>
      <xdr:col>23</xdr:col>
      <xdr:colOff>133350</xdr:colOff>
      <xdr:row>36</xdr:row>
      <xdr:rowOff>57150</xdr:rowOff>
    </xdr:to>
    <xdr:graphicFrame macro="">
      <xdr:nvGraphicFramePr>
        <xdr:cNvPr id="10" name="Chart 136">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361950</xdr:colOff>
      <xdr:row>14</xdr:row>
      <xdr:rowOff>9525</xdr:rowOff>
    </xdr:from>
    <xdr:to>
      <xdr:col>29</xdr:col>
      <xdr:colOff>247650</xdr:colOff>
      <xdr:row>28</xdr:row>
      <xdr:rowOff>114300</xdr:rowOff>
    </xdr:to>
    <xdr:graphicFrame macro="">
      <xdr:nvGraphicFramePr>
        <xdr:cNvPr id="11" name="Chart 139">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20411</xdr:colOff>
      <xdr:row>3</xdr:row>
      <xdr:rowOff>15875</xdr:rowOff>
    </xdr:from>
    <xdr:to>
      <xdr:col>16</xdr:col>
      <xdr:colOff>650875</xdr:colOff>
      <xdr:row>22</xdr:row>
      <xdr:rowOff>158750</xdr:rowOff>
    </xdr:to>
    <xdr:graphicFrame macro="">
      <xdr:nvGraphicFramePr>
        <xdr:cNvPr id="2" name="Chart 1">
          <a:extLst>
            <a:ext uri="{FF2B5EF4-FFF2-40B4-BE49-F238E27FC236}">
              <a16:creationId xmlns:a16="http://schemas.microsoft.com/office/drawing/2014/main" id="{C3BF4254-ACD0-45F9-83F5-43A237337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600075</xdr:colOff>
      <xdr:row>1</xdr:row>
      <xdr:rowOff>28575</xdr:rowOff>
    </xdr:from>
    <xdr:to>
      <xdr:col>15</xdr:col>
      <xdr:colOff>0</xdr:colOff>
      <xdr:row>26</xdr:row>
      <xdr:rowOff>9525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19050</xdr:colOff>
      <xdr:row>26</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26</xdr:row>
      <xdr:rowOff>0</xdr:rowOff>
    </xdr:from>
    <xdr:to>
      <xdr:col>47</xdr:col>
      <xdr:colOff>0</xdr:colOff>
      <xdr:row>26</xdr:row>
      <xdr:rowOff>0</xdr:rowOff>
    </xdr:to>
    <xdr:sp macro="" textlink="">
      <xdr:nvSpPr>
        <xdr:cNvPr id="2" name="Line 24">
          <a:extLst>
            <a:ext uri="{FF2B5EF4-FFF2-40B4-BE49-F238E27FC236}">
              <a16:creationId xmlns:a16="http://schemas.microsoft.com/office/drawing/2014/main" id="{00000000-0008-0000-1400-000002000000}"/>
            </a:ext>
          </a:extLst>
        </xdr:cNvPr>
        <xdr:cNvSpPr>
          <a:spLocks noChangeShapeType="1"/>
        </xdr:cNvSpPr>
      </xdr:nvSpPr>
      <xdr:spPr bwMode="auto">
        <a:xfrm>
          <a:off x="2305050" y="4067175"/>
          <a:ext cx="5705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xdr:row>
      <xdr:rowOff>0</xdr:rowOff>
    </xdr:from>
    <xdr:to>
      <xdr:col>18</xdr:col>
      <xdr:colOff>0</xdr:colOff>
      <xdr:row>26</xdr:row>
      <xdr:rowOff>0</xdr:rowOff>
    </xdr:to>
    <xdr:sp macro="" textlink="">
      <xdr:nvSpPr>
        <xdr:cNvPr id="3" name="Line 25">
          <a:extLst>
            <a:ext uri="{FF2B5EF4-FFF2-40B4-BE49-F238E27FC236}">
              <a16:creationId xmlns:a16="http://schemas.microsoft.com/office/drawing/2014/main" id="{00000000-0008-0000-1400-000003000000}"/>
            </a:ext>
          </a:extLst>
        </xdr:cNvPr>
        <xdr:cNvSpPr>
          <a:spLocks noChangeShapeType="1"/>
        </xdr:cNvSpPr>
      </xdr:nvSpPr>
      <xdr:spPr bwMode="auto">
        <a:xfrm>
          <a:off x="3238500" y="1266825"/>
          <a:ext cx="933450" cy="280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5</xdr:row>
      <xdr:rowOff>0</xdr:rowOff>
    </xdr:from>
    <xdr:to>
      <xdr:col>31</xdr:col>
      <xdr:colOff>0</xdr:colOff>
      <xdr:row>26</xdr:row>
      <xdr:rowOff>0</xdr:rowOff>
    </xdr:to>
    <xdr:sp macro="" textlink="">
      <xdr:nvSpPr>
        <xdr:cNvPr id="4" name="Line 26">
          <a:extLst>
            <a:ext uri="{FF2B5EF4-FFF2-40B4-BE49-F238E27FC236}">
              <a16:creationId xmlns:a16="http://schemas.microsoft.com/office/drawing/2014/main" id="{00000000-0008-0000-1400-000004000000}"/>
            </a:ext>
          </a:extLst>
        </xdr:cNvPr>
        <xdr:cNvSpPr>
          <a:spLocks noChangeShapeType="1"/>
        </xdr:cNvSpPr>
      </xdr:nvSpPr>
      <xdr:spPr bwMode="auto">
        <a:xfrm>
          <a:off x="4972050" y="1266825"/>
          <a:ext cx="933450" cy="280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xdr:row>
      <xdr:rowOff>0</xdr:rowOff>
    </xdr:from>
    <xdr:to>
      <xdr:col>44</xdr:col>
      <xdr:colOff>0</xdr:colOff>
      <xdr:row>26</xdr:row>
      <xdr:rowOff>0</xdr:rowOff>
    </xdr:to>
    <xdr:sp macro="" textlink="">
      <xdr:nvSpPr>
        <xdr:cNvPr id="5" name="Line 27">
          <a:extLst>
            <a:ext uri="{FF2B5EF4-FFF2-40B4-BE49-F238E27FC236}">
              <a16:creationId xmlns:a16="http://schemas.microsoft.com/office/drawing/2014/main" id="{00000000-0008-0000-1400-000005000000}"/>
            </a:ext>
          </a:extLst>
        </xdr:cNvPr>
        <xdr:cNvSpPr>
          <a:spLocks noChangeShapeType="1"/>
        </xdr:cNvSpPr>
      </xdr:nvSpPr>
      <xdr:spPr bwMode="auto">
        <a:xfrm>
          <a:off x="6705600" y="1266825"/>
          <a:ext cx="933450" cy="280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26</xdr:row>
      <xdr:rowOff>0</xdr:rowOff>
    </xdr:from>
    <xdr:to>
      <xdr:col>18</xdr:col>
      <xdr:colOff>0</xdr:colOff>
      <xdr:row>47</xdr:row>
      <xdr:rowOff>0</xdr:rowOff>
    </xdr:to>
    <xdr:sp macro="" textlink="">
      <xdr:nvSpPr>
        <xdr:cNvPr id="6" name="Line 28">
          <a:extLst>
            <a:ext uri="{FF2B5EF4-FFF2-40B4-BE49-F238E27FC236}">
              <a16:creationId xmlns:a16="http://schemas.microsoft.com/office/drawing/2014/main" id="{00000000-0008-0000-1400-000006000000}"/>
            </a:ext>
          </a:extLst>
        </xdr:cNvPr>
        <xdr:cNvSpPr>
          <a:spLocks noChangeShapeType="1"/>
        </xdr:cNvSpPr>
      </xdr:nvSpPr>
      <xdr:spPr bwMode="auto">
        <a:xfrm flipH="1">
          <a:off x="3238500" y="4067175"/>
          <a:ext cx="933450" cy="280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26</xdr:row>
      <xdr:rowOff>0</xdr:rowOff>
    </xdr:from>
    <xdr:to>
      <xdr:col>31</xdr:col>
      <xdr:colOff>0</xdr:colOff>
      <xdr:row>47</xdr:row>
      <xdr:rowOff>0</xdr:rowOff>
    </xdr:to>
    <xdr:sp macro="" textlink="">
      <xdr:nvSpPr>
        <xdr:cNvPr id="7" name="Line 29">
          <a:extLst>
            <a:ext uri="{FF2B5EF4-FFF2-40B4-BE49-F238E27FC236}">
              <a16:creationId xmlns:a16="http://schemas.microsoft.com/office/drawing/2014/main" id="{00000000-0008-0000-1400-000007000000}"/>
            </a:ext>
          </a:extLst>
        </xdr:cNvPr>
        <xdr:cNvSpPr>
          <a:spLocks noChangeShapeType="1"/>
        </xdr:cNvSpPr>
      </xdr:nvSpPr>
      <xdr:spPr bwMode="auto">
        <a:xfrm flipH="1">
          <a:off x="4972050" y="4067175"/>
          <a:ext cx="933450" cy="280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26</xdr:row>
      <xdr:rowOff>0</xdr:rowOff>
    </xdr:from>
    <xdr:to>
      <xdr:col>44</xdr:col>
      <xdr:colOff>0</xdr:colOff>
      <xdr:row>47</xdr:row>
      <xdr:rowOff>0</xdr:rowOff>
    </xdr:to>
    <xdr:sp macro="" textlink="">
      <xdr:nvSpPr>
        <xdr:cNvPr id="8" name="Line 30">
          <a:extLst>
            <a:ext uri="{FF2B5EF4-FFF2-40B4-BE49-F238E27FC236}">
              <a16:creationId xmlns:a16="http://schemas.microsoft.com/office/drawing/2014/main" id="{00000000-0008-0000-1400-000008000000}"/>
            </a:ext>
          </a:extLst>
        </xdr:cNvPr>
        <xdr:cNvSpPr>
          <a:spLocks noChangeShapeType="1"/>
        </xdr:cNvSpPr>
      </xdr:nvSpPr>
      <xdr:spPr bwMode="auto">
        <a:xfrm flipH="1">
          <a:off x="6705600" y="4067175"/>
          <a:ext cx="933450" cy="280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9525</xdr:rowOff>
    </xdr:from>
    <xdr:to>
      <xdr:col>13</xdr:col>
      <xdr:colOff>600075</xdr:colOff>
      <xdr:row>26</xdr:row>
      <xdr:rowOff>0</xdr:rowOff>
    </xdr:to>
    <xdr:graphicFrame macro="">
      <xdr:nvGraphicFramePr>
        <xdr:cNvPr id="2" name="Chart 1025">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152400</xdr:rowOff>
    </xdr:from>
    <xdr:to>
      <xdr:col>14</xdr:col>
      <xdr:colOff>19050</xdr:colOff>
      <xdr:row>26</xdr:row>
      <xdr:rowOff>9525</xdr:rowOff>
    </xdr:to>
    <xdr:graphicFrame macro="">
      <xdr:nvGraphicFramePr>
        <xdr:cNvPr id="2" name="Chart 1025">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590550</xdr:colOff>
      <xdr:row>1</xdr:row>
      <xdr:rowOff>9525</xdr:rowOff>
    </xdr:from>
    <xdr:to>
      <xdr:col>14</xdr:col>
      <xdr:colOff>9525</xdr:colOff>
      <xdr:row>26</xdr:row>
      <xdr:rowOff>38100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114300</xdr:colOff>
      <xdr:row>4</xdr:row>
      <xdr:rowOff>38100</xdr:rowOff>
    </xdr:from>
    <xdr:to>
      <xdr:col>12</xdr:col>
      <xdr:colOff>419100</xdr:colOff>
      <xdr:row>27</xdr:row>
      <xdr:rowOff>28575</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307600</xdr:colOff>
      <xdr:row>1</xdr:row>
      <xdr:rowOff>158841</xdr:rowOff>
    </xdr:from>
    <xdr:to>
      <xdr:col>21</xdr:col>
      <xdr:colOff>572565</xdr:colOff>
      <xdr:row>27</xdr:row>
      <xdr:rowOff>123264</xdr:rowOff>
    </xdr:to>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1171575</xdr:colOff>
      <xdr:row>7</xdr:row>
      <xdr:rowOff>9525</xdr:rowOff>
    </xdr:from>
    <xdr:to>
      <xdr:col>2</xdr:col>
      <xdr:colOff>1171575</xdr:colOff>
      <xdr:row>7</xdr:row>
      <xdr:rowOff>180975</xdr:rowOff>
    </xdr:to>
    <xdr:cxnSp macro="">
      <xdr:nvCxnSpPr>
        <xdr:cNvPr id="2" name="AutoShape 2">
          <a:extLst>
            <a:ext uri="{FF2B5EF4-FFF2-40B4-BE49-F238E27FC236}">
              <a16:creationId xmlns:a16="http://schemas.microsoft.com/office/drawing/2014/main" id="{00000000-0008-0000-1F00-000002000000}"/>
            </a:ext>
          </a:extLst>
        </xdr:cNvPr>
        <xdr:cNvCxnSpPr>
          <a:cxnSpLocks noChangeShapeType="1"/>
        </xdr:cNvCxnSpPr>
      </xdr:nvCxnSpPr>
      <xdr:spPr bwMode="auto">
        <a:xfrm>
          <a:off x="5934075" y="866775"/>
          <a:ext cx="0" cy="1714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1162050</xdr:colOff>
      <xdr:row>11</xdr:row>
      <xdr:rowOff>0</xdr:rowOff>
    </xdr:from>
    <xdr:to>
      <xdr:col>2</xdr:col>
      <xdr:colOff>1162050</xdr:colOff>
      <xdr:row>12</xdr:row>
      <xdr:rowOff>9525</xdr:rowOff>
    </xdr:to>
    <xdr:sp macro="" textlink="">
      <xdr:nvSpPr>
        <xdr:cNvPr id="3" name="Line 4">
          <a:extLst>
            <a:ext uri="{FF2B5EF4-FFF2-40B4-BE49-F238E27FC236}">
              <a16:creationId xmlns:a16="http://schemas.microsoft.com/office/drawing/2014/main" id="{00000000-0008-0000-1F00-000003000000}"/>
            </a:ext>
          </a:extLst>
        </xdr:cNvPr>
        <xdr:cNvSpPr>
          <a:spLocks noChangeShapeType="1"/>
        </xdr:cNvSpPr>
      </xdr:nvSpPr>
      <xdr:spPr bwMode="auto">
        <a:xfrm>
          <a:off x="5924550" y="16192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1152525</xdr:colOff>
      <xdr:row>15</xdr:row>
      <xdr:rowOff>0</xdr:rowOff>
    </xdr:from>
    <xdr:to>
      <xdr:col>2</xdr:col>
      <xdr:colOff>1152525</xdr:colOff>
      <xdr:row>16</xdr:row>
      <xdr:rowOff>9525</xdr:rowOff>
    </xdr:to>
    <xdr:sp macro="" textlink="">
      <xdr:nvSpPr>
        <xdr:cNvPr id="4" name="Line 6">
          <a:extLst>
            <a:ext uri="{FF2B5EF4-FFF2-40B4-BE49-F238E27FC236}">
              <a16:creationId xmlns:a16="http://schemas.microsoft.com/office/drawing/2014/main" id="{00000000-0008-0000-1F00-000004000000}"/>
            </a:ext>
          </a:extLst>
        </xdr:cNvPr>
        <xdr:cNvSpPr>
          <a:spLocks noChangeShapeType="1"/>
        </xdr:cNvSpPr>
      </xdr:nvSpPr>
      <xdr:spPr bwMode="auto">
        <a:xfrm>
          <a:off x="5915025" y="21907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1123950</xdr:colOff>
      <xdr:row>19</xdr:row>
      <xdr:rowOff>0</xdr:rowOff>
    </xdr:from>
    <xdr:to>
      <xdr:col>2</xdr:col>
      <xdr:colOff>1123950</xdr:colOff>
      <xdr:row>20</xdr:row>
      <xdr:rowOff>0</xdr:rowOff>
    </xdr:to>
    <xdr:sp macro="" textlink="">
      <xdr:nvSpPr>
        <xdr:cNvPr id="5" name="Line 7">
          <a:extLst>
            <a:ext uri="{FF2B5EF4-FFF2-40B4-BE49-F238E27FC236}">
              <a16:creationId xmlns:a16="http://schemas.microsoft.com/office/drawing/2014/main" id="{00000000-0008-0000-1F00-000005000000}"/>
            </a:ext>
          </a:extLst>
        </xdr:cNvPr>
        <xdr:cNvSpPr>
          <a:spLocks noChangeShapeType="1"/>
        </xdr:cNvSpPr>
      </xdr:nvSpPr>
      <xdr:spPr bwMode="auto">
        <a:xfrm>
          <a:off x="5886450" y="314325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1143000</xdr:colOff>
      <xdr:row>23</xdr:row>
      <xdr:rowOff>0</xdr:rowOff>
    </xdr:from>
    <xdr:to>
      <xdr:col>2</xdr:col>
      <xdr:colOff>1143000</xdr:colOff>
      <xdr:row>24</xdr:row>
      <xdr:rowOff>0</xdr:rowOff>
    </xdr:to>
    <xdr:sp macro="" textlink="">
      <xdr:nvSpPr>
        <xdr:cNvPr id="6" name="Line 8">
          <a:extLst>
            <a:ext uri="{FF2B5EF4-FFF2-40B4-BE49-F238E27FC236}">
              <a16:creationId xmlns:a16="http://schemas.microsoft.com/office/drawing/2014/main" id="{00000000-0008-0000-1F00-000006000000}"/>
            </a:ext>
          </a:extLst>
        </xdr:cNvPr>
        <xdr:cNvSpPr>
          <a:spLocks noChangeShapeType="1"/>
        </xdr:cNvSpPr>
      </xdr:nvSpPr>
      <xdr:spPr bwMode="auto">
        <a:xfrm>
          <a:off x="5905500" y="428625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1171575</xdr:colOff>
      <xdr:row>27</xdr:row>
      <xdr:rowOff>0</xdr:rowOff>
    </xdr:from>
    <xdr:to>
      <xdr:col>2</xdr:col>
      <xdr:colOff>1171575</xdr:colOff>
      <xdr:row>28</xdr:row>
      <xdr:rowOff>0</xdr:rowOff>
    </xdr:to>
    <xdr:sp macro="" textlink="">
      <xdr:nvSpPr>
        <xdr:cNvPr id="7" name="Line 9">
          <a:extLst>
            <a:ext uri="{FF2B5EF4-FFF2-40B4-BE49-F238E27FC236}">
              <a16:creationId xmlns:a16="http://schemas.microsoft.com/office/drawing/2014/main" id="{00000000-0008-0000-1F00-000007000000}"/>
            </a:ext>
          </a:extLst>
        </xdr:cNvPr>
        <xdr:cNvSpPr>
          <a:spLocks noChangeShapeType="1"/>
        </xdr:cNvSpPr>
      </xdr:nvSpPr>
      <xdr:spPr bwMode="auto">
        <a:xfrm>
          <a:off x="5934075" y="51530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1190625</xdr:colOff>
      <xdr:row>31</xdr:row>
      <xdr:rowOff>0</xdr:rowOff>
    </xdr:from>
    <xdr:to>
      <xdr:col>2</xdr:col>
      <xdr:colOff>1190625</xdr:colOff>
      <xdr:row>32</xdr:row>
      <xdr:rowOff>0</xdr:rowOff>
    </xdr:to>
    <xdr:sp macro="" textlink="">
      <xdr:nvSpPr>
        <xdr:cNvPr id="8" name="Line 10">
          <a:extLst>
            <a:ext uri="{FF2B5EF4-FFF2-40B4-BE49-F238E27FC236}">
              <a16:creationId xmlns:a16="http://schemas.microsoft.com/office/drawing/2014/main" id="{00000000-0008-0000-1F00-000008000000}"/>
            </a:ext>
          </a:extLst>
        </xdr:cNvPr>
        <xdr:cNvSpPr>
          <a:spLocks noChangeShapeType="1"/>
        </xdr:cNvSpPr>
      </xdr:nvSpPr>
      <xdr:spPr bwMode="auto">
        <a:xfrm>
          <a:off x="5953125" y="61055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xdr:colOff>
      <xdr:row>1</xdr:row>
      <xdr:rowOff>9525</xdr:rowOff>
    </xdr:from>
    <xdr:to>
      <xdr:col>15</xdr:col>
      <xdr:colOff>9525</xdr:colOff>
      <xdr:row>26</xdr:row>
      <xdr:rowOff>19050</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xdr:colOff>
      <xdr:row>1</xdr:row>
      <xdr:rowOff>9525</xdr:rowOff>
    </xdr:from>
    <xdr:to>
      <xdr:col>14</xdr:col>
      <xdr:colOff>600075</xdr:colOff>
      <xdr:row>25</xdr:row>
      <xdr:rowOff>152400</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9525</xdr:rowOff>
    </xdr:from>
    <xdr:to>
      <xdr:col>14</xdr:col>
      <xdr:colOff>9525</xdr:colOff>
      <xdr:row>26</xdr:row>
      <xdr:rowOff>9525</xdr:rowOff>
    </xdr:to>
    <xdr:graphicFrame macro="">
      <xdr:nvGraphicFramePr>
        <xdr:cNvPr id="2" name="Chart 1025">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ous/Documents/Abacus%20GP9/Contracts%20and%20Projects/Stat%20Marvel/templates%20Shagha/Black%20Belt%20Companion%20V3.1%20unprotected%20-%20feb%2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aghayegh_rouzmeh/Desktop/C:/Users/shaghayegh_rouzmeh/Study/decision%20Making/C:/Users/brushe/AppData/Roaming/SPC%20for%20MS%20Excel/spcforexcelv4.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rushe/AppData/Roaming/SPC%20for%20MS%20Excel/spcforexcelv4.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5S Std Instruction"/>
      <sheetName val="5S Audit"/>
      <sheetName val="5W-2H"/>
      <sheetName val="8D"/>
      <sheetName val="A3 Template"/>
      <sheetName val="A3 Proposal"/>
      <sheetName val="Project Charter"/>
      <sheetName val="att Instructions"/>
      <sheetName val="att Data Entry"/>
      <sheetName val="att Report"/>
      <sheetName val="att Statistical Report"/>
      <sheetName val="att Calculations"/>
      <sheetName val="Benefit vs Effort"/>
      <sheetName val="Boxplot"/>
      <sheetName val="C chart Data and calculations"/>
      <sheetName val="c-chart"/>
      <sheetName val="Communication Plan"/>
      <sheetName val="Control plan"/>
      <sheetName val="Decision Matrix"/>
      <sheetName val="FMEA"/>
      <sheetName val="Force Field Analysis"/>
      <sheetName val="GanttChart"/>
      <sheetName val="GRR Calculations"/>
      <sheetName val="GRR Instructions"/>
      <sheetName val="GRR AIAG GR&amp;R"/>
      <sheetName val="GRR Graphical Summary"/>
      <sheetName val="GRR Numerical Summary"/>
      <sheetName val="Hist 10 bars"/>
      <sheetName val="Hist 20 bars"/>
      <sheetName val="Hoshin Kanri"/>
      <sheetName val="IMR Data and calculations"/>
      <sheetName val="IMR chart"/>
      <sheetName val="Ishikawa"/>
      <sheetName val="KPI Guide"/>
      <sheetName val="np Data and calculations"/>
      <sheetName val="np-chart"/>
      <sheetName val="p Data and calculations"/>
      <sheetName val="p-chart"/>
      <sheetName val="p-chart (approx. ctl. limits)"/>
      <sheetName val="Pareto"/>
      <sheetName val="Pareto from raw data"/>
      <sheetName val="Proc. Cap Table"/>
      <sheetName val="Process Map"/>
      <sheetName val="Pugh Matrix"/>
      <sheetName val="Sigma Boxplot"/>
      <sheetName val="Simple data collection"/>
      <sheetName val="SIPOC"/>
      <sheetName val="t-test F-test CI"/>
      <sheetName val="To Do List"/>
      <sheetName val="SPC Selection Guide"/>
      <sheetName val="Xbar R chart data"/>
      <sheetName val="X-bar R chart"/>
      <sheetName val="u Data and calculations"/>
      <sheetName val="u-chart"/>
      <sheetName val="VSM"/>
      <sheetName val="VSM example"/>
      <sheetName val="Kanban Quantities"/>
      <sheetName val="OEE"/>
      <sheetName val="Risk Management"/>
      <sheetName val="Savings"/>
      <sheetName val="Trend over Time Data"/>
      <sheetName val="Trend Over Time Graph"/>
      <sheetName val="Waste Id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ow r="12">
          <cell r="X12" t="e">
            <v>#REF!</v>
          </cell>
        </row>
        <row r="13">
          <cell r="X13" t="e">
            <v>#REF!</v>
          </cell>
        </row>
        <row r="72">
          <cell r="AR72" t="str">
            <v>Op A</v>
          </cell>
          <cell r="AS72" t="e">
            <v>#REF!</v>
          </cell>
          <cell r="AT72" t="e">
            <v>#REF!</v>
          </cell>
          <cell r="AU72" t="e">
            <v>#REF!</v>
          </cell>
          <cell r="AV72" t="e">
            <v>#REF!</v>
          </cell>
          <cell r="AW72" t="e">
            <v>#REF!</v>
          </cell>
          <cell r="AX72" t="e">
            <v>#REF!</v>
          </cell>
          <cell r="AY72" t="e">
            <v>#REF!</v>
          </cell>
          <cell r="AZ72" t="e">
            <v>#REF!</v>
          </cell>
          <cell r="BA72" t="e">
            <v>#REF!</v>
          </cell>
          <cell r="BB72" t="e">
            <v>#REF!</v>
          </cell>
          <cell r="BC72" t="e">
            <v>#REF!</v>
          </cell>
          <cell r="BD72" t="e">
            <v>#REF!</v>
          </cell>
          <cell r="BE72" t="e">
            <v>#REF!</v>
          </cell>
          <cell r="BF72" t="e">
            <v>#REF!</v>
          </cell>
          <cell r="BG72" t="e">
            <v>#REF!</v>
          </cell>
          <cell r="BH72" t="e">
            <v>#REF!</v>
          </cell>
          <cell r="BI72" t="e">
            <v>#REF!</v>
          </cell>
          <cell r="BJ72" t="e">
            <v>#REF!</v>
          </cell>
          <cell r="BK72" t="e">
            <v>#REF!</v>
          </cell>
          <cell r="BL72" t="e">
            <v>#REF!</v>
          </cell>
          <cell r="BM72" t="e">
            <v>#REF!</v>
          </cell>
          <cell r="BN72" t="e">
            <v>#REF!</v>
          </cell>
          <cell r="BO72" t="e">
            <v>#REF!</v>
          </cell>
          <cell r="BP72" t="e">
            <v>#REF!</v>
          </cell>
          <cell r="BQ72" t="e">
            <v>#REF!</v>
          </cell>
          <cell r="BR72" t="e">
            <v>#REF!</v>
          </cell>
          <cell r="BS72" t="e">
            <v>#REF!</v>
          </cell>
          <cell r="BT72" t="e">
            <v>#REF!</v>
          </cell>
          <cell r="BU72" t="e">
            <v>#REF!</v>
          </cell>
          <cell r="BV72" t="e">
            <v>#REF!</v>
          </cell>
          <cell r="BW72" t="e">
            <v>#REF!</v>
          </cell>
        </row>
        <row r="74">
          <cell r="AF74" t="e">
            <v>#REF!</v>
          </cell>
          <cell r="AG74" t="e">
            <v>#REF!</v>
          </cell>
          <cell r="AH74" t="e">
            <v>#REF!</v>
          </cell>
          <cell r="AI74" t="e">
            <v>#REF!</v>
          </cell>
          <cell r="AJ74" t="e">
            <v>#REF!</v>
          </cell>
          <cell r="AK74" t="e">
            <v>#REF!</v>
          </cell>
          <cell r="AL74" t="e">
            <v>#REF!</v>
          </cell>
          <cell r="AM74" t="e">
            <v>#REF!</v>
          </cell>
          <cell r="AN74" t="e">
            <v>#REF!</v>
          </cell>
          <cell r="AO74" t="e">
            <v>#REF!</v>
          </cell>
        </row>
        <row r="84">
          <cell r="AO84" t="e">
            <v>#REF!</v>
          </cell>
          <cell r="AP84" t="e">
            <v>#REF!</v>
          </cell>
          <cell r="AQ84" t="e">
            <v>#REF!</v>
          </cell>
        </row>
        <row r="108">
          <cell r="N108" t="e">
            <v>#REF!</v>
          </cell>
          <cell r="O108" t="e">
            <v>#REF!</v>
          </cell>
          <cell r="P108" t="e">
            <v>#REF!</v>
          </cell>
          <cell r="Q108" t="e">
            <v>#REF!</v>
          </cell>
          <cell r="R108" t="e">
            <v>#REF!</v>
          </cell>
          <cell r="S108" t="e">
            <v>#REF!</v>
          </cell>
          <cell r="T108" t="e">
            <v>#REF!</v>
          </cell>
          <cell r="V108" t="e">
            <v>#REF!</v>
          </cell>
          <cell r="W108" t="e">
            <v>#REF!</v>
          </cell>
          <cell r="X108" t="e">
            <v>#REF!</v>
          </cell>
          <cell r="Y108" t="e">
            <v>#REF!</v>
          </cell>
          <cell r="Z108" t="e">
            <v>#REF!</v>
          </cell>
        </row>
        <row r="111">
          <cell r="AC111" t="e">
            <v>#REF!</v>
          </cell>
        </row>
      </sheetData>
      <sheetData sheetId="24" refreshError="1"/>
      <sheetData sheetId="25" refreshError="1"/>
      <sheetData sheetId="26" refreshError="1"/>
      <sheetData sheetId="27" refreshError="1"/>
      <sheetData sheetId="28">
        <row r="1">
          <cell r="X1" t="str">
            <v>LSL</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McNumber"/>
      <sheetName val="Sheet1"/>
      <sheetName val="Menu Sheet"/>
      <sheetName val="NullDist"/>
      <sheetName val="ANOMd2"/>
      <sheetName val="grrforms"/>
      <sheetName val="df"/>
      <sheetName val="d2"/>
      <sheetName val="ReportOrig"/>
      <sheetName val="ANOVAOrig"/>
      <sheetName val="GRREffectiveness"/>
      <sheetName val="CT"/>
      <sheetName val="Fishbone"/>
      <sheetName val="ToSave"/>
      <sheetName val="Tukey"/>
      <sheetName val="FMEA"/>
      <sheetName val="Control Tests"/>
      <sheetName val="HelpID_URL"/>
    </sheetNames>
    <sheetDataSet>
      <sheetData sheetId="0"/>
      <sheetData sheetId="1"/>
      <sheetData sheetId="2"/>
      <sheetData sheetId="3"/>
      <sheetData sheetId="4"/>
      <sheetData sheetId="5"/>
      <sheetData sheetId="6">
        <row r="27">
          <cell r="C27">
            <v>20</v>
          </cell>
        </row>
        <row r="28">
          <cell r="C28">
            <v>1</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mazon.ca/Sigma-Companion-Black-Belts-Green/dp/B017TQM71M/ref=sr_1_4?keywords=black+belt+companion&amp;qid=1551928316&amp;s=gateway&amp;sr=8-4"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K47"/>
  <sheetViews>
    <sheetView tabSelected="1" zoomScale="85" zoomScaleNormal="85" workbookViewId="0">
      <selection activeCell="B38" sqref="B38"/>
    </sheetView>
  </sheetViews>
  <sheetFormatPr defaultRowHeight="15.6" x14ac:dyDescent="0.6"/>
  <cols>
    <col min="1" max="1" width="6.62890625" customWidth="1"/>
    <col min="2" max="2" width="29.1015625" style="196" customWidth="1"/>
    <col min="3" max="3" width="27.89453125" bestFit="1" customWidth="1"/>
    <col min="4" max="4" width="0.89453125" customWidth="1"/>
    <col min="5" max="5" width="51.89453125" bestFit="1" customWidth="1"/>
    <col min="10" max="10" width="7.734375" customWidth="1"/>
    <col min="11" max="11" width="7.1015625" customWidth="1"/>
  </cols>
  <sheetData>
    <row r="1" spans="1:7" ht="34.5" x14ac:dyDescent="0.55000000000000004">
      <c r="A1" s="700" t="s">
        <v>600</v>
      </c>
      <c r="B1" s="700"/>
      <c r="C1" s="700"/>
      <c r="D1" s="700"/>
      <c r="E1" s="700"/>
      <c r="F1" s="700"/>
      <c r="G1" s="700"/>
    </row>
    <row r="3" spans="1:7" ht="36.6" x14ac:dyDescent="2.5499999999999998">
      <c r="E3" s="135" t="s">
        <v>156</v>
      </c>
    </row>
    <row r="5" spans="1:7" ht="14.4" customHeight="1" x14ac:dyDescent="0.55000000000000004">
      <c r="B5" s="564" t="s">
        <v>109</v>
      </c>
      <c r="C5" s="491" t="s">
        <v>105</v>
      </c>
      <c r="E5" s="695" t="s">
        <v>247</v>
      </c>
    </row>
    <row r="6" spans="1:7" ht="14.4" customHeight="1" x14ac:dyDescent="0.55000000000000004">
      <c r="B6" s="564"/>
      <c r="C6" s="491"/>
    </row>
    <row r="7" spans="1:7" ht="14.4" customHeight="1" x14ac:dyDescent="0.55000000000000004">
      <c r="B7" s="564"/>
      <c r="C7" s="491" t="s">
        <v>155</v>
      </c>
      <c r="E7" s="695" t="s">
        <v>155</v>
      </c>
    </row>
    <row r="9" spans="1:7" ht="14.4" x14ac:dyDescent="0.55000000000000004">
      <c r="B9" s="565" t="s">
        <v>597</v>
      </c>
      <c r="C9" s="492" t="s">
        <v>502</v>
      </c>
      <c r="E9" s="696" t="s">
        <v>503</v>
      </c>
      <c r="G9" s="138"/>
    </row>
    <row r="10" spans="1:7" ht="14.4" x14ac:dyDescent="0.55000000000000004">
      <c r="B10" s="565"/>
      <c r="C10" s="492"/>
      <c r="E10" s="134"/>
      <c r="G10" s="138"/>
    </row>
    <row r="11" spans="1:7" ht="14.4" x14ac:dyDescent="0.55000000000000004">
      <c r="B11" s="565"/>
      <c r="C11" s="492" t="s">
        <v>82</v>
      </c>
      <c r="E11" s="696" t="s">
        <v>83</v>
      </c>
      <c r="G11" s="138"/>
    </row>
    <row r="12" spans="1:7" ht="14.4" x14ac:dyDescent="0.55000000000000004">
      <c r="B12" s="565"/>
      <c r="C12" s="492"/>
      <c r="E12" s="134"/>
      <c r="G12" s="138"/>
    </row>
    <row r="13" spans="1:7" ht="14.4" x14ac:dyDescent="0.55000000000000004">
      <c r="B13" s="565"/>
      <c r="C13" s="492" t="s">
        <v>500</v>
      </c>
      <c r="E13" s="696" t="s">
        <v>233</v>
      </c>
      <c r="G13" s="138"/>
    </row>
    <row r="14" spans="1:7" ht="14.4" x14ac:dyDescent="0.55000000000000004">
      <c r="B14" s="565"/>
      <c r="C14" s="492"/>
      <c r="E14" s="134"/>
    </row>
    <row r="15" spans="1:7" ht="14.4" x14ac:dyDescent="0.55000000000000004">
      <c r="B15" s="565"/>
      <c r="C15" s="492" t="s">
        <v>501</v>
      </c>
      <c r="E15" s="696" t="s">
        <v>246</v>
      </c>
      <c r="G15" s="138"/>
    </row>
    <row r="16" spans="1:7" ht="14.4" x14ac:dyDescent="0.55000000000000004">
      <c r="B16" s="565"/>
      <c r="C16" s="492"/>
      <c r="G16" s="138"/>
    </row>
    <row r="17" spans="2:11" x14ac:dyDescent="0.7">
      <c r="B17" s="565"/>
      <c r="C17" s="492" t="s">
        <v>19</v>
      </c>
      <c r="E17" s="696" t="s">
        <v>74</v>
      </c>
      <c r="G17" s="701" t="s">
        <v>601</v>
      </c>
      <c r="H17" s="702"/>
      <c r="I17" s="702"/>
    </row>
    <row r="18" spans="2:11" x14ac:dyDescent="0.7">
      <c r="B18" s="565"/>
      <c r="C18" s="492"/>
      <c r="E18" s="696" t="s">
        <v>51</v>
      </c>
      <c r="G18" s="701"/>
      <c r="H18" s="702"/>
      <c r="I18" s="702"/>
    </row>
    <row r="19" spans="2:11" ht="16.2" x14ac:dyDescent="0.7">
      <c r="C19" s="13"/>
      <c r="E19" s="134"/>
      <c r="G19" s="701" t="s">
        <v>157</v>
      </c>
      <c r="H19" s="702"/>
      <c r="I19" s="702"/>
    </row>
    <row r="20" spans="2:11" x14ac:dyDescent="0.7">
      <c r="B20" s="566" t="s">
        <v>110</v>
      </c>
      <c r="C20" s="493" t="s">
        <v>71</v>
      </c>
      <c r="E20" s="697" t="s">
        <v>72</v>
      </c>
      <c r="G20" s="701" t="s">
        <v>158</v>
      </c>
      <c r="H20" s="702"/>
      <c r="I20" s="702"/>
      <c r="J20" s="703" t="s">
        <v>20</v>
      </c>
      <c r="K20" s="703"/>
    </row>
    <row r="21" spans="2:11" x14ac:dyDescent="0.7">
      <c r="B21" s="566"/>
      <c r="C21" s="493"/>
      <c r="E21" s="134"/>
      <c r="G21" s="701"/>
      <c r="H21" s="702"/>
      <c r="I21" s="702"/>
    </row>
    <row r="22" spans="2:11" x14ac:dyDescent="0.7">
      <c r="B22" s="566"/>
      <c r="C22" s="493" t="s">
        <v>39</v>
      </c>
      <c r="E22" s="697" t="s">
        <v>125</v>
      </c>
      <c r="G22" s="701" t="s">
        <v>176</v>
      </c>
      <c r="H22" s="702"/>
      <c r="I22" s="702"/>
    </row>
    <row r="23" spans="2:11" ht="14.4" x14ac:dyDescent="0.55000000000000004">
      <c r="B23" s="566"/>
      <c r="C23" s="493"/>
      <c r="E23" s="697" t="s">
        <v>49</v>
      </c>
    </row>
    <row r="24" spans="2:11" ht="14.4" x14ac:dyDescent="0.55000000000000004">
      <c r="B24" s="566"/>
      <c r="C24" s="493"/>
      <c r="E24" s="48"/>
    </row>
    <row r="25" spans="2:11" ht="14.4" x14ac:dyDescent="0.55000000000000004">
      <c r="B25" s="566"/>
      <c r="C25" s="493" t="s">
        <v>18</v>
      </c>
      <c r="E25" s="697" t="s">
        <v>74</v>
      </c>
    </row>
    <row r="26" spans="2:11" x14ac:dyDescent="0.6">
      <c r="C26" s="13"/>
      <c r="E26" s="134"/>
    </row>
    <row r="27" spans="2:11" ht="14.4" x14ac:dyDescent="0.55000000000000004">
      <c r="B27" s="567" t="s">
        <v>111</v>
      </c>
      <c r="C27" s="494" t="s">
        <v>174</v>
      </c>
      <c r="E27" s="698" t="s">
        <v>171</v>
      </c>
    </row>
    <row r="28" spans="2:11" ht="14.4" x14ac:dyDescent="0.55000000000000004">
      <c r="B28" s="567"/>
      <c r="C28" s="494"/>
      <c r="E28" s="134"/>
    </row>
    <row r="29" spans="2:11" x14ac:dyDescent="0.6">
      <c r="C29" s="13"/>
      <c r="E29" s="48"/>
    </row>
    <row r="30" spans="2:11" ht="14.4" x14ac:dyDescent="0.55000000000000004">
      <c r="B30" s="563" t="s">
        <v>112</v>
      </c>
      <c r="C30" s="495" t="s">
        <v>86</v>
      </c>
      <c r="E30" s="699" t="s">
        <v>50</v>
      </c>
    </row>
    <row r="31" spans="2:11" ht="14.4" x14ac:dyDescent="0.55000000000000004">
      <c r="B31" s="563"/>
      <c r="C31" s="495"/>
      <c r="E31" s="48"/>
    </row>
    <row r="32" spans="2:11" ht="14.4" x14ac:dyDescent="0.55000000000000004">
      <c r="B32" s="563"/>
      <c r="C32" s="495" t="s">
        <v>265</v>
      </c>
      <c r="E32" s="699" t="s">
        <v>232</v>
      </c>
    </row>
    <row r="33" spans="2:5" ht="14.4" x14ac:dyDescent="0.55000000000000004">
      <c r="B33" s="563"/>
      <c r="C33" s="495"/>
      <c r="E33" s="699" t="s">
        <v>260</v>
      </c>
    </row>
    <row r="34" spans="2:5" ht="14.4" x14ac:dyDescent="0.55000000000000004">
      <c r="B34" s="563"/>
      <c r="C34" s="495"/>
      <c r="E34" s="699" t="s">
        <v>261</v>
      </c>
    </row>
    <row r="35" spans="2:5" ht="14.4" x14ac:dyDescent="0.55000000000000004">
      <c r="B35" s="563"/>
      <c r="C35" s="495"/>
      <c r="E35" s="699" t="s">
        <v>262</v>
      </c>
    </row>
    <row r="36" spans="2:5" ht="14.4" x14ac:dyDescent="0.55000000000000004">
      <c r="B36" s="563"/>
      <c r="C36" s="495"/>
      <c r="E36" s="699" t="s">
        <v>263</v>
      </c>
    </row>
    <row r="37" spans="2:5" ht="14.4" x14ac:dyDescent="0.55000000000000004">
      <c r="B37" s="563"/>
      <c r="C37" s="495"/>
      <c r="E37" s="699" t="s">
        <v>264</v>
      </c>
    </row>
    <row r="38" spans="2:5" ht="14.4" x14ac:dyDescent="0.55000000000000004">
      <c r="B38" s="278" t="s">
        <v>599</v>
      </c>
      <c r="C38" s="13"/>
    </row>
    <row r="39" spans="2:5" ht="16.2" x14ac:dyDescent="0.7">
      <c r="E39" s="701" t="s">
        <v>595</v>
      </c>
    </row>
    <row r="40" spans="2:5" ht="16.2" x14ac:dyDescent="0.7">
      <c r="E40" s="701" t="s">
        <v>596</v>
      </c>
    </row>
    <row r="41" spans="2:5" ht="18.3" x14ac:dyDescent="0.7">
      <c r="E41" s="704" t="s">
        <v>598</v>
      </c>
    </row>
    <row r="42" spans="2:5" x14ac:dyDescent="0.6">
      <c r="E42" s="490"/>
    </row>
    <row r="44" spans="2:5" x14ac:dyDescent="0.6">
      <c r="E44" s="48"/>
    </row>
    <row r="45" spans="2:5" x14ac:dyDescent="0.6">
      <c r="E45" s="48"/>
    </row>
    <row r="46" spans="2:5" x14ac:dyDescent="0.6">
      <c r="E46" s="48"/>
    </row>
    <row r="47" spans="2:5" x14ac:dyDescent="0.6">
      <c r="E47" s="48"/>
    </row>
  </sheetData>
  <sheetProtection password="9695" sheet="1" objects="1" scenarios="1"/>
  <mergeCells count="7">
    <mergeCell ref="A1:G1"/>
    <mergeCell ref="J20:K20"/>
    <mergeCell ref="B30:B37"/>
    <mergeCell ref="B5:B7"/>
    <mergeCell ref="B9:B18"/>
    <mergeCell ref="B20:B25"/>
    <mergeCell ref="B27:B28"/>
  </mergeCells>
  <hyperlinks>
    <hyperlink ref="E25" location="'Hist 10 bars'!A1" display="Histogram - 10 bars" xr:uid="{00000000-0004-0000-0000-000000000000}"/>
    <hyperlink ref="E22" location="Boxplot!A1" display="Standard Boxplot using quartiles" xr:uid="{00000000-0004-0000-0000-000001000000}"/>
    <hyperlink ref="E23" location="'Sigma Boxplot'!A1" display="Boxplot with limits at +/- 1 and 3 sandard deviations" xr:uid="{00000000-0004-0000-0000-000002000000}"/>
    <hyperlink ref="E30" location="'Control plan'!A1" display="Control plan template" xr:uid="{00000000-0004-0000-0000-000003000000}"/>
    <hyperlink ref="E18" location="'Proc. Cap Table'!A1" display="Cpk,Ppk, Z level , Yield conversion table" xr:uid="{00000000-0004-0000-0000-000004000000}"/>
    <hyperlink ref="E17" location="'Hist 10 bars'!A1" display="Histogram - 10 bars" xr:uid="{00000000-0004-0000-0000-000005000000}"/>
    <hyperlink ref="E20" location="Pareto!A1" display="Pareto Chart" xr:uid="{00000000-0004-0000-0000-000006000000}"/>
    <hyperlink ref="E11" location="Ishikawa!A1" display="Ishikawa - Cause and Effect Diagram" xr:uid="{00000000-0004-0000-0000-000007000000}"/>
    <hyperlink ref="E5" location="'A3 Template'!A1" display="A3 Template" xr:uid="{00000000-0004-0000-0000-000008000000}"/>
    <hyperlink ref="E32" location="'Xbar R chart data'!A1" display="Xbar R control chart " xr:uid="{00000000-0004-0000-0000-000009000000}"/>
    <hyperlink ref="E7" location="SIPOC!A1" display="SIPOC" xr:uid="{00000000-0004-0000-0000-00000A000000}"/>
    <hyperlink ref="E27" location="'Pugh Matrix'!A1" display="Pugh matrix" xr:uid="{00000000-0004-0000-0000-00000C000000}"/>
    <hyperlink ref="E15" location="'GRR Instructions'!Print_Area" display="Gauge R&amp;R continuous" xr:uid="{00000000-0004-0000-0000-00000D000000}"/>
    <hyperlink ref="E33" location="'IMR Data and calculations'!A1" display="I-MR Chart" xr:uid="{00000000-0004-0000-0000-00000E000000}"/>
    <hyperlink ref="E34" location="'C chart Data and calculations'!A1" display="C chart" xr:uid="{00000000-0004-0000-0000-00000F000000}"/>
    <hyperlink ref="E35" location="'np Data and calculations'!A1" display="np chart" xr:uid="{00000000-0004-0000-0000-000010000000}"/>
    <hyperlink ref="E36" location="'p Data and calculations'!A1" display="p chart" xr:uid="{00000000-0004-0000-0000-000011000000}"/>
    <hyperlink ref="E37" location="'u Data and calculations'!A1" display="u chart" xr:uid="{00000000-0004-0000-0000-000012000000}"/>
    <hyperlink ref="E13" location="'Simple data collection'!A1" display="Simple data collection sheet" xr:uid="{00000000-0004-0000-0000-000013000000}"/>
    <hyperlink ref="E41" r:id="rId1" xr:uid="{00000000-0004-0000-0000-000014000000}"/>
    <hyperlink ref="E9" location="FMEA!A1" display="Failure Modes and Effects Analysis" xr:uid="{00000000-0004-0000-0000-000015000000}"/>
    <hyperlink ref="J20" location="Menu!A1" display="Return to menu" xr:uid="{CCCB8604-B84A-41CD-969D-EBBEFD66B5D6}"/>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11"/>
  <sheetViews>
    <sheetView showRuler="0" zoomScale="55" zoomScaleNormal="55" zoomScalePageLayoutView="75" workbookViewId="0">
      <selection activeCell="R2" sqref="R2"/>
    </sheetView>
  </sheetViews>
  <sheetFormatPr defaultRowHeight="12.3" x14ac:dyDescent="0.55000000000000004"/>
  <cols>
    <col min="1" max="1" width="2.734375" style="64" customWidth="1"/>
    <col min="2" max="2" width="4.3671875" style="64" customWidth="1"/>
    <col min="3" max="3" width="35.734375" style="64" customWidth="1"/>
    <col min="4" max="4" width="2.3671875" style="64" customWidth="1"/>
    <col min="5" max="5" width="6.26171875" style="64" customWidth="1"/>
    <col min="6" max="6" width="35.734375" style="64" customWidth="1"/>
    <col min="7" max="7" width="1.734375" style="65" customWidth="1"/>
    <col min="8" max="8" width="5.62890625" style="65" customWidth="1"/>
    <col min="9" max="9" width="35.734375" style="65" customWidth="1"/>
    <col min="10" max="10" width="3.1015625" style="64" customWidth="1"/>
    <col min="11" max="11" width="4.26171875" style="64" customWidth="1"/>
    <col min="12" max="12" width="35.734375" style="64" customWidth="1"/>
    <col min="13" max="13" width="2.89453125" style="66" customWidth="1"/>
    <col min="14" max="14" width="4.26171875" style="64" customWidth="1"/>
    <col min="15" max="15" width="35.734375" style="65" customWidth="1"/>
    <col min="16" max="16" width="3.26171875" style="64" customWidth="1"/>
    <col min="17" max="17" width="9.1015625" style="64"/>
    <col min="18" max="18" width="20.734375" style="64" bestFit="1" customWidth="1"/>
    <col min="19" max="256" width="9.1015625" style="64"/>
    <col min="257" max="257" width="2.734375" style="64" customWidth="1"/>
    <col min="258" max="258" width="4.3671875" style="64" customWidth="1"/>
    <col min="259" max="259" width="35.734375" style="64" customWidth="1"/>
    <col min="260" max="260" width="2.3671875" style="64" customWidth="1"/>
    <col min="261" max="261" width="6.26171875" style="64" customWidth="1"/>
    <col min="262" max="262" width="35.734375" style="64" customWidth="1"/>
    <col min="263" max="263" width="1.734375" style="64" customWidth="1"/>
    <col min="264" max="264" width="5.62890625" style="64" customWidth="1"/>
    <col min="265" max="265" width="35.734375" style="64" customWidth="1"/>
    <col min="266" max="266" width="3.1015625" style="64" customWidth="1"/>
    <col min="267" max="267" width="4.26171875" style="64" customWidth="1"/>
    <col min="268" max="268" width="35.734375" style="64" customWidth="1"/>
    <col min="269" max="269" width="2.89453125" style="64" customWidth="1"/>
    <col min="270" max="270" width="4.26171875" style="64" customWidth="1"/>
    <col min="271" max="271" width="35.734375" style="64" customWidth="1"/>
    <col min="272" max="272" width="3.26171875" style="64" customWidth="1"/>
    <col min="273" max="512" width="9.1015625" style="64"/>
    <col min="513" max="513" width="2.734375" style="64" customWidth="1"/>
    <col min="514" max="514" width="4.3671875" style="64" customWidth="1"/>
    <col min="515" max="515" width="35.734375" style="64" customWidth="1"/>
    <col min="516" max="516" width="2.3671875" style="64" customWidth="1"/>
    <col min="517" max="517" width="6.26171875" style="64" customWidth="1"/>
    <col min="518" max="518" width="35.734375" style="64" customWidth="1"/>
    <col min="519" max="519" width="1.734375" style="64" customWidth="1"/>
    <col min="520" max="520" width="5.62890625" style="64" customWidth="1"/>
    <col min="521" max="521" width="35.734375" style="64" customWidth="1"/>
    <col min="522" max="522" width="3.1015625" style="64" customWidth="1"/>
    <col min="523" max="523" width="4.26171875" style="64" customWidth="1"/>
    <col min="524" max="524" width="35.734375" style="64" customWidth="1"/>
    <col min="525" max="525" width="2.89453125" style="64" customWidth="1"/>
    <col min="526" max="526" width="4.26171875" style="64" customWidth="1"/>
    <col min="527" max="527" width="35.734375" style="64" customWidth="1"/>
    <col min="528" max="528" width="3.26171875" style="64" customWidth="1"/>
    <col min="529" max="768" width="9.1015625" style="64"/>
    <col min="769" max="769" width="2.734375" style="64" customWidth="1"/>
    <col min="770" max="770" width="4.3671875" style="64" customWidth="1"/>
    <col min="771" max="771" width="35.734375" style="64" customWidth="1"/>
    <col min="772" max="772" width="2.3671875" style="64" customWidth="1"/>
    <col min="773" max="773" width="6.26171875" style="64" customWidth="1"/>
    <col min="774" max="774" width="35.734375" style="64" customWidth="1"/>
    <col min="775" max="775" width="1.734375" style="64" customWidth="1"/>
    <col min="776" max="776" width="5.62890625" style="64" customWidth="1"/>
    <col min="777" max="777" width="35.734375" style="64" customWidth="1"/>
    <col min="778" max="778" width="3.1015625" style="64" customWidth="1"/>
    <col min="779" max="779" width="4.26171875" style="64" customWidth="1"/>
    <col min="780" max="780" width="35.734375" style="64" customWidth="1"/>
    <col min="781" max="781" width="2.89453125" style="64" customWidth="1"/>
    <col min="782" max="782" width="4.26171875" style="64" customWidth="1"/>
    <col min="783" max="783" width="35.734375" style="64" customWidth="1"/>
    <col min="784" max="784" width="3.26171875" style="64" customWidth="1"/>
    <col min="785" max="1024" width="9.1015625" style="64"/>
    <col min="1025" max="1025" width="2.734375" style="64" customWidth="1"/>
    <col min="1026" max="1026" width="4.3671875" style="64" customWidth="1"/>
    <col min="1027" max="1027" width="35.734375" style="64" customWidth="1"/>
    <col min="1028" max="1028" width="2.3671875" style="64" customWidth="1"/>
    <col min="1029" max="1029" width="6.26171875" style="64" customWidth="1"/>
    <col min="1030" max="1030" width="35.734375" style="64" customWidth="1"/>
    <col min="1031" max="1031" width="1.734375" style="64" customWidth="1"/>
    <col min="1032" max="1032" width="5.62890625" style="64" customWidth="1"/>
    <col min="1033" max="1033" width="35.734375" style="64" customWidth="1"/>
    <col min="1034" max="1034" width="3.1015625" style="64" customWidth="1"/>
    <col min="1035" max="1035" width="4.26171875" style="64" customWidth="1"/>
    <col min="1036" max="1036" width="35.734375" style="64" customWidth="1"/>
    <col min="1037" max="1037" width="2.89453125" style="64" customWidth="1"/>
    <col min="1038" max="1038" width="4.26171875" style="64" customWidth="1"/>
    <col min="1039" max="1039" width="35.734375" style="64" customWidth="1"/>
    <col min="1040" max="1040" width="3.26171875" style="64" customWidth="1"/>
    <col min="1041" max="1280" width="9.1015625" style="64"/>
    <col min="1281" max="1281" width="2.734375" style="64" customWidth="1"/>
    <col min="1282" max="1282" width="4.3671875" style="64" customWidth="1"/>
    <col min="1283" max="1283" width="35.734375" style="64" customWidth="1"/>
    <col min="1284" max="1284" width="2.3671875" style="64" customWidth="1"/>
    <col min="1285" max="1285" width="6.26171875" style="64" customWidth="1"/>
    <col min="1286" max="1286" width="35.734375" style="64" customWidth="1"/>
    <col min="1287" max="1287" width="1.734375" style="64" customWidth="1"/>
    <col min="1288" max="1288" width="5.62890625" style="64" customWidth="1"/>
    <col min="1289" max="1289" width="35.734375" style="64" customWidth="1"/>
    <col min="1290" max="1290" width="3.1015625" style="64" customWidth="1"/>
    <col min="1291" max="1291" width="4.26171875" style="64" customWidth="1"/>
    <col min="1292" max="1292" width="35.734375" style="64" customWidth="1"/>
    <col min="1293" max="1293" width="2.89453125" style="64" customWidth="1"/>
    <col min="1294" max="1294" width="4.26171875" style="64" customWidth="1"/>
    <col min="1295" max="1295" width="35.734375" style="64" customWidth="1"/>
    <col min="1296" max="1296" width="3.26171875" style="64" customWidth="1"/>
    <col min="1297" max="1536" width="9.1015625" style="64"/>
    <col min="1537" max="1537" width="2.734375" style="64" customWidth="1"/>
    <col min="1538" max="1538" width="4.3671875" style="64" customWidth="1"/>
    <col min="1539" max="1539" width="35.734375" style="64" customWidth="1"/>
    <col min="1540" max="1540" width="2.3671875" style="64" customWidth="1"/>
    <col min="1541" max="1541" width="6.26171875" style="64" customWidth="1"/>
    <col min="1542" max="1542" width="35.734375" style="64" customWidth="1"/>
    <col min="1543" max="1543" width="1.734375" style="64" customWidth="1"/>
    <col min="1544" max="1544" width="5.62890625" style="64" customWidth="1"/>
    <col min="1545" max="1545" width="35.734375" style="64" customWidth="1"/>
    <col min="1546" max="1546" width="3.1015625" style="64" customWidth="1"/>
    <col min="1547" max="1547" width="4.26171875" style="64" customWidth="1"/>
    <col min="1548" max="1548" width="35.734375" style="64" customWidth="1"/>
    <col min="1549" max="1549" width="2.89453125" style="64" customWidth="1"/>
    <col min="1550" max="1550" width="4.26171875" style="64" customWidth="1"/>
    <col min="1551" max="1551" width="35.734375" style="64" customWidth="1"/>
    <col min="1552" max="1552" width="3.26171875" style="64" customWidth="1"/>
    <col min="1553" max="1792" width="9.1015625" style="64"/>
    <col min="1793" max="1793" width="2.734375" style="64" customWidth="1"/>
    <col min="1794" max="1794" width="4.3671875" style="64" customWidth="1"/>
    <col min="1795" max="1795" width="35.734375" style="64" customWidth="1"/>
    <col min="1796" max="1796" width="2.3671875" style="64" customWidth="1"/>
    <col min="1797" max="1797" width="6.26171875" style="64" customWidth="1"/>
    <col min="1798" max="1798" width="35.734375" style="64" customWidth="1"/>
    <col min="1799" max="1799" width="1.734375" style="64" customWidth="1"/>
    <col min="1800" max="1800" width="5.62890625" style="64" customWidth="1"/>
    <col min="1801" max="1801" width="35.734375" style="64" customWidth="1"/>
    <col min="1802" max="1802" width="3.1015625" style="64" customWidth="1"/>
    <col min="1803" max="1803" width="4.26171875" style="64" customWidth="1"/>
    <col min="1804" max="1804" width="35.734375" style="64" customWidth="1"/>
    <col min="1805" max="1805" width="2.89453125" style="64" customWidth="1"/>
    <col min="1806" max="1806" width="4.26171875" style="64" customWidth="1"/>
    <col min="1807" max="1807" width="35.734375" style="64" customWidth="1"/>
    <col min="1808" max="1808" width="3.26171875" style="64" customWidth="1"/>
    <col min="1809" max="2048" width="9.1015625" style="64"/>
    <col min="2049" max="2049" width="2.734375" style="64" customWidth="1"/>
    <col min="2050" max="2050" width="4.3671875" style="64" customWidth="1"/>
    <col min="2051" max="2051" width="35.734375" style="64" customWidth="1"/>
    <col min="2052" max="2052" width="2.3671875" style="64" customWidth="1"/>
    <col min="2053" max="2053" width="6.26171875" style="64" customWidth="1"/>
    <col min="2054" max="2054" width="35.734375" style="64" customWidth="1"/>
    <col min="2055" max="2055" width="1.734375" style="64" customWidth="1"/>
    <col min="2056" max="2056" width="5.62890625" style="64" customWidth="1"/>
    <col min="2057" max="2057" width="35.734375" style="64" customWidth="1"/>
    <col min="2058" max="2058" width="3.1015625" style="64" customWidth="1"/>
    <col min="2059" max="2059" width="4.26171875" style="64" customWidth="1"/>
    <col min="2060" max="2060" width="35.734375" style="64" customWidth="1"/>
    <col min="2061" max="2061" width="2.89453125" style="64" customWidth="1"/>
    <col min="2062" max="2062" width="4.26171875" style="64" customWidth="1"/>
    <col min="2063" max="2063" width="35.734375" style="64" customWidth="1"/>
    <col min="2064" max="2064" width="3.26171875" style="64" customWidth="1"/>
    <col min="2065" max="2304" width="9.1015625" style="64"/>
    <col min="2305" max="2305" width="2.734375" style="64" customWidth="1"/>
    <col min="2306" max="2306" width="4.3671875" style="64" customWidth="1"/>
    <col min="2307" max="2307" width="35.734375" style="64" customWidth="1"/>
    <col min="2308" max="2308" width="2.3671875" style="64" customWidth="1"/>
    <col min="2309" max="2309" width="6.26171875" style="64" customWidth="1"/>
    <col min="2310" max="2310" width="35.734375" style="64" customWidth="1"/>
    <col min="2311" max="2311" width="1.734375" style="64" customWidth="1"/>
    <col min="2312" max="2312" width="5.62890625" style="64" customWidth="1"/>
    <col min="2313" max="2313" width="35.734375" style="64" customWidth="1"/>
    <col min="2314" max="2314" width="3.1015625" style="64" customWidth="1"/>
    <col min="2315" max="2315" width="4.26171875" style="64" customWidth="1"/>
    <col min="2316" max="2316" width="35.734375" style="64" customWidth="1"/>
    <col min="2317" max="2317" width="2.89453125" style="64" customWidth="1"/>
    <col min="2318" max="2318" width="4.26171875" style="64" customWidth="1"/>
    <col min="2319" max="2319" width="35.734375" style="64" customWidth="1"/>
    <col min="2320" max="2320" width="3.26171875" style="64" customWidth="1"/>
    <col min="2321" max="2560" width="9.1015625" style="64"/>
    <col min="2561" max="2561" width="2.734375" style="64" customWidth="1"/>
    <col min="2562" max="2562" width="4.3671875" style="64" customWidth="1"/>
    <col min="2563" max="2563" width="35.734375" style="64" customWidth="1"/>
    <col min="2564" max="2564" width="2.3671875" style="64" customWidth="1"/>
    <col min="2565" max="2565" width="6.26171875" style="64" customWidth="1"/>
    <col min="2566" max="2566" width="35.734375" style="64" customWidth="1"/>
    <col min="2567" max="2567" width="1.734375" style="64" customWidth="1"/>
    <col min="2568" max="2568" width="5.62890625" style="64" customWidth="1"/>
    <col min="2569" max="2569" width="35.734375" style="64" customWidth="1"/>
    <col min="2570" max="2570" width="3.1015625" style="64" customWidth="1"/>
    <col min="2571" max="2571" width="4.26171875" style="64" customWidth="1"/>
    <col min="2572" max="2572" width="35.734375" style="64" customWidth="1"/>
    <col min="2573" max="2573" width="2.89453125" style="64" customWidth="1"/>
    <col min="2574" max="2574" width="4.26171875" style="64" customWidth="1"/>
    <col min="2575" max="2575" width="35.734375" style="64" customWidth="1"/>
    <col min="2576" max="2576" width="3.26171875" style="64" customWidth="1"/>
    <col min="2577" max="2816" width="9.1015625" style="64"/>
    <col min="2817" max="2817" width="2.734375" style="64" customWidth="1"/>
    <col min="2818" max="2818" width="4.3671875" style="64" customWidth="1"/>
    <col min="2819" max="2819" width="35.734375" style="64" customWidth="1"/>
    <col min="2820" max="2820" width="2.3671875" style="64" customWidth="1"/>
    <col min="2821" max="2821" width="6.26171875" style="64" customWidth="1"/>
    <col min="2822" max="2822" width="35.734375" style="64" customWidth="1"/>
    <col min="2823" max="2823" width="1.734375" style="64" customWidth="1"/>
    <col min="2824" max="2824" width="5.62890625" style="64" customWidth="1"/>
    <col min="2825" max="2825" width="35.734375" style="64" customWidth="1"/>
    <col min="2826" max="2826" width="3.1015625" style="64" customWidth="1"/>
    <col min="2827" max="2827" width="4.26171875" style="64" customWidth="1"/>
    <col min="2828" max="2828" width="35.734375" style="64" customWidth="1"/>
    <col min="2829" max="2829" width="2.89453125" style="64" customWidth="1"/>
    <col min="2830" max="2830" width="4.26171875" style="64" customWidth="1"/>
    <col min="2831" max="2831" width="35.734375" style="64" customWidth="1"/>
    <col min="2832" max="2832" width="3.26171875" style="64" customWidth="1"/>
    <col min="2833" max="3072" width="9.1015625" style="64"/>
    <col min="3073" max="3073" width="2.734375" style="64" customWidth="1"/>
    <col min="3074" max="3074" width="4.3671875" style="64" customWidth="1"/>
    <col min="3075" max="3075" width="35.734375" style="64" customWidth="1"/>
    <col min="3076" max="3076" width="2.3671875" style="64" customWidth="1"/>
    <col min="3077" max="3077" width="6.26171875" style="64" customWidth="1"/>
    <col min="3078" max="3078" width="35.734375" style="64" customWidth="1"/>
    <col min="3079" max="3079" width="1.734375" style="64" customWidth="1"/>
    <col min="3080" max="3080" width="5.62890625" style="64" customWidth="1"/>
    <col min="3081" max="3081" width="35.734375" style="64" customWidth="1"/>
    <col min="3082" max="3082" width="3.1015625" style="64" customWidth="1"/>
    <col min="3083" max="3083" width="4.26171875" style="64" customWidth="1"/>
    <col min="3084" max="3084" width="35.734375" style="64" customWidth="1"/>
    <col min="3085" max="3085" width="2.89453125" style="64" customWidth="1"/>
    <col min="3086" max="3086" width="4.26171875" style="64" customWidth="1"/>
    <col min="3087" max="3087" width="35.734375" style="64" customWidth="1"/>
    <col min="3088" max="3088" width="3.26171875" style="64" customWidth="1"/>
    <col min="3089" max="3328" width="9.1015625" style="64"/>
    <col min="3329" max="3329" width="2.734375" style="64" customWidth="1"/>
    <col min="3330" max="3330" width="4.3671875" style="64" customWidth="1"/>
    <col min="3331" max="3331" width="35.734375" style="64" customWidth="1"/>
    <col min="3332" max="3332" width="2.3671875" style="64" customWidth="1"/>
    <col min="3333" max="3333" width="6.26171875" style="64" customWidth="1"/>
    <col min="3334" max="3334" width="35.734375" style="64" customWidth="1"/>
    <col min="3335" max="3335" width="1.734375" style="64" customWidth="1"/>
    <col min="3336" max="3336" width="5.62890625" style="64" customWidth="1"/>
    <col min="3337" max="3337" width="35.734375" style="64" customWidth="1"/>
    <col min="3338" max="3338" width="3.1015625" style="64" customWidth="1"/>
    <col min="3339" max="3339" width="4.26171875" style="64" customWidth="1"/>
    <col min="3340" max="3340" width="35.734375" style="64" customWidth="1"/>
    <col min="3341" max="3341" width="2.89453125" style="64" customWidth="1"/>
    <col min="3342" max="3342" width="4.26171875" style="64" customWidth="1"/>
    <col min="3343" max="3343" width="35.734375" style="64" customWidth="1"/>
    <col min="3344" max="3344" width="3.26171875" style="64" customWidth="1"/>
    <col min="3345" max="3584" width="9.1015625" style="64"/>
    <col min="3585" max="3585" width="2.734375" style="64" customWidth="1"/>
    <col min="3586" max="3586" width="4.3671875" style="64" customWidth="1"/>
    <col min="3587" max="3587" width="35.734375" style="64" customWidth="1"/>
    <col min="3588" max="3588" width="2.3671875" style="64" customWidth="1"/>
    <col min="3589" max="3589" width="6.26171875" style="64" customWidth="1"/>
    <col min="3590" max="3590" width="35.734375" style="64" customWidth="1"/>
    <col min="3591" max="3591" width="1.734375" style="64" customWidth="1"/>
    <col min="3592" max="3592" width="5.62890625" style="64" customWidth="1"/>
    <col min="3593" max="3593" width="35.734375" style="64" customWidth="1"/>
    <col min="3594" max="3594" width="3.1015625" style="64" customWidth="1"/>
    <col min="3595" max="3595" width="4.26171875" style="64" customWidth="1"/>
    <col min="3596" max="3596" width="35.734375" style="64" customWidth="1"/>
    <col min="3597" max="3597" width="2.89453125" style="64" customWidth="1"/>
    <col min="3598" max="3598" width="4.26171875" style="64" customWidth="1"/>
    <col min="3599" max="3599" width="35.734375" style="64" customWidth="1"/>
    <col min="3600" max="3600" width="3.26171875" style="64" customWidth="1"/>
    <col min="3601" max="3840" width="9.1015625" style="64"/>
    <col min="3841" max="3841" width="2.734375" style="64" customWidth="1"/>
    <col min="3842" max="3842" width="4.3671875" style="64" customWidth="1"/>
    <col min="3843" max="3843" width="35.734375" style="64" customWidth="1"/>
    <col min="3844" max="3844" width="2.3671875" style="64" customWidth="1"/>
    <col min="3845" max="3845" width="6.26171875" style="64" customWidth="1"/>
    <col min="3846" max="3846" width="35.734375" style="64" customWidth="1"/>
    <col min="3847" max="3847" width="1.734375" style="64" customWidth="1"/>
    <col min="3848" max="3848" width="5.62890625" style="64" customWidth="1"/>
    <col min="3849" max="3849" width="35.734375" style="64" customWidth="1"/>
    <col min="3850" max="3850" width="3.1015625" style="64" customWidth="1"/>
    <col min="3851" max="3851" width="4.26171875" style="64" customWidth="1"/>
    <col min="3852" max="3852" width="35.734375" style="64" customWidth="1"/>
    <col min="3853" max="3853" width="2.89453125" style="64" customWidth="1"/>
    <col min="3854" max="3854" width="4.26171875" style="64" customWidth="1"/>
    <col min="3855" max="3855" width="35.734375" style="64" customWidth="1"/>
    <col min="3856" max="3856" width="3.26171875" style="64" customWidth="1"/>
    <col min="3857" max="4096" width="9.1015625" style="64"/>
    <col min="4097" max="4097" width="2.734375" style="64" customWidth="1"/>
    <col min="4098" max="4098" width="4.3671875" style="64" customWidth="1"/>
    <col min="4099" max="4099" width="35.734375" style="64" customWidth="1"/>
    <col min="4100" max="4100" width="2.3671875" style="64" customWidth="1"/>
    <col min="4101" max="4101" width="6.26171875" style="64" customWidth="1"/>
    <col min="4102" max="4102" width="35.734375" style="64" customWidth="1"/>
    <col min="4103" max="4103" width="1.734375" style="64" customWidth="1"/>
    <col min="4104" max="4104" width="5.62890625" style="64" customWidth="1"/>
    <col min="4105" max="4105" width="35.734375" style="64" customWidth="1"/>
    <col min="4106" max="4106" width="3.1015625" style="64" customWidth="1"/>
    <col min="4107" max="4107" width="4.26171875" style="64" customWidth="1"/>
    <col min="4108" max="4108" width="35.734375" style="64" customWidth="1"/>
    <col min="4109" max="4109" width="2.89453125" style="64" customWidth="1"/>
    <col min="4110" max="4110" width="4.26171875" style="64" customWidth="1"/>
    <col min="4111" max="4111" width="35.734375" style="64" customWidth="1"/>
    <col min="4112" max="4112" width="3.26171875" style="64" customWidth="1"/>
    <col min="4113" max="4352" width="9.1015625" style="64"/>
    <col min="4353" max="4353" width="2.734375" style="64" customWidth="1"/>
    <col min="4354" max="4354" width="4.3671875" style="64" customWidth="1"/>
    <col min="4355" max="4355" width="35.734375" style="64" customWidth="1"/>
    <col min="4356" max="4356" width="2.3671875" style="64" customWidth="1"/>
    <col min="4357" max="4357" width="6.26171875" style="64" customWidth="1"/>
    <col min="4358" max="4358" width="35.734375" style="64" customWidth="1"/>
    <col min="4359" max="4359" width="1.734375" style="64" customWidth="1"/>
    <col min="4360" max="4360" width="5.62890625" style="64" customWidth="1"/>
    <col min="4361" max="4361" width="35.734375" style="64" customWidth="1"/>
    <col min="4362" max="4362" width="3.1015625" style="64" customWidth="1"/>
    <col min="4363" max="4363" width="4.26171875" style="64" customWidth="1"/>
    <col min="4364" max="4364" width="35.734375" style="64" customWidth="1"/>
    <col min="4365" max="4365" width="2.89453125" style="64" customWidth="1"/>
    <col min="4366" max="4366" width="4.26171875" style="64" customWidth="1"/>
    <col min="4367" max="4367" width="35.734375" style="64" customWidth="1"/>
    <col min="4368" max="4368" width="3.26171875" style="64" customWidth="1"/>
    <col min="4369" max="4608" width="9.1015625" style="64"/>
    <col min="4609" max="4609" width="2.734375" style="64" customWidth="1"/>
    <col min="4610" max="4610" width="4.3671875" style="64" customWidth="1"/>
    <col min="4611" max="4611" width="35.734375" style="64" customWidth="1"/>
    <col min="4612" max="4612" width="2.3671875" style="64" customWidth="1"/>
    <col min="4613" max="4613" width="6.26171875" style="64" customWidth="1"/>
    <col min="4614" max="4614" width="35.734375" style="64" customWidth="1"/>
    <col min="4615" max="4615" width="1.734375" style="64" customWidth="1"/>
    <col min="4616" max="4616" width="5.62890625" style="64" customWidth="1"/>
    <col min="4617" max="4617" width="35.734375" style="64" customWidth="1"/>
    <col min="4618" max="4618" width="3.1015625" style="64" customWidth="1"/>
    <col min="4619" max="4619" width="4.26171875" style="64" customWidth="1"/>
    <col min="4620" max="4620" width="35.734375" style="64" customWidth="1"/>
    <col min="4621" max="4621" width="2.89453125" style="64" customWidth="1"/>
    <col min="4622" max="4622" width="4.26171875" style="64" customWidth="1"/>
    <col min="4623" max="4623" width="35.734375" style="64" customWidth="1"/>
    <col min="4624" max="4624" width="3.26171875" style="64" customWidth="1"/>
    <col min="4625" max="4864" width="9.1015625" style="64"/>
    <col min="4865" max="4865" width="2.734375" style="64" customWidth="1"/>
    <col min="4866" max="4866" width="4.3671875" style="64" customWidth="1"/>
    <col min="4867" max="4867" width="35.734375" style="64" customWidth="1"/>
    <col min="4868" max="4868" width="2.3671875" style="64" customWidth="1"/>
    <col min="4869" max="4869" width="6.26171875" style="64" customWidth="1"/>
    <col min="4870" max="4870" width="35.734375" style="64" customWidth="1"/>
    <col min="4871" max="4871" width="1.734375" style="64" customWidth="1"/>
    <col min="4872" max="4872" width="5.62890625" style="64" customWidth="1"/>
    <col min="4873" max="4873" width="35.734375" style="64" customWidth="1"/>
    <col min="4874" max="4874" width="3.1015625" style="64" customWidth="1"/>
    <col min="4875" max="4875" width="4.26171875" style="64" customWidth="1"/>
    <col min="4876" max="4876" width="35.734375" style="64" customWidth="1"/>
    <col min="4877" max="4877" width="2.89453125" style="64" customWidth="1"/>
    <col min="4878" max="4878" width="4.26171875" style="64" customWidth="1"/>
    <col min="4879" max="4879" width="35.734375" style="64" customWidth="1"/>
    <col min="4880" max="4880" width="3.26171875" style="64" customWidth="1"/>
    <col min="4881" max="5120" width="9.1015625" style="64"/>
    <col min="5121" max="5121" width="2.734375" style="64" customWidth="1"/>
    <col min="5122" max="5122" width="4.3671875" style="64" customWidth="1"/>
    <col min="5123" max="5123" width="35.734375" style="64" customWidth="1"/>
    <col min="5124" max="5124" width="2.3671875" style="64" customWidth="1"/>
    <col min="5125" max="5125" width="6.26171875" style="64" customWidth="1"/>
    <col min="5126" max="5126" width="35.734375" style="64" customWidth="1"/>
    <col min="5127" max="5127" width="1.734375" style="64" customWidth="1"/>
    <col min="5128" max="5128" width="5.62890625" style="64" customWidth="1"/>
    <col min="5129" max="5129" width="35.734375" style="64" customWidth="1"/>
    <col min="5130" max="5130" width="3.1015625" style="64" customWidth="1"/>
    <col min="5131" max="5131" width="4.26171875" style="64" customWidth="1"/>
    <col min="5132" max="5132" width="35.734375" style="64" customWidth="1"/>
    <col min="5133" max="5133" width="2.89453125" style="64" customWidth="1"/>
    <col min="5134" max="5134" width="4.26171875" style="64" customWidth="1"/>
    <col min="5135" max="5135" width="35.734375" style="64" customWidth="1"/>
    <col min="5136" max="5136" width="3.26171875" style="64" customWidth="1"/>
    <col min="5137" max="5376" width="9.1015625" style="64"/>
    <col min="5377" max="5377" width="2.734375" style="64" customWidth="1"/>
    <col min="5378" max="5378" width="4.3671875" style="64" customWidth="1"/>
    <col min="5379" max="5379" width="35.734375" style="64" customWidth="1"/>
    <col min="5380" max="5380" width="2.3671875" style="64" customWidth="1"/>
    <col min="5381" max="5381" width="6.26171875" style="64" customWidth="1"/>
    <col min="5382" max="5382" width="35.734375" style="64" customWidth="1"/>
    <col min="5383" max="5383" width="1.734375" style="64" customWidth="1"/>
    <col min="5384" max="5384" width="5.62890625" style="64" customWidth="1"/>
    <col min="5385" max="5385" width="35.734375" style="64" customWidth="1"/>
    <col min="5386" max="5386" width="3.1015625" style="64" customWidth="1"/>
    <col min="5387" max="5387" width="4.26171875" style="64" customWidth="1"/>
    <col min="5388" max="5388" width="35.734375" style="64" customWidth="1"/>
    <col min="5389" max="5389" width="2.89453125" style="64" customWidth="1"/>
    <col min="5390" max="5390" width="4.26171875" style="64" customWidth="1"/>
    <col min="5391" max="5391" width="35.734375" style="64" customWidth="1"/>
    <col min="5392" max="5392" width="3.26171875" style="64" customWidth="1"/>
    <col min="5393" max="5632" width="9.1015625" style="64"/>
    <col min="5633" max="5633" width="2.734375" style="64" customWidth="1"/>
    <col min="5634" max="5634" width="4.3671875" style="64" customWidth="1"/>
    <col min="5635" max="5635" width="35.734375" style="64" customWidth="1"/>
    <col min="5636" max="5636" width="2.3671875" style="64" customWidth="1"/>
    <col min="5637" max="5637" width="6.26171875" style="64" customWidth="1"/>
    <col min="5638" max="5638" width="35.734375" style="64" customWidth="1"/>
    <col min="5639" max="5639" width="1.734375" style="64" customWidth="1"/>
    <col min="5640" max="5640" width="5.62890625" style="64" customWidth="1"/>
    <col min="5641" max="5641" width="35.734375" style="64" customWidth="1"/>
    <col min="5642" max="5642" width="3.1015625" style="64" customWidth="1"/>
    <col min="5643" max="5643" width="4.26171875" style="64" customWidth="1"/>
    <col min="5644" max="5644" width="35.734375" style="64" customWidth="1"/>
    <col min="5645" max="5645" width="2.89453125" style="64" customWidth="1"/>
    <col min="5646" max="5646" width="4.26171875" style="64" customWidth="1"/>
    <col min="5647" max="5647" width="35.734375" style="64" customWidth="1"/>
    <col min="5648" max="5648" width="3.26171875" style="64" customWidth="1"/>
    <col min="5649" max="5888" width="9.1015625" style="64"/>
    <col min="5889" max="5889" width="2.734375" style="64" customWidth="1"/>
    <col min="5890" max="5890" width="4.3671875" style="64" customWidth="1"/>
    <col min="5891" max="5891" width="35.734375" style="64" customWidth="1"/>
    <col min="5892" max="5892" width="2.3671875" style="64" customWidth="1"/>
    <col min="5893" max="5893" width="6.26171875" style="64" customWidth="1"/>
    <col min="5894" max="5894" width="35.734375" style="64" customWidth="1"/>
    <col min="5895" max="5895" width="1.734375" style="64" customWidth="1"/>
    <col min="5896" max="5896" width="5.62890625" style="64" customWidth="1"/>
    <col min="5897" max="5897" width="35.734375" style="64" customWidth="1"/>
    <col min="5898" max="5898" width="3.1015625" style="64" customWidth="1"/>
    <col min="5899" max="5899" width="4.26171875" style="64" customWidth="1"/>
    <col min="5900" max="5900" width="35.734375" style="64" customWidth="1"/>
    <col min="5901" max="5901" width="2.89453125" style="64" customWidth="1"/>
    <col min="5902" max="5902" width="4.26171875" style="64" customWidth="1"/>
    <col min="5903" max="5903" width="35.734375" style="64" customWidth="1"/>
    <col min="5904" max="5904" width="3.26171875" style="64" customWidth="1"/>
    <col min="5905" max="6144" width="9.1015625" style="64"/>
    <col min="6145" max="6145" width="2.734375" style="64" customWidth="1"/>
    <col min="6146" max="6146" width="4.3671875" style="64" customWidth="1"/>
    <col min="6147" max="6147" width="35.734375" style="64" customWidth="1"/>
    <col min="6148" max="6148" width="2.3671875" style="64" customWidth="1"/>
    <col min="6149" max="6149" width="6.26171875" style="64" customWidth="1"/>
    <col min="6150" max="6150" width="35.734375" style="64" customWidth="1"/>
    <col min="6151" max="6151" width="1.734375" style="64" customWidth="1"/>
    <col min="6152" max="6152" width="5.62890625" style="64" customWidth="1"/>
    <col min="6153" max="6153" width="35.734375" style="64" customWidth="1"/>
    <col min="6154" max="6154" width="3.1015625" style="64" customWidth="1"/>
    <col min="6155" max="6155" width="4.26171875" style="64" customWidth="1"/>
    <col min="6156" max="6156" width="35.734375" style="64" customWidth="1"/>
    <col min="6157" max="6157" width="2.89453125" style="64" customWidth="1"/>
    <col min="6158" max="6158" width="4.26171875" style="64" customWidth="1"/>
    <col min="6159" max="6159" width="35.734375" style="64" customWidth="1"/>
    <col min="6160" max="6160" width="3.26171875" style="64" customWidth="1"/>
    <col min="6161" max="6400" width="9.1015625" style="64"/>
    <col min="6401" max="6401" width="2.734375" style="64" customWidth="1"/>
    <col min="6402" max="6402" width="4.3671875" style="64" customWidth="1"/>
    <col min="6403" max="6403" width="35.734375" style="64" customWidth="1"/>
    <col min="6404" max="6404" width="2.3671875" style="64" customWidth="1"/>
    <col min="6405" max="6405" width="6.26171875" style="64" customWidth="1"/>
    <col min="6406" max="6406" width="35.734375" style="64" customWidth="1"/>
    <col min="6407" max="6407" width="1.734375" style="64" customWidth="1"/>
    <col min="6408" max="6408" width="5.62890625" style="64" customWidth="1"/>
    <col min="6409" max="6409" width="35.734375" style="64" customWidth="1"/>
    <col min="6410" max="6410" width="3.1015625" style="64" customWidth="1"/>
    <col min="6411" max="6411" width="4.26171875" style="64" customWidth="1"/>
    <col min="6412" max="6412" width="35.734375" style="64" customWidth="1"/>
    <col min="6413" max="6413" width="2.89453125" style="64" customWidth="1"/>
    <col min="6414" max="6414" width="4.26171875" style="64" customWidth="1"/>
    <col min="6415" max="6415" width="35.734375" style="64" customWidth="1"/>
    <col min="6416" max="6416" width="3.26171875" style="64" customWidth="1"/>
    <col min="6417" max="6656" width="9.1015625" style="64"/>
    <col min="6657" max="6657" width="2.734375" style="64" customWidth="1"/>
    <col min="6658" max="6658" width="4.3671875" style="64" customWidth="1"/>
    <col min="6659" max="6659" width="35.734375" style="64" customWidth="1"/>
    <col min="6660" max="6660" width="2.3671875" style="64" customWidth="1"/>
    <col min="6661" max="6661" width="6.26171875" style="64" customWidth="1"/>
    <col min="6662" max="6662" width="35.734375" style="64" customWidth="1"/>
    <col min="6663" max="6663" width="1.734375" style="64" customWidth="1"/>
    <col min="6664" max="6664" width="5.62890625" style="64" customWidth="1"/>
    <col min="6665" max="6665" width="35.734375" style="64" customWidth="1"/>
    <col min="6666" max="6666" width="3.1015625" style="64" customWidth="1"/>
    <col min="6667" max="6667" width="4.26171875" style="64" customWidth="1"/>
    <col min="6668" max="6668" width="35.734375" style="64" customWidth="1"/>
    <col min="6669" max="6669" width="2.89453125" style="64" customWidth="1"/>
    <col min="6670" max="6670" width="4.26171875" style="64" customWidth="1"/>
    <col min="6671" max="6671" width="35.734375" style="64" customWidth="1"/>
    <col min="6672" max="6672" width="3.26171875" style="64" customWidth="1"/>
    <col min="6673" max="6912" width="9.1015625" style="64"/>
    <col min="6913" max="6913" width="2.734375" style="64" customWidth="1"/>
    <col min="6914" max="6914" width="4.3671875" style="64" customWidth="1"/>
    <col min="6915" max="6915" width="35.734375" style="64" customWidth="1"/>
    <col min="6916" max="6916" width="2.3671875" style="64" customWidth="1"/>
    <col min="6917" max="6917" width="6.26171875" style="64" customWidth="1"/>
    <col min="6918" max="6918" width="35.734375" style="64" customWidth="1"/>
    <col min="6919" max="6919" width="1.734375" style="64" customWidth="1"/>
    <col min="6920" max="6920" width="5.62890625" style="64" customWidth="1"/>
    <col min="6921" max="6921" width="35.734375" style="64" customWidth="1"/>
    <col min="6922" max="6922" width="3.1015625" style="64" customWidth="1"/>
    <col min="6923" max="6923" width="4.26171875" style="64" customWidth="1"/>
    <col min="6924" max="6924" width="35.734375" style="64" customWidth="1"/>
    <col min="6925" max="6925" width="2.89453125" style="64" customWidth="1"/>
    <col min="6926" max="6926" width="4.26171875" style="64" customWidth="1"/>
    <col min="6927" max="6927" width="35.734375" style="64" customWidth="1"/>
    <col min="6928" max="6928" width="3.26171875" style="64" customWidth="1"/>
    <col min="6929" max="7168" width="9.1015625" style="64"/>
    <col min="7169" max="7169" width="2.734375" style="64" customWidth="1"/>
    <col min="7170" max="7170" width="4.3671875" style="64" customWidth="1"/>
    <col min="7171" max="7171" width="35.734375" style="64" customWidth="1"/>
    <col min="7172" max="7172" width="2.3671875" style="64" customWidth="1"/>
    <col min="7173" max="7173" width="6.26171875" style="64" customWidth="1"/>
    <col min="7174" max="7174" width="35.734375" style="64" customWidth="1"/>
    <col min="7175" max="7175" width="1.734375" style="64" customWidth="1"/>
    <col min="7176" max="7176" width="5.62890625" style="64" customWidth="1"/>
    <col min="7177" max="7177" width="35.734375" style="64" customWidth="1"/>
    <col min="7178" max="7178" width="3.1015625" style="64" customWidth="1"/>
    <col min="7179" max="7179" width="4.26171875" style="64" customWidth="1"/>
    <col min="7180" max="7180" width="35.734375" style="64" customWidth="1"/>
    <col min="7181" max="7181" width="2.89453125" style="64" customWidth="1"/>
    <col min="7182" max="7182" width="4.26171875" style="64" customWidth="1"/>
    <col min="7183" max="7183" width="35.734375" style="64" customWidth="1"/>
    <col min="7184" max="7184" width="3.26171875" style="64" customWidth="1"/>
    <col min="7185" max="7424" width="9.1015625" style="64"/>
    <col min="7425" max="7425" width="2.734375" style="64" customWidth="1"/>
    <col min="7426" max="7426" width="4.3671875" style="64" customWidth="1"/>
    <col min="7427" max="7427" width="35.734375" style="64" customWidth="1"/>
    <col min="7428" max="7428" width="2.3671875" style="64" customWidth="1"/>
    <col min="7429" max="7429" width="6.26171875" style="64" customWidth="1"/>
    <col min="7430" max="7430" width="35.734375" style="64" customWidth="1"/>
    <col min="7431" max="7431" width="1.734375" style="64" customWidth="1"/>
    <col min="7432" max="7432" width="5.62890625" style="64" customWidth="1"/>
    <col min="7433" max="7433" width="35.734375" style="64" customWidth="1"/>
    <col min="7434" max="7434" width="3.1015625" style="64" customWidth="1"/>
    <col min="7435" max="7435" width="4.26171875" style="64" customWidth="1"/>
    <col min="7436" max="7436" width="35.734375" style="64" customWidth="1"/>
    <col min="7437" max="7437" width="2.89453125" style="64" customWidth="1"/>
    <col min="7438" max="7438" width="4.26171875" style="64" customWidth="1"/>
    <col min="7439" max="7439" width="35.734375" style="64" customWidth="1"/>
    <col min="7440" max="7440" width="3.26171875" style="64" customWidth="1"/>
    <col min="7441" max="7680" width="9.1015625" style="64"/>
    <col min="7681" max="7681" width="2.734375" style="64" customWidth="1"/>
    <col min="7682" max="7682" width="4.3671875" style="64" customWidth="1"/>
    <col min="7683" max="7683" width="35.734375" style="64" customWidth="1"/>
    <col min="7684" max="7684" width="2.3671875" style="64" customWidth="1"/>
    <col min="7685" max="7685" width="6.26171875" style="64" customWidth="1"/>
    <col min="7686" max="7686" width="35.734375" style="64" customWidth="1"/>
    <col min="7687" max="7687" width="1.734375" style="64" customWidth="1"/>
    <col min="7688" max="7688" width="5.62890625" style="64" customWidth="1"/>
    <col min="7689" max="7689" width="35.734375" style="64" customWidth="1"/>
    <col min="7690" max="7690" width="3.1015625" style="64" customWidth="1"/>
    <col min="7691" max="7691" width="4.26171875" style="64" customWidth="1"/>
    <col min="7692" max="7692" width="35.734375" style="64" customWidth="1"/>
    <col min="7693" max="7693" width="2.89453125" style="64" customWidth="1"/>
    <col min="7694" max="7694" width="4.26171875" style="64" customWidth="1"/>
    <col min="7695" max="7695" width="35.734375" style="64" customWidth="1"/>
    <col min="7696" max="7696" width="3.26171875" style="64" customWidth="1"/>
    <col min="7697" max="7936" width="9.1015625" style="64"/>
    <col min="7937" max="7937" width="2.734375" style="64" customWidth="1"/>
    <col min="7938" max="7938" width="4.3671875" style="64" customWidth="1"/>
    <col min="7939" max="7939" width="35.734375" style="64" customWidth="1"/>
    <col min="7940" max="7940" width="2.3671875" style="64" customWidth="1"/>
    <col min="7941" max="7941" width="6.26171875" style="64" customWidth="1"/>
    <col min="7942" max="7942" width="35.734375" style="64" customWidth="1"/>
    <col min="7943" max="7943" width="1.734375" style="64" customWidth="1"/>
    <col min="7944" max="7944" width="5.62890625" style="64" customWidth="1"/>
    <col min="7945" max="7945" width="35.734375" style="64" customWidth="1"/>
    <col min="7946" max="7946" width="3.1015625" style="64" customWidth="1"/>
    <col min="7947" max="7947" width="4.26171875" style="64" customWidth="1"/>
    <col min="7948" max="7948" width="35.734375" style="64" customWidth="1"/>
    <col min="7949" max="7949" width="2.89453125" style="64" customWidth="1"/>
    <col min="7950" max="7950" width="4.26171875" style="64" customWidth="1"/>
    <col min="7951" max="7951" width="35.734375" style="64" customWidth="1"/>
    <col min="7952" max="7952" width="3.26171875" style="64" customWidth="1"/>
    <col min="7953" max="8192" width="9.1015625" style="64"/>
    <col min="8193" max="8193" width="2.734375" style="64" customWidth="1"/>
    <col min="8194" max="8194" width="4.3671875" style="64" customWidth="1"/>
    <col min="8195" max="8195" width="35.734375" style="64" customWidth="1"/>
    <col min="8196" max="8196" width="2.3671875" style="64" customWidth="1"/>
    <col min="8197" max="8197" width="6.26171875" style="64" customWidth="1"/>
    <col min="8198" max="8198" width="35.734375" style="64" customWidth="1"/>
    <col min="8199" max="8199" width="1.734375" style="64" customWidth="1"/>
    <col min="8200" max="8200" width="5.62890625" style="64" customWidth="1"/>
    <col min="8201" max="8201" width="35.734375" style="64" customWidth="1"/>
    <col min="8202" max="8202" width="3.1015625" style="64" customWidth="1"/>
    <col min="8203" max="8203" width="4.26171875" style="64" customWidth="1"/>
    <col min="8204" max="8204" width="35.734375" style="64" customWidth="1"/>
    <col min="8205" max="8205" width="2.89453125" style="64" customWidth="1"/>
    <col min="8206" max="8206" width="4.26171875" style="64" customWidth="1"/>
    <col min="8207" max="8207" width="35.734375" style="64" customWidth="1"/>
    <col min="8208" max="8208" width="3.26171875" style="64" customWidth="1"/>
    <col min="8209" max="8448" width="9.1015625" style="64"/>
    <col min="8449" max="8449" width="2.734375" style="64" customWidth="1"/>
    <col min="8450" max="8450" width="4.3671875" style="64" customWidth="1"/>
    <col min="8451" max="8451" width="35.734375" style="64" customWidth="1"/>
    <col min="8452" max="8452" width="2.3671875" style="64" customWidth="1"/>
    <col min="8453" max="8453" width="6.26171875" style="64" customWidth="1"/>
    <col min="8454" max="8454" width="35.734375" style="64" customWidth="1"/>
    <col min="8455" max="8455" width="1.734375" style="64" customWidth="1"/>
    <col min="8456" max="8456" width="5.62890625" style="64" customWidth="1"/>
    <col min="8457" max="8457" width="35.734375" style="64" customWidth="1"/>
    <col min="8458" max="8458" width="3.1015625" style="64" customWidth="1"/>
    <col min="8459" max="8459" width="4.26171875" style="64" customWidth="1"/>
    <col min="8460" max="8460" width="35.734375" style="64" customWidth="1"/>
    <col min="8461" max="8461" width="2.89453125" style="64" customWidth="1"/>
    <col min="8462" max="8462" width="4.26171875" style="64" customWidth="1"/>
    <col min="8463" max="8463" width="35.734375" style="64" customWidth="1"/>
    <col min="8464" max="8464" width="3.26171875" style="64" customWidth="1"/>
    <col min="8465" max="8704" width="9.1015625" style="64"/>
    <col min="8705" max="8705" width="2.734375" style="64" customWidth="1"/>
    <col min="8706" max="8706" width="4.3671875" style="64" customWidth="1"/>
    <col min="8707" max="8707" width="35.734375" style="64" customWidth="1"/>
    <col min="8708" max="8708" width="2.3671875" style="64" customWidth="1"/>
    <col min="8709" max="8709" width="6.26171875" style="64" customWidth="1"/>
    <col min="8710" max="8710" width="35.734375" style="64" customWidth="1"/>
    <col min="8711" max="8711" width="1.734375" style="64" customWidth="1"/>
    <col min="8712" max="8712" width="5.62890625" style="64" customWidth="1"/>
    <col min="8713" max="8713" width="35.734375" style="64" customWidth="1"/>
    <col min="8714" max="8714" width="3.1015625" style="64" customWidth="1"/>
    <col min="8715" max="8715" width="4.26171875" style="64" customWidth="1"/>
    <col min="8716" max="8716" width="35.734375" style="64" customWidth="1"/>
    <col min="8717" max="8717" width="2.89453125" style="64" customWidth="1"/>
    <col min="8718" max="8718" width="4.26171875" style="64" customWidth="1"/>
    <col min="8719" max="8719" width="35.734375" style="64" customWidth="1"/>
    <col min="8720" max="8720" width="3.26171875" style="64" customWidth="1"/>
    <col min="8721" max="8960" width="9.1015625" style="64"/>
    <col min="8961" max="8961" width="2.734375" style="64" customWidth="1"/>
    <col min="8962" max="8962" width="4.3671875" style="64" customWidth="1"/>
    <col min="8963" max="8963" width="35.734375" style="64" customWidth="1"/>
    <col min="8964" max="8964" width="2.3671875" style="64" customWidth="1"/>
    <col min="8965" max="8965" width="6.26171875" style="64" customWidth="1"/>
    <col min="8966" max="8966" width="35.734375" style="64" customWidth="1"/>
    <col min="8967" max="8967" width="1.734375" style="64" customWidth="1"/>
    <col min="8968" max="8968" width="5.62890625" style="64" customWidth="1"/>
    <col min="8969" max="8969" width="35.734375" style="64" customWidth="1"/>
    <col min="8970" max="8970" width="3.1015625" style="64" customWidth="1"/>
    <col min="8971" max="8971" width="4.26171875" style="64" customWidth="1"/>
    <col min="8972" max="8972" width="35.734375" style="64" customWidth="1"/>
    <col min="8973" max="8973" width="2.89453125" style="64" customWidth="1"/>
    <col min="8974" max="8974" width="4.26171875" style="64" customWidth="1"/>
    <col min="8975" max="8975" width="35.734375" style="64" customWidth="1"/>
    <col min="8976" max="8976" width="3.26171875" style="64" customWidth="1"/>
    <col min="8977" max="9216" width="9.1015625" style="64"/>
    <col min="9217" max="9217" width="2.734375" style="64" customWidth="1"/>
    <col min="9218" max="9218" width="4.3671875" style="64" customWidth="1"/>
    <col min="9219" max="9219" width="35.734375" style="64" customWidth="1"/>
    <col min="9220" max="9220" width="2.3671875" style="64" customWidth="1"/>
    <col min="9221" max="9221" width="6.26171875" style="64" customWidth="1"/>
    <col min="9222" max="9222" width="35.734375" style="64" customWidth="1"/>
    <col min="9223" max="9223" width="1.734375" style="64" customWidth="1"/>
    <col min="9224" max="9224" width="5.62890625" style="64" customWidth="1"/>
    <col min="9225" max="9225" width="35.734375" style="64" customWidth="1"/>
    <col min="9226" max="9226" width="3.1015625" style="64" customWidth="1"/>
    <col min="9227" max="9227" width="4.26171875" style="64" customWidth="1"/>
    <col min="9228" max="9228" width="35.734375" style="64" customWidth="1"/>
    <col min="9229" max="9229" width="2.89453125" style="64" customWidth="1"/>
    <col min="9230" max="9230" width="4.26171875" style="64" customWidth="1"/>
    <col min="9231" max="9231" width="35.734375" style="64" customWidth="1"/>
    <col min="9232" max="9232" width="3.26171875" style="64" customWidth="1"/>
    <col min="9233" max="9472" width="9.1015625" style="64"/>
    <col min="9473" max="9473" width="2.734375" style="64" customWidth="1"/>
    <col min="9474" max="9474" width="4.3671875" style="64" customWidth="1"/>
    <col min="9475" max="9475" width="35.734375" style="64" customWidth="1"/>
    <col min="9476" max="9476" width="2.3671875" style="64" customWidth="1"/>
    <col min="9477" max="9477" width="6.26171875" style="64" customWidth="1"/>
    <col min="9478" max="9478" width="35.734375" style="64" customWidth="1"/>
    <col min="9479" max="9479" width="1.734375" style="64" customWidth="1"/>
    <col min="9480" max="9480" width="5.62890625" style="64" customWidth="1"/>
    <col min="9481" max="9481" width="35.734375" style="64" customWidth="1"/>
    <col min="9482" max="9482" width="3.1015625" style="64" customWidth="1"/>
    <col min="9483" max="9483" width="4.26171875" style="64" customWidth="1"/>
    <col min="9484" max="9484" width="35.734375" style="64" customWidth="1"/>
    <col min="9485" max="9485" width="2.89453125" style="64" customWidth="1"/>
    <col min="9486" max="9486" width="4.26171875" style="64" customWidth="1"/>
    <col min="9487" max="9487" width="35.734375" style="64" customWidth="1"/>
    <col min="9488" max="9488" width="3.26171875" style="64" customWidth="1"/>
    <col min="9489" max="9728" width="9.1015625" style="64"/>
    <col min="9729" max="9729" width="2.734375" style="64" customWidth="1"/>
    <col min="9730" max="9730" width="4.3671875" style="64" customWidth="1"/>
    <col min="9731" max="9731" width="35.734375" style="64" customWidth="1"/>
    <col min="9732" max="9732" width="2.3671875" style="64" customWidth="1"/>
    <col min="9733" max="9733" width="6.26171875" style="64" customWidth="1"/>
    <col min="9734" max="9734" width="35.734375" style="64" customWidth="1"/>
    <col min="9735" max="9735" width="1.734375" style="64" customWidth="1"/>
    <col min="9736" max="9736" width="5.62890625" style="64" customWidth="1"/>
    <col min="9737" max="9737" width="35.734375" style="64" customWidth="1"/>
    <col min="9738" max="9738" width="3.1015625" style="64" customWidth="1"/>
    <col min="9739" max="9739" width="4.26171875" style="64" customWidth="1"/>
    <col min="9740" max="9740" width="35.734375" style="64" customWidth="1"/>
    <col min="9741" max="9741" width="2.89453125" style="64" customWidth="1"/>
    <col min="9742" max="9742" width="4.26171875" style="64" customWidth="1"/>
    <col min="9743" max="9743" width="35.734375" style="64" customWidth="1"/>
    <col min="9744" max="9744" width="3.26171875" style="64" customWidth="1"/>
    <col min="9745" max="9984" width="9.1015625" style="64"/>
    <col min="9985" max="9985" width="2.734375" style="64" customWidth="1"/>
    <col min="9986" max="9986" width="4.3671875" style="64" customWidth="1"/>
    <col min="9987" max="9987" width="35.734375" style="64" customWidth="1"/>
    <col min="9988" max="9988" width="2.3671875" style="64" customWidth="1"/>
    <col min="9989" max="9989" width="6.26171875" style="64" customWidth="1"/>
    <col min="9990" max="9990" width="35.734375" style="64" customWidth="1"/>
    <col min="9991" max="9991" width="1.734375" style="64" customWidth="1"/>
    <col min="9992" max="9992" width="5.62890625" style="64" customWidth="1"/>
    <col min="9993" max="9993" width="35.734375" style="64" customWidth="1"/>
    <col min="9994" max="9994" width="3.1015625" style="64" customWidth="1"/>
    <col min="9995" max="9995" width="4.26171875" style="64" customWidth="1"/>
    <col min="9996" max="9996" width="35.734375" style="64" customWidth="1"/>
    <col min="9997" max="9997" width="2.89453125" style="64" customWidth="1"/>
    <col min="9998" max="9998" width="4.26171875" style="64" customWidth="1"/>
    <col min="9999" max="9999" width="35.734375" style="64" customWidth="1"/>
    <col min="10000" max="10000" width="3.26171875" style="64" customWidth="1"/>
    <col min="10001" max="10240" width="9.1015625" style="64"/>
    <col min="10241" max="10241" width="2.734375" style="64" customWidth="1"/>
    <col min="10242" max="10242" width="4.3671875" style="64" customWidth="1"/>
    <col min="10243" max="10243" width="35.734375" style="64" customWidth="1"/>
    <col min="10244" max="10244" width="2.3671875" style="64" customWidth="1"/>
    <col min="10245" max="10245" width="6.26171875" style="64" customWidth="1"/>
    <col min="10246" max="10246" width="35.734375" style="64" customWidth="1"/>
    <col min="10247" max="10247" width="1.734375" style="64" customWidth="1"/>
    <col min="10248" max="10248" width="5.62890625" style="64" customWidth="1"/>
    <col min="10249" max="10249" width="35.734375" style="64" customWidth="1"/>
    <col min="10250" max="10250" width="3.1015625" style="64" customWidth="1"/>
    <col min="10251" max="10251" width="4.26171875" style="64" customWidth="1"/>
    <col min="10252" max="10252" width="35.734375" style="64" customWidth="1"/>
    <col min="10253" max="10253" width="2.89453125" style="64" customWidth="1"/>
    <col min="10254" max="10254" width="4.26171875" style="64" customWidth="1"/>
    <col min="10255" max="10255" width="35.734375" style="64" customWidth="1"/>
    <col min="10256" max="10256" width="3.26171875" style="64" customWidth="1"/>
    <col min="10257" max="10496" width="9.1015625" style="64"/>
    <col min="10497" max="10497" width="2.734375" style="64" customWidth="1"/>
    <col min="10498" max="10498" width="4.3671875" style="64" customWidth="1"/>
    <col min="10499" max="10499" width="35.734375" style="64" customWidth="1"/>
    <col min="10500" max="10500" width="2.3671875" style="64" customWidth="1"/>
    <col min="10501" max="10501" width="6.26171875" style="64" customWidth="1"/>
    <col min="10502" max="10502" width="35.734375" style="64" customWidth="1"/>
    <col min="10503" max="10503" width="1.734375" style="64" customWidth="1"/>
    <col min="10504" max="10504" width="5.62890625" style="64" customWidth="1"/>
    <col min="10505" max="10505" width="35.734375" style="64" customWidth="1"/>
    <col min="10506" max="10506" width="3.1015625" style="64" customWidth="1"/>
    <col min="10507" max="10507" width="4.26171875" style="64" customWidth="1"/>
    <col min="10508" max="10508" width="35.734375" style="64" customWidth="1"/>
    <col min="10509" max="10509" width="2.89453125" style="64" customWidth="1"/>
    <col min="10510" max="10510" width="4.26171875" style="64" customWidth="1"/>
    <col min="10511" max="10511" width="35.734375" style="64" customWidth="1"/>
    <col min="10512" max="10512" width="3.26171875" style="64" customWidth="1"/>
    <col min="10513" max="10752" width="9.1015625" style="64"/>
    <col min="10753" max="10753" width="2.734375" style="64" customWidth="1"/>
    <col min="10754" max="10754" width="4.3671875" style="64" customWidth="1"/>
    <col min="10755" max="10755" width="35.734375" style="64" customWidth="1"/>
    <col min="10756" max="10756" width="2.3671875" style="64" customWidth="1"/>
    <col min="10757" max="10757" width="6.26171875" style="64" customWidth="1"/>
    <col min="10758" max="10758" width="35.734375" style="64" customWidth="1"/>
    <col min="10759" max="10759" width="1.734375" style="64" customWidth="1"/>
    <col min="10760" max="10760" width="5.62890625" style="64" customWidth="1"/>
    <col min="10761" max="10761" width="35.734375" style="64" customWidth="1"/>
    <col min="10762" max="10762" width="3.1015625" style="64" customWidth="1"/>
    <col min="10763" max="10763" width="4.26171875" style="64" customWidth="1"/>
    <col min="10764" max="10764" width="35.734375" style="64" customWidth="1"/>
    <col min="10765" max="10765" width="2.89453125" style="64" customWidth="1"/>
    <col min="10766" max="10766" width="4.26171875" style="64" customWidth="1"/>
    <col min="10767" max="10767" width="35.734375" style="64" customWidth="1"/>
    <col min="10768" max="10768" width="3.26171875" style="64" customWidth="1"/>
    <col min="10769" max="11008" width="9.1015625" style="64"/>
    <col min="11009" max="11009" width="2.734375" style="64" customWidth="1"/>
    <col min="11010" max="11010" width="4.3671875" style="64" customWidth="1"/>
    <col min="11011" max="11011" width="35.734375" style="64" customWidth="1"/>
    <col min="11012" max="11012" width="2.3671875" style="64" customWidth="1"/>
    <col min="11013" max="11013" width="6.26171875" style="64" customWidth="1"/>
    <col min="11014" max="11014" width="35.734375" style="64" customWidth="1"/>
    <col min="11015" max="11015" width="1.734375" style="64" customWidth="1"/>
    <col min="11016" max="11016" width="5.62890625" style="64" customWidth="1"/>
    <col min="11017" max="11017" width="35.734375" style="64" customWidth="1"/>
    <col min="11018" max="11018" width="3.1015625" style="64" customWidth="1"/>
    <col min="11019" max="11019" width="4.26171875" style="64" customWidth="1"/>
    <col min="11020" max="11020" width="35.734375" style="64" customWidth="1"/>
    <col min="11021" max="11021" width="2.89453125" style="64" customWidth="1"/>
    <col min="11022" max="11022" width="4.26171875" style="64" customWidth="1"/>
    <col min="11023" max="11023" width="35.734375" style="64" customWidth="1"/>
    <col min="11024" max="11024" width="3.26171875" style="64" customWidth="1"/>
    <col min="11025" max="11264" width="9.1015625" style="64"/>
    <col min="11265" max="11265" width="2.734375" style="64" customWidth="1"/>
    <col min="11266" max="11266" width="4.3671875" style="64" customWidth="1"/>
    <col min="11267" max="11267" width="35.734375" style="64" customWidth="1"/>
    <col min="11268" max="11268" width="2.3671875" style="64" customWidth="1"/>
    <col min="11269" max="11269" width="6.26171875" style="64" customWidth="1"/>
    <col min="11270" max="11270" width="35.734375" style="64" customWidth="1"/>
    <col min="11271" max="11271" width="1.734375" style="64" customWidth="1"/>
    <col min="11272" max="11272" width="5.62890625" style="64" customWidth="1"/>
    <col min="11273" max="11273" width="35.734375" style="64" customWidth="1"/>
    <col min="11274" max="11274" width="3.1015625" style="64" customWidth="1"/>
    <col min="11275" max="11275" width="4.26171875" style="64" customWidth="1"/>
    <col min="11276" max="11276" width="35.734375" style="64" customWidth="1"/>
    <col min="11277" max="11277" width="2.89453125" style="64" customWidth="1"/>
    <col min="11278" max="11278" width="4.26171875" style="64" customWidth="1"/>
    <col min="11279" max="11279" width="35.734375" style="64" customWidth="1"/>
    <col min="11280" max="11280" width="3.26171875" style="64" customWidth="1"/>
    <col min="11281" max="11520" width="9.1015625" style="64"/>
    <col min="11521" max="11521" width="2.734375" style="64" customWidth="1"/>
    <col min="11522" max="11522" width="4.3671875" style="64" customWidth="1"/>
    <col min="11523" max="11523" width="35.734375" style="64" customWidth="1"/>
    <col min="11524" max="11524" width="2.3671875" style="64" customWidth="1"/>
    <col min="11525" max="11525" width="6.26171875" style="64" customWidth="1"/>
    <col min="11526" max="11526" width="35.734375" style="64" customWidth="1"/>
    <col min="11527" max="11527" width="1.734375" style="64" customWidth="1"/>
    <col min="11528" max="11528" width="5.62890625" style="64" customWidth="1"/>
    <col min="11529" max="11529" width="35.734375" style="64" customWidth="1"/>
    <col min="11530" max="11530" width="3.1015625" style="64" customWidth="1"/>
    <col min="11531" max="11531" width="4.26171875" style="64" customWidth="1"/>
    <col min="11532" max="11532" width="35.734375" style="64" customWidth="1"/>
    <col min="11533" max="11533" width="2.89453125" style="64" customWidth="1"/>
    <col min="11534" max="11534" width="4.26171875" style="64" customWidth="1"/>
    <col min="11535" max="11535" width="35.734375" style="64" customWidth="1"/>
    <col min="11536" max="11536" width="3.26171875" style="64" customWidth="1"/>
    <col min="11537" max="11776" width="9.1015625" style="64"/>
    <col min="11777" max="11777" width="2.734375" style="64" customWidth="1"/>
    <col min="11778" max="11778" width="4.3671875" style="64" customWidth="1"/>
    <col min="11779" max="11779" width="35.734375" style="64" customWidth="1"/>
    <col min="11780" max="11780" width="2.3671875" style="64" customWidth="1"/>
    <col min="11781" max="11781" width="6.26171875" style="64" customWidth="1"/>
    <col min="11782" max="11782" width="35.734375" style="64" customWidth="1"/>
    <col min="11783" max="11783" width="1.734375" style="64" customWidth="1"/>
    <col min="11784" max="11784" width="5.62890625" style="64" customWidth="1"/>
    <col min="11785" max="11785" width="35.734375" style="64" customWidth="1"/>
    <col min="11786" max="11786" width="3.1015625" style="64" customWidth="1"/>
    <col min="11787" max="11787" width="4.26171875" style="64" customWidth="1"/>
    <col min="11788" max="11788" width="35.734375" style="64" customWidth="1"/>
    <col min="11789" max="11789" width="2.89453125" style="64" customWidth="1"/>
    <col min="11790" max="11790" width="4.26171875" style="64" customWidth="1"/>
    <col min="11791" max="11791" width="35.734375" style="64" customWidth="1"/>
    <col min="11792" max="11792" width="3.26171875" style="64" customWidth="1"/>
    <col min="11793" max="12032" width="9.1015625" style="64"/>
    <col min="12033" max="12033" width="2.734375" style="64" customWidth="1"/>
    <col min="12034" max="12034" width="4.3671875" style="64" customWidth="1"/>
    <col min="12035" max="12035" width="35.734375" style="64" customWidth="1"/>
    <col min="12036" max="12036" width="2.3671875" style="64" customWidth="1"/>
    <col min="12037" max="12037" width="6.26171875" style="64" customWidth="1"/>
    <col min="12038" max="12038" width="35.734375" style="64" customWidth="1"/>
    <col min="12039" max="12039" width="1.734375" style="64" customWidth="1"/>
    <col min="12040" max="12040" width="5.62890625" style="64" customWidth="1"/>
    <col min="12041" max="12041" width="35.734375" style="64" customWidth="1"/>
    <col min="12042" max="12042" width="3.1015625" style="64" customWidth="1"/>
    <col min="12043" max="12043" width="4.26171875" style="64" customWidth="1"/>
    <col min="12044" max="12044" width="35.734375" style="64" customWidth="1"/>
    <col min="12045" max="12045" width="2.89453125" style="64" customWidth="1"/>
    <col min="12046" max="12046" width="4.26171875" style="64" customWidth="1"/>
    <col min="12047" max="12047" width="35.734375" style="64" customWidth="1"/>
    <col min="12048" max="12048" width="3.26171875" style="64" customWidth="1"/>
    <col min="12049" max="12288" width="9.1015625" style="64"/>
    <col min="12289" max="12289" width="2.734375" style="64" customWidth="1"/>
    <col min="12290" max="12290" width="4.3671875" style="64" customWidth="1"/>
    <col min="12291" max="12291" width="35.734375" style="64" customWidth="1"/>
    <col min="12292" max="12292" width="2.3671875" style="64" customWidth="1"/>
    <col min="12293" max="12293" width="6.26171875" style="64" customWidth="1"/>
    <col min="12294" max="12294" width="35.734375" style="64" customWidth="1"/>
    <col min="12295" max="12295" width="1.734375" style="64" customWidth="1"/>
    <col min="12296" max="12296" width="5.62890625" style="64" customWidth="1"/>
    <col min="12297" max="12297" width="35.734375" style="64" customWidth="1"/>
    <col min="12298" max="12298" width="3.1015625" style="64" customWidth="1"/>
    <col min="12299" max="12299" width="4.26171875" style="64" customWidth="1"/>
    <col min="12300" max="12300" width="35.734375" style="64" customWidth="1"/>
    <col min="12301" max="12301" width="2.89453125" style="64" customWidth="1"/>
    <col min="12302" max="12302" width="4.26171875" style="64" customWidth="1"/>
    <col min="12303" max="12303" width="35.734375" style="64" customWidth="1"/>
    <col min="12304" max="12304" width="3.26171875" style="64" customWidth="1"/>
    <col min="12305" max="12544" width="9.1015625" style="64"/>
    <col min="12545" max="12545" width="2.734375" style="64" customWidth="1"/>
    <col min="12546" max="12546" width="4.3671875" style="64" customWidth="1"/>
    <col min="12547" max="12547" width="35.734375" style="64" customWidth="1"/>
    <col min="12548" max="12548" width="2.3671875" style="64" customWidth="1"/>
    <col min="12549" max="12549" width="6.26171875" style="64" customWidth="1"/>
    <col min="12550" max="12550" width="35.734375" style="64" customWidth="1"/>
    <col min="12551" max="12551" width="1.734375" style="64" customWidth="1"/>
    <col min="12552" max="12552" width="5.62890625" style="64" customWidth="1"/>
    <col min="12553" max="12553" width="35.734375" style="64" customWidth="1"/>
    <col min="12554" max="12554" width="3.1015625" style="64" customWidth="1"/>
    <col min="12555" max="12555" width="4.26171875" style="64" customWidth="1"/>
    <col min="12556" max="12556" width="35.734375" style="64" customWidth="1"/>
    <col min="12557" max="12557" width="2.89453125" style="64" customWidth="1"/>
    <col min="12558" max="12558" width="4.26171875" style="64" customWidth="1"/>
    <col min="12559" max="12559" width="35.734375" style="64" customWidth="1"/>
    <col min="12560" max="12560" width="3.26171875" style="64" customWidth="1"/>
    <col min="12561" max="12800" width="9.1015625" style="64"/>
    <col min="12801" max="12801" width="2.734375" style="64" customWidth="1"/>
    <col min="12802" max="12802" width="4.3671875" style="64" customWidth="1"/>
    <col min="12803" max="12803" width="35.734375" style="64" customWidth="1"/>
    <col min="12804" max="12804" width="2.3671875" style="64" customWidth="1"/>
    <col min="12805" max="12805" width="6.26171875" style="64" customWidth="1"/>
    <col min="12806" max="12806" width="35.734375" style="64" customWidth="1"/>
    <col min="12807" max="12807" width="1.734375" style="64" customWidth="1"/>
    <col min="12808" max="12808" width="5.62890625" style="64" customWidth="1"/>
    <col min="12809" max="12809" width="35.734375" style="64" customWidth="1"/>
    <col min="12810" max="12810" width="3.1015625" style="64" customWidth="1"/>
    <col min="12811" max="12811" width="4.26171875" style="64" customWidth="1"/>
    <col min="12812" max="12812" width="35.734375" style="64" customWidth="1"/>
    <col min="12813" max="12813" width="2.89453125" style="64" customWidth="1"/>
    <col min="12814" max="12814" width="4.26171875" style="64" customWidth="1"/>
    <col min="12815" max="12815" width="35.734375" style="64" customWidth="1"/>
    <col min="12816" max="12816" width="3.26171875" style="64" customWidth="1"/>
    <col min="12817" max="13056" width="9.1015625" style="64"/>
    <col min="13057" max="13057" width="2.734375" style="64" customWidth="1"/>
    <col min="13058" max="13058" width="4.3671875" style="64" customWidth="1"/>
    <col min="13059" max="13059" width="35.734375" style="64" customWidth="1"/>
    <col min="13060" max="13060" width="2.3671875" style="64" customWidth="1"/>
    <col min="13061" max="13061" width="6.26171875" style="64" customWidth="1"/>
    <col min="13062" max="13062" width="35.734375" style="64" customWidth="1"/>
    <col min="13063" max="13063" width="1.734375" style="64" customWidth="1"/>
    <col min="13064" max="13064" width="5.62890625" style="64" customWidth="1"/>
    <col min="13065" max="13065" width="35.734375" style="64" customWidth="1"/>
    <col min="13066" max="13066" width="3.1015625" style="64" customWidth="1"/>
    <col min="13067" max="13067" width="4.26171875" style="64" customWidth="1"/>
    <col min="13068" max="13068" width="35.734375" style="64" customWidth="1"/>
    <col min="13069" max="13069" width="2.89453125" style="64" customWidth="1"/>
    <col min="13070" max="13070" width="4.26171875" style="64" customWidth="1"/>
    <col min="13071" max="13071" width="35.734375" style="64" customWidth="1"/>
    <col min="13072" max="13072" width="3.26171875" style="64" customWidth="1"/>
    <col min="13073" max="13312" width="9.1015625" style="64"/>
    <col min="13313" max="13313" width="2.734375" style="64" customWidth="1"/>
    <col min="13314" max="13314" width="4.3671875" style="64" customWidth="1"/>
    <col min="13315" max="13315" width="35.734375" style="64" customWidth="1"/>
    <col min="13316" max="13316" width="2.3671875" style="64" customWidth="1"/>
    <col min="13317" max="13317" width="6.26171875" style="64" customWidth="1"/>
    <col min="13318" max="13318" width="35.734375" style="64" customWidth="1"/>
    <col min="13319" max="13319" width="1.734375" style="64" customWidth="1"/>
    <col min="13320" max="13320" width="5.62890625" style="64" customWidth="1"/>
    <col min="13321" max="13321" width="35.734375" style="64" customWidth="1"/>
    <col min="13322" max="13322" width="3.1015625" style="64" customWidth="1"/>
    <col min="13323" max="13323" width="4.26171875" style="64" customWidth="1"/>
    <col min="13324" max="13324" width="35.734375" style="64" customWidth="1"/>
    <col min="13325" max="13325" width="2.89453125" style="64" customWidth="1"/>
    <col min="13326" max="13326" width="4.26171875" style="64" customWidth="1"/>
    <col min="13327" max="13327" width="35.734375" style="64" customWidth="1"/>
    <col min="13328" max="13328" width="3.26171875" style="64" customWidth="1"/>
    <col min="13329" max="13568" width="9.1015625" style="64"/>
    <col min="13569" max="13569" width="2.734375" style="64" customWidth="1"/>
    <col min="13570" max="13570" width="4.3671875" style="64" customWidth="1"/>
    <col min="13571" max="13571" width="35.734375" style="64" customWidth="1"/>
    <col min="13572" max="13572" width="2.3671875" style="64" customWidth="1"/>
    <col min="13573" max="13573" width="6.26171875" style="64" customWidth="1"/>
    <col min="13574" max="13574" width="35.734375" style="64" customWidth="1"/>
    <col min="13575" max="13575" width="1.734375" style="64" customWidth="1"/>
    <col min="13576" max="13576" width="5.62890625" style="64" customWidth="1"/>
    <col min="13577" max="13577" width="35.734375" style="64" customWidth="1"/>
    <col min="13578" max="13578" width="3.1015625" style="64" customWidth="1"/>
    <col min="13579" max="13579" width="4.26171875" style="64" customWidth="1"/>
    <col min="13580" max="13580" width="35.734375" style="64" customWidth="1"/>
    <col min="13581" max="13581" width="2.89453125" style="64" customWidth="1"/>
    <col min="13582" max="13582" width="4.26171875" style="64" customWidth="1"/>
    <col min="13583" max="13583" width="35.734375" style="64" customWidth="1"/>
    <col min="13584" max="13584" width="3.26171875" style="64" customWidth="1"/>
    <col min="13585" max="13824" width="9.1015625" style="64"/>
    <col min="13825" max="13825" width="2.734375" style="64" customWidth="1"/>
    <col min="13826" max="13826" width="4.3671875" style="64" customWidth="1"/>
    <col min="13827" max="13827" width="35.734375" style="64" customWidth="1"/>
    <col min="13828" max="13828" width="2.3671875" style="64" customWidth="1"/>
    <col min="13829" max="13829" width="6.26171875" style="64" customWidth="1"/>
    <col min="13830" max="13830" width="35.734375" style="64" customWidth="1"/>
    <col min="13831" max="13831" width="1.734375" style="64" customWidth="1"/>
    <col min="13832" max="13832" width="5.62890625" style="64" customWidth="1"/>
    <col min="13833" max="13833" width="35.734375" style="64" customWidth="1"/>
    <col min="13834" max="13834" width="3.1015625" style="64" customWidth="1"/>
    <col min="13835" max="13835" width="4.26171875" style="64" customWidth="1"/>
    <col min="13836" max="13836" width="35.734375" style="64" customWidth="1"/>
    <col min="13837" max="13837" width="2.89453125" style="64" customWidth="1"/>
    <col min="13838" max="13838" width="4.26171875" style="64" customWidth="1"/>
    <col min="13839" max="13839" width="35.734375" style="64" customWidth="1"/>
    <col min="13840" max="13840" width="3.26171875" style="64" customWidth="1"/>
    <col min="13841" max="14080" width="9.1015625" style="64"/>
    <col min="14081" max="14081" width="2.734375" style="64" customWidth="1"/>
    <col min="14082" max="14082" width="4.3671875" style="64" customWidth="1"/>
    <col min="14083" max="14083" width="35.734375" style="64" customWidth="1"/>
    <col min="14084" max="14084" width="2.3671875" style="64" customWidth="1"/>
    <col min="14085" max="14085" width="6.26171875" style="64" customWidth="1"/>
    <col min="14086" max="14086" width="35.734375" style="64" customWidth="1"/>
    <col min="14087" max="14087" width="1.734375" style="64" customWidth="1"/>
    <col min="14088" max="14088" width="5.62890625" style="64" customWidth="1"/>
    <col min="14089" max="14089" width="35.734375" style="64" customWidth="1"/>
    <col min="14090" max="14090" width="3.1015625" style="64" customWidth="1"/>
    <col min="14091" max="14091" width="4.26171875" style="64" customWidth="1"/>
    <col min="14092" max="14092" width="35.734375" style="64" customWidth="1"/>
    <col min="14093" max="14093" width="2.89453125" style="64" customWidth="1"/>
    <col min="14094" max="14094" width="4.26171875" style="64" customWidth="1"/>
    <col min="14095" max="14095" width="35.734375" style="64" customWidth="1"/>
    <col min="14096" max="14096" width="3.26171875" style="64" customWidth="1"/>
    <col min="14097" max="14336" width="9.1015625" style="64"/>
    <col min="14337" max="14337" width="2.734375" style="64" customWidth="1"/>
    <col min="14338" max="14338" width="4.3671875" style="64" customWidth="1"/>
    <col min="14339" max="14339" width="35.734375" style="64" customWidth="1"/>
    <col min="14340" max="14340" width="2.3671875" style="64" customWidth="1"/>
    <col min="14341" max="14341" width="6.26171875" style="64" customWidth="1"/>
    <col min="14342" max="14342" width="35.734375" style="64" customWidth="1"/>
    <col min="14343" max="14343" width="1.734375" style="64" customWidth="1"/>
    <col min="14344" max="14344" width="5.62890625" style="64" customWidth="1"/>
    <col min="14345" max="14345" width="35.734375" style="64" customWidth="1"/>
    <col min="14346" max="14346" width="3.1015625" style="64" customWidth="1"/>
    <col min="14347" max="14347" width="4.26171875" style="64" customWidth="1"/>
    <col min="14348" max="14348" width="35.734375" style="64" customWidth="1"/>
    <col min="14349" max="14349" width="2.89453125" style="64" customWidth="1"/>
    <col min="14350" max="14350" width="4.26171875" style="64" customWidth="1"/>
    <col min="14351" max="14351" width="35.734375" style="64" customWidth="1"/>
    <col min="14352" max="14352" width="3.26171875" style="64" customWidth="1"/>
    <col min="14353" max="14592" width="9.1015625" style="64"/>
    <col min="14593" max="14593" width="2.734375" style="64" customWidth="1"/>
    <col min="14594" max="14594" width="4.3671875" style="64" customWidth="1"/>
    <col min="14595" max="14595" width="35.734375" style="64" customWidth="1"/>
    <col min="14596" max="14596" width="2.3671875" style="64" customWidth="1"/>
    <col min="14597" max="14597" width="6.26171875" style="64" customWidth="1"/>
    <col min="14598" max="14598" width="35.734375" style="64" customWidth="1"/>
    <col min="14599" max="14599" width="1.734375" style="64" customWidth="1"/>
    <col min="14600" max="14600" width="5.62890625" style="64" customWidth="1"/>
    <col min="14601" max="14601" width="35.734375" style="64" customWidth="1"/>
    <col min="14602" max="14602" width="3.1015625" style="64" customWidth="1"/>
    <col min="14603" max="14603" width="4.26171875" style="64" customWidth="1"/>
    <col min="14604" max="14604" width="35.734375" style="64" customWidth="1"/>
    <col min="14605" max="14605" width="2.89453125" style="64" customWidth="1"/>
    <col min="14606" max="14606" width="4.26171875" style="64" customWidth="1"/>
    <col min="14607" max="14607" width="35.734375" style="64" customWidth="1"/>
    <col min="14608" max="14608" width="3.26171875" style="64" customWidth="1"/>
    <col min="14609" max="14848" width="9.1015625" style="64"/>
    <col min="14849" max="14849" width="2.734375" style="64" customWidth="1"/>
    <col min="14850" max="14850" width="4.3671875" style="64" customWidth="1"/>
    <col min="14851" max="14851" width="35.734375" style="64" customWidth="1"/>
    <col min="14852" max="14852" width="2.3671875" style="64" customWidth="1"/>
    <col min="14853" max="14853" width="6.26171875" style="64" customWidth="1"/>
    <col min="14854" max="14854" width="35.734375" style="64" customWidth="1"/>
    <col min="14855" max="14855" width="1.734375" style="64" customWidth="1"/>
    <col min="14856" max="14856" width="5.62890625" style="64" customWidth="1"/>
    <col min="14857" max="14857" width="35.734375" style="64" customWidth="1"/>
    <col min="14858" max="14858" width="3.1015625" style="64" customWidth="1"/>
    <col min="14859" max="14859" width="4.26171875" style="64" customWidth="1"/>
    <col min="14860" max="14860" width="35.734375" style="64" customWidth="1"/>
    <col min="14861" max="14861" width="2.89453125" style="64" customWidth="1"/>
    <col min="14862" max="14862" width="4.26171875" style="64" customWidth="1"/>
    <col min="14863" max="14863" width="35.734375" style="64" customWidth="1"/>
    <col min="14864" max="14864" width="3.26171875" style="64" customWidth="1"/>
    <col min="14865" max="15104" width="9.1015625" style="64"/>
    <col min="15105" max="15105" width="2.734375" style="64" customWidth="1"/>
    <col min="15106" max="15106" width="4.3671875" style="64" customWidth="1"/>
    <col min="15107" max="15107" width="35.734375" style="64" customWidth="1"/>
    <col min="15108" max="15108" width="2.3671875" style="64" customWidth="1"/>
    <col min="15109" max="15109" width="6.26171875" style="64" customWidth="1"/>
    <col min="15110" max="15110" width="35.734375" style="64" customWidth="1"/>
    <col min="15111" max="15111" width="1.734375" style="64" customWidth="1"/>
    <col min="15112" max="15112" width="5.62890625" style="64" customWidth="1"/>
    <col min="15113" max="15113" width="35.734375" style="64" customWidth="1"/>
    <col min="15114" max="15114" width="3.1015625" style="64" customWidth="1"/>
    <col min="15115" max="15115" width="4.26171875" style="64" customWidth="1"/>
    <col min="15116" max="15116" width="35.734375" style="64" customWidth="1"/>
    <col min="15117" max="15117" width="2.89453125" style="64" customWidth="1"/>
    <col min="15118" max="15118" width="4.26171875" style="64" customWidth="1"/>
    <col min="15119" max="15119" width="35.734375" style="64" customWidth="1"/>
    <col min="15120" max="15120" width="3.26171875" style="64" customWidth="1"/>
    <col min="15121" max="15360" width="9.1015625" style="64"/>
    <col min="15361" max="15361" width="2.734375" style="64" customWidth="1"/>
    <col min="15362" max="15362" width="4.3671875" style="64" customWidth="1"/>
    <col min="15363" max="15363" width="35.734375" style="64" customWidth="1"/>
    <col min="15364" max="15364" width="2.3671875" style="64" customWidth="1"/>
    <col min="15365" max="15365" width="6.26171875" style="64" customWidth="1"/>
    <col min="15366" max="15366" width="35.734375" style="64" customWidth="1"/>
    <col min="15367" max="15367" width="1.734375" style="64" customWidth="1"/>
    <col min="15368" max="15368" width="5.62890625" style="64" customWidth="1"/>
    <col min="15369" max="15369" width="35.734375" style="64" customWidth="1"/>
    <col min="15370" max="15370" width="3.1015625" style="64" customWidth="1"/>
    <col min="15371" max="15371" width="4.26171875" style="64" customWidth="1"/>
    <col min="15372" max="15372" width="35.734375" style="64" customWidth="1"/>
    <col min="15373" max="15373" width="2.89453125" style="64" customWidth="1"/>
    <col min="15374" max="15374" width="4.26171875" style="64" customWidth="1"/>
    <col min="15375" max="15375" width="35.734375" style="64" customWidth="1"/>
    <col min="15376" max="15376" width="3.26171875" style="64" customWidth="1"/>
    <col min="15377" max="15616" width="9.1015625" style="64"/>
    <col min="15617" max="15617" width="2.734375" style="64" customWidth="1"/>
    <col min="15618" max="15618" width="4.3671875" style="64" customWidth="1"/>
    <col min="15619" max="15619" width="35.734375" style="64" customWidth="1"/>
    <col min="15620" max="15620" width="2.3671875" style="64" customWidth="1"/>
    <col min="15621" max="15621" width="6.26171875" style="64" customWidth="1"/>
    <col min="15622" max="15622" width="35.734375" style="64" customWidth="1"/>
    <col min="15623" max="15623" width="1.734375" style="64" customWidth="1"/>
    <col min="15624" max="15624" width="5.62890625" style="64" customWidth="1"/>
    <col min="15625" max="15625" width="35.734375" style="64" customWidth="1"/>
    <col min="15626" max="15626" width="3.1015625" style="64" customWidth="1"/>
    <col min="15627" max="15627" width="4.26171875" style="64" customWidth="1"/>
    <col min="15628" max="15628" width="35.734375" style="64" customWidth="1"/>
    <col min="15629" max="15629" width="2.89453125" style="64" customWidth="1"/>
    <col min="15630" max="15630" width="4.26171875" style="64" customWidth="1"/>
    <col min="15631" max="15631" width="35.734375" style="64" customWidth="1"/>
    <col min="15632" max="15632" width="3.26171875" style="64" customWidth="1"/>
    <col min="15633" max="15872" width="9.1015625" style="64"/>
    <col min="15873" max="15873" width="2.734375" style="64" customWidth="1"/>
    <col min="15874" max="15874" width="4.3671875" style="64" customWidth="1"/>
    <col min="15875" max="15875" width="35.734375" style="64" customWidth="1"/>
    <col min="15876" max="15876" width="2.3671875" style="64" customWidth="1"/>
    <col min="15877" max="15877" width="6.26171875" style="64" customWidth="1"/>
    <col min="15878" max="15878" width="35.734375" style="64" customWidth="1"/>
    <col min="15879" max="15879" width="1.734375" style="64" customWidth="1"/>
    <col min="15880" max="15880" width="5.62890625" style="64" customWidth="1"/>
    <col min="15881" max="15881" width="35.734375" style="64" customWidth="1"/>
    <col min="15882" max="15882" width="3.1015625" style="64" customWidth="1"/>
    <col min="15883" max="15883" width="4.26171875" style="64" customWidth="1"/>
    <col min="15884" max="15884" width="35.734375" style="64" customWidth="1"/>
    <col min="15885" max="15885" width="2.89453125" style="64" customWidth="1"/>
    <col min="15886" max="15886" width="4.26171875" style="64" customWidth="1"/>
    <col min="15887" max="15887" width="35.734375" style="64" customWidth="1"/>
    <col min="15888" max="15888" width="3.26171875" style="64" customWidth="1"/>
    <col min="15889" max="16128" width="9.1015625" style="64"/>
    <col min="16129" max="16129" width="2.734375" style="64" customWidth="1"/>
    <col min="16130" max="16130" width="4.3671875" style="64" customWidth="1"/>
    <col min="16131" max="16131" width="35.734375" style="64" customWidth="1"/>
    <col min="16132" max="16132" width="2.3671875" style="64" customWidth="1"/>
    <col min="16133" max="16133" width="6.26171875" style="64" customWidth="1"/>
    <col min="16134" max="16134" width="35.734375" style="64" customWidth="1"/>
    <col min="16135" max="16135" width="1.734375" style="64" customWidth="1"/>
    <col min="16136" max="16136" width="5.62890625" style="64" customWidth="1"/>
    <col min="16137" max="16137" width="35.734375" style="64" customWidth="1"/>
    <col min="16138" max="16138" width="3.1015625" style="64" customWidth="1"/>
    <col min="16139" max="16139" width="4.26171875" style="64" customWidth="1"/>
    <col min="16140" max="16140" width="35.734375" style="64" customWidth="1"/>
    <col min="16141" max="16141" width="2.89453125" style="64" customWidth="1"/>
    <col min="16142" max="16142" width="4.26171875" style="64" customWidth="1"/>
    <col min="16143" max="16143" width="35.734375" style="64" customWidth="1"/>
    <col min="16144" max="16144" width="3.26171875" style="64" customWidth="1"/>
    <col min="16145" max="16384" width="9.1015625" style="64"/>
  </cols>
  <sheetData>
    <row r="1" spans="1:18" ht="5.25" customHeight="1" x14ac:dyDescent="0.55000000000000004"/>
    <row r="2" spans="1:18" ht="15" customHeight="1" x14ac:dyDescent="0.75">
      <c r="A2" s="65"/>
      <c r="B2" s="580" t="s">
        <v>106</v>
      </c>
      <c r="C2" s="581"/>
      <c r="D2" s="65"/>
      <c r="E2" s="580" t="s">
        <v>87</v>
      </c>
      <c r="F2" s="581"/>
      <c r="H2" s="580" t="s">
        <v>87</v>
      </c>
      <c r="I2" s="581"/>
      <c r="K2" s="580" t="s">
        <v>87</v>
      </c>
      <c r="L2" s="581"/>
      <c r="M2" s="67"/>
      <c r="N2" s="591" t="s">
        <v>104</v>
      </c>
      <c r="O2" s="592"/>
      <c r="R2" s="7" t="s">
        <v>20</v>
      </c>
    </row>
    <row r="3" spans="1:18" ht="15" customHeight="1" x14ac:dyDescent="0.55000000000000004">
      <c r="A3" s="65"/>
      <c r="B3" s="583"/>
      <c r="C3" s="584"/>
      <c r="D3" s="65"/>
      <c r="E3" s="68" t="s">
        <v>88</v>
      </c>
      <c r="F3" s="69"/>
      <c r="H3" s="68" t="s">
        <v>88</v>
      </c>
      <c r="I3" s="69"/>
      <c r="K3" s="70"/>
      <c r="L3" s="71"/>
      <c r="N3" s="589"/>
      <c r="O3" s="590"/>
    </row>
    <row r="4" spans="1:18" ht="15" customHeight="1" x14ac:dyDescent="0.55000000000000004">
      <c r="A4" s="65"/>
      <c r="B4" s="65"/>
      <c r="C4" s="65"/>
      <c r="D4" s="65"/>
      <c r="E4" s="72" t="s">
        <v>89</v>
      </c>
      <c r="F4" s="73"/>
      <c r="H4" s="72" t="s">
        <v>89</v>
      </c>
      <c r="I4" s="73"/>
      <c r="K4" s="74"/>
      <c r="L4" s="75"/>
      <c r="O4" s="67"/>
    </row>
    <row r="5" spans="1:18" ht="15" customHeight="1" x14ac:dyDescent="0.55000000000000004">
      <c r="A5" s="65"/>
      <c r="B5" s="580" t="s">
        <v>102</v>
      </c>
      <c r="C5" s="581"/>
      <c r="D5" s="65"/>
      <c r="E5" s="72" t="s">
        <v>90</v>
      </c>
      <c r="F5" s="73"/>
      <c r="H5" s="72" t="s">
        <v>90</v>
      </c>
      <c r="I5" s="73"/>
      <c r="K5" s="74"/>
      <c r="L5" s="75"/>
      <c r="N5" s="582" t="s">
        <v>91</v>
      </c>
      <c r="O5" s="582"/>
    </row>
    <row r="6" spans="1:18" ht="15" customHeight="1" x14ac:dyDescent="0.55000000000000004">
      <c r="A6" s="65"/>
      <c r="B6" s="583"/>
      <c r="C6" s="584"/>
      <c r="D6" s="65"/>
      <c r="E6" s="76" t="s">
        <v>92</v>
      </c>
      <c r="F6" s="77"/>
      <c r="H6" s="76" t="s">
        <v>92</v>
      </c>
      <c r="I6" s="77"/>
      <c r="K6" s="78"/>
      <c r="L6" s="79"/>
      <c r="N6" s="585"/>
      <c r="O6" s="585"/>
    </row>
    <row r="7" spans="1:18" x14ac:dyDescent="0.55000000000000004">
      <c r="A7" s="65"/>
      <c r="B7" s="65"/>
      <c r="C7" s="65"/>
      <c r="D7" s="65"/>
      <c r="E7" s="65"/>
      <c r="F7" s="65"/>
      <c r="K7" s="65"/>
      <c r="L7" s="65"/>
      <c r="N7" s="80"/>
    </row>
    <row r="8" spans="1:18" ht="19.5" customHeight="1" x14ac:dyDescent="0.55000000000000004">
      <c r="A8" s="67"/>
      <c r="B8" s="586" t="s">
        <v>93</v>
      </c>
      <c r="C8" s="587"/>
      <c r="D8" s="587"/>
      <c r="E8" s="587"/>
      <c r="F8" s="588"/>
      <c r="G8" s="81"/>
      <c r="H8" s="571" t="s">
        <v>108</v>
      </c>
      <c r="I8" s="572"/>
      <c r="J8" s="572"/>
      <c r="K8" s="572"/>
      <c r="L8" s="573"/>
      <c r="M8" s="67"/>
      <c r="N8" s="574" t="s">
        <v>100</v>
      </c>
      <c r="O8" s="576"/>
    </row>
    <row r="9" spans="1:18" ht="15" customHeight="1" x14ac:dyDescent="0.55000000000000004">
      <c r="A9" s="65"/>
      <c r="B9" s="82" t="s">
        <v>94</v>
      </c>
      <c r="C9" s="110"/>
      <c r="D9" s="110"/>
      <c r="E9" s="110"/>
      <c r="F9" s="111"/>
      <c r="G9" s="67"/>
      <c r="H9" s="127"/>
      <c r="I9" s="128"/>
      <c r="J9" s="128"/>
      <c r="K9" s="128"/>
      <c r="L9" s="129"/>
      <c r="M9" s="83"/>
      <c r="N9" s="84"/>
      <c r="O9" s="85"/>
    </row>
    <row r="10" spans="1:18" ht="15" customHeight="1" x14ac:dyDescent="0.55000000000000004">
      <c r="A10" s="65"/>
      <c r="B10" s="88"/>
      <c r="C10" s="113"/>
      <c r="D10" s="113"/>
      <c r="E10" s="113"/>
      <c r="F10" s="114"/>
      <c r="G10" s="81"/>
      <c r="H10" s="112"/>
      <c r="I10" s="118"/>
      <c r="J10" s="118"/>
      <c r="K10" s="118"/>
      <c r="L10" s="119"/>
      <c r="N10" s="86"/>
      <c r="O10" s="87"/>
    </row>
    <row r="11" spans="1:18" ht="15" customHeight="1" x14ac:dyDescent="0.55000000000000004">
      <c r="A11" s="65"/>
      <c r="B11" s="88"/>
      <c r="C11" s="113"/>
      <c r="D11" s="113"/>
      <c r="E11" s="113"/>
      <c r="F11" s="114"/>
      <c r="G11" s="81"/>
      <c r="H11" s="112"/>
      <c r="I11" s="118"/>
      <c r="J11" s="118"/>
      <c r="K11" s="118"/>
      <c r="L11" s="119"/>
      <c r="N11" s="86"/>
      <c r="O11" s="87"/>
    </row>
    <row r="12" spans="1:18" ht="15" customHeight="1" x14ac:dyDescent="0.55000000000000004">
      <c r="A12" s="65"/>
      <c r="B12" s="88"/>
      <c r="C12" s="113"/>
      <c r="D12" s="113"/>
      <c r="E12" s="113"/>
      <c r="F12" s="114"/>
      <c r="G12" s="81"/>
      <c r="H12" s="112"/>
      <c r="I12" s="118"/>
      <c r="J12" s="118"/>
      <c r="K12" s="118"/>
      <c r="L12" s="119"/>
      <c r="N12" s="86"/>
      <c r="O12" s="87"/>
    </row>
    <row r="13" spans="1:18" ht="15" customHeight="1" x14ac:dyDescent="0.55000000000000004">
      <c r="A13" s="65"/>
      <c r="B13" s="88" t="s">
        <v>107</v>
      </c>
      <c r="C13" s="113"/>
      <c r="D13" s="113"/>
      <c r="E13" s="113"/>
      <c r="F13" s="114"/>
      <c r="G13" s="81"/>
      <c r="H13" s="112"/>
      <c r="I13" s="118"/>
      <c r="J13" s="118"/>
      <c r="K13" s="118"/>
      <c r="L13" s="119"/>
      <c r="N13" s="86"/>
      <c r="O13" s="87"/>
    </row>
    <row r="14" spans="1:18" ht="15" customHeight="1" x14ac:dyDescent="0.55000000000000004">
      <c r="A14" s="65"/>
      <c r="B14" s="88"/>
      <c r="C14" s="113"/>
      <c r="D14" s="113"/>
      <c r="E14" s="113"/>
      <c r="F14" s="114"/>
      <c r="G14" s="81"/>
      <c r="H14" s="112"/>
      <c r="I14" s="118"/>
      <c r="J14" s="118"/>
      <c r="K14" s="118"/>
      <c r="L14" s="119"/>
      <c r="N14" s="86"/>
      <c r="O14" s="87"/>
    </row>
    <row r="15" spans="1:18" ht="15" customHeight="1" x14ac:dyDescent="0.55000000000000004">
      <c r="A15" s="65"/>
      <c r="B15" s="88"/>
      <c r="C15" s="113"/>
      <c r="D15" s="113"/>
      <c r="E15" s="113"/>
      <c r="F15" s="114"/>
      <c r="G15" s="81"/>
      <c r="H15" s="112"/>
      <c r="I15" s="118"/>
      <c r="J15" s="118"/>
      <c r="K15" s="118"/>
      <c r="L15" s="119"/>
      <c r="N15" s="86"/>
      <c r="O15" s="87"/>
    </row>
    <row r="16" spans="1:18" ht="15" customHeight="1" x14ac:dyDescent="0.55000000000000004">
      <c r="A16" s="65"/>
      <c r="B16" s="88"/>
      <c r="C16" s="113"/>
      <c r="D16" s="113"/>
      <c r="E16" s="113"/>
      <c r="F16" s="114"/>
      <c r="G16" s="81"/>
      <c r="H16" s="112"/>
      <c r="I16" s="118"/>
      <c r="J16" s="118"/>
      <c r="K16" s="118"/>
      <c r="L16" s="119"/>
      <c r="N16" s="86"/>
      <c r="O16" s="87"/>
    </row>
    <row r="17" spans="1:15" ht="15" customHeight="1" x14ac:dyDescent="0.55000000000000004">
      <c r="A17" s="65"/>
      <c r="B17" s="88" t="s">
        <v>103</v>
      </c>
      <c r="C17" s="113"/>
      <c r="D17" s="113"/>
      <c r="E17" s="113"/>
      <c r="F17" s="114"/>
      <c r="G17" s="81"/>
      <c r="H17" s="112"/>
      <c r="I17" s="118"/>
      <c r="J17" s="118"/>
      <c r="K17" s="118"/>
      <c r="L17" s="119"/>
      <c r="N17" s="86"/>
      <c r="O17" s="87"/>
    </row>
    <row r="18" spans="1:15" ht="15" customHeight="1" x14ac:dyDescent="0.55000000000000004">
      <c r="A18" s="65"/>
      <c r="B18" s="88"/>
      <c r="C18" s="113"/>
      <c r="D18" s="113"/>
      <c r="E18" s="113"/>
      <c r="F18" s="114"/>
      <c r="G18" s="81"/>
      <c r="H18" s="112"/>
      <c r="I18" s="118"/>
      <c r="J18" s="118"/>
      <c r="K18" s="118"/>
      <c r="L18" s="119"/>
      <c r="N18" s="86"/>
      <c r="O18" s="87"/>
    </row>
    <row r="19" spans="1:15" ht="15" customHeight="1" x14ac:dyDescent="0.55000000000000004">
      <c r="A19" s="65"/>
      <c r="B19" s="88"/>
      <c r="C19" s="113"/>
      <c r="D19" s="113"/>
      <c r="E19" s="113"/>
      <c r="F19" s="114"/>
      <c r="G19" s="81"/>
      <c r="H19" s="112"/>
      <c r="I19" s="118"/>
      <c r="J19" s="118"/>
      <c r="K19" s="118"/>
      <c r="L19" s="119"/>
      <c r="N19" s="86"/>
      <c r="O19" s="87"/>
    </row>
    <row r="20" spans="1:15" ht="15" customHeight="1" x14ac:dyDescent="0.55000000000000004">
      <c r="A20" s="65"/>
      <c r="B20" s="88"/>
      <c r="C20" s="113"/>
      <c r="D20" s="113"/>
      <c r="E20" s="113"/>
      <c r="F20" s="114"/>
      <c r="G20" s="81"/>
      <c r="H20" s="112"/>
      <c r="I20" s="118"/>
      <c r="J20" s="118"/>
      <c r="K20" s="118"/>
      <c r="L20" s="119"/>
      <c r="N20" s="86"/>
      <c r="O20" s="87"/>
    </row>
    <row r="21" spans="1:15" ht="15" customHeight="1" x14ac:dyDescent="0.55000000000000004">
      <c r="A21" s="65"/>
      <c r="B21" s="115"/>
      <c r="C21" s="116"/>
      <c r="D21" s="116"/>
      <c r="E21" s="116"/>
      <c r="F21" s="117"/>
      <c r="G21" s="81"/>
      <c r="H21" s="112"/>
      <c r="I21" s="118"/>
      <c r="J21" s="118"/>
      <c r="K21" s="118"/>
      <c r="L21" s="119"/>
      <c r="N21" s="86"/>
      <c r="O21" s="87"/>
    </row>
    <row r="22" spans="1:15" ht="18" customHeight="1" x14ac:dyDescent="0.55000000000000004">
      <c r="A22" s="65"/>
      <c r="B22" s="574" t="s">
        <v>95</v>
      </c>
      <c r="C22" s="575"/>
      <c r="D22" s="575"/>
      <c r="E22" s="575"/>
      <c r="F22" s="576"/>
      <c r="G22" s="81"/>
      <c r="H22" s="112"/>
      <c r="I22" s="118"/>
      <c r="J22" s="118"/>
      <c r="K22" s="118"/>
      <c r="L22" s="119"/>
      <c r="N22" s="86"/>
      <c r="O22" s="87"/>
    </row>
    <row r="23" spans="1:15" ht="18" customHeight="1" x14ac:dyDescent="0.55000000000000004">
      <c r="A23" s="65"/>
      <c r="B23" s="112"/>
      <c r="C23" s="118"/>
      <c r="D23" s="118"/>
      <c r="E23" s="118"/>
      <c r="F23" s="119"/>
      <c r="G23" s="81"/>
      <c r="H23" s="112"/>
      <c r="I23" s="118"/>
      <c r="J23" s="118"/>
      <c r="K23" s="118"/>
      <c r="L23" s="119"/>
      <c r="N23" s="86"/>
      <c r="O23" s="87"/>
    </row>
    <row r="24" spans="1:15" ht="18" customHeight="1" x14ac:dyDescent="0.55000000000000004">
      <c r="A24" s="65"/>
      <c r="B24" s="123" t="s">
        <v>96</v>
      </c>
      <c r="C24" s="118"/>
      <c r="D24" s="118"/>
      <c r="E24" s="118"/>
      <c r="F24" s="119"/>
      <c r="G24" s="81"/>
      <c r="H24" s="112"/>
      <c r="I24" s="118"/>
      <c r="J24" s="118"/>
      <c r="K24" s="118"/>
      <c r="L24" s="119"/>
      <c r="N24" s="86"/>
      <c r="O24" s="87"/>
    </row>
    <row r="25" spans="1:15" ht="18" customHeight="1" x14ac:dyDescent="0.55000000000000004">
      <c r="A25" s="65"/>
      <c r="B25" s="112"/>
      <c r="C25" s="118"/>
      <c r="D25" s="118"/>
      <c r="E25" s="118"/>
      <c r="F25" s="119"/>
      <c r="G25" s="81"/>
      <c r="H25" s="112"/>
      <c r="I25" s="118"/>
      <c r="J25" s="118"/>
      <c r="K25" s="118"/>
      <c r="L25" s="119"/>
      <c r="N25" s="90"/>
      <c r="O25" s="91"/>
    </row>
    <row r="26" spans="1:15" ht="18" customHeight="1" x14ac:dyDescent="0.55000000000000004">
      <c r="A26" s="65"/>
      <c r="B26" s="112"/>
      <c r="C26" s="118"/>
      <c r="D26" s="118"/>
      <c r="E26" s="118"/>
      <c r="F26" s="119"/>
      <c r="G26" s="81"/>
      <c r="H26" s="112"/>
      <c r="I26" s="118"/>
      <c r="J26" s="118"/>
      <c r="K26" s="118"/>
      <c r="L26" s="119"/>
      <c r="N26" s="90"/>
      <c r="O26" s="91"/>
    </row>
    <row r="27" spans="1:15" ht="18" customHeight="1" x14ac:dyDescent="0.55000000000000004">
      <c r="A27" s="65"/>
      <c r="B27" s="568" t="s">
        <v>97</v>
      </c>
      <c r="C27" s="569"/>
      <c r="D27" s="569"/>
      <c r="E27" s="569"/>
      <c r="F27" s="570"/>
      <c r="G27" s="81"/>
      <c r="H27" s="112"/>
      <c r="I27" s="118"/>
      <c r="J27" s="118"/>
      <c r="K27" s="118"/>
      <c r="L27" s="119"/>
      <c r="N27" s="574" t="s">
        <v>101</v>
      </c>
      <c r="O27" s="576"/>
    </row>
    <row r="28" spans="1:15" ht="18" customHeight="1" x14ac:dyDescent="0.55000000000000004">
      <c r="A28" s="65"/>
      <c r="B28" s="124"/>
      <c r="C28" s="125"/>
      <c r="D28" s="125"/>
      <c r="E28" s="125"/>
      <c r="F28" s="126"/>
      <c r="G28" s="81"/>
      <c r="H28" s="112"/>
      <c r="I28" s="118"/>
      <c r="J28" s="118"/>
      <c r="K28" s="118"/>
      <c r="L28" s="119"/>
      <c r="N28" s="92"/>
      <c r="O28" s="93"/>
    </row>
    <row r="29" spans="1:15" ht="18" customHeight="1" x14ac:dyDescent="0.55000000000000004">
      <c r="A29" s="65"/>
      <c r="B29" s="123"/>
      <c r="C29" s="118"/>
      <c r="D29" s="118"/>
      <c r="E29" s="118"/>
      <c r="F29" s="119"/>
      <c r="G29" s="81"/>
      <c r="H29" s="112"/>
      <c r="I29" s="118"/>
      <c r="J29" s="118"/>
      <c r="K29" s="118"/>
      <c r="L29" s="119"/>
      <c r="N29" s="86"/>
      <c r="O29" s="94"/>
    </row>
    <row r="30" spans="1:15" ht="18" customHeight="1" x14ac:dyDescent="0.55000000000000004">
      <c r="A30" s="65"/>
      <c r="B30" s="112"/>
      <c r="C30" s="118"/>
      <c r="D30" s="118"/>
      <c r="E30" s="118"/>
      <c r="F30" s="119"/>
      <c r="G30" s="81"/>
      <c r="H30" s="112"/>
      <c r="I30" s="118"/>
      <c r="J30" s="118"/>
      <c r="K30" s="118"/>
      <c r="L30" s="119"/>
      <c r="N30" s="86"/>
      <c r="O30" s="94"/>
    </row>
    <row r="31" spans="1:15" ht="18" customHeight="1" x14ac:dyDescent="0.55000000000000004">
      <c r="A31" s="65"/>
      <c r="B31" s="112"/>
      <c r="C31" s="118"/>
      <c r="D31" s="118"/>
      <c r="E31" s="118"/>
      <c r="F31" s="119"/>
      <c r="G31" s="81"/>
      <c r="H31" s="112"/>
      <c r="I31" s="118"/>
      <c r="J31" s="118"/>
      <c r="K31" s="118"/>
      <c r="L31" s="119"/>
      <c r="N31" s="86"/>
      <c r="O31" s="94"/>
    </row>
    <row r="32" spans="1:15" ht="18" customHeight="1" x14ac:dyDescent="0.55000000000000004">
      <c r="A32" s="65"/>
      <c r="B32" s="112"/>
      <c r="C32" s="118"/>
      <c r="D32" s="118"/>
      <c r="E32" s="118"/>
      <c r="F32" s="119"/>
      <c r="G32" s="81"/>
      <c r="H32" s="120"/>
      <c r="I32" s="121"/>
      <c r="J32" s="121"/>
      <c r="K32" s="121"/>
      <c r="L32" s="122"/>
      <c r="N32" s="89"/>
      <c r="O32" s="107"/>
    </row>
    <row r="33" spans="1:15" ht="18" customHeight="1" x14ac:dyDescent="0.55000000000000004">
      <c r="A33" s="65"/>
      <c r="B33" s="112"/>
      <c r="C33" s="118"/>
      <c r="D33" s="118"/>
      <c r="E33" s="118"/>
      <c r="F33" s="119"/>
      <c r="G33" s="81"/>
      <c r="H33" s="577" t="s">
        <v>98</v>
      </c>
      <c r="I33" s="578"/>
      <c r="J33" s="578"/>
      <c r="K33" s="578"/>
      <c r="L33" s="579"/>
      <c r="N33" s="89"/>
      <c r="O33" s="107"/>
    </row>
    <row r="34" spans="1:15" ht="18" customHeight="1" x14ac:dyDescent="0.4">
      <c r="A34" s="65"/>
      <c r="B34" s="112"/>
      <c r="C34" s="118"/>
      <c r="D34" s="118"/>
      <c r="E34" s="118"/>
      <c r="F34" s="119"/>
      <c r="G34" s="81"/>
      <c r="H34" s="130"/>
      <c r="I34" s="95"/>
      <c r="J34" s="95"/>
      <c r="K34" s="95"/>
      <c r="L34" s="96"/>
      <c r="N34" s="97"/>
      <c r="O34" s="98"/>
    </row>
    <row r="35" spans="1:15" ht="18" customHeight="1" x14ac:dyDescent="0.55000000000000004">
      <c r="A35" s="65"/>
      <c r="B35" s="112"/>
      <c r="C35" s="118"/>
      <c r="D35" s="118"/>
      <c r="E35" s="118"/>
      <c r="F35" s="119"/>
      <c r="G35" s="81"/>
      <c r="H35" s="131"/>
      <c r="I35" s="99"/>
      <c r="J35" s="100"/>
      <c r="K35" s="101"/>
      <c r="L35" s="102"/>
      <c r="N35" s="103"/>
      <c r="O35" s="107"/>
    </row>
    <row r="36" spans="1:15" ht="18" customHeight="1" x14ac:dyDescent="0.55000000000000004">
      <c r="A36" s="65"/>
      <c r="B36" s="112"/>
      <c r="C36" s="118"/>
      <c r="D36" s="118"/>
      <c r="E36" s="118"/>
      <c r="F36" s="119"/>
      <c r="G36" s="81"/>
      <c r="H36" s="131"/>
      <c r="I36" s="104"/>
      <c r="J36" s="100"/>
      <c r="K36" s="105"/>
      <c r="L36" s="102"/>
      <c r="N36" s="86"/>
      <c r="O36" s="107"/>
    </row>
    <row r="37" spans="1:15" ht="18" customHeight="1" x14ac:dyDescent="0.55000000000000004">
      <c r="A37" s="65"/>
      <c r="B37" s="112"/>
      <c r="C37" s="118"/>
      <c r="D37" s="118"/>
      <c r="E37" s="118"/>
      <c r="F37" s="119"/>
      <c r="G37" s="81"/>
      <c r="H37" s="132"/>
      <c r="I37" s="100"/>
      <c r="J37" s="100"/>
      <c r="K37" s="105"/>
      <c r="L37" s="102"/>
      <c r="N37" s="86"/>
      <c r="O37" s="107"/>
    </row>
    <row r="38" spans="1:15" ht="18" customHeight="1" x14ac:dyDescent="0.55000000000000004">
      <c r="A38" s="65"/>
      <c r="B38" s="112"/>
      <c r="C38" s="118"/>
      <c r="D38" s="118"/>
      <c r="E38" s="118"/>
      <c r="F38" s="119"/>
      <c r="G38" s="81"/>
      <c r="H38" s="131"/>
      <c r="I38" s="104"/>
      <c r="J38" s="100"/>
      <c r="K38" s="105"/>
      <c r="L38" s="102"/>
      <c r="N38" s="106"/>
      <c r="O38" s="107"/>
    </row>
    <row r="39" spans="1:15" ht="18" customHeight="1" x14ac:dyDescent="0.55000000000000004">
      <c r="A39" s="65"/>
      <c r="B39" s="112"/>
      <c r="C39" s="118"/>
      <c r="D39" s="118"/>
      <c r="E39" s="118"/>
      <c r="F39" s="119"/>
      <c r="G39" s="81"/>
      <c r="H39" s="132"/>
      <c r="I39" s="100"/>
      <c r="J39" s="100"/>
      <c r="K39" s="105"/>
      <c r="L39" s="102"/>
      <c r="N39" s="86"/>
      <c r="O39" s="107"/>
    </row>
    <row r="40" spans="1:15" ht="18" customHeight="1" x14ac:dyDescent="0.55000000000000004">
      <c r="A40" s="65"/>
      <c r="B40" s="112"/>
      <c r="C40" s="118"/>
      <c r="D40" s="118"/>
      <c r="E40" s="118"/>
      <c r="F40" s="119"/>
      <c r="G40" s="81"/>
      <c r="H40" s="133"/>
      <c r="I40" s="100"/>
      <c r="J40" s="100"/>
      <c r="K40" s="100"/>
      <c r="L40" s="102"/>
      <c r="N40" s="86"/>
      <c r="O40" s="107"/>
    </row>
    <row r="41" spans="1:15" ht="18" customHeight="1" x14ac:dyDescent="0.55000000000000004">
      <c r="A41" s="65"/>
      <c r="B41" s="112"/>
      <c r="C41" s="118"/>
      <c r="D41" s="118"/>
      <c r="E41" s="118"/>
      <c r="F41" s="119"/>
      <c r="G41" s="81"/>
      <c r="H41" s="133"/>
      <c r="I41" s="100"/>
      <c r="J41" s="100"/>
      <c r="K41" s="100"/>
      <c r="L41" s="102"/>
      <c r="N41" s="86"/>
      <c r="O41" s="107"/>
    </row>
    <row r="42" spans="1:15" ht="18" customHeight="1" x14ac:dyDescent="0.55000000000000004">
      <c r="A42" s="65"/>
      <c r="B42" s="112"/>
      <c r="C42" s="118"/>
      <c r="D42" s="118"/>
      <c r="E42" s="118"/>
      <c r="F42" s="119"/>
      <c r="G42" s="81"/>
      <c r="H42" s="571" t="s">
        <v>99</v>
      </c>
      <c r="I42" s="572"/>
      <c r="J42" s="572"/>
      <c r="K42" s="572"/>
      <c r="L42" s="573"/>
      <c r="N42" s="106"/>
      <c r="O42" s="107"/>
    </row>
    <row r="43" spans="1:15" ht="10.5" customHeight="1" x14ac:dyDescent="0.55000000000000004">
      <c r="A43" s="65"/>
      <c r="B43" s="112"/>
      <c r="C43" s="118"/>
      <c r="D43" s="118"/>
      <c r="E43" s="118"/>
      <c r="F43" s="119"/>
      <c r="G43" s="81"/>
      <c r="H43" s="84"/>
      <c r="I43" s="108"/>
      <c r="J43" s="108"/>
      <c r="K43" s="108"/>
      <c r="L43" s="85"/>
      <c r="N43" s="86"/>
      <c r="O43" s="107"/>
    </row>
    <row r="44" spans="1:15" ht="15" customHeight="1" x14ac:dyDescent="0.55000000000000004">
      <c r="B44" s="112"/>
      <c r="C44" s="118"/>
      <c r="D44" s="118"/>
      <c r="E44" s="118"/>
      <c r="F44" s="119"/>
      <c r="G44" s="81"/>
      <c r="H44" s="86"/>
      <c r="I44" s="66"/>
      <c r="J44" s="66"/>
      <c r="K44" s="66"/>
      <c r="L44" s="87"/>
      <c r="N44" s="86"/>
      <c r="O44" s="107"/>
    </row>
    <row r="45" spans="1:15" ht="15" customHeight="1" x14ac:dyDescent="0.55000000000000004">
      <c r="B45" s="112"/>
      <c r="C45" s="118"/>
      <c r="D45" s="118"/>
      <c r="E45" s="118"/>
      <c r="F45" s="119"/>
      <c r="G45" s="81"/>
      <c r="H45" s="86"/>
      <c r="I45" s="66"/>
      <c r="J45" s="66"/>
      <c r="K45" s="66"/>
      <c r="L45" s="87"/>
      <c r="N45" s="86"/>
      <c r="O45" s="87"/>
    </row>
    <row r="46" spans="1:15" ht="15" customHeight="1" x14ac:dyDescent="0.55000000000000004">
      <c r="B46" s="112"/>
      <c r="C46" s="118"/>
      <c r="D46" s="118"/>
      <c r="E46" s="118"/>
      <c r="F46" s="119"/>
      <c r="G46" s="81"/>
      <c r="H46" s="86"/>
      <c r="I46" s="66"/>
      <c r="J46" s="66"/>
      <c r="K46" s="66"/>
      <c r="L46" s="87"/>
      <c r="N46" s="86"/>
      <c r="O46" s="87"/>
    </row>
    <row r="47" spans="1:15" ht="15" customHeight="1" x14ac:dyDescent="0.55000000000000004">
      <c r="B47" s="112"/>
      <c r="C47" s="118"/>
      <c r="D47" s="118"/>
      <c r="E47" s="118"/>
      <c r="F47" s="119"/>
      <c r="G47" s="81"/>
      <c r="H47" s="86"/>
      <c r="I47" s="66"/>
      <c r="J47" s="66"/>
      <c r="K47" s="66"/>
      <c r="L47" s="87"/>
      <c r="N47" s="86"/>
      <c r="O47" s="87"/>
    </row>
    <row r="48" spans="1:15" ht="15" customHeight="1" x14ac:dyDescent="0.55000000000000004">
      <c r="B48" s="120"/>
      <c r="C48" s="121"/>
      <c r="D48" s="121"/>
      <c r="E48" s="121"/>
      <c r="F48" s="122"/>
      <c r="G48" s="81"/>
      <c r="H48" s="90"/>
      <c r="I48" s="109"/>
      <c r="J48" s="109"/>
      <c r="K48" s="109"/>
      <c r="L48" s="91"/>
      <c r="N48" s="90"/>
      <c r="O48" s="91"/>
    </row>
    <row r="49" ht="15" customHeight="1" x14ac:dyDescent="0.55000000000000004"/>
    <row r="50" ht="15" customHeight="1" x14ac:dyDescent="0.55000000000000004"/>
    <row r="51" ht="15" customHeight="1" x14ac:dyDescent="0.55000000000000004"/>
    <row r="52" ht="15" customHeight="1" x14ac:dyDescent="0.55000000000000004"/>
    <row r="53" ht="15" customHeight="1" x14ac:dyDescent="0.55000000000000004"/>
    <row r="54" ht="15" customHeight="1" x14ac:dyDescent="0.55000000000000004"/>
    <row r="55" ht="15" customHeight="1" x14ac:dyDescent="0.55000000000000004"/>
    <row r="56" ht="15" customHeight="1" x14ac:dyDescent="0.55000000000000004"/>
    <row r="57" ht="15" customHeight="1" x14ac:dyDescent="0.55000000000000004"/>
    <row r="58" ht="15" customHeight="1" x14ac:dyDescent="0.55000000000000004"/>
    <row r="59" ht="15" customHeight="1" x14ac:dyDescent="0.55000000000000004"/>
    <row r="60" ht="15" customHeight="1" x14ac:dyDescent="0.55000000000000004"/>
    <row r="61" ht="15" customHeight="1" x14ac:dyDescent="0.55000000000000004"/>
    <row r="62" ht="15" customHeight="1" x14ac:dyDescent="0.55000000000000004"/>
    <row r="63" ht="15" customHeight="1" x14ac:dyDescent="0.55000000000000004"/>
    <row r="64" ht="15" customHeight="1" x14ac:dyDescent="0.55000000000000004"/>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row r="70" ht="15" customHeight="1" x14ac:dyDescent="0.55000000000000004"/>
    <row r="71" ht="15" customHeight="1" x14ac:dyDescent="0.55000000000000004"/>
    <row r="72" ht="15" customHeight="1" x14ac:dyDescent="0.55000000000000004"/>
    <row r="73" ht="15" customHeight="1" x14ac:dyDescent="0.55000000000000004"/>
    <row r="74" ht="15" customHeight="1" x14ac:dyDescent="0.55000000000000004"/>
    <row r="75" ht="15" customHeight="1" x14ac:dyDescent="0.55000000000000004"/>
    <row r="76" ht="15" customHeight="1" x14ac:dyDescent="0.55000000000000004"/>
    <row r="77" ht="15" customHeight="1" x14ac:dyDescent="0.55000000000000004"/>
    <row r="78" ht="15" customHeight="1" x14ac:dyDescent="0.55000000000000004"/>
    <row r="79" ht="15" customHeight="1" x14ac:dyDescent="0.55000000000000004"/>
    <row r="80"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sheetData>
  <mergeCells count="19">
    <mergeCell ref="B3:C3"/>
    <mergeCell ref="N3:O3"/>
    <mergeCell ref="B2:C2"/>
    <mergeCell ref="E2:F2"/>
    <mergeCell ref="H2:I2"/>
    <mergeCell ref="K2:L2"/>
    <mergeCell ref="N2:O2"/>
    <mergeCell ref="B5:C5"/>
    <mergeCell ref="N5:O5"/>
    <mergeCell ref="B6:C6"/>
    <mergeCell ref="N6:O6"/>
    <mergeCell ref="B8:F8"/>
    <mergeCell ref="H8:L8"/>
    <mergeCell ref="N8:O8"/>
    <mergeCell ref="B27:F27"/>
    <mergeCell ref="H42:L42"/>
    <mergeCell ref="B22:F22"/>
    <mergeCell ref="N27:O27"/>
    <mergeCell ref="H33:L33"/>
  </mergeCells>
  <hyperlinks>
    <hyperlink ref="R2" location="Menu!A1" display="Return to menu" xr:uid="{00000000-0004-0000-0100-000000000000}"/>
  </hyperlinks>
  <pageMargins left="0.70866141732283472" right="0.70866141732283472" top="0.74803149606299213" bottom="0.74803149606299213" header="0.31496062992125984" footer="0.31496062992125984"/>
  <pageSetup scale="56" fitToHeight="0" orientation="landscape" horizontalDpi="4294967295"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A61"/>
  <sheetViews>
    <sheetView zoomScale="55" zoomScaleNormal="55" workbookViewId="0">
      <selection activeCell="AA1" sqref="AA1"/>
    </sheetView>
  </sheetViews>
  <sheetFormatPr defaultRowHeight="14.4" x14ac:dyDescent="0.55000000000000004"/>
  <cols>
    <col min="1" max="1" width="12.734375" bestFit="1" customWidth="1"/>
    <col min="27" max="27" width="21.62890625" bestFit="1" customWidth="1"/>
  </cols>
  <sheetData>
    <row r="1" spans="1:27" ht="20.399999999999999" x14ac:dyDescent="0.75">
      <c r="B1" s="140" t="s">
        <v>113</v>
      </c>
      <c r="AA1" s="7" t="s">
        <v>20</v>
      </c>
    </row>
    <row r="3" spans="1:27" x14ac:dyDescent="0.55000000000000004">
      <c r="B3" s="11" t="s">
        <v>114</v>
      </c>
      <c r="C3" s="11" t="s">
        <v>115</v>
      </c>
      <c r="D3" s="11" t="s">
        <v>116</v>
      </c>
      <c r="E3" s="11" t="s">
        <v>117</v>
      </c>
      <c r="F3" s="11" t="s">
        <v>118</v>
      </c>
      <c r="G3" s="11" t="s">
        <v>119</v>
      </c>
      <c r="H3" s="11" t="s">
        <v>120</v>
      </c>
      <c r="I3" s="11" t="s">
        <v>121</v>
      </c>
      <c r="J3" s="11" t="s">
        <v>122</v>
      </c>
      <c r="K3" s="11" t="s">
        <v>123</v>
      </c>
    </row>
    <row r="4" spans="1:27" x14ac:dyDescent="0.55000000000000004">
      <c r="A4" s="11" t="s">
        <v>23</v>
      </c>
      <c r="B4" s="10">
        <f t="shared" ref="B4:K4" si="0">_xlfn.QUARTILE.EXC(B12:B61,3)</f>
        <v>101.08293531117174</v>
      </c>
      <c r="C4" s="10">
        <f t="shared" si="0"/>
        <v>82.036289668799355</v>
      </c>
      <c r="D4" s="10">
        <f t="shared" si="0"/>
        <v>96.082935311171738</v>
      </c>
      <c r="E4" s="10">
        <f t="shared" si="0"/>
        <v>77.036289668799355</v>
      </c>
      <c r="F4" s="10">
        <f t="shared" si="0"/>
        <v>91.082935311171738</v>
      </c>
      <c r="G4" s="10">
        <f t="shared" si="0"/>
        <v>72.036289668799355</v>
      </c>
      <c r="H4" s="10">
        <f t="shared" si="0"/>
        <v>86.082935311171738</v>
      </c>
      <c r="I4" s="10">
        <f t="shared" si="0"/>
        <v>67.036289668799355</v>
      </c>
      <c r="J4" s="10">
        <f t="shared" si="0"/>
        <v>81.082935311171738</v>
      </c>
      <c r="K4" s="10">
        <f t="shared" si="0"/>
        <v>62.036289668799355</v>
      </c>
    </row>
    <row r="5" spans="1:27" x14ac:dyDescent="0.55000000000000004">
      <c r="A5" s="12">
        <v>0.9</v>
      </c>
      <c r="B5" s="10">
        <f t="shared" ref="B5:K5" si="1">_xlfn.PERCENTILE.EXC(B12:B61,0.9)</f>
        <v>104.83739113502499</v>
      </c>
      <c r="C5" s="10">
        <f t="shared" si="1"/>
        <v>93.2761467123252</v>
      </c>
      <c r="D5" s="10">
        <f t="shared" si="1"/>
        <v>99.837391135024987</v>
      </c>
      <c r="E5" s="10">
        <f t="shared" si="1"/>
        <v>88.2761467123252</v>
      </c>
      <c r="F5" s="10">
        <f t="shared" si="1"/>
        <v>94.837391135024987</v>
      </c>
      <c r="G5" s="10">
        <f t="shared" si="1"/>
        <v>83.2761467123252</v>
      </c>
      <c r="H5" s="10">
        <f t="shared" si="1"/>
        <v>89.837391135024987</v>
      </c>
      <c r="I5" s="10">
        <f t="shared" si="1"/>
        <v>78.2761467123252</v>
      </c>
      <c r="J5" s="10">
        <f t="shared" si="1"/>
        <v>84.837391135024987</v>
      </c>
      <c r="K5" s="10">
        <f t="shared" si="1"/>
        <v>73.2761467123252</v>
      </c>
    </row>
    <row r="6" spans="1:27" x14ac:dyDescent="0.55000000000000004">
      <c r="A6" s="12">
        <v>0.1</v>
      </c>
      <c r="B6" s="10">
        <f t="shared" ref="B6:K6" si="2">_xlfn.PERCENTILE.EXC(B12:B61,0.1)</f>
        <v>82.795772533609664</v>
      </c>
      <c r="C6" s="10">
        <f t="shared" si="2"/>
        <v>60.177433270667606</v>
      </c>
      <c r="D6" s="10">
        <f t="shared" si="2"/>
        <v>77.795772533609664</v>
      </c>
      <c r="E6" s="10">
        <f t="shared" si="2"/>
        <v>55.177433270667606</v>
      </c>
      <c r="F6" s="10">
        <f t="shared" si="2"/>
        <v>72.795772533609664</v>
      </c>
      <c r="G6" s="10">
        <f t="shared" si="2"/>
        <v>50.177433270667606</v>
      </c>
      <c r="H6" s="10">
        <f t="shared" si="2"/>
        <v>67.795772533609664</v>
      </c>
      <c r="I6" s="10">
        <f t="shared" si="2"/>
        <v>45.177433270667606</v>
      </c>
      <c r="J6" s="10">
        <f t="shared" si="2"/>
        <v>62.795772533609664</v>
      </c>
      <c r="K6" s="10">
        <f t="shared" si="2"/>
        <v>40.177433270667606</v>
      </c>
    </row>
    <row r="7" spans="1:27" x14ac:dyDescent="0.55000000000000004">
      <c r="A7" s="11" t="s">
        <v>22</v>
      </c>
      <c r="B7" s="10">
        <f t="shared" ref="B7:K7" si="3">_xlfn.QUARTILE.EXC(B12:B61,1)</f>
        <v>88.943320807151309</v>
      </c>
      <c r="C7" s="10">
        <f t="shared" si="3"/>
        <v>66.239918726989785</v>
      </c>
      <c r="D7" s="10">
        <f t="shared" si="3"/>
        <v>83.943320807151309</v>
      </c>
      <c r="E7" s="10">
        <f t="shared" si="3"/>
        <v>61.239918726989785</v>
      </c>
      <c r="F7" s="10">
        <f t="shared" si="3"/>
        <v>78.943320807151309</v>
      </c>
      <c r="G7" s="10">
        <f t="shared" si="3"/>
        <v>56.239918726989785</v>
      </c>
      <c r="H7" s="10">
        <f t="shared" si="3"/>
        <v>73.943320807151309</v>
      </c>
      <c r="I7" s="10">
        <f t="shared" si="3"/>
        <v>51.239918726989785</v>
      </c>
      <c r="J7" s="10">
        <f t="shared" si="3"/>
        <v>68.943320807151309</v>
      </c>
      <c r="K7" s="10">
        <f t="shared" si="3"/>
        <v>46.239918726989785</v>
      </c>
    </row>
    <row r="10" spans="1:27" x14ac:dyDescent="0.55000000000000004">
      <c r="A10" s="6" t="s">
        <v>21</v>
      </c>
      <c r="B10" s="9">
        <f t="shared" ref="B10:K10" si="4">MEDIAN(B12:B61)</f>
        <v>95.10225138464105</v>
      </c>
      <c r="C10" s="9">
        <f t="shared" si="4"/>
        <v>71.945712874708477</v>
      </c>
      <c r="D10" s="9">
        <f t="shared" si="4"/>
        <v>90.10225138464105</v>
      </c>
      <c r="E10" s="9">
        <f t="shared" si="4"/>
        <v>66.945712874708477</v>
      </c>
      <c r="F10" s="9">
        <f t="shared" si="4"/>
        <v>85.10225138464105</v>
      </c>
      <c r="G10" s="9">
        <f t="shared" si="4"/>
        <v>61.945712874708484</v>
      </c>
      <c r="H10" s="9">
        <f t="shared" si="4"/>
        <v>80.10225138464105</v>
      </c>
      <c r="I10" s="9">
        <f t="shared" si="4"/>
        <v>56.945712874708484</v>
      </c>
      <c r="J10" s="9">
        <f t="shared" si="4"/>
        <v>75.10225138464105</v>
      </c>
      <c r="K10" s="9">
        <f t="shared" si="4"/>
        <v>51.945712874708484</v>
      </c>
    </row>
    <row r="12" spans="1:27" x14ac:dyDescent="0.55000000000000004">
      <c r="A12" s="6">
        <v>1</v>
      </c>
      <c r="B12" s="139">
        <v>102.91445652211395</v>
      </c>
      <c r="C12" s="139">
        <v>84.501459807377458</v>
      </c>
      <c r="D12" s="139">
        <v>97.914456522113952</v>
      </c>
      <c r="E12" s="139">
        <v>79.501459807377458</v>
      </c>
      <c r="F12" s="139">
        <v>92.914456522113952</v>
      </c>
      <c r="G12" s="139">
        <v>74.501459807377458</v>
      </c>
      <c r="H12" s="139">
        <v>87.914456522113952</v>
      </c>
      <c r="I12" s="139">
        <v>69.501459807377458</v>
      </c>
      <c r="J12" s="139">
        <v>82.914456522113952</v>
      </c>
      <c r="K12" s="139">
        <v>64.501459807377458</v>
      </c>
    </row>
    <row r="13" spans="1:27" x14ac:dyDescent="0.55000000000000004">
      <c r="A13" s="6">
        <v>2</v>
      </c>
      <c r="B13" s="139">
        <v>102.08151188935381</v>
      </c>
      <c r="C13" s="139">
        <v>75.196845292711373</v>
      </c>
      <c r="D13" s="139">
        <v>97.081511889353806</v>
      </c>
      <c r="E13" s="139">
        <v>70.196845292711373</v>
      </c>
      <c r="F13" s="139">
        <v>92.081511889353806</v>
      </c>
      <c r="G13" s="139">
        <v>65.196845292711373</v>
      </c>
      <c r="H13" s="139">
        <v>87.081511889353806</v>
      </c>
      <c r="I13" s="139">
        <v>60.196845292711373</v>
      </c>
      <c r="J13" s="139">
        <v>82.081511889353806</v>
      </c>
      <c r="K13" s="139">
        <v>55.196845292711373</v>
      </c>
    </row>
    <row r="14" spans="1:27" x14ac:dyDescent="0.55000000000000004">
      <c r="A14" s="6">
        <v>3</v>
      </c>
      <c r="B14" s="139">
        <v>82.3727583001901</v>
      </c>
      <c r="C14" s="139">
        <v>93.370172726984933</v>
      </c>
      <c r="D14" s="139">
        <v>77.3727583001901</v>
      </c>
      <c r="E14" s="139">
        <v>88.370172726984933</v>
      </c>
      <c r="F14" s="139">
        <v>72.3727583001901</v>
      </c>
      <c r="G14" s="139">
        <v>83.370172726984933</v>
      </c>
      <c r="H14" s="139">
        <v>67.3727583001901</v>
      </c>
      <c r="I14" s="139">
        <v>78.370172726984933</v>
      </c>
      <c r="J14" s="139">
        <v>62.3727583001901</v>
      </c>
      <c r="K14" s="139">
        <v>73.370172726984933</v>
      </c>
    </row>
    <row r="15" spans="1:27" x14ac:dyDescent="0.55000000000000004">
      <c r="A15" s="6">
        <v>4</v>
      </c>
      <c r="B15" s="139">
        <v>89.247768773534844</v>
      </c>
      <c r="C15" s="139">
        <v>67.69355097500457</v>
      </c>
      <c r="D15" s="139">
        <v>84.247768773534844</v>
      </c>
      <c r="E15" s="139">
        <v>62.69355097500457</v>
      </c>
      <c r="F15" s="139">
        <v>79.247768773534844</v>
      </c>
      <c r="G15" s="139">
        <v>57.69355097500457</v>
      </c>
      <c r="H15" s="139">
        <v>74.247768773534844</v>
      </c>
      <c r="I15" s="139">
        <v>52.69355097500457</v>
      </c>
      <c r="J15" s="139">
        <v>69.247768773534844</v>
      </c>
      <c r="K15" s="139">
        <v>47.69355097500457</v>
      </c>
    </row>
    <row r="16" spans="1:27" x14ac:dyDescent="0.55000000000000004">
      <c r="A16" s="6">
        <v>5</v>
      </c>
      <c r="B16" s="139">
        <v>97.033003234184704</v>
      </c>
      <c r="C16" s="139">
        <v>69.999382332681577</v>
      </c>
      <c r="D16" s="139">
        <v>92.033003234184704</v>
      </c>
      <c r="E16" s="139">
        <v>64.999382332681577</v>
      </c>
      <c r="F16" s="139">
        <v>87.033003234184704</v>
      </c>
      <c r="G16" s="139">
        <v>59.999382332681577</v>
      </c>
      <c r="H16" s="139">
        <v>82.033003234184704</v>
      </c>
      <c r="I16" s="139">
        <v>54.999382332681577</v>
      </c>
      <c r="J16" s="139">
        <v>77.033003234184704</v>
      </c>
      <c r="K16" s="139">
        <v>49.999382332681577</v>
      </c>
    </row>
    <row r="17" spans="1:11" x14ac:dyDescent="0.55000000000000004">
      <c r="A17" s="6">
        <v>6</v>
      </c>
      <c r="B17" s="139">
        <v>94.804016977842963</v>
      </c>
      <c r="C17" s="139">
        <v>66.678099280996591</v>
      </c>
      <c r="D17" s="139">
        <v>89.804016977842963</v>
      </c>
      <c r="E17" s="139">
        <v>61.678099280996591</v>
      </c>
      <c r="F17" s="139">
        <v>84.804016977842963</v>
      </c>
      <c r="G17" s="139">
        <v>56.678099280996591</v>
      </c>
      <c r="H17" s="139">
        <v>79.804016977842963</v>
      </c>
      <c r="I17" s="139">
        <v>51.678099280996591</v>
      </c>
      <c r="J17" s="139">
        <v>74.804016977842963</v>
      </c>
      <c r="K17" s="139">
        <v>46.678099280996591</v>
      </c>
    </row>
    <row r="18" spans="1:11" x14ac:dyDescent="0.55000000000000004">
      <c r="A18" s="6">
        <v>7</v>
      </c>
      <c r="B18" s="139">
        <v>90.421025516663832</v>
      </c>
      <c r="C18" s="139">
        <v>73.679632927609418</v>
      </c>
      <c r="D18" s="139">
        <v>85.421025516663832</v>
      </c>
      <c r="E18" s="139">
        <v>68.679632927609418</v>
      </c>
      <c r="F18" s="139">
        <v>80.421025516663832</v>
      </c>
      <c r="G18" s="139">
        <v>63.679632927609418</v>
      </c>
      <c r="H18" s="139">
        <v>75.421025516663832</v>
      </c>
      <c r="I18" s="139">
        <v>58.679632927609418</v>
      </c>
      <c r="J18" s="139">
        <v>70.421025516663832</v>
      </c>
      <c r="K18" s="139">
        <v>53.679632927609418</v>
      </c>
    </row>
    <row r="19" spans="1:11" x14ac:dyDescent="0.55000000000000004">
      <c r="A19" s="6">
        <v>8</v>
      </c>
      <c r="B19" s="139">
        <v>106.96020331730024</v>
      </c>
      <c r="C19" s="139">
        <v>74.745520418604997</v>
      </c>
      <c r="D19" s="139">
        <v>101.96020331730024</v>
      </c>
      <c r="E19" s="139">
        <v>69.745520418604997</v>
      </c>
      <c r="F19" s="139">
        <v>96.960203317300241</v>
      </c>
      <c r="G19" s="139">
        <v>64.745520418604997</v>
      </c>
      <c r="H19" s="139">
        <v>91.960203317300241</v>
      </c>
      <c r="I19" s="139">
        <v>59.745520418604997</v>
      </c>
      <c r="J19" s="139">
        <v>86.960203317300241</v>
      </c>
      <c r="K19" s="139">
        <v>54.745520418604997</v>
      </c>
    </row>
    <row r="20" spans="1:11" x14ac:dyDescent="0.55000000000000004">
      <c r="A20" s="6">
        <v>9</v>
      </c>
      <c r="B20" s="139">
        <v>104.87340384019596</v>
      </c>
      <c r="C20" s="139">
        <v>94.8133055433251</v>
      </c>
      <c r="D20" s="139">
        <v>99.873403840195962</v>
      </c>
      <c r="E20" s="139">
        <v>89.8133055433251</v>
      </c>
      <c r="F20" s="139">
        <v>94.873403840195962</v>
      </c>
      <c r="G20" s="139">
        <v>84.8133055433251</v>
      </c>
      <c r="H20" s="139">
        <v>89.873403840195962</v>
      </c>
      <c r="I20" s="139">
        <v>79.8133055433251</v>
      </c>
      <c r="J20" s="139">
        <v>84.873403840195962</v>
      </c>
      <c r="K20" s="139">
        <v>74.8133055433251</v>
      </c>
    </row>
    <row r="21" spans="1:11" x14ac:dyDescent="0.55000000000000004">
      <c r="A21" s="6">
        <v>10</v>
      </c>
      <c r="B21" s="139">
        <v>97.858828885399305</v>
      </c>
      <c r="C21" s="139">
        <v>74.136979930198393</v>
      </c>
      <c r="D21" s="139">
        <v>92.858828885399305</v>
      </c>
      <c r="E21" s="139">
        <v>69.136979930198393</v>
      </c>
      <c r="F21" s="139">
        <v>87.858828885399305</v>
      </c>
      <c r="G21" s="139">
        <v>64.136979930198393</v>
      </c>
      <c r="H21" s="139">
        <v>82.858828885399305</v>
      </c>
      <c r="I21" s="139">
        <v>59.136979930198393</v>
      </c>
      <c r="J21" s="139">
        <v>77.858828885399305</v>
      </c>
      <c r="K21" s="139">
        <v>54.136979930198393</v>
      </c>
    </row>
    <row r="22" spans="1:11" x14ac:dyDescent="0.55000000000000004">
      <c r="A22" s="6">
        <v>11</v>
      </c>
      <c r="B22" s="139">
        <v>88.029976908000734</v>
      </c>
      <c r="C22" s="139">
        <v>95.477878496173574</v>
      </c>
      <c r="D22" s="139">
        <v>83.029976908000734</v>
      </c>
      <c r="E22" s="139">
        <v>90.477878496173574</v>
      </c>
      <c r="F22" s="139">
        <v>78.029976908000734</v>
      </c>
      <c r="G22" s="139">
        <v>85.477878496173574</v>
      </c>
      <c r="H22" s="139">
        <v>73.029976908000734</v>
      </c>
      <c r="I22" s="139">
        <v>80.477878496173574</v>
      </c>
      <c r="J22" s="139">
        <v>68.029976908000734</v>
      </c>
      <c r="K22" s="139">
        <v>75.477878496173574</v>
      </c>
    </row>
    <row r="23" spans="1:11" x14ac:dyDescent="0.55000000000000004">
      <c r="A23" s="6">
        <v>12</v>
      </c>
      <c r="B23" s="139">
        <v>94.942798191709954</v>
      </c>
      <c r="C23" s="139">
        <v>82.570475203201156</v>
      </c>
      <c r="D23" s="139">
        <v>89.942798191709954</v>
      </c>
      <c r="E23" s="139">
        <v>77.570475203201156</v>
      </c>
      <c r="F23" s="139">
        <v>84.942798191709954</v>
      </c>
      <c r="G23" s="139">
        <v>72.570475203201156</v>
      </c>
      <c r="H23" s="139">
        <v>79.942798191709954</v>
      </c>
      <c r="I23" s="139">
        <v>67.570475203201156</v>
      </c>
      <c r="J23" s="139">
        <v>74.942798191709954</v>
      </c>
      <c r="K23" s="139">
        <v>62.570475203201156</v>
      </c>
    </row>
    <row r="24" spans="1:11" x14ac:dyDescent="0.55000000000000004">
      <c r="A24" s="6">
        <v>13</v>
      </c>
      <c r="B24" s="139">
        <v>92.823922299435949</v>
      </c>
      <c r="C24" s="139">
        <v>44.475520260684092</v>
      </c>
      <c r="D24" s="139">
        <v>87.823922299435949</v>
      </c>
      <c r="E24" s="139">
        <v>39.475520260684092</v>
      </c>
      <c r="F24" s="139">
        <v>82.823922299435949</v>
      </c>
      <c r="G24" s="139">
        <v>34.475520260684092</v>
      </c>
      <c r="H24" s="139">
        <v>77.823922299435949</v>
      </c>
      <c r="I24" s="139">
        <v>29.475520260684092</v>
      </c>
      <c r="J24" s="139">
        <v>72.823922299435949</v>
      </c>
      <c r="K24" s="139">
        <v>24.475520260684092</v>
      </c>
    </row>
    <row r="25" spans="1:11" x14ac:dyDescent="0.55000000000000004">
      <c r="A25" s="6">
        <v>14</v>
      </c>
      <c r="B25" s="139">
        <v>93.8237544420424</v>
      </c>
      <c r="C25" s="139">
        <v>64.925377064969354</v>
      </c>
      <c r="D25" s="139">
        <v>88.8237544420424</v>
      </c>
      <c r="E25" s="139">
        <v>59.925377064969354</v>
      </c>
      <c r="F25" s="139">
        <v>83.8237544420424</v>
      </c>
      <c r="G25" s="139">
        <v>54.925377064969354</v>
      </c>
      <c r="H25" s="139">
        <v>78.8237544420424</v>
      </c>
      <c r="I25" s="139">
        <v>49.925377064969354</v>
      </c>
      <c r="J25" s="139">
        <v>73.8237544420424</v>
      </c>
      <c r="K25" s="139">
        <v>44.925377064969354</v>
      </c>
    </row>
    <row r="26" spans="1:11" x14ac:dyDescent="0.55000000000000004">
      <c r="A26" s="6">
        <v>15</v>
      </c>
      <c r="B26" s="139">
        <v>87.372641730391635</v>
      </c>
      <c r="C26" s="139">
        <v>73.18002557934031</v>
      </c>
      <c r="D26" s="139">
        <v>82.372641730391635</v>
      </c>
      <c r="E26" s="139">
        <v>68.18002557934031</v>
      </c>
      <c r="F26" s="139">
        <v>77.372641730391635</v>
      </c>
      <c r="G26" s="139">
        <v>63.18002557934031</v>
      </c>
      <c r="H26" s="139">
        <v>72.372641730391635</v>
      </c>
      <c r="I26" s="139">
        <v>58.18002557934031</v>
      </c>
      <c r="J26" s="139">
        <v>67.372641730391635</v>
      </c>
      <c r="K26" s="139">
        <v>53.18002557934031</v>
      </c>
    </row>
    <row r="27" spans="1:11" x14ac:dyDescent="0.55000000000000004">
      <c r="A27" s="6">
        <v>16</v>
      </c>
      <c r="B27" s="139">
        <v>89.490144496204309</v>
      </c>
      <c r="C27" s="139">
        <v>61.488647571358001</v>
      </c>
      <c r="D27" s="139">
        <v>84.490144496204309</v>
      </c>
      <c r="E27" s="139">
        <v>56.488647571358001</v>
      </c>
      <c r="F27" s="139">
        <v>79.490144496204309</v>
      </c>
      <c r="G27" s="139">
        <v>51.488647571358001</v>
      </c>
      <c r="H27" s="139">
        <v>74.490144496204309</v>
      </c>
      <c r="I27" s="139">
        <v>46.488647571358001</v>
      </c>
      <c r="J27" s="139">
        <v>69.490144496204309</v>
      </c>
      <c r="K27" s="139">
        <v>41.488647571358001</v>
      </c>
    </row>
    <row r="28" spans="1:11" x14ac:dyDescent="0.55000000000000004">
      <c r="A28" s="6">
        <v>17</v>
      </c>
      <c r="B28" s="139">
        <v>101.39191417979046</v>
      </c>
      <c r="C28" s="139">
        <v>70.9118880895888</v>
      </c>
      <c r="D28" s="139">
        <v>96.391914179790462</v>
      </c>
      <c r="E28" s="139">
        <v>65.9118880895888</v>
      </c>
      <c r="F28" s="139">
        <v>91.391914179790462</v>
      </c>
      <c r="G28" s="139">
        <v>60.9118880895888</v>
      </c>
      <c r="H28" s="139">
        <v>86.391914179790462</v>
      </c>
      <c r="I28" s="139">
        <v>55.9118880895888</v>
      </c>
      <c r="J28" s="139">
        <v>81.391914179790462</v>
      </c>
      <c r="K28" s="139">
        <v>50.9118880895888</v>
      </c>
    </row>
    <row r="29" spans="1:11" x14ac:dyDescent="0.55000000000000004">
      <c r="A29" s="6">
        <v>18</v>
      </c>
      <c r="B29" s="139">
        <v>89.334191801987316</v>
      </c>
      <c r="C29" s="139">
        <v>71.005948521554785</v>
      </c>
      <c r="D29" s="139">
        <v>84.334191801987316</v>
      </c>
      <c r="E29" s="139">
        <v>66.005948521554785</v>
      </c>
      <c r="F29" s="139">
        <v>79.334191801987316</v>
      </c>
      <c r="G29" s="139">
        <v>61.005948521554785</v>
      </c>
      <c r="H29" s="139">
        <v>74.334191801987316</v>
      </c>
      <c r="I29" s="139">
        <v>56.005948521554785</v>
      </c>
      <c r="J29" s="139">
        <v>69.334191801987316</v>
      </c>
      <c r="K29" s="139">
        <v>51.005948521554785</v>
      </c>
    </row>
    <row r="30" spans="1:11" x14ac:dyDescent="0.55000000000000004">
      <c r="A30" s="6">
        <v>19</v>
      </c>
      <c r="B30" s="139">
        <v>89.587749088678066</v>
      </c>
      <c r="C30" s="139">
        <v>78.236922188592587</v>
      </c>
      <c r="D30" s="139">
        <v>84.587749088678066</v>
      </c>
      <c r="E30" s="139">
        <v>73.236922188592587</v>
      </c>
      <c r="F30" s="139">
        <v>79.587749088678066</v>
      </c>
      <c r="G30" s="139">
        <v>68.236922188592587</v>
      </c>
      <c r="H30" s="139">
        <v>74.587749088678066</v>
      </c>
      <c r="I30" s="139">
        <v>63.236922188592587</v>
      </c>
      <c r="J30" s="139">
        <v>69.587749088678066</v>
      </c>
      <c r="K30" s="139">
        <v>58.236922188592587</v>
      </c>
    </row>
    <row r="31" spans="1:11" x14ac:dyDescent="0.55000000000000004">
      <c r="A31" s="6">
        <v>20</v>
      </c>
      <c r="B31" s="139">
        <v>82.676049883709595</v>
      </c>
      <c r="C31" s="139">
        <v>61.645894988643064</v>
      </c>
      <c r="D31" s="139">
        <v>77.676049883709595</v>
      </c>
      <c r="E31" s="139">
        <v>56.645894988643064</v>
      </c>
      <c r="F31" s="139">
        <v>72.676049883709595</v>
      </c>
      <c r="G31" s="139">
        <v>51.645894988643064</v>
      </c>
      <c r="H31" s="139">
        <v>67.676049883709595</v>
      </c>
      <c r="I31" s="139">
        <v>46.645894988643064</v>
      </c>
      <c r="J31" s="139">
        <v>62.676049883709595</v>
      </c>
      <c r="K31" s="139">
        <v>41.645894988643064</v>
      </c>
    </row>
    <row r="32" spans="1:11" x14ac:dyDescent="0.55000000000000004">
      <c r="A32" s="6">
        <v>21</v>
      </c>
      <c r="B32" s="139">
        <v>96.680823445952669</v>
      </c>
      <c r="C32" s="139">
        <v>58.245037722123278</v>
      </c>
      <c r="D32" s="139">
        <v>91.680823445952669</v>
      </c>
      <c r="E32" s="139">
        <v>53.245037722123278</v>
      </c>
      <c r="F32" s="139">
        <v>86.680823445952669</v>
      </c>
      <c r="G32" s="139">
        <v>48.245037722123278</v>
      </c>
      <c r="H32" s="139">
        <v>81.680823445952669</v>
      </c>
      <c r="I32" s="139">
        <v>43.245037722123278</v>
      </c>
      <c r="J32" s="139">
        <v>76.680823445952669</v>
      </c>
      <c r="K32" s="139">
        <v>38.245037722123278</v>
      </c>
    </row>
    <row r="33" spans="1:11" x14ac:dyDescent="0.55000000000000004">
      <c r="A33" s="6">
        <v>22</v>
      </c>
      <c r="B33" s="139">
        <v>76.207310264225356</v>
      </c>
      <c r="C33" s="139">
        <v>50.41721365611788</v>
      </c>
      <c r="D33" s="139">
        <v>71.207310264225356</v>
      </c>
      <c r="E33" s="139">
        <v>45.41721365611788</v>
      </c>
      <c r="F33" s="139">
        <v>66.207310264225356</v>
      </c>
      <c r="G33" s="139">
        <v>40.41721365611788</v>
      </c>
      <c r="H33" s="139">
        <v>61.207310264225356</v>
      </c>
      <c r="I33" s="139">
        <v>35.41721365611788</v>
      </c>
      <c r="J33" s="139">
        <v>56.207310264225356</v>
      </c>
      <c r="K33" s="139">
        <v>30.41721365611788</v>
      </c>
    </row>
    <row r="34" spans="1:11" x14ac:dyDescent="0.55000000000000004">
      <c r="A34" s="6">
        <v>23</v>
      </c>
      <c r="B34" s="139">
        <v>74.390697385797282</v>
      </c>
      <c r="C34" s="139">
        <v>71.01049954259058</v>
      </c>
      <c r="D34" s="139">
        <v>69.390697385797282</v>
      </c>
      <c r="E34" s="139">
        <v>66.01049954259058</v>
      </c>
      <c r="F34" s="139">
        <v>64.390697385797282</v>
      </c>
      <c r="G34" s="139">
        <v>61.01049954259058</v>
      </c>
      <c r="H34" s="139">
        <v>59.390697385797282</v>
      </c>
      <c r="I34" s="139">
        <v>56.01049954259058</v>
      </c>
      <c r="J34" s="139">
        <v>54.390697385797282</v>
      </c>
      <c r="K34" s="139">
        <v>51.01049954259058</v>
      </c>
    </row>
    <row r="35" spans="1:11" x14ac:dyDescent="0.55000000000000004">
      <c r="A35" s="6">
        <v>24</v>
      </c>
      <c r="B35" s="139">
        <v>96.981079222320162</v>
      </c>
      <c r="C35" s="139">
        <v>72.156390714252197</v>
      </c>
      <c r="D35" s="139">
        <v>91.981079222320162</v>
      </c>
      <c r="E35" s="139">
        <v>67.156390714252197</v>
      </c>
      <c r="F35" s="139">
        <v>86.981079222320162</v>
      </c>
      <c r="G35" s="139">
        <v>62.156390714252197</v>
      </c>
      <c r="H35" s="139">
        <v>81.981079222320162</v>
      </c>
      <c r="I35" s="139">
        <v>57.156390714252197</v>
      </c>
      <c r="J35" s="139">
        <v>76.981079222320162</v>
      </c>
      <c r="K35" s="139">
        <v>52.156390714252197</v>
      </c>
    </row>
    <row r="36" spans="1:11" x14ac:dyDescent="0.55000000000000004">
      <c r="A36" s="6">
        <v>25</v>
      </c>
      <c r="B36" s="139">
        <v>91.155698037325607</v>
      </c>
      <c r="C36" s="139">
        <v>70.305084918483928</v>
      </c>
      <c r="D36" s="139">
        <v>86.155698037325607</v>
      </c>
      <c r="E36" s="139">
        <v>65.305084918483928</v>
      </c>
      <c r="F36" s="139">
        <v>81.155698037325607</v>
      </c>
      <c r="G36" s="139">
        <v>60.305084918483928</v>
      </c>
      <c r="H36" s="139">
        <v>76.155698037325607</v>
      </c>
      <c r="I36" s="139">
        <v>55.305084918483928</v>
      </c>
      <c r="J36" s="139">
        <v>71.155698037325607</v>
      </c>
      <c r="K36" s="139">
        <v>50.305084918483928</v>
      </c>
    </row>
    <row r="37" spans="1:11" x14ac:dyDescent="0.55000000000000004">
      <c r="A37" s="6">
        <v>26</v>
      </c>
      <c r="B37" s="139">
        <v>82.7071938212205</v>
      </c>
      <c r="C37" s="139">
        <v>74.3434330418185</v>
      </c>
      <c r="D37" s="139">
        <v>77.7071938212205</v>
      </c>
      <c r="E37" s="139">
        <v>69.3434330418185</v>
      </c>
      <c r="F37" s="139">
        <v>72.7071938212205</v>
      </c>
      <c r="G37" s="139">
        <v>64.3434330418185</v>
      </c>
      <c r="H37" s="139">
        <v>67.7071938212205</v>
      </c>
      <c r="I37" s="139">
        <v>59.3434330418185</v>
      </c>
      <c r="J37" s="139">
        <v>62.7071938212205</v>
      </c>
      <c r="K37" s="139">
        <v>54.3434330418185</v>
      </c>
    </row>
    <row r="38" spans="1:11" x14ac:dyDescent="0.55000000000000004">
      <c r="A38" s="6">
        <v>27</v>
      </c>
      <c r="B38" s="139">
        <v>120.40521135044951</v>
      </c>
      <c r="C38" s="139">
        <v>86.3140451340455</v>
      </c>
      <c r="D38" s="139">
        <v>115.40521135044951</v>
      </c>
      <c r="E38" s="139">
        <v>81.3140451340455</v>
      </c>
      <c r="F38" s="139">
        <v>110.40521135044951</v>
      </c>
      <c r="G38" s="139">
        <v>76.3140451340455</v>
      </c>
      <c r="H38" s="139">
        <v>105.40521135044951</v>
      </c>
      <c r="I38" s="139">
        <v>71.3140451340455</v>
      </c>
      <c r="J38" s="139">
        <v>100.40521135044951</v>
      </c>
      <c r="K38" s="139">
        <v>66.3140451340455</v>
      </c>
    </row>
    <row r="39" spans="1:11" x14ac:dyDescent="0.55000000000000004">
      <c r="A39" s="6">
        <v>28</v>
      </c>
      <c r="B39" s="139">
        <v>103.90857714695693</v>
      </c>
      <c r="C39" s="139">
        <v>95.652212224158916</v>
      </c>
      <c r="D39" s="139">
        <v>98.908577146956929</v>
      </c>
      <c r="E39" s="139">
        <v>90.652212224158916</v>
      </c>
      <c r="F39" s="139">
        <v>93.908577146956929</v>
      </c>
      <c r="G39" s="139">
        <v>85.652212224158916</v>
      </c>
      <c r="H39" s="139">
        <v>88.908577146956929</v>
      </c>
      <c r="I39" s="139">
        <v>80.652212224158916</v>
      </c>
      <c r="J39" s="139">
        <v>83.908577146956929</v>
      </c>
      <c r="K39" s="139">
        <v>75.652212224158916</v>
      </c>
    </row>
    <row r="40" spans="1:11" x14ac:dyDescent="0.55000000000000004">
      <c r="A40" s="6">
        <v>29</v>
      </c>
      <c r="B40" s="139">
        <v>105.72212844402529</v>
      </c>
      <c r="C40" s="139">
        <v>69.70997455253206</v>
      </c>
      <c r="D40" s="139">
        <v>100.72212844402529</v>
      </c>
      <c r="E40" s="139">
        <v>64.70997455253206</v>
      </c>
      <c r="F40" s="139">
        <v>95.722128444025287</v>
      </c>
      <c r="G40" s="139">
        <v>59.70997455253206</v>
      </c>
      <c r="H40" s="139">
        <v>90.722128444025287</v>
      </c>
      <c r="I40" s="139">
        <v>54.70997455253206</v>
      </c>
      <c r="J40" s="139">
        <v>85.722128444025287</v>
      </c>
      <c r="K40" s="139">
        <v>49.70997455253206</v>
      </c>
    </row>
    <row r="41" spans="1:11" x14ac:dyDescent="0.55000000000000004">
      <c r="A41" s="6">
        <v>30</v>
      </c>
      <c r="B41" s="139">
        <v>100.9799423549655</v>
      </c>
      <c r="C41" s="139">
        <v>64.818440787900499</v>
      </c>
      <c r="D41" s="139">
        <v>95.979942354965502</v>
      </c>
      <c r="E41" s="139">
        <v>59.818440787900499</v>
      </c>
      <c r="F41" s="139">
        <v>90.979942354965502</v>
      </c>
      <c r="G41" s="139">
        <v>54.818440787900499</v>
      </c>
      <c r="H41" s="139">
        <v>85.979942354965502</v>
      </c>
      <c r="I41" s="139">
        <v>49.818440787900499</v>
      </c>
      <c r="J41" s="139">
        <v>80.979942354965502</v>
      </c>
      <c r="K41" s="139">
        <v>44.818440787900499</v>
      </c>
    </row>
    <row r="42" spans="1:11" x14ac:dyDescent="0.55000000000000004">
      <c r="A42" s="6">
        <v>31</v>
      </c>
      <c r="B42" s="139">
        <v>98.936184754432517</v>
      </c>
      <c r="C42" s="139">
        <v>91.796160180900571</v>
      </c>
      <c r="D42" s="139">
        <v>93.936184754432517</v>
      </c>
      <c r="E42" s="139">
        <v>86.796160180900571</v>
      </c>
      <c r="F42" s="139">
        <v>88.936184754432517</v>
      </c>
      <c r="G42" s="139">
        <v>81.796160180900571</v>
      </c>
      <c r="H42" s="139">
        <v>83.936184754432517</v>
      </c>
      <c r="I42" s="139">
        <v>76.796160180900571</v>
      </c>
      <c r="J42" s="139">
        <v>78.936184754432517</v>
      </c>
      <c r="K42" s="139">
        <v>71.796160180900571</v>
      </c>
    </row>
    <row r="43" spans="1:11" x14ac:dyDescent="0.55000000000000004">
      <c r="A43" s="6">
        <v>32</v>
      </c>
      <c r="B43" s="139">
        <v>95.967393513583374</v>
      </c>
      <c r="C43" s="139">
        <v>60.120887498294195</v>
      </c>
      <c r="D43" s="139">
        <v>90.967393513583374</v>
      </c>
      <c r="E43" s="139">
        <v>55.120887498294195</v>
      </c>
      <c r="F43" s="139">
        <v>85.967393513583374</v>
      </c>
      <c r="G43" s="139">
        <v>50.120887498294195</v>
      </c>
      <c r="H43" s="139">
        <v>80.967393513583374</v>
      </c>
      <c r="I43" s="139">
        <v>45.120887498294195</v>
      </c>
      <c r="J43" s="139">
        <v>75.967393513583374</v>
      </c>
      <c r="K43" s="139">
        <v>40.120887498294195</v>
      </c>
    </row>
    <row r="44" spans="1:11" x14ac:dyDescent="0.55000000000000004">
      <c r="A44" s="6">
        <v>33</v>
      </c>
      <c r="B44" s="139">
        <v>91.992913524322219</v>
      </c>
      <c r="C44" s="139">
        <v>91.680256105587034</v>
      </c>
      <c r="D44" s="139">
        <v>86.992913524322219</v>
      </c>
      <c r="E44" s="139">
        <v>86.680256105587034</v>
      </c>
      <c r="F44" s="139">
        <v>81.992913524322219</v>
      </c>
      <c r="G44" s="139">
        <v>81.680256105587034</v>
      </c>
      <c r="H44" s="139">
        <v>76.992913524322219</v>
      </c>
      <c r="I44" s="139">
        <v>76.680256105587034</v>
      </c>
      <c r="J44" s="139">
        <v>71.992913524322219</v>
      </c>
      <c r="K44" s="139">
        <v>71.680256105587034</v>
      </c>
    </row>
    <row r="45" spans="1:11" x14ac:dyDescent="0.55000000000000004">
      <c r="A45" s="6">
        <v>34</v>
      </c>
      <c r="B45" s="139">
        <v>86.687124671133716</v>
      </c>
      <c r="C45" s="139">
        <v>63.127365695770138</v>
      </c>
      <c r="D45" s="139">
        <v>81.687124671133716</v>
      </c>
      <c r="E45" s="139">
        <v>58.127365695770138</v>
      </c>
      <c r="F45" s="139">
        <v>76.687124671133716</v>
      </c>
      <c r="G45" s="139">
        <v>53.127365695770138</v>
      </c>
      <c r="H45" s="139">
        <v>71.687124671133716</v>
      </c>
      <c r="I45" s="139">
        <v>48.127365695770138</v>
      </c>
      <c r="J45" s="139">
        <v>66.687124671133716</v>
      </c>
      <c r="K45" s="139">
        <v>43.127365695770138</v>
      </c>
    </row>
    <row r="46" spans="1:11" x14ac:dyDescent="0.55000000000000004">
      <c r="A46" s="6">
        <v>35</v>
      </c>
      <c r="B46" s="139">
        <v>83.592980945112132</v>
      </c>
      <c r="C46" s="139">
        <v>67.424274717969382</v>
      </c>
      <c r="D46" s="139">
        <v>78.592980945112132</v>
      </c>
      <c r="E46" s="139">
        <v>62.424274717969382</v>
      </c>
      <c r="F46" s="139">
        <v>73.592980945112132</v>
      </c>
      <c r="G46" s="139">
        <v>57.424274717969382</v>
      </c>
      <c r="H46" s="139">
        <v>68.592980945112132</v>
      </c>
      <c r="I46" s="139">
        <v>52.424274717969382</v>
      </c>
      <c r="J46" s="139">
        <v>63.592980945112132</v>
      </c>
      <c r="K46" s="139">
        <v>47.424274717969382</v>
      </c>
    </row>
    <row r="47" spans="1:11" x14ac:dyDescent="0.55000000000000004">
      <c r="A47" s="6">
        <v>36</v>
      </c>
      <c r="B47" s="139">
        <v>86.783364793129394</v>
      </c>
      <c r="C47" s="139">
        <v>71.735035035164771</v>
      </c>
      <c r="D47" s="139">
        <v>81.783364793129394</v>
      </c>
      <c r="E47" s="139">
        <v>66.735035035164771</v>
      </c>
      <c r="F47" s="139">
        <v>76.783364793129394</v>
      </c>
      <c r="G47" s="139">
        <v>61.735035035164771</v>
      </c>
      <c r="H47" s="139">
        <v>71.783364793129394</v>
      </c>
      <c r="I47" s="139">
        <v>56.735035035164771</v>
      </c>
      <c r="J47" s="139">
        <v>66.783364793129394</v>
      </c>
      <c r="K47" s="139">
        <v>51.735035035164771</v>
      </c>
    </row>
    <row r="48" spans="1:11" x14ac:dyDescent="0.55000000000000004">
      <c r="A48" s="6">
        <v>37</v>
      </c>
      <c r="B48" s="139">
        <v>105.39760876179174</v>
      </c>
      <c r="C48" s="139">
        <v>57.596101543574449</v>
      </c>
      <c r="D48" s="139">
        <v>100.39760876179174</v>
      </c>
      <c r="E48" s="139">
        <v>52.596101543574449</v>
      </c>
      <c r="F48" s="139">
        <v>95.397608761791744</v>
      </c>
      <c r="G48" s="139">
        <v>47.596101543574449</v>
      </c>
      <c r="H48" s="139">
        <v>90.397608761791744</v>
      </c>
      <c r="I48" s="139">
        <v>42.596101543574449</v>
      </c>
      <c r="J48" s="139">
        <v>85.397608761791744</v>
      </c>
      <c r="K48" s="139">
        <v>37.596101543574449</v>
      </c>
    </row>
    <row r="49" spans="1:11" x14ac:dyDescent="0.55000000000000004">
      <c r="A49" s="6">
        <v>38</v>
      </c>
      <c r="B49" s="139">
        <v>97.629062914325871</v>
      </c>
      <c r="C49" s="139">
        <v>81.85822782399876</v>
      </c>
      <c r="D49" s="139">
        <v>92.629062914325871</v>
      </c>
      <c r="E49" s="139">
        <v>76.85822782399876</v>
      </c>
      <c r="F49" s="139">
        <v>87.629062914325871</v>
      </c>
      <c r="G49" s="139">
        <v>71.85822782399876</v>
      </c>
      <c r="H49" s="139">
        <v>82.629062914325871</v>
      </c>
      <c r="I49" s="139">
        <v>66.85822782399876</v>
      </c>
      <c r="J49" s="139">
        <v>77.629062914325871</v>
      </c>
      <c r="K49" s="139">
        <v>61.85822782399876</v>
      </c>
    </row>
    <row r="50" spans="1:11" x14ac:dyDescent="0.55000000000000004">
      <c r="A50" s="6">
        <v>39</v>
      </c>
      <c r="B50" s="139">
        <v>102.49861814887701</v>
      </c>
      <c r="C50" s="139">
        <v>61.803536034853323</v>
      </c>
      <c r="D50" s="139">
        <v>97.498618148877014</v>
      </c>
      <c r="E50" s="139">
        <v>56.803536034853323</v>
      </c>
      <c r="F50" s="139">
        <v>92.498618148877014</v>
      </c>
      <c r="G50" s="139">
        <v>51.803536034853323</v>
      </c>
      <c r="H50" s="139">
        <v>87.498618148877014</v>
      </c>
      <c r="I50" s="139">
        <v>46.803536034853323</v>
      </c>
      <c r="J50" s="139">
        <v>82.498618148877014</v>
      </c>
      <c r="K50" s="139">
        <v>41.803536034853323</v>
      </c>
    </row>
    <row r="51" spans="1:11" x14ac:dyDescent="0.55000000000000004">
      <c r="A51" s="6">
        <v>40</v>
      </c>
      <c r="B51" s="139">
        <v>98.348018854615859</v>
      </c>
      <c r="C51" s="139">
        <v>74.227591270398165</v>
      </c>
      <c r="D51" s="139">
        <v>93.348018854615859</v>
      </c>
      <c r="E51" s="139">
        <v>69.227591270398165</v>
      </c>
      <c r="F51" s="139">
        <v>88.348018854615859</v>
      </c>
      <c r="G51" s="139">
        <v>64.227591270398165</v>
      </c>
      <c r="H51" s="139">
        <v>83.348018854615859</v>
      </c>
      <c r="I51" s="139">
        <v>59.227591270398165</v>
      </c>
      <c r="J51" s="139">
        <v>78.348018854615859</v>
      </c>
      <c r="K51" s="139">
        <v>54.227591270398165</v>
      </c>
    </row>
    <row r="52" spans="1:11" x14ac:dyDescent="0.55000000000000004">
      <c r="A52" s="6">
        <v>41</v>
      </c>
      <c r="B52" s="139">
        <v>93.801001436857888</v>
      </c>
      <c r="C52" s="139">
        <v>60.686345222028336</v>
      </c>
      <c r="D52" s="139">
        <v>88.801001436857888</v>
      </c>
      <c r="E52" s="139">
        <v>55.686345222028336</v>
      </c>
      <c r="F52" s="139">
        <v>83.801001436857888</v>
      </c>
      <c r="G52" s="139">
        <v>50.686345222028336</v>
      </c>
      <c r="H52" s="139">
        <v>78.801001436857888</v>
      </c>
      <c r="I52" s="139">
        <v>45.686345222028336</v>
      </c>
      <c r="J52" s="139">
        <v>73.801001436857888</v>
      </c>
      <c r="K52" s="139">
        <v>40.686345222028336</v>
      </c>
    </row>
    <row r="53" spans="1:11" x14ac:dyDescent="0.55000000000000004">
      <c r="A53" s="6">
        <v>42</v>
      </c>
      <c r="B53" s="139">
        <v>86.935583122848456</v>
      </c>
      <c r="C53" s="139">
        <v>76.343632821432621</v>
      </c>
      <c r="D53" s="139">
        <v>81.935583122848456</v>
      </c>
      <c r="E53" s="139">
        <v>71.343632821432621</v>
      </c>
      <c r="F53" s="139">
        <v>76.935583122848456</v>
      </c>
      <c r="G53" s="139">
        <v>66.343632821432621</v>
      </c>
      <c r="H53" s="139">
        <v>71.935583122848456</v>
      </c>
      <c r="I53" s="139">
        <v>61.343632821432621</v>
      </c>
      <c r="J53" s="139">
        <v>66.935583122848456</v>
      </c>
      <c r="K53" s="139">
        <v>56.343632821432621</v>
      </c>
    </row>
    <row r="54" spans="1:11" x14ac:dyDescent="0.55000000000000004">
      <c r="A54" s="6">
        <v>43</v>
      </c>
      <c r="B54" s="139">
        <v>104.51327678848615</v>
      </c>
      <c r="C54" s="139">
        <v>67.204741265090547</v>
      </c>
      <c r="D54" s="139">
        <v>99.513276788486152</v>
      </c>
      <c r="E54" s="139">
        <v>62.204741265090547</v>
      </c>
      <c r="F54" s="139">
        <v>94.513276788486152</v>
      </c>
      <c r="G54" s="139">
        <v>57.204741265090547</v>
      </c>
      <c r="H54" s="139">
        <v>89.513276788486152</v>
      </c>
      <c r="I54" s="139">
        <v>52.204741265090547</v>
      </c>
      <c r="J54" s="139">
        <v>84.513276788486152</v>
      </c>
      <c r="K54" s="139">
        <v>47.204741265090547</v>
      </c>
    </row>
    <row r="55" spans="1:11" x14ac:dyDescent="0.55000000000000004">
      <c r="A55" s="6">
        <v>44</v>
      </c>
      <c r="B55" s="139">
        <v>102.34815258444611</v>
      </c>
      <c r="C55" s="139">
        <v>104.09180726874891</v>
      </c>
      <c r="D55" s="139">
        <v>97.348152584446112</v>
      </c>
      <c r="E55" s="139">
        <v>99.091807268748909</v>
      </c>
      <c r="F55" s="139">
        <v>92.348152584446112</v>
      </c>
      <c r="G55" s="139">
        <v>94.091807268748909</v>
      </c>
      <c r="H55" s="139">
        <v>87.348152584446112</v>
      </c>
      <c r="I55" s="139">
        <v>89.091807268748909</v>
      </c>
      <c r="J55" s="139">
        <v>82.348152584446112</v>
      </c>
      <c r="K55" s="139">
        <v>84.091807268748909</v>
      </c>
    </row>
    <row r="56" spans="1:11" x14ac:dyDescent="0.55000000000000004">
      <c r="A56" s="6">
        <v>45</v>
      </c>
      <c r="B56" s="139">
        <v>95.261704577572132</v>
      </c>
      <c r="C56" s="139">
        <v>70.394265996983492</v>
      </c>
      <c r="D56" s="139">
        <v>90.261704577572132</v>
      </c>
      <c r="E56" s="139">
        <v>65.394265996983492</v>
      </c>
      <c r="F56" s="139">
        <v>85.261704577572132</v>
      </c>
      <c r="G56" s="139">
        <v>60.394265996983492</v>
      </c>
      <c r="H56" s="139">
        <v>80.261704577572132</v>
      </c>
      <c r="I56" s="139">
        <v>55.394265996983492</v>
      </c>
      <c r="J56" s="139">
        <v>75.261704577572132</v>
      </c>
      <c r="K56" s="139">
        <v>50.394265996983492</v>
      </c>
    </row>
    <row r="57" spans="1:11" x14ac:dyDescent="0.55000000000000004">
      <c r="A57" s="6">
        <v>46</v>
      </c>
      <c r="B57" s="139">
        <v>95.343073210450171</v>
      </c>
      <c r="C57" s="139">
        <v>92.429912580387622</v>
      </c>
      <c r="D57" s="139">
        <v>90.343073210450171</v>
      </c>
      <c r="E57" s="139">
        <v>87.429912580387622</v>
      </c>
      <c r="F57" s="139">
        <v>85.343073210450171</v>
      </c>
      <c r="G57" s="139">
        <v>82.429912580387622</v>
      </c>
      <c r="H57" s="139">
        <v>80.343073210450171</v>
      </c>
      <c r="I57" s="139">
        <v>77.429912580387622</v>
      </c>
      <c r="J57" s="139">
        <v>75.343073210450171</v>
      </c>
      <c r="K57" s="139">
        <v>72.429912580387622</v>
      </c>
    </row>
    <row r="58" spans="1:11" x14ac:dyDescent="0.55000000000000004">
      <c r="A58" s="6">
        <v>47</v>
      </c>
      <c r="B58" s="139">
        <v>96.801443229581878</v>
      </c>
      <c r="C58" s="139">
        <v>66.91580046571778</v>
      </c>
      <c r="D58" s="139">
        <v>91.801443229581878</v>
      </c>
      <c r="E58" s="139">
        <v>61.91580046571778</v>
      </c>
      <c r="F58" s="139">
        <v>86.801443229581878</v>
      </c>
      <c r="G58" s="139">
        <v>56.91580046571778</v>
      </c>
      <c r="H58" s="139">
        <v>81.801443229581878</v>
      </c>
      <c r="I58" s="139">
        <v>51.91580046571778</v>
      </c>
      <c r="J58" s="139">
        <v>76.801443229581878</v>
      </c>
      <c r="K58" s="139">
        <v>46.91580046571778</v>
      </c>
    </row>
    <row r="59" spans="1:11" x14ac:dyDescent="0.55000000000000004">
      <c r="A59" s="6">
        <v>48</v>
      </c>
      <c r="B59" s="139">
        <v>94.626291992216395</v>
      </c>
      <c r="C59" s="139">
        <v>83.415743549851101</v>
      </c>
      <c r="D59" s="139">
        <v>89.626291992216395</v>
      </c>
      <c r="E59" s="139">
        <v>78.415743549851101</v>
      </c>
      <c r="F59" s="139">
        <v>84.626291992216395</v>
      </c>
      <c r="G59" s="139">
        <v>73.415743549851101</v>
      </c>
      <c r="H59" s="139">
        <v>79.626291992216395</v>
      </c>
      <c r="I59" s="139">
        <v>68.415743549851101</v>
      </c>
      <c r="J59" s="139">
        <v>74.626291992216395</v>
      </c>
      <c r="K59" s="139">
        <v>63.415743549851101</v>
      </c>
    </row>
    <row r="60" spans="1:11" x14ac:dyDescent="0.55000000000000004">
      <c r="A60" s="6">
        <v>49</v>
      </c>
      <c r="B60" s="139">
        <v>86.229128972432534</v>
      </c>
      <c r="C60" s="139">
        <v>78.185647313675645</v>
      </c>
      <c r="D60" s="139">
        <v>81.229128972432534</v>
      </c>
      <c r="E60" s="139">
        <v>73.185647313675645</v>
      </c>
      <c r="F60" s="139">
        <v>76.229128972432534</v>
      </c>
      <c r="G60" s="139">
        <v>68.185647313675645</v>
      </c>
      <c r="H60" s="139">
        <v>71.229128972432534</v>
      </c>
      <c r="I60" s="139">
        <v>63.185647313675645</v>
      </c>
      <c r="J60" s="139">
        <v>66.229128972432534</v>
      </c>
      <c r="K60" s="139">
        <v>58.185647313675645</v>
      </c>
    </row>
    <row r="61" spans="1:11" x14ac:dyDescent="0.55000000000000004">
      <c r="A61" s="6">
        <v>50</v>
      </c>
      <c r="B61" s="139">
        <v>96.748711105720005</v>
      </c>
      <c r="C61" s="139">
        <v>72.532064374062514</v>
      </c>
      <c r="D61" s="139">
        <v>91.748711105720005</v>
      </c>
      <c r="E61" s="139">
        <v>67.532064374062514</v>
      </c>
      <c r="F61" s="139">
        <v>86.748711105720005</v>
      </c>
      <c r="G61" s="139">
        <v>62.532064374062514</v>
      </c>
      <c r="H61" s="139">
        <v>81.748711105720005</v>
      </c>
      <c r="I61" s="139">
        <v>57.532064374062514</v>
      </c>
      <c r="J61" s="139">
        <v>76.748711105720005</v>
      </c>
      <c r="K61" s="139">
        <v>52.532064374062514</v>
      </c>
    </row>
  </sheetData>
  <hyperlinks>
    <hyperlink ref="AA1" location="Menu!A1" display="Return to menu"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K67"/>
  <sheetViews>
    <sheetView zoomScale="90" workbookViewId="0">
      <selection activeCell="K1" sqref="K1"/>
    </sheetView>
  </sheetViews>
  <sheetFormatPr defaultColWidth="9.1015625" defaultRowHeight="12.3" x14ac:dyDescent="0.4"/>
  <cols>
    <col min="1" max="1" width="11.89453125" style="18" customWidth="1"/>
    <col min="2" max="2" width="10" style="18" customWidth="1"/>
    <col min="3" max="3" width="8" style="18" bestFit="1" customWidth="1"/>
    <col min="4" max="4" width="8" style="18" customWidth="1"/>
    <col min="5" max="5" width="9.62890625" style="18" bestFit="1" customWidth="1"/>
    <col min="6" max="6" width="6.734375" style="18" customWidth="1"/>
    <col min="7" max="7" width="7.62890625" style="18" customWidth="1"/>
    <col min="8" max="8" width="5.734375" style="18" customWidth="1"/>
    <col min="9" max="10" width="9.1015625" style="18"/>
    <col min="11" max="11" width="20.734375" style="18" bestFit="1" customWidth="1"/>
    <col min="12" max="16384" width="9.1015625" style="18"/>
  </cols>
  <sheetData>
    <row r="1" spans="1:11" ht="20.399999999999999" x14ac:dyDescent="0.75">
      <c r="A1" s="593" t="s">
        <v>192</v>
      </c>
      <c r="B1" s="593"/>
      <c r="C1" s="593"/>
      <c r="D1" s="593"/>
      <c r="K1" s="7" t="s">
        <v>20</v>
      </c>
    </row>
    <row r="2" spans="1:11" ht="12.6" x14ac:dyDescent="0.45">
      <c r="A2" s="280" t="s">
        <v>193</v>
      </c>
    </row>
    <row r="3" spans="1:11" ht="12.6" x14ac:dyDescent="0.45">
      <c r="A3" s="144" t="s">
        <v>194</v>
      </c>
    </row>
    <row r="4" spans="1:11" ht="12.6" thickBot="1" x14ac:dyDescent="0.45"/>
    <row r="5" spans="1:11" x14ac:dyDescent="0.4">
      <c r="A5" s="287" t="s">
        <v>195</v>
      </c>
      <c r="B5" s="288"/>
      <c r="C5" s="594">
        <f>SUMIF(B10:B59,"&gt;-99999",B10:B59)/COUNTIF(B10:B59,"&gt;-99999")</f>
        <v>6.125</v>
      </c>
      <c r="D5" s="595"/>
    </row>
    <row r="6" spans="1:11" ht="12.6" hidden="1" thickBot="1" x14ac:dyDescent="0.45">
      <c r="A6" s="289" t="s">
        <v>196</v>
      </c>
      <c r="B6" s="290"/>
      <c r="C6" s="596">
        <f>SQRT(C5)</f>
        <v>2.4748737341529163</v>
      </c>
      <c r="D6" s="597"/>
    </row>
    <row r="7" spans="1:11" ht="15" x14ac:dyDescent="0.5">
      <c r="E7" s="148"/>
      <c r="F7" s="148"/>
      <c r="G7" s="148"/>
      <c r="J7" s="142" t="s">
        <v>266</v>
      </c>
    </row>
    <row r="8" spans="1:11" x14ac:dyDescent="0.4">
      <c r="B8" s="148" t="s">
        <v>197</v>
      </c>
      <c r="C8" s="148"/>
      <c r="D8" s="148"/>
      <c r="E8" s="148"/>
    </row>
    <row r="9" spans="1:11" x14ac:dyDescent="0.4">
      <c r="A9" s="148" t="s">
        <v>198</v>
      </c>
      <c r="B9" s="148" t="s">
        <v>199</v>
      </c>
      <c r="C9" s="148" t="s">
        <v>200</v>
      </c>
      <c r="D9" s="148" t="s">
        <v>201</v>
      </c>
      <c r="E9" s="148" t="s">
        <v>202</v>
      </c>
    </row>
    <row r="10" spans="1:11" x14ac:dyDescent="0.4">
      <c r="A10" s="18">
        <v>1</v>
      </c>
      <c r="B10" s="291">
        <v>3</v>
      </c>
      <c r="C10" s="18">
        <f>IF(B10&lt;&gt;"",MAX(0,$C$5-3*($C$6)),NA())</f>
        <v>0</v>
      </c>
      <c r="D10" s="18">
        <f>IF(B10&lt;&gt;"",$C$5,NA())</f>
        <v>6.125</v>
      </c>
      <c r="E10" s="18">
        <f>IF(B10&lt;&gt;"",$C$5+3*$C$6,NA())</f>
        <v>13.549621202458749</v>
      </c>
    </row>
    <row r="11" spans="1:11" x14ac:dyDescent="0.4">
      <c r="A11" s="18">
        <v>2</v>
      </c>
      <c r="B11" s="291">
        <v>4</v>
      </c>
      <c r="C11" s="18">
        <f t="shared" ref="C11:C59" si="0">IF(B11&lt;&gt;"",MAX(0,$C$5-3*($C$6)),NA())</f>
        <v>0</v>
      </c>
      <c r="D11" s="18">
        <f t="shared" ref="D11:D59" si="1">IF(B11&lt;&gt;"",$C$5,NA())</f>
        <v>6.125</v>
      </c>
      <c r="E11" s="18">
        <f t="shared" ref="E11:E59" si="2">IF(B11&lt;&gt;"",$C$5+3*$C$6,NA())</f>
        <v>13.549621202458749</v>
      </c>
    </row>
    <row r="12" spans="1:11" x14ac:dyDescent="0.4">
      <c r="A12" s="18">
        <v>3</v>
      </c>
      <c r="B12" s="291">
        <v>5</v>
      </c>
      <c r="C12" s="18">
        <f t="shared" si="0"/>
        <v>0</v>
      </c>
      <c r="D12" s="18">
        <f t="shared" si="1"/>
        <v>6.125</v>
      </c>
      <c r="E12" s="18">
        <f t="shared" si="2"/>
        <v>13.549621202458749</v>
      </c>
    </row>
    <row r="13" spans="1:11" x14ac:dyDescent="0.4">
      <c r="A13" s="18">
        <v>4</v>
      </c>
      <c r="B13" s="291">
        <v>6</v>
      </c>
      <c r="C13" s="18">
        <f t="shared" si="0"/>
        <v>0</v>
      </c>
      <c r="D13" s="18">
        <f t="shared" si="1"/>
        <v>6.125</v>
      </c>
      <c r="E13" s="18">
        <f t="shared" si="2"/>
        <v>13.549621202458749</v>
      </c>
    </row>
    <row r="14" spans="1:11" x14ac:dyDescent="0.4">
      <c r="A14" s="18">
        <v>5</v>
      </c>
      <c r="B14" s="291">
        <v>8</v>
      </c>
      <c r="C14" s="18">
        <f t="shared" si="0"/>
        <v>0</v>
      </c>
      <c r="D14" s="18">
        <f t="shared" si="1"/>
        <v>6.125</v>
      </c>
      <c r="E14" s="18">
        <f t="shared" si="2"/>
        <v>13.549621202458749</v>
      </c>
    </row>
    <row r="15" spans="1:11" x14ac:dyDescent="0.4">
      <c r="A15" s="18">
        <v>6</v>
      </c>
      <c r="B15" s="291">
        <v>12</v>
      </c>
      <c r="C15" s="18">
        <f t="shared" si="0"/>
        <v>0</v>
      </c>
      <c r="D15" s="18">
        <f t="shared" si="1"/>
        <v>6.125</v>
      </c>
      <c r="E15" s="18">
        <f t="shared" si="2"/>
        <v>13.549621202458749</v>
      </c>
    </row>
    <row r="16" spans="1:11" x14ac:dyDescent="0.4">
      <c r="A16" s="18">
        <v>7</v>
      </c>
      <c r="B16" s="291">
        <v>5</v>
      </c>
      <c r="C16" s="18">
        <f t="shared" si="0"/>
        <v>0</v>
      </c>
      <c r="D16" s="18">
        <f t="shared" si="1"/>
        <v>6.125</v>
      </c>
      <c r="E16" s="18">
        <f t="shared" si="2"/>
        <v>13.549621202458749</v>
      </c>
    </row>
    <row r="17" spans="1:5" x14ac:dyDescent="0.4">
      <c r="A17" s="18">
        <v>8</v>
      </c>
      <c r="B17" s="291">
        <v>6</v>
      </c>
      <c r="C17" s="18">
        <f t="shared" si="0"/>
        <v>0</v>
      </c>
      <c r="D17" s="18">
        <f t="shared" si="1"/>
        <v>6.125</v>
      </c>
      <c r="E17" s="18">
        <f t="shared" si="2"/>
        <v>13.549621202458749</v>
      </c>
    </row>
    <row r="18" spans="1:5" x14ac:dyDescent="0.4">
      <c r="A18" s="18">
        <v>9</v>
      </c>
      <c r="B18" s="291"/>
      <c r="C18" s="18" t="e">
        <f t="shared" si="0"/>
        <v>#N/A</v>
      </c>
      <c r="D18" s="18" t="e">
        <f t="shared" si="1"/>
        <v>#N/A</v>
      </c>
      <c r="E18" s="18" t="e">
        <f t="shared" si="2"/>
        <v>#N/A</v>
      </c>
    </row>
    <row r="19" spans="1:5" x14ac:dyDescent="0.4">
      <c r="A19" s="18">
        <v>10</v>
      </c>
      <c r="B19" s="291"/>
      <c r="C19" s="18" t="e">
        <f t="shared" si="0"/>
        <v>#N/A</v>
      </c>
      <c r="D19" s="18" t="e">
        <f t="shared" si="1"/>
        <v>#N/A</v>
      </c>
      <c r="E19" s="18" t="e">
        <f t="shared" si="2"/>
        <v>#N/A</v>
      </c>
    </row>
    <row r="20" spans="1:5" x14ac:dyDescent="0.4">
      <c r="A20" s="18">
        <v>11</v>
      </c>
      <c r="B20" s="291"/>
      <c r="C20" s="18" t="e">
        <f t="shared" si="0"/>
        <v>#N/A</v>
      </c>
      <c r="D20" s="18" t="e">
        <f t="shared" si="1"/>
        <v>#N/A</v>
      </c>
      <c r="E20" s="18" t="e">
        <f t="shared" si="2"/>
        <v>#N/A</v>
      </c>
    </row>
    <row r="21" spans="1:5" x14ac:dyDescent="0.4">
      <c r="A21" s="18">
        <v>12</v>
      </c>
      <c r="B21" s="291"/>
      <c r="C21" s="18" t="e">
        <f t="shared" si="0"/>
        <v>#N/A</v>
      </c>
      <c r="D21" s="18" t="e">
        <f t="shared" si="1"/>
        <v>#N/A</v>
      </c>
      <c r="E21" s="18" t="e">
        <f t="shared" si="2"/>
        <v>#N/A</v>
      </c>
    </row>
    <row r="22" spans="1:5" x14ac:dyDescent="0.4">
      <c r="A22" s="18">
        <v>13</v>
      </c>
      <c r="B22" s="291"/>
      <c r="C22" s="18" t="e">
        <f t="shared" si="0"/>
        <v>#N/A</v>
      </c>
      <c r="D22" s="18" t="e">
        <f t="shared" si="1"/>
        <v>#N/A</v>
      </c>
      <c r="E22" s="18" t="e">
        <f t="shared" si="2"/>
        <v>#N/A</v>
      </c>
    </row>
    <row r="23" spans="1:5" x14ac:dyDescent="0.4">
      <c r="A23" s="18">
        <v>14</v>
      </c>
      <c r="B23" s="291"/>
      <c r="C23" s="18" t="e">
        <f t="shared" si="0"/>
        <v>#N/A</v>
      </c>
      <c r="D23" s="18" t="e">
        <f t="shared" si="1"/>
        <v>#N/A</v>
      </c>
      <c r="E23" s="18" t="e">
        <f t="shared" si="2"/>
        <v>#N/A</v>
      </c>
    </row>
    <row r="24" spans="1:5" x14ac:dyDescent="0.4">
      <c r="A24" s="18">
        <v>15</v>
      </c>
      <c r="B24" s="291"/>
      <c r="C24" s="18" t="e">
        <f t="shared" si="0"/>
        <v>#N/A</v>
      </c>
      <c r="D24" s="18" t="e">
        <f t="shared" si="1"/>
        <v>#N/A</v>
      </c>
      <c r="E24" s="18" t="e">
        <f t="shared" si="2"/>
        <v>#N/A</v>
      </c>
    </row>
    <row r="25" spans="1:5" x14ac:dyDescent="0.4">
      <c r="A25" s="18">
        <v>16</v>
      </c>
      <c r="B25" s="291"/>
      <c r="C25" s="18" t="e">
        <f t="shared" si="0"/>
        <v>#N/A</v>
      </c>
      <c r="D25" s="18" t="e">
        <f t="shared" si="1"/>
        <v>#N/A</v>
      </c>
      <c r="E25" s="18" t="e">
        <f t="shared" si="2"/>
        <v>#N/A</v>
      </c>
    </row>
    <row r="26" spans="1:5" x14ac:dyDescent="0.4">
      <c r="A26" s="18">
        <v>17</v>
      </c>
      <c r="B26" s="291"/>
      <c r="C26" s="18" t="e">
        <f t="shared" si="0"/>
        <v>#N/A</v>
      </c>
      <c r="D26" s="18" t="e">
        <f t="shared" si="1"/>
        <v>#N/A</v>
      </c>
      <c r="E26" s="18" t="e">
        <f t="shared" si="2"/>
        <v>#N/A</v>
      </c>
    </row>
    <row r="27" spans="1:5" x14ac:dyDescent="0.4">
      <c r="A27" s="18">
        <v>18</v>
      </c>
      <c r="B27" s="291"/>
      <c r="C27" s="18" t="e">
        <f t="shared" si="0"/>
        <v>#N/A</v>
      </c>
      <c r="D27" s="18" t="e">
        <f t="shared" si="1"/>
        <v>#N/A</v>
      </c>
      <c r="E27" s="18" t="e">
        <f t="shared" si="2"/>
        <v>#N/A</v>
      </c>
    </row>
    <row r="28" spans="1:5" x14ac:dyDescent="0.4">
      <c r="A28" s="18">
        <v>19</v>
      </c>
      <c r="B28" s="291"/>
      <c r="C28" s="18" t="e">
        <f t="shared" si="0"/>
        <v>#N/A</v>
      </c>
      <c r="D28" s="18" t="e">
        <f t="shared" si="1"/>
        <v>#N/A</v>
      </c>
      <c r="E28" s="18" t="e">
        <f t="shared" si="2"/>
        <v>#N/A</v>
      </c>
    </row>
    <row r="29" spans="1:5" x14ac:dyDescent="0.4">
      <c r="A29" s="18">
        <v>20</v>
      </c>
      <c r="B29" s="291"/>
      <c r="C29" s="18" t="e">
        <f t="shared" si="0"/>
        <v>#N/A</v>
      </c>
      <c r="D29" s="18" t="e">
        <f t="shared" si="1"/>
        <v>#N/A</v>
      </c>
      <c r="E29" s="18" t="e">
        <f t="shared" si="2"/>
        <v>#N/A</v>
      </c>
    </row>
    <row r="30" spans="1:5" x14ac:dyDescent="0.4">
      <c r="A30" s="18">
        <v>21</v>
      </c>
      <c r="B30" s="291"/>
      <c r="C30" s="18" t="e">
        <f t="shared" si="0"/>
        <v>#N/A</v>
      </c>
      <c r="D30" s="18" t="e">
        <f t="shared" si="1"/>
        <v>#N/A</v>
      </c>
      <c r="E30" s="18" t="e">
        <f t="shared" si="2"/>
        <v>#N/A</v>
      </c>
    </row>
    <row r="31" spans="1:5" x14ac:dyDescent="0.4">
      <c r="A31" s="18">
        <v>22</v>
      </c>
      <c r="B31" s="291"/>
      <c r="C31" s="18" t="e">
        <f t="shared" si="0"/>
        <v>#N/A</v>
      </c>
      <c r="D31" s="18" t="e">
        <f t="shared" si="1"/>
        <v>#N/A</v>
      </c>
      <c r="E31" s="18" t="e">
        <f t="shared" si="2"/>
        <v>#N/A</v>
      </c>
    </row>
    <row r="32" spans="1:5" x14ac:dyDescent="0.4">
      <c r="A32" s="18">
        <v>23</v>
      </c>
      <c r="B32" s="291"/>
      <c r="C32" s="18" t="e">
        <f t="shared" si="0"/>
        <v>#N/A</v>
      </c>
      <c r="D32" s="18" t="e">
        <f t="shared" si="1"/>
        <v>#N/A</v>
      </c>
      <c r="E32" s="18" t="e">
        <f t="shared" si="2"/>
        <v>#N/A</v>
      </c>
    </row>
    <row r="33" spans="1:5" x14ac:dyDescent="0.4">
      <c r="A33" s="18">
        <v>24</v>
      </c>
      <c r="B33" s="291"/>
      <c r="C33" s="18" t="e">
        <f t="shared" si="0"/>
        <v>#N/A</v>
      </c>
      <c r="D33" s="18" t="e">
        <f t="shared" si="1"/>
        <v>#N/A</v>
      </c>
      <c r="E33" s="18" t="e">
        <f t="shared" si="2"/>
        <v>#N/A</v>
      </c>
    </row>
    <row r="34" spans="1:5" x14ac:dyDescent="0.4">
      <c r="A34" s="18">
        <v>25</v>
      </c>
      <c r="B34" s="291"/>
      <c r="C34" s="18" t="e">
        <f t="shared" si="0"/>
        <v>#N/A</v>
      </c>
      <c r="D34" s="18" t="e">
        <f t="shared" si="1"/>
        <v>#N/A</v>
      </c>
      <c r="E34" s="18" t="e">
        <f t="shared" si="2"/>
        <v>#N/A</v>
      </c>
    </row>
    <row r="35" spans="1:5" x14ac:dyDescent="0.4">
      <c r="A35" s="18">
        <v>26</v>
      </c>
      <c r="B35" s="291"/>
      <c r="C35" s="18" t="e">
        <f t="shared" si="0"/>
        <v>#N/A</v>
      </c>
      <c r="D35" s="18" t="e">
        <f t="shared" si="1"/>
        <v>#N/A</v>
      </c>
      <c r="E35" s="18" t="e">
        <f t="shared" si="2"/>
        <v>#N/A</v>
      </c>
    </row>
    <row r="36" spans="1:5" x14ac:dyDescent="0.4">
      <c r="A36" s="18">
        <v>27</v>
      </c>
      <c r="B36" s="291"/>
      <c r="C36" s="18" t="e">
        <f t="shared" si="0"/>
        <v>#N/A</v>
      </c>
      <c r="D36" s="18" t="e">
        <f t="shared" si="1"/>
        <v>#N/A</v>
      </c>
      <c r="E36" s="18" t="e">
        <f t="shared" si="2"/>
        <v>#N/A</v>
      </c>
    </row>
    <row r="37" spans="1:5" x14ac:dyDescent="0.4">
      <c r="A37" s="18">
        <v>28</v>
      </c>
      <c r="B37" s="291"/>
      <c r="C37" s="18" t="e">
        <f t="shared" si="0"/>
        <v>#N/A</v>
      </c>
      <c r="D37" s="18" t="e">
        <f t="shared" si="1"/>
        <v>#N/A</v>
      </c>
      <c r="E37" s="18" t="e">
        <f t="shared" si="2"/>
        <v>#N/A</v>
      </c>
    </row>
    <row r="38" spans="1:5" x14ac:dyDescent="0.4">
      <c r="A38" s="18">
        <v>29</v>
      </c>
      <c r="B38" s="291"/>
      <c r="C38" s="18" t="e">
        <f t="shared" si="0"/>
        <v>#N/A</v>
      </c>
      <c r="D38" s="18" t="e">
        <f t="shared" si="1"/>
        <v>#N/A</v>
      </c>
      <c r="E38" s="18" t="e">
        <f t="shared" si="2"/>
        <v>#N/A</v>
      </c>
    </row>
    <row r="39" spans="1:5" x14ac:dyDescent="0.4">
      <c r="A39" s="18">
        <v>30</v>
      </c>
      <c r="B39" s="291"/>
      <c r="C39" s="18" t="e">
        <f t="shared" si="0"/>
        <v>#N/A</v>
      </c>
      <c r="D39" s="18" t="e">
        <f t="shared" si="1"/>
        <v>#N/A</v>
      </c>
      <c r="E39" s="18" t="e">
        <f t="shared" si="2"/>
        <v>#N/A</v>
      </c>
    </row>
    <row r="40" spans="1:5" x14ac:dyDescent="0.4">
      <c r="A40" s="18">
        <v>31</v>
      </c>
      <c r="B40" s="291"/>
      <c r="C40" s="18" t="e">
        <f t="shared" si="0"/>
        <v>#N/A</v>
      </c>
      <c r="D40" s="18" t="e">
        <f t="shared" si="1"/>
        <v>#N/A</v>
      </c>
      <c r="E40" s="18" t="e">
        <f t="shared" si="2"/>
        <v>#N/A</v>
      </c>
    </row>
    <row r="41" spans="1:5" x14ac:dyDescent="0.4">
      <c r="A41" s="18">
        <v>32</v>
      </c>
      <c r="B41" s="291"/>
      <c r="C41" s="18" t="e">
        <f t="shared" si="0"/>
        <v>#N/A</v>
      </c>
      <c r="D41" s="18" t="e">
        <f t="shared" si="1"/>
        <v>#N/A</v>
      </c>
      <c r="E41" s="18" t="e">
        <f t="shared" si="2"/>
        <v>#N/A</v>
      </c>
    </row>
    <row r="42" spans="1:5" x14ac:dyDescent="0.4">
      <c r="A42" s="18">
        <v>33</v>
      </c>
      <c r="B42" s="291"/>
      <c r="C42" s="18" t="e">
        <f t="shared" si="0"/>
        <v>#N/A</v>
      </c>
      <c r="D42" s="18" t="e">
        <f t="shared" si="1"/>
        <v>#N/A</v>
      </c>
      <c r="E42" s="18" t="e">
        <f t="shared" si="2"/>
        <v>#N/A</v>
      </c>
    </row>
    <row r="43" spans="1:5" x14ac:dyDescent="0.4">
      <c r="A43" s="18">
        <v>34</v>
      </c>
      <c r="B43" s="291"/>
      <c r="C43" s="18" t="e">
        <f t="shared" si="0"/>
        <v>#N/A</v>
      </c>
      <c r="D43" s="18" t="e">
        <f t="shared" si="1"/>
        <v>#N/A</v>
      </c>
      <c r="E43" s="18" t="e">
        <f t="shared" si="2"/>
        <v>#N/A</v>
      </c>
    </row>
    <row r="44" spans="1:5" x14ac:dyDescent="0.4">
      <c r="A44" s="18">
        <v>35</v>
      </c>
      <c r="B44" s="291"/>
      <c r="C44" s="18" t="e">
        <f t="shared" si="0"/>
        <v>#N/A</v>
      </c>
      <c r="D44" s="18" t="e">
        <f t="shared" si="1"/>
        <v>#N/A</v>
      </c>
      <c r="E44" s="18" t="e">
        <f t="shared" si="2"/>
        <v>#N/A</v>
      </c>
    </row>
    <row r="45" spans="1:5" x14ac:dyDescent="0.4">
      <c r="A45" s="18">
        <v>36</v>
      </c>
      <c r="B45" s="291"/>
      <c r="C45" s="18" t="e">
        <f t="shared" si="0"/>
        <v>#N/A</v>
      </c>
      <c r="D45" s="18" t="e">
        <f t="shared" si="1"/>
        <v>#N/A</v>
      </c>
      <c r="E45" s="18" t="e">
        <f t="shared" si="2"/>
        <v>#N/A</v>
      </c>
    </row>
    <row r="46" spans="1:5" x14ac:dyDescent="0.4">
      <c r="A46" s="18">
        <v>37</v>
      </c>
      <c r="B46" s="291"/>
      <c r="C46" s="18" t="e">
        <f t="shared" si="0"/>
        <v>#N/A</v>
      </c>
      <c r="D46" s="18" t="e">
        <f t="shared" si="1"/>
        <v>#N/A</v>
      </c>
      <c r="E46" s="18" t="e">
        <f t="shared" si="2"/>
        <v>#N/A</v>
      </c>
    </row>
    <row r="47" spans="1:5" x14ac:dyDescent="0.4">
      <c r="A47" s="18">
        <v>38</v>
      </c>
      <c r="B47" s="291"/>
      <c r="C47" s="18" t="e">
        <f t="shared" si="0"/>
        <v>#N/A</v>
      </c>
      <c r="D47" s="18" t="e">
        <f t="shared" si="1"/>
        <v>#N/A</v>
      </c>
      <c r="E47" s="18" t="e">
        <f t="shared" si="2"/>
        <v>#N/A</v>
      </c>
    </row>
    <row r="48" spans="1:5" x14ac:dyDescent="0.4">
      <c r="A48" s="18">
        <v>39</v>
      </c>
      <c r="B48" s="291"/>
      <c r="C48" s="18" t="e">
        <f t="shared" si="0"/>
        <v>#N/A</v>
      </c>
      <c r="D48" s="18" t="e">
        <f t="shared" si="1"/>
        <v>#N/A</v>
      </c>
      <c r="E48" s="18" t="e">
        <f t="shared" si="2"/>
        <v>#N/A</v>
      </c>
    </row>
    <row r="49" spans="1:8" x14ac:dyDescent="0.4">
      <c r="A49" s="18">
        <v>40</v>
      </c>
      <c r="B49" s="291"/>
      <c r="C49" s="18" t="e">
        <f t="shared" si="0"/>
        <v>#N/A</v>
      </c>
      <c r="D49" s="18" t="e">
        <f t="shared" si="1"/>
        <v>#N/A</v>
      </c>
      <c r="E49" s="18" t="e">
        <f t="shared" si="2"/>
        <v>#N/A</v>
      </c>
    </row>
    <row r="50" spans="1:8" x14ac:dyDescent="0.4">
      <c r="A50" s="18">
        <v>41</v>
      </c>
      <c r="B50" s="291"/>
      <c r="C50" s="18" t="e">
        <f t="shared" si="0"/>
        <v>#N/A</v>
      </c>
      <c r="D50" s="18" t="e">
        <f t="shared" si="1"/>
        <v>#N/A</v>
      </c>
      <c r="E50" s="18" t="e">
        <f t="shared" si="2"/>
        <v>#N/A</v>
      </c>
    </row>
    <row r="51" spans="1:8" x14ac:dyDescent="0.4">
      <c r="A51" s="18">
        <v>42</v>
      </c>
      <c r="B51" s="291"/>
      <c r="C51" s="18" t="e">
        <f t="shared" si="0"/>
        <v>#N/A</v>
      </c>
      <c r="D51" s="18" t="e">
        <f t="shared" si="1"/>
        <v>#N/A</v>
      </c>
      <c r="E51" s="18" t="e">
        <f t="shared" si="2"/>
        <v>#N/A</v>
      </c>
    </row>
    <row r="52" spans="1:8" x14ac:dyDescent="0.4">
      <c r="A52" s="18">
        <v>43</v>
      </c>
      <c r="B52" s="291"/>
      <c r="C52" s="18" t="e">
        <f t="shared" si="0"/>
        <v>#N/A</v>
      </c>
      <c r="D52" s="18" t="e">
        <f t="shared" si="1"/>
        <v>#N/A</v>
      </c>
      <c r="E52" s="18" t="e">
        <f t="shared" si="2"/>
        <v>#N/A</v>
      </c>
    </row>
    <row r="53" spans="1:8" x14ac:dyDescent="0.4">
      <c r="A53" s="18">
        <v>44</v>
      </c>
      <c r="B53" s="291"/>
      <c r="C53" s="18" t="e">
        <f t="shared" si="0"/>
        <v>#N/A</v>
      </c>
      <c r="D53" s="18" t="e">
        <f t="shared" si="1"/>
        <v>#N/A</v>
      </c>
      <c r="E53" s="18" t="e">
        <f t="shared" si="2"/>
        <v>#N/A</v>
      </c>
    </row>
    <row r="54" spans="1:8" x14ac:dyDescent="0.4">
      <c r="A54" s="18">
        <v>45</v>
      </c>
      <c r="B54" s="291"/>
      <c r="C54" s="18" t="e">
        <f t="shared" si="0"/>
        <v>#N/A</v>
      </c>
      <c r="D54" s="18" t="e">
        <f t="shared" si="1"/>
        <v>#N/A</v>
      </c>
      <c r="E54" s="18" t="e">
        <f t="shared" si="2"/>
        <v>#N/A</v>
      </c>
    </row>
    <row r="55" spans="1:8" x14ac:dyDescent="0.4">
      <c r="A55" s="18">
        <v>46</v>
      </c>
      <c r="B55" s="291"/>
      <c r="C55" s="18" t="e">
        <f t="shared" si="0"/>
        <v>#N/A</v>
      </c>
      <c r="D55" s="18" t="e">
        <f t="shared" si="1"/>
        <v>#N/A</v>
      </c>
      <c r="E55" s="18" t="e">
        <f t="shared" si="2"/>
        <v>#N/A</v>
      </c>
    </row>
    <row r="56" spans="1:8" x14ac:dyDescent="0.4">
      <c r="A56" s="18">
        <v>47</v>
      </c>
      <c r="B56" s="291"/>
      <c r="C56" s="18" t="e">
        <f t="shared" si="0"/>
        <v>#N/A</v>
      </c>
      <c r="D56" s="18" t="e">
        <f t="shared" si="1"/>
        <v>#N/A</v>
      </c>
      <c r="E56" s="18" t="e">
        <f t="shared" si="2"/>
        <v>#N/A</v>
      </c>
    </row>
    <row r="57" spans="1:8" x14ac:dyDescent="0.4">
      <c r="A57" s="18">
        <v>48</v>
      </c>
      <c r="B57" s="291"/>
      <c r="C57" s="18" t="e">
        <f t="shared" si="0"/>
        <v>#N/A</v>
      </c>
      <c r="D57" s="18" t="e">
        <f t="shared" si="1"/>
        <v>#N/A</v>
      </c>
      <c r="E57" s="18" t="e">
        <f t="shared" si="2"/>
        <v>#N/A</v>
      </c>
      <c r="F57" s="164"/>
      <c r="G57" s="164"/>
      <c r="H57" s="164"/>
    </row>
    <row r="58" spans="1:8" x14ac:dyDescent="0.4">
      <c r="A58" s="18">
        <v>49</v>
      </c>
      <c r="B58" s="291"/>
      <c r="C58" s="18" t="e">
        <f t="shared" si="0"/>
        <v>#N/A</v>
      </c>
      <c r="D58" s="18" t="e">
        <f t="shared" si="1"/>
        <v>#N/A</v>
      </c>
      <c r="E58" s="18" t="e">
        <f t="shared" si="2"/>
        <v>#N/A</v>
      </c>
      <c r="F58" s="164"/>
      <c r="G58" s="164"/>
      <c r="H58" s="164"/>
    </row>
    <row r="59" spans="1:8" x14ac:dyDescent="0.4">
      <c r="A59" s="18">
        <v>50</v>
      </c>
      <c r="B59" s="291"/>
      <c r="C59" s="18" t="e">
        <f t="shared" si="0"/>
        <v>#N/A</v>
      </c>
      <c r="D59" s="18" t="e">
        <f t="shared" si="1"/>
        <v>#N/A</v>
      </c>
      <c r="E59" s="18" t="e">
        <f t="shared" si="2"/>
        <v>#N/A</v>
      </c>
      <c r="F59" s="44"/>
      <c r="G59" s="44"/>
      <c r="H59" s="44"/>
    </row>
    <row r="60" spans="1:8" x14ac:dyDescent="0.4">
      <c r="A60" s="44"/>
      <c r="B60" s="44"/>
      <c r="C60" s="44"/>
      <c r="D60" s="44"/>
      <c r="E60" s="44"/>
      <c r="F60" s="44"/>
      <c r="G60" s="44"/>
      <c r="H60" s="44"/>
    </row>
    <row r="61" spans="1:8" x14ac:dyDescent="0.4">
      <c r="A61" s="44"/>
      <c r="B61" s="44"/>
      <c r="C61" s="44"/>
      <c r="D61" s="44"/>
      <c r="E61" s="44"/>
      <c r="F61" s="44"/>
      <c r="G61" s="44"/>
      <c r="H61" s="44"/>
    </row>
    <row r="62" spans="1:8" x14ac:dyDescent="0.4">
      <c r="A62" s="44"/>
      <c r="B62" s="44"/>
      <c r="C62" s="44"/>
      <c r="D62" s="44"/>
      <c r="E62" s="44"/>
      <c r="F62" s="44"/>
      <c r="G62" s="44"/>
      <c r="H62" s="44"/>
    </row>
    <row r="63" spans="1:8" x14ac:dyDescent="0.4">
      <c r="A63" s="44"/>
      <c r="B63" s="44"/>
      <c r="C63" s="44"/>
      <c r="D63" s="44"/>
      <c r="E63" s="44"/>
      <c r="F63" s="44"/>
      <c r="G63" s="44"/>
      <c r="H63" s="44"/>
    </row>
    <row r="64" spans="1:8" x14ac:dyDescent="0.4">
      <c r="A64" s="44"/>
      <c r="B64" s="44"/>
      <c r="C64" s="44"/>
      <c r="D64" s="44"/>
      <c r="E64" s="44"/>
      <c r="F64" s="44"/>
      <c r="G64" s="44"/>
      <c r="H64" s="44"/>
    </row>
    <row r="65" spans="1:8" x14ac:dyDescent="0.4">
      <c r="A65" s="44"/>
      <c r="B65" s="44"/>
      <c r="C65" s="44"/>
      <c r="D65" s="44"/>
      <c r="E65" s="44"/>
      <c r="F65" s="44"/>
      <c r="G65" s="44"/>
      <c r="H65" s="44"/>
    </row>
    <row r="66" spans="1:8" x14ac:dyDescent="0.4">
      <c r="A66" s="44"/>
      <c r="B66" s="44"/>
      <c r="C66" s="44"/>
      <c r="D66" s="44"/>
      <c r="E66" s="44"/>
      <c r="F66" s="44"/>
      <c r="G66" s="44"/>
      <c r="H66" s="44"/>
    </row>
    <row r="67" spans="1:8" x14ac:dyDescent="0.4">
      <c r="A67" s="44"/>
      <c r="B67" s="44"/>
      <c r="C67" s="44"/>
      <c r="D67" s="44"/>
      <c r="E67" s="44"/>
      <c r="F67" s="44"/>
      <c r="G67" s="44"/>
      <c r="H67" s="44"/>
    </row>
  </sheetData>
  <mergeCells count="3">
    <mergeCell ref="A1:D1"/>
    <mergeCell ref="C5:D5"/>
    <mergeCell ref="C6:D6"/>
  </mergeCells>
  <dataValidations count="1">
    <dataValidation type="whole" allowBlank="1" showInputMessage="1" showErrorMessage="1" errorTitle="Input Error!" error="The cell entry must be a whole number." sqref="B10:B59" xr:uid="{00000000-0002-0000-0300-000000000000}">
      <formula1>0</formula1>
      <formula2>999999</formula2>
    </dataValidation>
  </dataValidations>
  <hyperlinks>
    <hyperlink ref="K1" location="Menu!A1" display="Return to menu" xr:uid="{00000000-0004-0000-0300-000000000000}"/>
  </hyperlinks>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P1"/>
  <sheetViews>
    <sheetView workbookViewId="0">
      <selection activeCell="P1" sqref="P1"/>
    </sheetView>
  </sheetViews>
  <sheetFormatPr defaultColWidth="9.1015625" defaultRowHeight="12.3" x14ac:dyDescent="0.4"/>
  <cols>
    <col min="1" max="15" width="9.1015625" style="18"/>
    <col min="16" max="16" width="20.734375" style="18" bestFit="1" customWidth="1"/>
    <col min="17" max="16384" width="9.1015625" style="18"/>
  </cols>
  <sheetData>
    <row r="1" spans="16:16" ht="20.399999999999999" x14ac:dyDescent="0.75">
      <c r="P1" s="7" t="s">
        <v>20</v>
      </c>
    </row>
  </sheetData>
  <hyperlinks>
    <hyperlink ref="P1" location="Menu!A1" display="Return to menu" xr:uid="{00000000-0004-0000-0400-000000000000}"/>
  </hyperlinks>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L12"/>
  <sheetViews>
    <sheetView zoomScale="85" zoomScaleNormal="85" workbookViewId="0">
      <selection activeCell="L1" sqref="L1"/>
    </sheetView>
  </sheetViews>
  <sheetFormatPr defaultColWidth="15.89453125" defaultRowHeight="14.4" x14ac:dyDescent="0.55000000000000004"/>
  <cols>
    <col min="1" max="1" width="3.26171875" customWidth="1"/>
    <col min="7" max="7" width="20.1015625" customWidth="1"/>
    <col min="12" max="12" width="20.734375" bestFit="1" customWidth="1"/>
  </cols>
  <sheetData>
    <row r="1" spans="2:12" ht="20.399999999999999" x14ac:dyDescent="0.75">
      <c r="B1" s="136" t="s">
        <v>124</v>
      </c>
      <c r="L1" s="7" t="s">
        <v>20</v>
      </c>
    </row>
    <row r="3" spans="2:12" ht="30" x14ac:dyDescent="0.55000000000000004">
      <c r="B3" s="14" t="s">
        <v>40</v>
      </c>
      <c r="C3" s="15" t="s">
        <v>41</v>
      </c>
      <c r="D3" s="15" t="s">
        <v>42</v>
      </c>
      <c r="E3" s="16" t="s">
        <v>43</v>
      </c>
      <c r="F3" s="16" t="s">
        <v>44</v>
      </c>
      <c r="G3" s="16" t="s">
        <v>45</v>
      </c>
      <c r="H3" s="16" t="s">
        <v>46</v>
      </c>
      <c r="I3" s="16" t="s">
        <v>47</v>
      </c>
      <c r="J3" s="16" t="s">
        <v>48</v>
      </c>
    </row>
    <row r="4" spans="2:12" x14ac:dyDescent="0.55000000000000004">
      <c r="B4" s="17"/>
      <c r="C4" s="17"/>
      <c r="D4" s="17"/>
      <c r="E4" s="17"/>
      <c r="F4" s="17"/>
      <c r="G4" s="17"/>
      <c r="H4" s="17"/>
      <c r="I4" s="17"/>
      <c r="J4" s="17"/>
    </row>
    <row r="5" spans="2:12" x14ac:dyDescent="0.55000000000000004">
      <c r="B5" s="17"/>
      <c r="C5" s="17"/>
      <c r="D5" s="17"/>
      <c r="E5" s="17"/>
      <c r="F5" s="17"/>
      <c r="G5" s="17"/>
      <c r="H5" s="17"/>
      <c r="I5" s="17"/>
      <c r="J5" s="17"/>
    </row>
    <row r="6" spans="2:12" x14ac:dyDescent="0.55000000000000004">
      <c r="B6" s="17"/>
      <c r="C6" s="17"/>
      <c r="D6" s="17"/>
      <c r="E6" s="17"/>
      <c r="F6" s="17"/>
      <c r="G6" s="17"/>
      <c r="H6" s="17"/>
      <c r="I6" s="17"/>
      <c r="J6" s="17"/>
    </row>
    <row r="7" spans="2:12" x14ac:dyDescent="0.55000000000000004">
      <c r="B7" s="17"/>
      <c r="C7" s="17"/>
      <c r="D7" s="17"/>
      <c r="E7" s="17"/>
      <c r="F7" s="17"/>
      <c r="G7" s="17"/>
      <c r="H7" s="17"/>
      <c r="I7" s="17"/>
      <c r="J7" s="17"/>
    </row>
    <row r="8" spans="2:12" x14ac:dyDescent="0.55000000000000004">
      <c r="B8" s="17"/>
      <c r="C8" s="17"/>
      <c r="D8" s="17"/>
      <c r="E8" s="17"/>
      <c r="F8" s="17"/>
      <c r="G8" s="17"/>
      <c r="H8" s="17"/>
      <c r="I8" s="17"/>
      <c r="J8" s="17"/>
    </row>
    <row r="9" spans="2:12" x14ac:dyDescent="0.55000000000000004">
      <c r="B9" s="17"/>
      <c r="C9" s="17"/>
      <c r="D9" s="17"/>
      <c r="E9" s="17"/>
      <c r="F9" s="17"/>
      <c r="G9" s="17"/>
      <c r="H9" s="17"/>
      <c r="I9" s="17"/>
      <c r="J9" s="17"/>
    </row>
    <row r="10" spans="2:12" x14ac:dyDescent="0.55000000000000004">
      <c r="B10" s="17"/>
      <c r="C10" s="17"/>
      <c r="D10" s="17"/>
      <c r="E10" s="17"/>
      <c r="F10" s="17"/>
      <c r="G10" s="17"/>
      <c r="H10" s="17"/>
      <c r="I10" s="17"/>
      <c r="J10" s="17"/>
    </row>
    <row r="11" spans="2:12" x14ac:dyDescent="0.55000000000000004">
      <c r="B11" s="17"/>
      <c r="C11" s="17"/>
      <c r="D11" s="17"/>
      <c r="E11" s="17"/>
      <c r="F11" s="17"/>
      <c r="G11" s="17"/>
      <c r="H11" s="17"/>
      <c r="I11" s="17"/>
      <c r="J11" s="17"/>
    </row>
    <row r="12" spans="2:12" x14ac:dyDescent="0.55000000000000004">
      <c r="B12" s="17"/>
      <c r="C12" s="17"/>
      <c r="D12" s="17"/>
      <c r="E12" s="17"/>
      <c r="F12" s="17"/>
      <c r="G12" s="17"/>
      <c r="H12" s="17"/>
      <c r="I12" s="17"/>
      <c r="J12" s="17"/>
    </row>
  </sheetData>
  <hyperlinks>
    <hyperlink ref="L1" location="Menu!A1" display="Return to menu"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01"/>
  <sheetViews>
    <sheetView showGridLines="0" zoomScale="70" zoomScaleNormal="70" workbookViewId="0">
      <selection activeCell="S1" sqref="S1"/>
    </sheetView>
  </sheetViews>
  <sheetFormatPr defaultColWidth="8.83984375" defaultRowHeight="10.199999999999999" x14ac:dyDescent="0.55000000000000004"/>
  <cols>
    <col min="1" max="1" width="3.41796875" style="511" customWidth="1"/>
    <col min="2" max="2" width="12.83984375" style="511" customWidth="1"/>
    <col min="3" max="4" width="14" style="511" customWidth="1"/>
    <col min="5" max="5" width="3.15625" style="511" customWidth="1"/>
    <col min="6" max="6" width="14" style="511" customWidth="1"/>
    <col min="7" max="7" width="3.15625" style="511" customWidth="1"/>
    <col min="8" max="8" width="13.26171875" style="511" customWidth="1"/>
    <col min="9" max="9" width="3.15625" style="511" customWidth="1"/>
    <col min="10" max="10" width="4.83984375" style="511" customWidth="1"/>
    <col min="11" max="11" width="13.41796875" style="511" customWidth="1"/>
    <col min="12" max="13" width="11.41796875" style="511" customWidth="1"/>
    <col min="14" max="16" width="3.15625" style="511" customWidth="1"/>
    <col min="17" max="17" width="3.41796875" style="511" customWidth="1"/>
    <col min="18" max="18" width="8.83984375" style="511"/>
    <col min="19" max="19" width="20.68359375" style="511" customWidth="1"/>
    <col min="20" max="20" width="8.83984375" style="511"/>
    <col min="21" max="21" width="99.15625" style="511" customWidth="1"/>
    <col min="22" max="22" width="52.41796875" style="511" customWidth="1"/>
    <col min="23" max="23" width="19.68359375" style="511" customWidth="1"/>
    <col min="24" max="24" width="15" style="511" customWidth="1"/>
    <col min="25" max="255" width="8.83984375" style="511"/>
    <col min="256" max="256" width="3.41796875" style="511" customWidth="1"/>
    <col min="257" max="257" width="12.83984375" style="511" customWidth="1"/>
    <col min="258" max="259" width="14" style="511" customWidth="1"/>
    <col min="260" max="260" width="3.15625" style="511" customWidth="1"/>
    <col min="261" max="261" width="2.41796875" style="511" customWidth="1"/>
    <col min="262" max="262" width="14" style="511" customWidth="1"/>
    <col min="263" max="263" width="3.15625" style="511" customWidth="1"/>
    <col min="264" max="264" width="13.26171875" style="511" customWidth="1"/>
    <col min="265" max="265" width="3.15625" style="511" customWidth="1"/>
    <col min="266" max="266" width="4.83984375" style="511" customWidth="1"/>
    <col min="267" max="269" width="11.41796875" style="511" customWidth="1"/>
    <col min="270" max="272" width="3.15625" style="511" customWidth="1"/>
    <col min="273" max="273" width="3.41796875" style="511" customWidth="1"/>
    <col min="274" max="511" width="8.83984375" style="511"/>
    <col min="512" max="512" width="3.41796875" style="511" customWidth="1"/>
    <col min="513" max="513" width="12.83984375" style="511" customWidth="1"/>
    <col min="514" max="515" width="14" style="511" customWidth="1"/>
    <col min="516" max="516" width="3.15625" style="511" customWidth="1"/>
    <col min="517" max="517" width="2.41796875" style="511" customWidth="1"/>
    <col min="518" max="518" width="14" style="511" customWidth="1"/>
    <col min="519" max="519" width="3.15625" style="511" customWidth="1"/>
    <col min="520" max="520" width="13.26171875" style="511" customWidth="1"/>
    <col min="521" max="521" width="3.15625" style="511" customWidth="1"/>
    <col min="522" max="522" width="4.83984375" style="511" customWidth="1"/>
    <col min="523" max="525" width="11.41796875" style="511" customWidth="1"/>
    <col min="526" max="528" width="3.15625" style="511" customWidth="1"/>
    <col min="529" max="529" width="3.41796875" style="511" customWidth="1"/>
    <col min="530" max="767" width="8.83984375" style="511"/>
    <col min="768" max="768" width="3.41796875" style="511" customWidth="1"/>
    <col min="769" max="769" width="12.83984375" style="511" customWidth="1"/>
    <col min="770" max="771" width="14" style="511" customWidth="1"/>
    <col min="772" max="772" width="3.15625" style="511" customWidth="1"/>
    <col min="773" max="773" width="2.41796875" style="511" customWidth="1"/>
    <col min="774" max="774" width="14" style="511" customWidth="1"/>
    <col min="775" max="775" width="3.15625" style="511" customWidth="1"/>
    <col min="776" max="776" width="13.26171875" style="511" customWidth="1"/>
    <col min="777" max="777" width="3.15625" style="511" customWidth="1"/>
    <col min="778" max="778" width="4.83984375" style="511" customWidth="1"/>
    <col min="779" max="781" width="11.41796875" style="511" customWidth="1"/>
    <col min="782" max="784" width="3.15625" style="511" customWidth="1"/>
    <col min="785" max="785" width="3.41796875" style="511" customWidth="1"/>
    <col min="786" max="1023" width="8.83984375" style="511"/>
    <col min="1024" max="1024" width="3.41796875" style="511" customWidth="1"/>
    <col min="1025" max="1025" width="12.83984375" style="511" customWidth="1"/>
    <col min="1026" max="1027" width="14" style="511" customWidth="1"/>
    <col min="1028" max="1028" width="3.15625" style="511" customWidth="1"/>
    <col min="1029" max="1029" width="2.41796875" style="511" customWidth="1"/>
    <col min="1030" max="1030" width="14" style="511" customWidth="1"/>
    <col min="1031" max="1031" width="3.15625" style="511" customWidth="1"/>
    <col min="1032" max="1032" width="13.26171875" style="511" customWidth="1"/>
    <col min="1033" max="1033" width="3.15625" style="511" customWidth="1"/>
    <col min="1034" max="1034" width="4.83984375" style="511" customWidth="1"/>
    <col min="1035" max="1037" width="11.41796875" style="511" customWidth="1"/>
    <col min="1038" max="1040" width="3.15625" style="511" customWidth="1"/>
    <col min="1041" max="1041" width="3.41796875" style="511" customWidth="1"/>
    <col min="1042" max="1279" width="8.83984375" style="511"/>
    <col min="1280" max="1280" width="3.41796875" style="511" customWidth="1"/>
    <col min="1281" max="1281" width="12.83984375" style="511" customWidth="1"/>
    <col min="1282" max="1283" width="14" style="511" customWidth="1"/>
    <col min="1284" max="1284" width="3.15625" style="511" customWidth="1"/>
    <col min="1285" max="1285" width="2.41796875" style="511" customWidth="1"/>
    <col min="1286" max="1286" width="14" style="511" customWidth="1"/>
    <col min="1287" max="1287" width="3.15625" style="511" customWidth="1"/>
    <col min="1288" max="1288" width="13.26171875" style="511" customWidth="1"/>
    <col min="1289" max="1289" width="3.15625" style="511" customWidth="1"/>
    <col min="1290" max="1290" width="4.83984375" style="511" customWidth="1"/>
    <col min="1291" max="1293" width="11.41796875" style="511" customWidth="1"/>
    <col min="1294" max="1296" width="3.15625" style="511" customWidth="1"/>
    <col min="1297" max="1297" width="3.41796875" style="511" customWidth="1"/>
    <col min="1298" max="1535" width="8.83984375" style="511"/>
    <col min="1536" max="1536" width="3.41796875" style="511" customWidth="1"/>
    <col min="1537" max="1537" width="12.83984375" style="511" customWidth="1"/>
    <col min="1538" max="1539" width="14" style="511" customWidth="1"/>
    <col min="1540" max="1540" width="3.15625" style="511" customWidth="1"/>
    <col min="1541" max="1541" width="2.41796875" style="511" customWidth="1"/>
    <col min="1542" max="1542" width="14" style="511" customWidth="1"/>
    <col min="1543" max="1543" width="3.15625" style="511" customWidth="1"/>
    <col min="1544" max="1544" width="13.26171875" style="511" customWidth="1"/>
    <col min="1545" max="1545" width="3.15625" style="511" customWidth="1"/>
    <col min="1546" max="1546" width="4.83984375" style="511" customWidth="1"/>
    <col min="1547" max="1549" width="11.41796875" style="511" customWidth="1"/>
    <col min="1550" max="1552" width="3.15625" style="511" customWidth="1"/>
    <col min="1553" max="1553" width="3.41796875" style="511" customWidth="1"/>
    <col min="1554" max="1791" width="8.83984375" style="511"/>
    <col min="1792" max="1792" width="3.41796875" style="511" customWidth="1"/>
    <col min="1793" max="1793" width="12.83984375" style="511" customWidth="1"/>
    <col min="1794" max="1795" width="14" style="511" customWidth="1"/>
    <col min="1796" max="1796" width="3.15625" style="511" customWidth="1"/>
    <col min="1797" max="1797" width="2.41796875" style="511" customWidth="1"/>
    <col min="1798" max="1798" width="14" style="511" customWidth="1"/>
    <col min="1799" max="1799" width="3.15625" style="511" customWidth="1"/>
    <col min="1800" max="1800" width="13.26171875" style="511" customWidth="1"/>
    <col min="1801" max="1801" width="3.15625" style="511" customWidth="1"/>
    <col min="1802" max="1802" width="4.83984375" style="511" customWidth="1"/>
    <col min="1803" max="1805" width="11.41796875" style="511" customWidth="1"/>
    <col min="1806" max="1808" width="3.15625" style="511" customWidth="1"/>
    <col min="1809" max="1809" width="3.41796875" style="511" customWidth="1"/>
    <col min="1810" max="2047" width="8.83984375" style="511"/>
    <col min="2048" max="2048" width="3.41796875" style="511" customWidth="1"/>
    <col min="2049" max="2049" width="12.83984375" style="511" customWidth="1"/>
    <col min="2050" max="2051" width="14" style="511" customWidth="1"/>
    <col min="2052" max="2052" width="3.15625" style="511" customWidth="1"/>
    <col min="2053" max="2053" width="2.41796875" style="511" customWidth="1"/>
    <col min="2054" max="2054" width="14" style="511" customWidth="1"/>
    <col min="2055" max="2055" width="3.15625" style="511" customWidth="1"/>
    <col min="2056" max="2056" width="13.26171875" style="511" customWidth="1"/>
    <col min="2057" max="2057" width="3.15625" style="511" customWidth="1"/>
    <col min="2058" max="2058" width="4.83984375" style="511" customWidth="1"/>
    <col min="2059" max="2061" width="11.41796875" style="511" customWidth="1"/>
    <col min="2062" max="2064" width="3.15625" style="511" customWidth="1"/>
    <col min="2065" max="2065" width="3.41796875" style="511" customWidth="1"/>
    <col min="2066" max="2303" width="8.83984375" style="511"/>
    <col min="2304" max="2304" width="3.41796875" style="511" customWidth="1"/>
    <col min="2305" max="2305" width="12.83984375" style="511" customWidth="1"/>
    <col min="2306" max="2307" width="14" style="511" customWidth="1"/>
    <col min="2308" max="2308" width="3.15625" style="511" customWidth="1"/>
    <col min="2309" max="2309" width="2.41796875" style="511" customWidth="1"/>
    <col min="2310" max="2310" width="14" style="511" customWidth="1"/>
    <col min="2311" max="2311" width="3.15625" style="511" customWidth="1"/>
    <col min="2312" max="2312" width="13.26171875" style="511" customWidth="1"/>
    <col min="2313" max="2313" width="3.15625" style="511" customWidth="1"/>
    <col min="2314" max="2314" width="4.83984375" style="511" customWidth="1"/>
    <col min="2315" max="2317" width="11.41796875" style="511" customWidth="1"/>
    <col min="2318" max="2320" width="3.15625" style="511" customWidth="1"/>
    <col min="2321" max="2321" width="3.41796875" style="511" customWidth="1"/>
    <col min="2322" max="2559" width="8.83984375" style="511"/>
    <col min="2560" max="2560" width="3.41796875" style="511" customWidth="1"/>
    <col min="2561" max="2561" width="12.83984375" style="511" customWidth="1"/>
    <col min="2562" max="2563" width="14" style="511" customWidth="1"/>
    <col min="2564" max="2564" width="3.15625" style="511" customWidth="1"/>
    <col min="2565" max="2565" width="2.41796875" style="511" customWidth="1"/>
    <col min="2566" max="2566" width="14" style="511" customWidth="1"/>
    <col min="2567" max="2567" width="3.15625" style="511" customWidth="1"/>
    <col min="2568" max="2568" width="13.26171875" style="511" customWidth="1"/>
    <col min="2569" max="2569" width="3.15625" style="511" customWidth="1"/>
    <col min="2570" max="2570" width="4.83984375" style="511" customWidth="1"/>
    <col min="2571" max="2573" width="11.41796875" style="511" customWidth="1"/>
    <col min="2574" max="2576" width="3.15625" style="511" customWidth="1"/>
    <col min="2577" max="2577" width="3.41796875" style="511" customWidth="1"/>
    <col min="2578" max="2815" width="8.83984375" style="511"/>
    <col min="2816" max="2816" width="3.41796875" style="511" customWidth="1"/>
    <col min="2817" max="2817" width="12.83984375" style="511" customWidth="1"/>
    <col min="2818" max="2819" width="14" style="511" customWidth="1"/>
    <col min="2820" max="2820" width="3.15625" style="511" customWidth="1"/>
    <col min="2821" max="2821" width="2.41796875" style="511" customWidth="1"/>
    <col min="2822" max="2822" width="14" style="511" customWidth="1"/>
    <col min="2823" max="2823" width="3.15625" style="511" customWidth="1"/>
    <col min="2824" max="2824" width="13.26171875" style="511" customWidth="1"/>
    <col min="2825" max="2825" width="3.15625" style="511" customWidth="1"/>
    <col min="2826" max="2826" width="4.83984375" style="511" customWidth="1"/>
    <col min="2827" max="2829" width="11.41796875" style="511" customWidth="1"/>
    <col min="2830" max="2832" width="3.15625" style="511" customWidth="1"/>
    <col min="2833" max="2833" width="3.41796875" style="511" customWidth="1"/>
    <col min="2834" max="3071" width="8.83984375" style="511"/>
    <col min="3072" max="3072" width="3.41796875" style="511" customWidth="1"/>
    <col min="3073" max="3073" width="12.83984375" style="511" customWidth="1"/>
    <col min="3074" max="3075" width="14" style="511" customWidth="1"/>
    <col min="3076" max="3076" width="3.15625" style="511" customWidth="1"/>
    <col min="3077" max="3077" width="2.41796875" style="511" customWidth="1"/>
    <col min="3078" max="3078" width="14" style="511" customWidth="1"/>
    <col min="3079" max="3079" width="3.15625" style="511" customWidth="1"/>
    <col min="3080" max="3080" width="13.26171875" style="511" customWidth="1"/>
    <col min="3081" max="3081" width="3.15625" style="511" customWidth="1"/>
    <col min="3082" max="3082" width="4.83984375" style="511" customWidth="1"/>
    <col min="3083" max="3085" width="11.41796875" style="511" customWidth="1"/>
    <col min="3086" max="3088" width="3.15625" style="511" customWidth="1"/>
    <col min="3089" max="3089" width="3.41796875" style="511" customWidth="1"/>
    <col min="3090" max="3327" width="8.83984375" style="511"/>
    <col min="3328" max="3328" width="3.41796875" style="511" customWidth="1"/>
    <col min="3329" max="3329" width="12.83984375" style="511" customWidth="1"/>
    <col min="3330" max="3331" width="14" style="511" customWidth="1"/>
    <col min="3332" max="3332" width="3.15625" style="511" customWidth="1"/>
    <col min="3333" max="3333" width="2.41796875" style="511" customWidth="1"/>
    <col min="3334" max="3334" width="14" style="511" customWidth="1"/>
    <col min="3335" max="3335" width="3.15625" style="511" customWidth="1"/>
    <col min="3336" max="3336" width="13.26171875" style="511" customWidth="1"/>
    <col min="3337" max="3337" width="3.15625" style="511" customWidth="1"/>
    <col min="3338" max="3338" width="4.83984375" style="511" customWidth="1"/>
    <col min="3339" max="3341" width="11.41796875" style="511" customWidth="1"/>
    <col min="3342" max="3344" width="3.15625" style="511" customWidth="1"/>
    <col min="3345" max="3345" width="3.41796875" style="511" customWidth="1"/>
    <col min="3346" max="3583" width="8.83984375" style="511"/>
    <col min="3584" max="3584" width="3.41796875" style="511" customWidth="1"/>
    <col min="3585" max="3585" width="12.83984375" style="511" customWidth="1"/>
    <col min="3586" max="3587" width="14" style="511" customWidth="1"/>
    <col min="3588" max="3588" width="3.15625" style="511" customWidth="1"/>
    <col min="3589" max="3589" width="2.41796875" style="511" customWidth="1"/>
    <col min="3590" max="3590" width="14" style="511" customWidth="1"/>
    <col min="3591" max="3591" width="3.15625" style="511" customWidth="1"/>
    <col min="3592" max="3592" width="13.26171875" style="511" customWidth="1"/>
    <col min="3593" max="3593" width="3.15625" style="511" customWidth="1"/>
    <col min="3594" max="3594" width="4.83984375" style="511" customWidth="1"/>
    <col min="3595" max="3597" width="11.41796875" style="511" customWidth="1"/>
    <col min="3598" max="3600" width="3.15625" style="511" customWidth="1"/>
    <col min="3601" max="3601" width="3.41796875" style="511" customWidth="1"/>
    <col min="3602" max="3839" width="8.83984375" style="511"/>
    <col min="3840" max="3840" width="3.41796875" style="511" customWidth="1"/>
    <col min="3841" max="3841" width="12.83984375" style="511" customWidth="1"/>
    <col min="3842" max="3843" width="14" style="511" customWidth="1"/>
    <col min="3844" max="3844" width="3.15625" style="511" customWidth="1"/>
    <col min="3845" max="3845" width="2.41796875" style="511" customWidth="1"/>
    <col min="3846" max="3846" width="14" style="511" customWidth="1"/>
    <col min="3847" max="3847" width="3.15625" style="511" customWidth="1"/>
    <col min="3848" max="3848" width="13.26171875" style="511" customWidth="1"/>
    <col min="3849" max="3849" width="3.15625" style="511" customWidth="1"/>
    <col min="3850" max="3850" width="4.83984375" style="511" customWidth="1"/>
    <col min="3851" max="3853" width="11.41796875" style="511" customWidth="1"/>
    <col min="3854" max="3856" width="3.15625" style="511" customWidth="1"/>
    <col min="3857" max="3857" width="3.41796875" style="511" customWidth="1"/>
    <col min="3858" max="4095" width="8.83984375" style="511"/>
    <col min="4096" max="4096" width="3.41796875" style="511" customWidth="1"/>
    <col min="4097" max="4097" width="12.83984375" style="511" customWidth="1"/>
    <col min="4098" max="4099" width="14" style="511" customWidth="1"/>
    <col min="4100" max="4100" width="3.15625" style="511" customWidth="1"/>
    <col min="4101" max="4101" width="2.41796875" style="511" customWidth="1"/>
    <col min="4102" max="4102" width="14" style="511" customWidth="1"/>
    <col min="4103" max="4103" width="3.15625" style="511" customWidth="1"/>
    <col min="4104" max="4104" width="13.26171875" style="511" customWidth="1"/>
    <col min="4105" max="4105" width="3.15625" style="511" customWidth="1"/>
    <col min="4106" max="4106" width="4.83984375" style="511" customWidth="1"/>
    <col min="4107" max="4109" width="11.41796875" style="511" customWidth="1"/>
    <col min="4110" max="4112" width="3.15625" style="511" customWidth="1"/>
    <col min="4113" max="4113" width="3.41796875" style="511" customWidth="1"/>
    <col min="4114" max="4351" width="8.83984375" style="511"/>
    <col min="4352" max="4352" width="3.41796875" style="511" customWidth="1"/>
    <col min="4353" max="4353" width="12.83984375" style="511" customWidth="1"/>
    <col min="4354" max="4355" width="14" style="511" customWidth="1"/>
    <col min="4356" max="4356" width="3.15625" style="511" customWidth="1"/>
    <col min="4357" max="4357" width="2.41796875" style="511" customWidth="1"/>
    <col min="4358" max="4358" width="14" style="511" customWidth="1"/>
    <col min="4359" max="4359" width="3.15625" style="511" customWidth="1"/>
    <col min="4360" max="4360" width="13.26171875" style="511" customWidth="1"/>
    <col min="4361" max="4361" width="3.15625" style="511" customWidth="1"/>
    <col min="4362" max="4362" width="4.83984375" style="511" customWidth="1"/>
    <col min="4363" max="4365" width="11.41796875" style="511" customWidth="1"/>
    <col min="4366" max="4368" width="3.15625" style="511" customWidth="1"/>
    <col min="4369" max="4369" width="3.41796875" style="511" customWidth="1"/>
    <col min="4370" max="4607" width="8.83984375" style="511"/>
    <col min="4608" max="4608" width="3.41796875" style="511" customWidth="1"/>
    <col min="4609" max="4609" width="12.83984375" style="511" customWidth="1"/>
    <col min="4610" max="4611" width="14" style="511" customWidth="1"/>
    <col min="4612" max="4612" width="3.15625" style="511" customWidth="1"/>
    <col min="4613" max="4613" width="2.41796875" style="511" customWidth="1"/>
    <col min="4614" max="4614" width="14" style="511" customWidth="1"/>
    <col min="4615" max="4615" width="3.15625" style="511" customWidth="1"/>
    <col min="4616" max="4616" width="13.26171875" style="511" customWidth="1"/>
    <col min="4617" max="4617" width="3.15625" style="511" customWidth="1"/>
    <col min="4618" max="4618" width="4.83984375" style="511" customWidth="1"/>
    <col min="4619" max="4621" width="11.41796875" style="511" customWidth="1"/>
    <col min="4622" max="4624" width="3.15625" style="511" customWidth="1"/>
    <col min="4625" max="4625" width="3.41796875" style="511" customWidth="1"/>
    <col min="4626" max="4863" width="8.83984375" style="511"/>
    <col min="4864" max="4864" width="3.41796875" style="511" customWidth="1"/>
    <col min="4865" max="4865" width="12.83984375" style="511" customWidth="1"/>
    <col min="4866" max="4867" width="14" style="511" customWidth="1"/>
    <col min="4868" max="4868" width="3.15625" style="511" customWidth="1"/>
    <col min="4869" max="4869" width="2.41796875" style="511" customWidth="1"/>
    <col min="4870" max="4870" width="14" style="511" customWidth="1"/>
    <col min="4871" max="4871" width="3.15625" style="511" customWidth="1"/>
    <col min="4872" max="4872" width="13.26171875" style="511" customWidth="1"/>
    <col min="4873" max="4873" width="3.15625" style="511" customWidth="1"/>
    <col min="4874" max="4874" width="4.83984375" style="511" customWidth="1"/>
    <col min="4875" max="4877" width="11.41796875" style="511" customWidth="1"/>
    <col min="4878" max="4880" width="3.15625" style="511" customWidth="1"/>
    <col min="4881" max="4881" width="3.41796875" style="511" customWidth="1"/>
    <col min="4882" max="5119" width="8.83984375" style="511"/>
    <col min="5120" max="5120" width="3.41796875" style="511" customWidth="1"/>
    <col min="5121" max="5121" width="12.83984375" style="511" customWidth="1"/>
    <col min="5122" max="5123" width="14" style="511" customWidth="1"/>
    <col min="5124" max="5124" width="3.15625" style="511" customWidth="1"/>
    <col min="5125" max="5125" width="2.41796875" style="511" customWidth="1"/>
    <col min="5126" max="5126" width="14" style="511" customWidth="1"/>
    <col min="5127" max="5127" width="3.15625" style="511" customWidth="1"/>
    <col min="5128" max="5128" width="13.26171875" style="511" customWidth="1"/>
    <col min="5129" max="5129" width="3.15625" style="511" customWidth="1"/>
    <col min="5130" max="5130" width="4.83984375" style="511" customWidth="1"/>
    <col min="5131" max="5133" width="11.41796875" style="511" customWidth="1"/>
    <col min="5134" max="5136" width="3.15625" style="511" customWidth="1"/>
    <col min="5137" max="5137" width="3.41796875" style="511" customWidth="1"/>
    <col min="5138" max="5375" width="8.83984375" style="511"/>
    <col min="5376" max="5376" width="3.41796875" style="511" customWidth="1"/>
    <col min="5377" max="5377" width="12.83984375" style="511" customWidth="1"/>
    <col min="5378" max="5379" width="14" style="511" customWidth="1"/>
    <col min="5380" max="5380" width="3.15625" style="511" customWidth="1"/>
    <col min="5381" max="5381" width="2.41796875" style="511" customWidth="1"/>
    <col min="5382" max="5382" width="14" style="511" customWidth="1"/>
    <col min="5383" max="5383" width="3.15625" style="511" customWidth="1"/>
    <col min="5384" max="5384" width="13.26171875" style="511" customWidth="1"/>
    <col min="5385" max="5385" width="3.15625" style="511" customWidth="1"/>
    <col min="5386" max="5386" width="4.83984375" style="511" customWidth="1"/>
    <col min="5387" max="5389" width="11.41796875" style="511" customWidth="1"/>
    <col min="5390" max="5392" width="3.15625" style="511" customWidth="1"/>
    <col min="5393" max="5393" width="3.41796875" style="511" customWidth="1"/>
    <col min="5394" max="5631" width="8.83984375" style="511"/>
    <col min="5632" max="5632" width="3.41796875" style="511" customWidth="1"/>
    <col min="5633" max="5633" width="12.83984375" style="511" customWidth="1"/>
    <col min="5634" max="5635" width="14" style="511" customWidth="1"/>
    <col min="5636" max="5636" width="3.15625" style="511" customWidth="1"/>
    <col min="5637" max="5637" width="2.41796875" style="511" customWidth="1"/>
    <col min="5638" max="5638" width="14" style="511" customWidth="1"/>
    <col min="5639" max="5639" width="3.15625" style="511" customWidth="1"/>
    <col min="5640" max="5640" width="13.26171875" style="511" customWidth="1"/>
    <col min="5641" max="5641" width="3.15625" style="511" customWidth="1"/>
    <col min="5642" max="5642" width="4.83984375" style="511" customWidth="1"/>
    <col min="5643" max="5645" width="11.41796875" style="511" customWidth="1"/>
    <col min="5646" max="5648" width="3.15625" style="511" customWidth="1"/>
    <col min="5649" max="5649" width="3.41796875" style="511" customWidth="1"/>
    <col min="5650" max="5887" width="8.83984375" style="511"/>
    <col min="5888" max="5888" width="3.41796875" style="511" customWidth="1"/>
    <col min="5889" max="5889" width="12.83984375" style="511" customWidth="1"/>
    <col min="5890" max="5891" width="14" style="511" customWidth="1"/>
    <col min="5892" max="5892" width="3.15625" style="511" customWidth="1"/>
    <col min="5893" max="5893" width="2.41796875" style="511" customWidth="1"/>
    <col min="5894" max="5894" width="14" style="511" customWidth="1"/>
    <col min="5895" max="5895" width="3.15625" style="511" customWidth="1"/>
    <col min="5896" max="5896" width="13.26171875" style="511" customWidth="1"/>
    <col min="5897" max="5897" width="3.15625" style="511" customWidth="1"/>
    <col min="5898" max="5898" width="4.83984375" style="511" customWidth="1"/>
    <col min="5899" max="5901" width="11.41796875" style="511" customWidth="1"/>
    <col min="5902" max="5904" width="3.15625" style="511" customWidth="1"/>
    <col min="5905" max="5905" width="3.41796875" style="511" customWidth="1"/>
    <col min="5906" max="6143" width="8.83984375" style="511"/>
    <col min="6144" max="6144" width="3.41796875" style="511" customWidth="1"/>
    <col min="6145" max="6145" width="12.83984375" style="511" customWidth="1"/>
    <col min="6146" max="6147" width="14" style="511" customWidth="1"/>
    <col min="6148" max="6148" width="3.15625" style="511" customWidth="1"/>
    <col min="6149" max="6149" width="2.41796875" style="511" customWidth="1"/>
    <col min="6150" max="6150" width="14" style="511" customWidth="1"/>
    <col min="6151" max="6151" width="3.15625" style="511" customWidth="1"/>
    <col min="6152" max="6152" width="13.26171875" style="511" customWidth="1"/>
    <col min="6153" max="6153" width="3.15625" style="511" customWidth="1"/>
    <col min="6154" max="6154" width="4.83984375" style="511" customWidth="1"/>
    <col min="6155" max="6157" width="11.41796875" style="511" customWidth="1"/>
    <col min="6158" max="6160" width="3.15625" style="511" customWidth="1"/>
    <col min="6161" max="6161" width="3.41796875" style="511" customWidth="1"/>
    <col min="6162" max="6399" width="8.83984375" style="511"/>
    <col min="6400" max="6400" width="3.41796875" style="511" customWidth="1"/>
    <col min="6401" max="6401" width="12.83984375" style="511" customWidth="1"/>
    <col min="6402" max="6403" width="14" style="511" customWidth="1"/>
    <col min="6404" max="6404" width="3.15625" style="511" customWidth="1"/>
    <col min="6405" max="6405" width="2.41796875" style="511" customWidth="1"/>
    <col min="6406" max="6406" width="14" style="511" customWidth="1"/>
    <col min="6407" max="6407" width="3.15625" style="511" customWidth="1"/>
    <col min="6408" max="6408" width="13.26171875" style="511" customWidth="1"/>
    <col min="6409" max="6409" width="3.15625" style="511" customWidth="1"/>
    <col min="6410" max="6410" width="4.83984375" style="511" customWidth="1"/>
    <col min="6411" max="6413" width="11.41796875" style="511" customWidth="1"/>
    <col min="6414" max="6416" width="3.15625" style="511" customWidth="1"/>
    <col min="6417" max="6417" width="3.41796875" style="511" customWidth="1"/>
    <col min="6418" max="6655" width="8.83984375" style="511"/>
    <col min="6656" max="6656" width="3.41796875" style="511" customWidth="1"/>
    <col min="6657" max="6657" width="12.83984375" style="511" customWidth="1"/>
    <col min="6658" max="6659" width="14" style="511" customWidth="1"/>
    <col min="6660" max="6660" width="3.15625" style="511" customWidth="1"/>
    <col min="6661" max="6661" width="2.41796875" style="511" customWidth="1"/>
    <col min="6662" max="6662" width="14" style="511" customWidth="1"/>
    <col min="6663" max="6663" width="3.15625" style="511" customWidth="1"/>
    <col min="6664" max="6664" width="13.26171875" style="511" customWidth="1"/>
    <col min="6665" max="6665" width="3.15625" style="511" customWidth="1"/>
    <col min="6666" max="6666" width="4.83984375" style="511" customWidth="1"/>
    <col min="6667" max="6669" width="11.41796875" style="511" customWidth="1"/>
    <col min="6670" max="6672" width="3.15625" style="511" customWidth="1"/>
    <col min="6673" max="6673" width="3.41796875" style="511" customWidth="1"/>
    <col min="6674" max="6911" width="8.83984375" style="511"/>
    <col min="6912" max="6912" width="3.41796875" style="511" customWidth="1"/>
    <col min="6913" max="6913" width="12.83984375" style="511" customWidth="1"/>
    <col min="6914" max="6915" width="14" style="511" customWidth="1"/>
    <col min="6916" max="6916" width="3.15625" style="511" customWidth="1"/>
    <col min="6917" max="6917" width="2.41796875" style="511" customWidth="1"/>
    <col min="6918" max="6918" width="14" style="511" customWidth="1"/>
    <col min="6919" max="6919" width="3.15625" style="511" customWidth="1"/>
    <col min="6920" max="6920" width="13.26171875" style="511" customWidth="1"/>
    <col min="6921" max="6921" width="3.15625" style="511" customWidth="1"/>
    <col min="6922" max="6922" width="4.83984375" style="511" customWidth="1"/>
    <col min="6923" max="6925" width="11.41796875" style="511" customWidth="1"/>
    <col min="6926" max="6928" width="3.15625" style="511" customWidth="1"/>
    <col min="6929" max="6929" width="3.41796875" style="511" customWidth="1"/>
    <col min="6930" max="7167" width="8.83984375" style="511"/>
    <col min="7168" max="7168" width="3.41796875" style="511" customWidth="1"/>
    <col min="7169" max="7169" width="12.83984375" style="511" customWidth="1"/>
    <col min="7170" max="7171" width="14" style="511" customWidth="1"/>
    <col min="7172" max="7172" width="3.15625" style="511" customWidth="1"/>
    <col min="7173" max="7173" width="2.41796875" style="511" customWidth="1"/>
    <col min="7174" max="7174" width="14" style="511" customWidth="1"/>
    <col min="7175" max="7175" width="3.15625" style="511" customWidth="1"/>
    <col min="7176" max="7176" width="13.26171875" style="511" customWidth="1"/>
    <col min="7177" max="7177" width="3.15625" style="511" customWidth="1"/>
    <col min="7178" max="7178" width="4.83984375" style="511" customWidth="1"/>
    <col min="7179" max="7181" width="11.41796875" style="511" customWidth="1"/>
    <col min="7182" max="7184" width="3.15625" style="511" customWidth="1"/>
    <col min="7185" max="7185" width="3.41796875" style="511" customWidth="1"/>
    <col min="7186" max="7423" width="8.83984375" style="511"/>
    <col min="7424" max="7424" width="3.41796875" style="511" customWidth="1"/>
    <col min="7425" max="7425" width="12.83984375" style="511" customWidth="1"/>
    <col min="7426" max="7427" width="14" style="511" customWidth="1"/>
    <col min="7428" max="7428" width="3.15625" style="511" customWidth="1"/>
    <col min="7429" max="7429" width="2.41796875" style="511" customWidth="1"/>
    <col min="7430" max="7430" width="14" style="511" customWidth="1"/>
    <col min="7431" max="7431" width="3.15625" style="511" customWidth="1"/>
    <col min="7432" max="7432" width="13.26171875" style="511" customWidth="1"/>
    <col min="7433" max="7433" width="3.15625" style="511" customWidth="1"/>
    <col min="7434" max="7434" width="4.83984375" style="511" customWidth="1"/>
    <col min="7435" max="7437" width="11.41796875" style="511" customWidth="1"/>
    <col min="7438" max="7440" width="3.15625" style="511" customWidth="1"/>
    <col min="7441" max="7441" width="3.41796875" style="511" customWidth="1"/>
    <col min="7442" max="7679" width="8.83984375" style="511"/>
    <col min="7680" max="7680" width="3.41796875" style="511" customWidth="1"/>
    <col min="7681" max="7681" width="12.83984375" style="511" customWidth="1"/>
    <col min="7682" max="7683" width="14" style="511" customWidth="1"/>
    <col min="7684" max="7684" width="3.15625" style="511" customWidth="1"/>
    <col min="7685" max="7685" width="2.41796875" style="511" customWidth="1"/>
    <col min="7686" max="7686" width="14" style="511" customWidth="1"/>
    <col min="7687" max="7687" width="3.15625" style="511" customWidth="1"/>
    <col min="7688" max="7688" width="13.26171875" style="511" customWidth="1"/>
    <col min="7689" max="7689" width="3.15625" style="511" customWidth="1"/>
    <col min="7690" max="7690" width="4.83984375" style="511" customWidth="1"/>
    <col min="7691" max="7693" width="11.41796875" style="511" customWidth="1"/>
    <col min="7694" max="7696" width="3.15625" style="511" customWidth="1"/>
    <col min="7697" max="7697" width="3.41796875" style="511" customWidth="1"/>
    <col min="7698" max="7935" width="8.83984375" style="511"/>
    <col min="7936" max="7936" width="3.41796875" style="511" customWidth="1"/>
    <col min="7937" max="7937" width="12.83984375" style="511" customWidth="1"/>
    <col min="7938" max="7939" width="14" style="511" customWidth="1"/>
    <col min="7940" max="7940" width="3.15625" style="511" customWidth="1"/>
    <col min="7941" max="7941" width="2.41796875" style="511" customWidth="1"/>
    <col min="7942" max="7942" width="14" style="511" customWidth="1"/>
    <col min="7943" max="7943" width="3.15625" style="511" customWidth="1"/>
    <col min="7944" max="7944" width="13.26171875" style="511" customWidth="1"/>
    <col min="7945" max="7945" width="3.15625" style="511" customWidth="1"/>
    <col min="7946" max="7946" width="4.83984375" style="511" customWidth="1"/>
    <col min="7947" max="7949" width="11.41796875" style="511" customWidth="1"/>
    <col min="7950" max="7952" width="3.15625" style="511" customWidth="1"/>
    <col min="7953" max="7953" width="3.41796875" style="511" customWidth="1"/>
    <col min="7954" max="8191" width="8.83984375" style="511"/>
    <col min="8192" max="8192" width="3.41796875" style="511" customWidth="1"/>
    <col min="8193" max="8193" width="12.83984375" style="511" customWidth="1"/>
    <col min="8194" max="8195" width="14" style="511" customWidth="1"/>
    <col min="8196" max="8196" width="3.15625" style="511" customWidth="1"/>
    <col min="8197" max="8197" width="2.41796875" style="511" customWidth="1"/>
    <col min="8198" max="8198" width="14" style="511" customWidth="1"/>
    <col min="8199" max="8199" width="3.15625" style="511" customWidth="1"/>
    <col min="8200" max="8200" width="13.26171875" style="511" customWidth="1"/>
    <col min="8201" max="8201" width="3.15625" style="511" customWidth="1"/>
    <col min="8202" max="8202" width="4.83984375" style="511" customWidth="1"/>
    <col min="8203" max="8205" width="11.41796875" style="511" customWidth="1"/>
    <col min="8206" max="8208" width="3.15625" style="511" customWidth="1"/>
    <col min="8209" max="8209" width="3.41796875" style="511" customWidth="1"/>
    <col min="8210" max="8447" width="8.83984375" style="511"/>
    <col min="8448" max="8448" width="3.41796875" style="511" customWidth="1"/>
    <col min="8449" max="8449" width="12.83984375" style="511" customWidth="1"/>
    <col min="8450" max="8451" width="14" style="511" customWidth="1"/>
    <col min="8452" max="8452" width="3.15625" style="511" customWidth="1"/>
    <col min="8453" max="8453" width="2.41796875" style="511" customWidth="1"/>
    <col min="8454" max="8454" width="14" style="511" customWidth="1"/>
    <col min="8455" max="8455" width="3.15625" style="511" customWidth="1"/>
    <col min="8456" max="8456" width="13.26171875" style="511" customWidth="1"/>
    <col min="8457" max="8457" width="3.15625" style="511" customWidth="1"/>
    <col min="8458" max="8458" width="4.83984375" style="511" customWidth="1"/>
    <col min="8459" max="8461" width="11.41796875" style="511" customWidth="1"/>
    <col min="8462" max="8464" width="3.15625" style="511" customWidth="1"/>
    <col min="8465" max="8465" width="3.41796875" style="511" customWidth="1"/>
    <col min="8466" max="8703" width="8.83984375" style="511"/>
    <col min="8704" max="8704" width="3.41796875" style="511" customWidth="1"/>
    <col min="8705" max="8705" width="12.83984375" style="511" customWidth="1"/>
    <col min="8706" max="8707" width="14" style="511" customWidth="1"/>
    <col min="8708" max="8708" width="3.15625" style="511" customWidth="1"/>
    <col min="8709" max="8709" width="2.41796875" style="511" customWidth="1"/>
    <col min="8710" max="8710" width="14" style="511" customWidth="1"/>
    <col min="8711" max="8711" width="3.15625" style="511" customWidth="1"/>
    <col min="8712" max="8712" width="13.26171875" style="511" customWidth="1"/>
    <col min="8713" max="8713" width="3.15625" style="511" customWidth="1"/>
    <col min="8714" max="8714" width="4.83984375" style="511" customWidth="1"/>
    <col min="8715" max="8717" width="11.41796875" style="511" customWidth="1"/>
    <col min="8718" max="8720" width="3.15625" style="511" customWidth="1"/>
    <col min="8721" max="8721" width="3.41796875" style="511" customWidth="1"/>
    <col min="8722" max="8959" width="8.83984375" style="511"/>
    <col min="8960" max="8960" width="3.41796875" style="511" customWidth="1"/>
    <col min="8961" max="8961" width="12.83984375" style="511" customWidth="1"/>
    <col min="8962" max="8963" width="14" style="511" customWidth="1"/>
    <col min="8964" max="8964" width="3.15625" style="511" customWidth="1"/>
    <col min="8965" max="8965" width="2.41796875" style="511" customWidth="1"/>
    <col min="8966" max="8966" width="14" style="511" customWidth="1"/>
    <col min="8967" max="8967" width="3.15625" style="511" customWidth="1"/>
    <col min="8968" max="8968" width="13.26171875" style="511" customWidth="1"/>
    <col min="8969" max="8969" width="3.15625" style="511" customWidth="1"/>
    <col min="8970" max="8970" width="4.83984375" style="511" customWidth="1"/>
    <col min="8971" max="8973" width="11.41796875" style="511" customWidth="1"/>
    <col min="8974" max="8976" width="3.15625" style="511" customWidth="1"/>
    <col min="8977" max="8977" width="3.41796875" style="511" customWidth="1"/>
    <col min="8978" max="9215" width="8.83984375" style="511"/>
    <col min="9216" max="9216" width="3.41796875" style="511" customWidth="1"/>
    <col min="9217" max="9217" width="12.83984375" style="511" customWidth="1"/>
    <col min="9218" max="9219" width="14" style="511" customWidth="1"/>
    <col min="9220" max="9220" width="3.15625" style="511" customWidth="1"/>
    <col min="9221" max="9221" width="2.41796875" style="511" customWidth="1"/>
    <col min="9222" max="9222" width="14" style="511" customWidth="1"/>
    <col min="9223" max="9223" width="3.15625" style="511" customWidth="1"/>
    <col min="9224" max="9224" width="13.26171875" style="511" customWidth="1"/>
    <col min="9225" max="9225" width="3.15625" style="511" customWidth="1"/>
    <col min="9226" max="9226" width="4.83984375" style="511" customWidth="1"/>
    <col min="9227" max="9229" width="11.41796875" style="511" customWidth="1"/>
    <col min="9230" max="9232" width="3.15625" style="511" customWidth="1"/>
    <col min="9233" max="9233" width="3.41796875" style="511" customWidth="1"/>
    <col min="9234" max="9471" width="8.83984375" style="511"/>
    <col min="9472" max="9472" width="3.41796875" style="511" customWidth="1"/>
    <col min="9473" max="9473" width="12.83984375" style="511" customWidth="1"/>
    <col min="9474" max="9475" width="14" style="511" customWidth="1"/>
    <col min="9476" max="9476" width="3.15625" style="511" customWidth="1"/>
    <col min="9477" max="9477" width="2.41796875" style="511" customWidth="1"/>
    <col min="9478" max="9478" width="14" style="511" customWidth="1"/>
    <col min="9479" max="9479" width="3.15625" style="511" customWidth="1"/>
    <col min="9480" max="9480" width="13.26171875" style="511" customWidth="1"/>
    <col min="9481" max="9481" width="3.15625" style="511" customWidth="1"/>
    <col min="9482" max="9482" width="4.83984375" style="511" customWidth="1"/>
    <col min="9483" max="9485" width="11.41796875" style="511" customWidth="1"/>
    <col min="9486" max="9488" width="3.15625" style="511" customWidth="1"/>
    <col min="9489" max="9489" width="3.41796875" style="511" customWidth="1"/>
    <col min="9490" max="9727" width="8.83984375" style="511"/>
    <col min="9728" max="9728" width="3.41796875" style="511" customWidth="1"/>
    <col min="9729" max="9729" width="12.83984375" style="511" customWidth="1"/>
    <col min="9730" max="9731" width="14" style="511" customWidth="1"/>
    <col min="9732" max="9732" width="3.15625" style="511" customWidth="1"/>
    <col min="9733" max="9733" width="2.41796875" style="511" customWidth="1"/>
    <col min="9734" max="9734" width="14" style="511" customWidth="1"/>
    <col min="9735" max="9735" width="3.15625" style="511" customWidth="1"/>
    <col min="9736" max="9736" width="13.26171875" style="511" customWidth="1"/>
    <col min="9737" max="9737" width="3.15625" style="511" customWidth="1"/>
    <col min="9738" max="9738" width="4.83984375" style="511" customWidth="1"/>
    <col min="9739" max="9741" width="11.41796875" style="511" customWidth="1"/>
    <col min="9742" max="9744" width="3.15625" style="511" customWidth="1"/>
    <col min="9745" max="9745" width="3.41796875" style="511" customWidth="1"/>
    <col min="9746" max="9983" width="8.83984375" style="511"/>
    <col min="9984" max="9984" width="3.41796875" style="511" customWidth="1"/>
    <col min="9985" max="9985" width="12.83984375" style="511" customWidth="1"/>
    <col min="9986" max="9987" width="14" style="511" customWidth="1"/>
    <col min="9988" max="9988" width="3.15625" style="511" customWidth="1"/>
    <col min="9989" max="9989" width="2.41796875" style="511" customWidth="1"/>
    <col min="9990" max="9990" width="14" style="511" customWidth="1"/>
    <col min="9991" max="9991" width="3.15625" style="511" customWidth="1"/>
    <col min="9992" max="9992" width="13.26171875" style="511" customWidth="1"/>
    <col min="9993" max="9993" width="3.15625" style="511" customWidth="1"/>
    <col min="9994" max="9994" width="4.83984375" style="511" customWidth="1"/>
    <col min="9995" max="9997" width="11.41796875" style="511" customWidth="1"/>
    <col min="9998" max="10000" width="3.15625" style="511" customWidth="1"/>
    <col min="10001" max="10001" width="3.41796875" style="511" customWidth="1"/>
    <col min="10002" max="10239" width="8.83984375" style="511"/>
    <col min="10240" max="10240" width="3.41796875" style="511" customWidth="1"/>
    <col min="10241" max="10241" width="12.83984375" style="511" customWidth="1"/>
    <col min="10242" max="10243" width="14" style="511" customWidth="1"/>
    <col min="10244" max="10244" width="3.15625" style="511" customWidth="1"/>
    <col min="10245" max="10245" width="2.41796875" style="511" customWidth="1"/>
    <col min="10246" max="10246" width="14" style="511" customWidth="1"/>
    <col min="10247" max="10247" width="3.15625" style="511" customWidth="1"/>
    <col min="10248" max="10248" width="13.26171875" style="511" customWidth="1"/>
    <col min="10249" max="10249" width="3.15625" style="511" customWidth="1"/>
    <col min="10250" max="10250" width="4.83984375" style="511" customWidth="1"/>
    <col min="10251" max="10253" width="11.41796875" style="511" customWidth="1"/>
    <col min="10254" max="10256" width="3.15625" style="511" customWidth="1"/>
    <col min="10257" max="10257" width="3.41796875" style="511" customWidth="1"/>
    <col min="10258" max="10495" width="8.83984375" style="511"/>
    <col min="10496" max="10496" width="3.41796875" style="511" customWidth="1"/>
    <col min="10497" max="10497" width="12.83984375" style="511" customWidth="1"/>
    <col min="10498" max="10499" width="14" style="511" customWidth="1"/>
    <col min="10500" max="10500" width="3.15625" style="511" customWidth="1"/>
    <col min="10501" max="10501" width="2.41796875" style="511" customWidth="1"/>
    <col min="10502" max="10502" width="14" style="511" customWidth="1"/>
    <col min="10503" max="10503" width="3.15625" style="511" customWidth="1"/>
    <col min="10504" max="10504" width="13.26171875" style="511" customWidth="1"/>
    <col min="10505" max="10505" width="3.15625" style="511" customWidth="1"/>
    <col min="10506" max="10506" width="4.83984375" style="511" customWidth="1"/>
    <col min="10507" max="10509" width="11.41796875" style="511" customWidth="1"/>
    <col min="10510" max="10512" width="3.15625" style="511" customWidth="1"/>
    <col min="10513" max="10513" width="3.41796875" style="511" customWidth="1"/>
    <col min="10514" max="10751" width="8.83984375" style="511"/>
    <col min="10752" max="10752" width="3.41796875" style="511" customWidth="1"/>
    <col min="10753" max="10753" width="12.83984375" style="511" customWidth="1"/>
    <col min="10754" max="10755" width="14" style="511" customWidth="1"/>
    <col min="10756" max="10756" width="3.15625" style="511" customWidth="1"/>
    <col min="10757" max="10757" width="2.41796875" style="511" customWidth="1"/>
    <col min="10758" max="10758" width="14" style="511" customWidth="1"/>
    <col min="10759" max="10759" width="3.15625" style="511" customWidth="1"/>
    <col min="10760" max="10760" width="13.26171875" style="511" customWidth="1"/>
    <col min="10761" max="10761" width="3.15625" style="511" customWidth="1"/>
    <col min="10762" max="10762" width="4.83984375" style="511" customWidth="1"/>
    <col min="10763" max="10765" width="11.41796875" style="511" customWidth="1"/>
    <col min="10766" max="10768" width="3.15625" style="511" customWidth="1"/>
    <col min="10769" max="10769" width="3.41796875" style="511" customWidth="1"/>
    <col min="10770" max="11007" width="8.83984375" style="511"/>
    <col min="11008" max="11008" width="3.41796875" style="511" customWidth="1"/>
    <col min="11009" max="11009" width="12.83984375" style="511" customWidth="1"/>
    <col min="11010" max="11011" width="14" style="511" customWidth="1"/>
    <col min="11012" max="11012" width="3.15625" style="511" customWidth="1"/>
    <col min="11013" max="11013" width="2.41796875" style="511" customWidth="1"/>
    <col min="11014" max="11014" width="14" style="511" customWidth="1"/>
    <col min="11015" max="11015" width="3.15625" style="511" customWidth="1"/>
    <col min="11016" max="11016" width="13.26171875" style="511" customWidth="1"/>
    <col min="11017" max="11017" width="3.15625" style="511" customWidth="1"/>
    <col min="11018" max="11018" width="4.83984375" style="511" customWidth="1"/>
    <col min="11019" max="11021" width="11.41796875" style="511" customWidth="1"/>
    <col min="11022" max="11024" width="3.15625" style="511" customWidth="1"/>
    <col min="11025" max="11025" width="3.41796875" style="511" customWidth="1"/>
    <col min="11026" max="11263" width="8.83984375" style="511"/>
    <col min="11264" max="11264" width="3.41796875" style="511" customWidth="1"/>
    <col min="11265" max="11265" width="12.83984375" style="511" customWidth="1"/>
    <col min="11266" max="11267" width="14" style="511" customWidth="1"/>
    <col min="11268" max="11268" width="3.15625" style="511" customWidth="1"/>
    <col min="11269" max="11269" width="2.41796875" style="511" customWidth="1"/>
    <col min="11270" max="11270" width="14" style="511" customWidth="1"/>
    <col min="11271" max="11271" width="3.15625" style="511" customWidth="1"/>
    <col min="11272" max="11272" width="13.26171875" style="511" customWidth="1"/>
    <col min="11273" max="11273" width="3.15625" style="511" customWidth="1"/>
    <col min="11274" max="11274" width="4.83984375" style="511" customWidth="1"/>
    <col min="11275" max="11277" width="11.41796875" style="511" customWidth="1"/>
    <col min="11278" max="11280" width="3.15625" style="511" customWidth="1"/>
    <col min="11281" max="11281" width="3.41796875" style="511" customWidth="1"/>
    <col min="11282" max="11519" width="8.83984375" style="511"/>
    <col min="11520" max="11520" width="3.41796875" style="511" customWidth="1"/>
    <col min="11521" max="11521" width="12.83984375" style="511" customWidth="1"/>
    <col min="11522" max="11523" width="14" style="511" customWidth="1"/>
    <col min="11524" max="11524" width="3.15625" style="511" customWidth="1"/>
    <col min="11525" max="11525" width="2.41796875" style="511" customWidth="1"/>
    <col min="11526" max="11526" width="14" style="511" customWidth="1"/>
    <col min="11527" max="11527" width="3.15625" style="511" customWidth="1"/>
    <col min="11528" max="11528" width="13.26171875" style="511" customWidth="1"/>
    <col min="11529" max="11529" width="3.15625" style="511" customWidth="1"/>
    <col min="11530" max="11530" width="4.83984375" style="511" customWidth="1"/>
    <col min="11531" max="11533" width="11.41796875" style="511" customWidth="1"/>
    <col min="11534" max="11536" width="3.15625" style="511" customWidth="1"/>
    <col min="11537" max="11537" width="3.41796875" style="511" customWidth="1"/>
    <col min="11538" max="11775" width="8.83984375" style="511"/>
    <col min="11776" max="11776" width="3.41796875" style="511" customWidth="1"/>
    <col min="11777" max="11777" width="12.83984375" style="511" customWidth="1"/>
    <col min="11778" max="11779" width="14" style="511" customWidth="1"/>
    <col min="11780" max="11780" width="3.15625" style="511" customWidth="1"/>
    <col min="11781" max="11781" width="2.41796875" style="511" customWidth="1"/>
    <col min="11782" max="11782" width="14" style="511" customWidth="1"/>
    <col min="11783" max="11783" width="3.15625" style="511" customWidth="1"/>
    <col min="11784" max="11784" width="13.26171875" style="511" customWidth="1"/>
    <col min="11785" max="11785" width="3.15625" style="511" customWidth="1"/>
    <col min="11786" max="11786" width="4.83984375" style="511" customWidth="1"/>
    <col min="11787" max="11789" width="11.41796875" style="511" customWidth="1"/>
    <col min="11790" max="11792" width="3.15625" style="511" customWidth="1"/>
    <col min="11793" max="11793" width="3.41796875" style="511" customWidth="1"/>
    <col min="11794" max="12031" width="8.83984375" style="511"/>
    <col min="12032" max="12032" width="3.41796875" style="511" customWidth="1"/>
    <col min="12033" max="12033" width="12.83984375" style="511" customWidth="1"/>
    <col min="12034" max="12035" width="14" style="511" customWidth="1"/>
    <col min="12036" max="12036" width="3.15625" style="511" customWidth="1"/>
    <col min="12037" max="12037" width="2.41796875" style="511" customWidth="1"/>
    <col min="12038" max="12038" width="14" style="511" customWidth="1"/>
    <col min="12039" max="12039" width="3.15625" style="511" customWidth="1"/>
    <col min="12040" max="12040" width="13.26171875" style="511" customWidth="1"/>
    <col min="12041" max="12041" width="3.15625" style="511" customWidth="1"/>
    <col min="12042" max="12042" width="4.83984375" style="511" customWidth="1"/>
    <col min="12043" max="12045" width="11.41796875" style="511" customWidth="1"/>
    <col min="12046" max="12048" width="3.15625" style="511" customWidth="1"/>
    <col min="12049" max="12049" width="3.41796875" style="511" customWidth="1"/>
    <col min="12050" max="12287" width="8.83984375" style="511"/>
    <col min="12288" max="12288" width="3.41796875" style="511" customWidth="1"/>
    <col min="12289" max="12289" width="12.83984375" style="511" customWidth="1"/>
    <col min="12290" max="12291" width="14" style="511" customWidth="1"/>
    <col min="12292" max="12292" width="3.15625" style="511" customWidth="1"/>
    <col min="12293" max="12293" width="2.41796875" style="511" customWidth="1"/>
    <col min="12294" max="12294" width="14" style="511" customWidth="1"/>
    <col min="12295" max="12295" width="3.15625" style="511" customWidth="1"/>
    <col min="12296" max="12296" width="13.26171875" style="511" customWidth="1"/>
    <col min="12297" max="12297" width="3.15625" style="511" customWidth="1"/>
    <col min="12298" max="12298" width="4.83984375" style="511" customWidth="1"/>
    <col min="12299" max="12301" width="11.41796875" style="511" customWidth="1"/>
    <col min="12302" max="12304" width="3.15625" style="511" customWidth="1"/>
    <col min="12305" max="12305" width="3.41796875" style="511" customWidth="1"/>
    <col min="12306" max="12543" width="8.83984375" style="511"/>
    <col min="12544" max="12544" width="3.41796875" style="511" customWidth="1"/>
    <col min="12545" max="12545" width="12.83984375" style="511" customWidth="1"/>
    <col min="12546" max="12547" width="14" style="511" customWidth="1"/>
    <col min="12548" max="12548" width="3.15625" style="511" customWidth="1"/>
    <col min="12549" max="12549" width="2.41796875" style="511" customWidth="1"/>
    <col min="12550" max="12550" width="14" style="511" customWidth="1"/>
    <col min="12551" max="12551" width="3.15625" style="511" customWidth="1"/>
    <col min="12552" max="12552" width="13.26171875" style="511" customWidth="1"/>
    <col min="12553" max="12553" width="3.15625" style="511" customWidth="1"/>
    <col min="12554" max="12554" width="4.83984375" style="511" customWidth="1"/>
    <col min="12555" max="12557" width="11.41796875" style="511" customWidth="1"/>
    <col min="12558" max="12560" width="3.15625" style="511" customWidth="1"/>
    <col min="12561" max="12561" width="3.41796875" style="511" customWidth="1"/>
    <col min="12562" max="12799" width="8.83984375" style="511"/>
    <col min="12800" max="12800" width="3.41796875" style="511" customWidth="1"/>
    <col min="12801" max="12801" width="12.83984375" style="511" customWidth="1"/>
    <col min="12802" max="12803" width="14" style="511" customWidth="1"/>
    <col min="12804" max="12804" width="3.15625" style="511" customWidth="1"/>
    <col min="12805" max="12805" width="2.41796875" style="511" customWidth="1"/>
    <col min="12806" max="12806" width="14" style="511" customWidth="1"/>
    <col min="12807" max="12807" width="3.15625" style="511" customWidth="1"/>
    <col min="12808" max="12808" width="13.26171875" style="511" customWidth="1"/>
    <col min="12809" max="12809" width="3.15625" style="511" customWidth="1"/>
    <col min="12810" max="12810" width="4.83984375" style="511" customWidth="1"/>
    <col min="12811" max="12813" width="11.41796875" style="511" customWidth="1"/>
    <col min="12814" max="12816" width="3.15625" style="511" customWidth="1"/>
    <col min="12817" max="12817" width="3.41796875" style="511" customWidth="1"/>
    <col min="12818" max="13055" width="8.83984375" style="511"/>
    <col min="13056" max="13056" width="3.41796875" style="511" customWidth="1"/>
    <col min="13057" max="13057" width="12.83984375" style="511" customWidth="1"/>
    <col min="13058" max="13059" width="14" style="511" customWidth="1"/>
    <col min="13060" max="13060" width="3.15625" style="511" customWidth="1"/>
    <col min="13061" max="13061" width="2.41796875" style="511" customWidth="1"/>
    <col min="13062" max="13062" width="14" style="511" customWidth="1"/>
    <col min="13063" max="13063" width="3.15625" style="511" customWidth="1"/>
    <col min="13064" max="13064" width="13.26171875" style="511" customWidth="1"/>
    <col min="13065" max="13065" width="3.15625" style="511" customWidth="1"/>
    <col min="13066" max="13066" width="4.83984375" style="511" customWidth="1"/>
    <col min="13067" max="13069" width="11.41796875" style="511" customWidth="1"/>
    <col min="13070" max="13072" width="3.15625" style="511" customWidth="1"/>
    <col min="13073" max="13073" width="3.41796875" style="511" customWidth="1"/>
    <col min="13074" max="13311" width="8.83984375" style="511"/>
    <col min="13312" max="13312" width="3.41796875" style="511" customWidth="1"/>
    <col min="13313" max="13313" width="12.83984375" style="511" customWidth="1"/>
    <col min="13314" max="13315" width="14" style="511" customWidth="1"/>
    <col min="13316" max="13316" width="3.15625" style="511" customWidth="1"/>
    <col min="13317" max="13317" width="2.41796875" style="511" customWidth="1"/>
    <col min="13318" max="13318" width="14" style="511" customWidth="1"/>
    <col min="13319" max="13319" width="3.15625" style="511" customWidth="1"/>
    <col min="13320" max="13320" width="13.26171875" style="511" customWidth="1"/>
    <col min="13321" max="13321" width="3.15625" style="511" customWidth="1"/>
    <col min="13322" max="13322" width="4.83984375" style="511" customWidth="1"/>
    <col min="13323" max="13325" width="11.41796875" style="511" customWidth="1"/>
    <col min="13326" max="13328" width="3.15625" style="511" customWidth="1"/>
    <col min="13329" max="13329" width="3.41796875" style="511" customWidth="1"/>
    <col min="13330" max="13567" width="8.83984375" style="511"/>
    <col min="13568" max="13568" width="3.41796875" style="511" customWidth="1"/>
    <col min="13569" max="13569" width="12.83984375" style="511" customWidth="1"/>
    <col min="13570" max="13571" width="14" style="511" customWidth="1"/>
    <col min="13572" max="13572" width="3.15625" style="511" customWidth="1"/>
    <col min="13573" max="13573" width="2.41796875" style="511" customWidth="1"/>
    <col min="13574" max="13574" width="14" style="511" customWidth="1"/>
    <col min="13575" max="13575" width="3.15625" style="511" customWidth="1"/>
    <col min="13576" max="13576" width="13.26171875" style="511" customWidth="1"/>
    <col min="13577" max="13577" width="3.15625" style="511" customWidth="1"/>
    <col min="13578" max="13578" width="4.83984375" style="511" customWidth="1"/>
    <col min="13579" max="13581" width="11.41796875" style="511" customWidth="1"/>
    <col min="13582" max="13584" width="3.15625" style="511" customWidth="1"/>
    <col min="13585" max="13585" width="3.41796875" style="511" customWidth="1"/>
    <col min="13586" max="13823" width="8.83984375" style="511"/>
    <col min="13824" max="13824" width="3.41796875" style="511" customWidth="1"/>
    <col min="13825" max="13825" width="12.83984375" style="511" customWidth="1"/>
    <col min="13826" max="13827" width="14" style="511" customWidth="1"/>
    <col min="13828" max="13828" width="3.15625" style="511" customWidth="1"/>
    <col min="13829" max="13829" width="2.41796875" style="511" customWidth="1"/>
    <col min="13830" max="13830" width="14" style="511" customWidth="1"/>
    <col min="13831" max="13831" width="3.15625" style="511" customWidth="1"/>
    <col min="13832" max="13832" width="13.26171875" style="511" customWidth="1"/>
    <col min="13833" max="13833" width="3.15625" style="511" customWidth="1"/>
    <col min="13834" max="13834" width="4.83984375" style="511" customWidth="1"/>
    <col min="13835" max="13837" width="11.41796875" style="511" customWidth="1"/>
    <col min="13838" max="13840" width="3.15625" style="511" customWidth="1"/>
    <col min="13841" max="13841" width="3.41796875" style="511" customWidth="1"/>
    <col min="13842" max="14079" width="8.83984375" style="511"/>
    <col min="14080" max="14080" width="3.41796875" style="511" customWidth="1"/>
    <col min="14081" max="14081" width="12.83984375" style="511" customWidth="1"/>
    <col min="14082" max="14083" width="14" style="511" customWidth="1"/>
    <col min="14084" max="14084" width="3.15625" style="511" customWidth="1"/>
    <col min="14085" max="14085" width="2.41796875" style="511" customWidth="1"/>
    <col min="14086" max="14086" width="14" style="511" customWidth="1"/>
    <col min="14087" max="14087" width="3.15625" style="511" customWidth="1"/>
    <col min="14088" max="14088" width="13.26171875" style="511" customWidth="1"/>
    <col min="14089" max="14089" width="3.15625" style="511" customWidth="1"/>
    <col min="14090" max="14090" width="4.83984375" style="511" customWidth="1"/>
    <col min="14091" max="14093" width="11.41796875" style="511" customWidth="1"/>
    <col min="14094" max="14096" width="3.15625" style="511" customWidth="1"/>
    <col min="14097" max="14097" width="3.41796875" style="511" customWidth="1"/>
    <col min="14098" max="14335" width="8.83984375" style="511"/>
    <col min="14336" max="14336" width="3.41796875" style="511" customWidth="1"/>
    <col min="14337" max="14337" width="12.83984375" style="511" customWidth="1"/>
    <col min="14338" max="14339" width="14" style="511" customWidth="1"/>
    <col min="14340" max="14340" width="3.15625" style="511" customWidth="1"/>
    <col min="14341" max="14341" width="2.41796875" style="511" customWidth="1"/>
    <col min="14342" max="14342" width="14" style="511" customWidth="1"/>
    <col min="14343" max="14343" width="3.15625" style="511" customWidth="1"/>
    <col min="14344" max="14344" width="13.26171875" style="511" customWidth="1"/>
    <col min="14345" max="14345" width="3.15625" style="511" customWidth="1"/>
    <col min="14346" max="14346" width="4.83984375" style="511" customWidth="1"/>
    <col min="14347" max="14349" width="11.41796875" style="511" customWidth="1"/>
    <col min="14350" max="14352" width="3.15625" style="511" customWidth="1"/>
    <col min="14353" max="14353" width="3.41796875" style="511" customWidth="1"/>
    <col min="14354" max="14591" width="8.83984375" style="511"/>
    <col min="14592" max="14592" width="3.41796875" style="511" customWidth="1"/>
    <col min="14593" max="14593" width="12.83984375" style="511" customWidth="1"/>
    <col min="14594" max="14595" width="14" style="511" customWidth="1"/>
    <col min="14596" max="14596" width="3.15625" style="511" customWidth="1"/>
    <col min="14597" max="14597" width="2.41796875" style="511" customWidth="1"/>
    <col min="14598" max="14598" width="14" style="511" customWidth="1"/>
    <col min="14599" max="14599" width="3.15625" style="511" customWidth="1"/>
    <col min="14600" max="14600" width="13.26171875" style="511" customWidth="1"/>
    <col min="14601" max="14601" width="3.15625" style="511" customWidth="1"/>
    <col min="14602" max="14602" width="4.83984375" style="511" customWidth="1"/>
    <col min="14603" max="14605" width="11.41796875" style="511" customWidth="1"/>
    <col min="14606" max="14608" width="3.15625" style="511" customWidth="1"/>
    <col min="14609" max="14609" width="3.41796875" style="511" customWidth="1"/>
    <col min="14610" max="14847" width="8.83984375" style="511"/>
    <col min="14848" max="14848" width="3.41796875" style="511" customWidth="1"/>
    <col min="14849" max="14849" width="12.83984375" style="511" customWidth="1"/>
    <col min="14850" max="14851" width="14" style="511" customWidth="1"/>
    <col min="14852" max="14852" width="3.15625" style="511" customWidth="1"/>
    <col min="14853" max="14853" width="2.41796875" style="511" customWidth="1"/>
    <col min="14854" max="14854" width="14" style="511" customWidth="1"/>
    <col min="14855" max="14855" width="3.15625" style="511" customWidth="1"/>
    <col min="14856" max="14856" width="13.26171875" style="511" customWidth="1"/>
    <col min="14857" max="14857" width="3.15625" style="511" customWidth="1"/>
    <col min="14858" max="14858" width="4.83984375" style="511" customWidth="1"/>
    <col min="14859" max="14861" width="11.41796875" style="511" customWidth="1"/>
    <col min="14862" max="14864" width="3.15625" style="511" customWidth="1"/>
    <col min="14865" max="14865" width="3.41796875" style="511" customWidth="1"/>
    <col min="14866" max="15103" width="8.83984375" style="511"/>
    <col min="15104" max="15104" width="3.41796875" style="511" customWidth="1"/>
    <col min="15105" max="15105" width="12.83984375" style="511" customWidth="1"/>
    <col min="15106" max="15107" width="14" style="511" customWidth="1"/>
    <col min="15108" max="15108" width="3.15625" style="511" customWidth="1"/>
    <col min="15109" max="15109" width="2.41796875" style="511" customWidth="1"/>
    <col min="15110" max="15110" width="14" style="511" customWidth="1"/>
    <col min="15111" max="15111" width="3.15625" style="511" customWidth="1"/>
    <col min="15112" max="15112" width="13.26171875" style="511" customWidth="1"/>
    <col min="15113" max="15113" width="3.15625" style="511" customWidth="1"/>
    <col min="15114" max="15114" width="4.83984375" style="511" customWidth="1"/>
    <col min="15115" max="15117" width="11.41796875" style="511" customWidth="1"/>
    <col min="15118" max="15120" width="3.15625" style="511" customWidth="1"/>
    <col min="15121" max="15121" width="3.41796875" style="511" customWidth="1"/>
    <col min="15122" max="15359" width="8.83984375" style="511"/>
    <col min="15360" max="15360" width="3.41796875" style="511" customWidth="1"/>
    <col min="15361" max="15361" width="12.83984375" style="511" customWidth="1"/>
    <col min="15362" max="15363" width="14" style="511" customWidth="1"/>
    <col min="15364" max="15364" width="3.15625" style="511" customWidth="1"/>
    <col min="15365" max="15365" width="2.41796875" style="511" customWidth="1"/>
    <col min="15366" max="15366" width="14" style="511" customWidth="1"/>
    <col min="15367" max="15367" width="3.15625" style="511" customWidth="1"/>
    <col min="15368" max="15368" width="13.26171875" style="511" customWidth="1"/>
    <col min="15369" max="15369" width="3.15625" style="511" customWidth="1"/>
    <col min="15370" max="15370" width="4.83984375" style="511" customWidth="1"/>
    <col min="15371" max="15373" width="11.41796875" style="511" customWidth="1"/>
    <col min="15374" max="15376" width="3.15625" style="511" customWidth="1"/>
    <col min="15377" max="15377" width="3.41796875" style="511" customWidth="1"/>
    <col min="15378" max="15615" width="8.83984375" style="511"/>
    <col min="15616" max="15616" width="3.41796875" style="511" customWidth="1"/>
    <col min="15617" max="15617" width="12.83984375" style="511" customWidth="1"/>
    <col min="15618" max="15619" width="14" style="511" customWidth="1"/>
    <col min="15620" max="15620" width="3.15625" style="511" customWidth="1"/>
    <col min="15621" max="15621" width="2.41796875" style="511" customWidth="1"/>
    <col min="15622" max="15622" width="14" style="511" customWidth="1"/>
    <col min="15623" max="15623" width="3.15625" style="511" customWidth="1"/>
    <col min="15624" max="15624" width="13.26171875" style="511" customWidth="1"/>
    <col min="15625" max="15625" width="3.15625" style="511" customWidth="1"/>
    <col min="15626" max="15626" width="4.83984375" style="511" customWidth="1"/>
    <col min="15627" max="15629" width="11.41796875" style="511" customWidth="1"/>
    <col min="15630" max="15632" width="3.15625" style="511" customWidth="1"/>
    <col min="15633" max="15633" width="3.41796875" style="511" customWidth="1"/>
    <col min="15634" max="15871" width="8.83984375" style="511"/>
    <col min="15872" max="15872" width="3.41796875" style="511" customWidth="1"/>
    <col min="15873" max="15873" width="12.83984375" style="511" customWidth="1"/>
    <col min="15874" max="15875" width="14" style="511" customWidth="1"/>
    <col min="15876" max="15876" width="3.15625" style="511" customWidth="1"/>
    <col min="15877" max="15877" width="2.41796875" style="511" customWidth="1"/>
    <col min="15878" max="15878" width="14" style="511" customWidth="1"/>
    <col min="15879" max="15879" width="3.15625" style="511" customWidth="1"/>
    <col min="15880" max="15880" width="13.26171875" style="511" customWidth="1"/>
    <col min="15881" max="15881" width="3.15625" style="511" customWidth="1"/>
    <col min="15882" max="15882" width="4.83984375" style="511" customWidth="1"/>
    <col min="15883" max="15885" width="11.41796875" style="511" customWidth="1"/>
    <col min="15886" max="15888" width="3.15625" style="511" customWidth="1"/>
    <col min="15889" max="15889" width="3.41796875" style="511" customWidth="1"/>
    <col min="15890" max="16127" width="8.83984375" style="511"/>
    <col min="16128" max="16128" width="3.41796875" style="511" customWidth="1"/>
    <col min="16129" max="16129" width="12.83984375" style="511" customWidth="1"/>
    <col min="16130" max="16131" width="14" style="511" customWidth="1"/>
    <col min="16132" max="16132" width="3.15625" style="511" customWidth="1"/>
    <col min="16133" max="16133" width="2.41796875" style="511" customWidth="1"/>
    <col min="16134" max="16134" width="14" style="511" customWidth="1"/>
    <col min="16135" max="16135" width="3.15625" style="511" customWidth="1"/>
    <col min="16136" max="16136" width="13.26171875" style="511" customWidth="1"/>
    <col min="16137" max="16137" width="3.15625" style="511" customWidth="1"/>
    <col min="16138" max="16138" width="4.83984375" style="511" customWidth="1"/>
    <col min="16139" max="16141" width="11.41796875" style="511" customWidth="1"/>
    <col min="16142" max="16144" width="3.15625" style="511" customWidth="1"/>
    <col min="16145" max="16145" width="3.41796875" style="511" customWidth="1"/>
    <col min="16146" max="16384" width="8.83984375" style="511"/>
  </cols>
  <sheetData>
    <row r="1" spans="1:24" s="503" customFormat="1" ht="37.799999999999997" thickBot="1" x14ac:dyDescent="0.6">
      <c r="A1" s="496" t="s">
        <v>504</v>
      </c>
      <c r="B1" s="497" t="s">
        <v>505</v>
      </c>
      <c r="C1" s="497" t="s">
        <v>506</v>
      </c>
      <c r="D1" s="497" t="s">
        <v>507</v>
      </c>
      <c r="E1" s="498" t="s">
        <v>508</v>
      </c>
      <c r="F1" s="497" t="s">
        <v>509</v>
      </c>
      <c r="G1" s="498" t="s">
        <v>510</v>
      </c>
      <c r="H1" s="497" t="s">
        <v>511</v>
      </c>
      <c r="I1" s="499" t="s">
        <v>512</v>
      </c>
      <c r="J1" s="500" t="s">
        <v>513</v>
      </c>
      <c r="K1" s="497" t="s">
        <v>514</v>
      </c>
      <c r="L1" s="497" t="s">
        <v>515</v>
      </c>
      <c r="M1" s="497" t="s">
        <v>516</v>
      </c>
      <c r="N1" s="501" t="s">
        <v>508</v>
      </c>
      <c r="O1" s="501" t="s">
        <v>510</v>
      </c>
      <c r="P1" s="501" t="s">
        <v>512</v>
      </c>
      <c r="Q1" s="502" t="s">
        <v>513</v>
      </c>
      <c r="S1" s="504" t="s">
        <v>20</v>
      </c>
    </row>
    <row r="2" spans="1:24" ht="20.100000000000001" customHeight="1" thickBot="1" x14ac:dyDescent="0.6">
      <c r="A2" s="505">
        <v>1</v>
      </c>
      <c r="B2" s="506" t="s">
        <v>517</v>
      </c>
      <c r="C2" s="506" t="s">
        <v>518</v>
      </c>
      <c r="D2" s="506" t="s">
        <v>519</v>
      </c>
      <c r="E2" s="507">
        <v>7</v>
      </c>
      <c r="F2" s="506" t="s">
        <v>520</v>
      </c>
      <c r="G2" s="507">
        <v>6</v>
      </c>
      <c r="H2" s="506" t="s">
        <v>521</v>
      </c>
      <c r="I2" s="508">
        <v>9</v>
      </c>
      <c r="J2" s="509">
        <f t="shared" ref="J2:J65" si="0">IF(E2*G2*I2=0," ",E2*G2*I2)</f>
        <v>378</v>
      </c>
      <c r="K2" s="506" t="s">
        <v>522</v>
      </c>
      <c r="L2" s="506" t="s">
        <v>523</v>
      </c>
      <c r="M2" s="506" t="s">
        <v>524</v>
      </c>
      <c r="N2" s="506">
        <v>8</v>
      </c>
      <c r="O2" s="506">
        <v>3</v>
      </c>
      <c r="P2" s="506">
        <v>6</v>
      </c>
      <c r="Q2" s="510">
        <f>N2*O2*P2</f>
        <v>144</v>
      </c>
      <c r="U2" s="512" t="s">
        <v>525</v>
      </c>
      <c r="V2" s="513" t="s">
        <v>526</v>
      </c>
      <c r="X2" s="514"/>
    </row>
    <row r="3" spans="1:24" ht="20.100000000000001" customHeight="1" x14ac:dyDescent="0.55000000000000004">
      <c r="A3" s="505">
        <f>A2+1</f>
        <v>2</v>
      </c>
      <c r="B3" s="506" t="s">
        <v>517</v>
      </c>
      <c r="C3" s="506" t="s">
        <v>527</v>
      </c>
      <c r="D3" s="506" t="s">
        <v>528</v>
      </c>
      <c r="E3" s="507">
        <v>9</v>
      </c>
      <c r="F3" s="506" t="s">
        <v>529</v>
      </c>
      <c r="G3" s="507">
        <v>5</v>
      </c>
      <c r="H3" s="506" t="s">
        <v>521</v>
      </c>
      <c r="I3" s="508">
        <v>9</v>
      </c>
      <c r="J3" s="509">
        <f t="shared" si="0"/>
        <v>405</v>
      </c>
      <c r="K3" s="506" t="s">
        <v>530</v>
      </c>
      <c r="L3" s="506" t="s">
        <v>531</v>
      </c>
      <c r="M3" s="506" t="s">
        <v>532</v>
      </c>
      <c r="N3" s="506">
        <v>6</v>
      </c>
      <c r="O3" s="506">
        <v>2</v>
      </c>
      <c r="P3" s="506">
        <v>4</v>
      </c>
      <c r="Q3" s="510">
        <f t="shared" ref="Q3:Q66" si="1">N3*O3*P3</f>
        <v>48</v>
      </c>
      <c r="U3" s="515" t="s">
        <v>533</v>
      </c>
      <c r="V3" s="516">
        <v>10</v>
      </c>
      <c r="X3" s="514"/>
    </row>
    <row r="4" spans="1:24" ht="20.100000000000001" customHeight="1" x14ac:dyDescent="0.55000000000000004">
      <c r="A4" s="505">
        <f t="shared" ref="A4:A67" si="2">A3+1</f>
        <v>3</v>
      </c>
      <c r="B4" s="506"/>
      <c r="C4" s="506"/>
      <c r="D4" s="506"/>
      <c r="E4" s="507"/>
      <c r="F4" s="506"/>
      <c r="G4" s="507"/>
      <c r="H4" s="506"/>
      <c r="I4" s="508"/>
      <c r="J4" s="509" t="str">
        <f t="shared" si="0"/>
        <v xml:space="preserve"> </v>
      </c>
      <c r="K4" s="506"/>
      <c r="L4" s="506"/>
      <c r="M4" s="506"/>
      <c r="N4" s="506"/>
      <c r="O4" s="506"/>
      <c r="P4" s="506"/>
      <c r="Q4" s="510">
        <f t="shared" si="1"/>
        <v>0</v>
      </c>
      <c r="U4" s="515" t="s">
        <v>534</v>
      </c>
      <c r="V4" s="516">
        <v>9</v>
      </c>
      <c r="X4" s="514"/>
    </row>
    <row r="5" spans="1:24" ht="20.100000000000001" customHeight="1" x14ac:dyDescent="0.55000000000000004">
      <c r="A5" s="505">
        <f t="shared" si="2"/>
        <v>4</v>
      </c>
      <c r="B5" s="506"/>
      <c r="C5" s="506"/>
      <c r="D5" s="506"/>
      <c r="E5" s="507"/>
      <c r="F5" s="506"/>
      <c r="G5" s="507"/>
      <c r="H5" s="506"/>
      <c r="I5" s="508"/>
      <c r="J5" s="509" t="str">
        <f t="shared" si="0"/>
        <v xml:space="preserve"> </v>
      </c>
      <c r="K5" s="506"/>
      <c r="L5" s="506"/>
      <c r="M5" s="506"/>
      <c r="N5" s="506"/>
      <c r="O5" s="506"/>
      <c r="P5" s="506"/>
      <c r="Q5" s="510">
        <f t="shared" si="1"/>
        <v>0</v>
      </c>
      <c r="U5" s="515" t="s">
        <v>535</v>
      </c>
      <c r="V5" s="516">
        <v>8</v>
      </c>
      <c r="X5" s="514"/>
    </row>
    <row r="6" spans="1:24" ht="20.100000000000001" customHeight="1" x14ac:dyDescent="0.55000000000000004">
      <c r="A6" s="505">
        <f t="shared" si="2"/>
        <v>5</v>
      </c>
      <c r="B6" s="506"/>
      <c r="C6" s="506"/>
      <c r="D6" s="506"/>
      <c r="E6" s="507"/>
      <c r="F6" s="506"/>
      <c r="G6" s="507"/>
      <c r="H6" s="506"/>
      <c r="I6" s="508"/>
      <c r="J6" s="509" t="str">
        <f t="shared" si="0"/>
        <v xml:space="preserve"> </v>
      </c>
      <c r="K6" s="506"/>
      <c r="L6" s="506"/>
      <c r="M6" s="506"/>
      <c r="N6" s="506"/>
      <c r="O6" s="506"/>
      <c r="P6" s="506"/>
      <c r="Q6" s="510">
        <f t="shared" si="1"/>
        <v>0</v>
      </c>
      <c r="U6" s="515" t="s">
        <v>536</v>
      </c>
      <c r="V6" s="516">
        <v>7</v>
      </c>
      <c r="X6" s="514"/>
    </row>
    <row r="7" spans="1:24" ht="20.100000000000001" customHeight="1" x14ac:dyDescent="0.55000000000000004">
      <c r="A7" s="505">
        <f t="shared" si="2"/>
        <v>6</v>
      </c>
      <c r="B7" s="506"/>
      <c r="C7" s="506"/>
      <c r="D7" s="506"/>
      <c r="E7" s="507"/>
      <c r="F7" s="506"/>
      <c r="G7" s="507"/>
      <c r="H7" s="506"/>
      <c r="I7" s="508"/>
      <c r="J7" s="509" t="str">
        <f t="shared" si="0"/>
        <v xml:space="preserve"> </v>
      </c>
      <c r="K7" s="506"/>
      <c r="L7" s="506"/>
      <c r="M7" s="506"/>
      <c r="N7" s="506"/>
      <c r="O7" s="506"/>
      <c r="P7" s="506"/>
      <c r="Q7" s="510">
        <f t="shared" si="1"/>
        <v>0</v>
      </c>
      <c r="U7" s="515" t="s">
        <v>537</v>
      </c>
      <c r="V7" s="516">
        <v>6</v>
      </c>
      <c r="X7" s="514"/>
    </row>
    <row r="8" spans="1:24" ht="20.100000000000001" customHeight="1" x14ac:dyDescent="0.55000000000000004">
      <c r="A8" s="505">
        <f t="shared" si="2"/>
        <v>7</v>
      </c>
      <c r="B8" s="506"/>
      <c r="C8" s="506"/>
      <c r="D8" s="506"/>
      <c r="E8" s="507"/>
      <c r="F8" s="506"/>
      <c r="G8" s="507"/>
      <c r="H8" s="506"/>
      <c r="I8" s="508"/>
      <c r="J8" s="509" t="str">
        <f t="shared" si="0"/>
        <v xml:space="preserve"> </v>
      </c>
      <c r="K8" s="506"/>
      <c r="L8" s="506"/>
      <c r="M8" s="506"/>
      <c r="N8" s="506"/>
      <c r="O8" s="506"/>
      <c r="P8" s="506"/>
      <c r="Q8" s="510">
        <f t="shared" si="1"/>
        <v>0</v>
      </c>
      <c r="U8" s="515" t="s">
        <v>538</v>
      </c>
      <c r="V8" s="516">
        <v>5</v>
      </c>
      <c r="X8" s="514"/>
    </row>
    <row r="9" spans="1:24" ht="20.100000000000001" customHeight="1" x14ac:dyDescent="0.55000000000000004">
      <c r="A9" s="505">
        <f t="shared" si="2"/>
        <v>8</v>
      </c>
      <c r="B9" s="506"/>
      <c r="C9" s="506"/>
      <c r="D9" s="506"/>
      <c r="E9" s="507"/>
      <c r="F9" s="506"/>
      <c r="G9" s="507"/>
      <c r="H9" s="506"/>
      <c r="I9" s="508"/>
      <c r="J9" s="509" t="str">
        <f t="shared" si="0"/>
        <v xml:space="preserve"> </v>
      </c>
      <c r="K9" s="506"/>
      <c r="L9" s="506"/>
      <c r="M9" s="506"/>
      <c r="N9" s="506"/>
      <c r="O9" s="506"/>
      <c r="P9" s="506"/>
      <c r="Q9" s="510">
        <f t="shared" si="1"/>
        <v>0</v>
      </c>
      <c r="U9" s="515" t="s">
        <v>539</v>
      </c>
      <c r="V9" s="516">
        <v>4</v>
      </c>
      <c r="X9" s="514"/>
    </row>
    <row r="10" spans="1:24" ht="20.100000000000001" customHeight="1" x14ac:dyDescent="0.55000000000000004">
      <c r="A10" s="505">
        <f t="shared" si="2"/>
        <v>9</v>
      </c>
      <c r="B10" s="506"/>
      <c r="C10" s="506"/>
      <c r="D10" s="506"/>
      <c r="E10" s="507"/>
      <c r="F10" s="506"/>
      <c r="G10" s="507"/>
      <c r="H10" s="506"/>
      <c r="I10" s="508"/>
      <c r="J10" s="509" t="str">
        <f t="shared" si="0"/>
        <v xml:space="preserve"> </v>
      </c>
      <c r="K10" s="506"/>
      <c r="L10" s="506"/>
      <c r="M10" s="506"/>
      <c r="N10" s="506"/>
      <c r="O10" s="506"/>
      <c r="P10" s="506"/>
      <c r="Q10" s="510">
        <f t="shared" si="1"/>
        <v>0</v>
      </c>
      <c r="U10" s="515" t="s">
        <v>540</v>
      </c>
      <c r="V10" s="516">
        <v>3</v>
      </c>
      <c r="X10" s="514"/>
    </row>
    <row r="11" spans="1:24" ht="20.100000000000001" customHeight="1" x14ac:dyDescent="0.55000000000000004">
      <c r="A11" s="505">
        <f t="shared" si="2"/>
        <v>10</v>
      </c>
      <c r="B11" s="506"/>
      <c r="C11" s="506"/>
      <c r="D11" s="506"/>
      <c r="E11" s="507"/>
      <c r="F11" s="506"/>
      <c r="G11" s="507"/>
      <c r="H11" s="506"/>
      <c r="I11" s="508"/>
      <c r="J11" s="509" t="str">
        <f t="shared" si="0"/>
        <v xml:space="preserve"> </v>
      </c>
      <c r="K11" s="506"/>
      <c r="L11" s="506"/>
      <c r="M11" s="506"/>
      <c r="N11" s="506"/>
      <c r="O11" s="506"/>
      <c r="P11" s="506"/>
      <c r="Q11" s="510">
        <f t="shared" si="1"/>
        <v>0</v>
      </c>
      <c r="U11" s="515" t="s">
        <v>541</v>
      </c>
      <c r="V11" s="516">
        <v>2</v>
      </c>
      <c r="X11" s="514"/>
    </row>
    <row r="12" spans="1:24" ht="20.100000000000001" customHeight="1" thickBot="1" x14ac:dyDescent="0.6">
      <c r="A12" s="505">
        <f t="shared" si="2"/>
        <v>11</v>
      </c>
      <c r="B12" s="506"/>
      <c r="C12" s="506"/>
      <c r="D12" s="506"/>
      <c r="E12" s="507"/>
      <c r="F12" s="506"/>
      <c r="G12" s="507"/>
      <c r="H12" s="506"/>
      <c r="I12" s="508"/>
      <c r="J12" s="509" t="str">
        <f t="shared" si="0"/>
        <v xml:space="preserve"> </v>
      </c>
      <c r="K12" s="506"/>
      <c r="L12" s="506"/>
      <c r="M12" s="506"/>
      <c r="N12" s="506"/>
      <c r="O12" s="506"/>
      <c r="P12" s="506"/>
      <c r="Q12" s="510">
        <f t="shared" si="1"/>
        <v>0</v>
      </c>
      <c r="U12" s="517" t="s">
        <v>521</v>
      </c>
      <c r="V12" s="518">
        <v>1</v>
      </c>
      <c r="X12" s="514"/>
    </row>
    <row r="13" spans="1:24" ht="20.100000000000001" customHeight="1" x14ac:dyDescent="0.55000000000000004">
      <c r="A13" s="505">
        <f t="shared" si="2"/>
        <v>12</v>
      </c>
      <c r="B13" s="506"/>
      <c r="C13" s="506"/>
      <c r="D13" s="506"/>
      <c r="E13" s="507"/>
      <c r="F13" s="506"/>
      <c r="G13" s="507"/>
      <c r="H13" s="506"/>
      <c r="I13" s="508"/>
      <c r="J13" s="509" t="str">
        <f t="shared" si="0"/>
        <v xml:space="preserve"> </v>
      </c>
      <c r="K13" s="506"/>
      <c r="L13" s="506"/>
      <c r="M13" s="506"/>
      <c r="N13" s="506"/>
      <c r="O13" s="506"/>
      <c r="P13" s="506"/>
      <c r="Q13" s="510">
        <f t="shared" si="1"/>
        <v>0</v>
      </c>
      <c r="U13" s="514"/>
      <c r="V13" s="519"/>
      <c r="W13" s="514"/>
      <c r="X13" s="514"/>
    </row>
    <row r="14" spans="1:24" ht="20.100000000000001" customHeight="1" thickBot="1" x14ac:dyDescent="0.6">
      <c r="A14" s="505">
        <f t="shared" si="2"/>
        <v>13</v>
      </c>
      <c r="B14" s="506"/>
      <c r="C14" s="506"/>
      <c r="D14" s="506"/>
      <c r="E14" s="507"/>
      <c r="F14" s="506"/>
      <c r="G14" s="507"/>
      <c r="H14" s="506"/>
      <c r="I14" s="508"/>
      <c r="J14" s="509" t="str">
        <f t="shared" si="0"/>
        <v xml:space="preserve"> </v>
      </c>
      <c r="K14" s="506"/>
      <c r="L14" s="506"/>
      <c r="M14" s="506"/>
      <c r="N14" s="506"/>
      <c r="O14" s="506"/>
      <c r="P14" s="506"/>
      <c r="Q14" s="510">
        <f t="shared" si="1"/>
        <v>0</v>
      </c>
      <c r="U14" s="514"/>
      <c r="V14" s="519"/>
      <c r="W14" s="514"/>
      <c r="X14" s="514"/>
    </row>
    <row r="15" spans="1:24" ht="20.100000000000001" customHeight="1" thickBot="1" x14ac:dyDescent="0.6">
      <c r="A15" s="505">
        <f t="shared" si="2"/>
        <v>14</v>
      </c>
      <c r="B15" s="506"/>
      <c r="C15" s="506"/>
      <c r="D15" s="506"/>
      <c r="E15" s="507"/>
      <c r="F15" s="506"/>
      <c r="G15" s="507"/>
      <c r="H15" s="506"/>
      <c r="I15" s="508"/>
      <c r="J15" s="509" t="str">
        <f t="shared" si="0"/>
        <v xml:space="preserve"> </v>
      </c>
      <c r="K15" s="506"/>
      <c r="L15" s="506"/>
      <c r="M15" s="506"/>
      <c r="N15" s="506"/>
      <c r="O15" s="506"/>
      <c r="P15" s="506"/>
      <c r="Q15" s="510">
        <f t="shared" si="1"/>
        <v>0</v>
      </c>
      <c r="U15" s="520" t="s">
        <v>542</v>
      </c>
      <c r="V15" s="521" t="s">
        <v>543</v>
      </c>
      <c r="W15" s="522" t="s">
        <v>544</v>
      </c>
      <c r="X15" s="513" t="s">
        <v>545</v>
      </c>
    </row>
    <row r="16" spans="1:24" ht="20.100000000000001" customHeight="1" x14ac:dyDescent="0.55000000000000004">
      <c r="A16" s="505">
        <f t="shared" si="2"/>
        <v>15</v>
      </c>
      <c r="B16" s="506"/>
      <c r="C16" s="506"/>
      <c r="D16" s="506"/>
      <c r="E16" s="507"/>
      <c r="F16" s="506"/>
      <c r="G16" s="507"/>
      <c r="H16" s="506"/>
      <c r="I16" s="508"/>
      <c r="J16" s="509" t="str">
        <f t="shared" si="0"/>
        <v xml:space="preserve"> </v>
      </c>
      <c r="K16" s="506"/>
      <c r="L16" s="506"/>
      <c r="M16" s="506"/>
      <c r="N16" s="506"/>
      <c r="O16" s="506"/>
      <c r="P16" s="506"/>
      <c r="Q16" s="510">
        <f t="shared" si="1"/>
        <v>0</v>
      </c>
      <c r="U16" s="523" t="s">
        <v>546</v>
      </c>
      <c r="V16" s="524" t="s">
        <v>547</v>
      </c>
      <c r="W16" s="525" t="s">
        <v>548</v>
      </c>
      <c r="X16" s="516">
        <v>10</v>
      </c>
    </row>
    <row r="17" spans="1:24" ht="20.100000000000001" customHeight="1" x14ac:dyDescent="0.55000000000000004">
      <c r="A17" s="505">
        <f t="shared" si="2"/>
        <v>16</v>
      </c>
      <c r="B17" s="506"/>
      <c r="C17" s="506"/>
      <c r="D17" s="506"/>
      <c r="E17" s="507"/>
      <c r="F17" s="506"/>
      <c r="G17" s="507"/>
      <c r="H17" s="506"/>
      <c r="I17" s="508"/>
      <c r="J17" s="509" t="str">
        <f t="shared" si="0"/>
        <v xml:space="preserve"> </v>
      </c>
      <c r="K17" s="506"/>
      <c r="L17" s="506"/>
      <c r="M17" s="506"/>
      <c r="N17" s="506"/>
      <c r="O17" s="506"/>
      <c r="P17" s="506"/>
      <c r="Q17" s="510">
        <f t="shared" si="1"/>
        <v>0</v>
      </c>
      <c r="U17" s="526" t="s">
        <v>549</v>
      </c>
      <c r="V17" s="525" t="s">
        <v>550</v>
      </c>
      <c r="W17" s="524" t="s">
        <v>551</v>
      </c>
      <c r="X17" s="516">
        <v>9</v>
      </c>
    </row>
    <row r="18" spans="1:24" ht="20.100000000000001" customHeight="1" x14ac:dyDescent="0.55000000000000004">
      <c r="A18" s="505">
        <f t="shared" si="2"/>
        <v>17</v>
      </c>
      <c r="B18" s="506"/>
      <c r="C18" s="506"/>
      <c r="D18" s="506"/>
      <c r="E18" s="507"/>
      <c r="F18" s="506"/>
      <c r="G18" s="507"/>
      <c r="H18" s="506"/>
      <c r="I18" s="508"/>
      <c r="J18" s="509" t="str">
        <f t="shared" si="0"/>
        <v xml:space="preserve"> </v>
      </c>
      <c r="K18" s="506"/>
      <c r="L18" s="506"/>
      <c r="M18" s="506"/>
      <c r="N18" s="506"/>
      <c r="O18" s="506"/>
      <c r="P18" s="506"/>
      <c r="Q18" s="510">
        <f t="shared" si="1"/>
        <v>0</v>
      </c>
      <c r="U18" s="523" t="s">
        <v>552</v>
      </c>
      <c r="V18" s="525" t="s">
        <v>553</v>
      </c>
      <c r="W18" s="524" t="s">
        <v>554</v>
      </c>
      <c r="X18" s="516">
        <v>8</v>
      </c>
    </row>
    <row r="19" spans="1:24" ht="20.100000000000001" customHeight="1" x14ac:dyDescent="0.55000000000000004">
      <c r="A19" s="505">
        <f t="shared" si="2"/>
        <v>18</v>
      </c>
      <c r="B19" s="506"/>
      <c r="C19" s="506"/>
      <c r="D19" s="506"/>
      <c r="E19" s="507"/>
      <c r="F19" s="506"/>
      <c r="G19" s="507"/>
      <c r="H19" s="506"/>
      <c r="I19" s="508"/>
      <c r="J19" s="509" t="str">
        <f t="shared" si="0"/>
        <v xml:space="preserve"> </v>
      </c>
      <c r="K19" s="506"/>
      <c r="L19" s="506"/>
      <c r="M19" s="506"/>
      <c r="N19" s="506"/>
      <c r="O19" s="506"/>
      <c r="P19" s="506"/>
      <c r="Q19" s="510">
        <f t="shared" si="1"/>
        <v>0</v>
      </c>
      <c r="U19" s="526" t="s">
        <v>555</v>
      </c>
      <c r="V19" s="525" t="s">
        <v>556</v>
      </c>
      <c r="W19" s="524" t="s">
        <v>557</v>
      </c>
      <c r="X19" s="516">
        <v>7</v>
      </c>
    </row>
    <row r="20" spans="1:24" ht="20.100000000000001" customHeight="1" x14ac:dyDescent="0.55000000000000004">
      <c r="A20" s="505">
        <f t="shared" si="2"/>
        <v>19</v>
      </c>
      <c r="B20" s="506"/>
      <c r="C20" s="506"/>
      <c r="D20" s="506"/>
      <c r="E20" s="507"/>
      <c r="F20" s="506"/>
      <c r="G20" s="507"/>
      <c r="H20" s="506"/>
      <c r="I20" s="508"/>
      <c r="J20" s="509" t="str">
        <f t="shared" si="0"/>
        <v xml:space="preserve"> </v>
      </c>
      <c r="K20" s="506"/>
      <c r="L20" s="506"/>
      <c r="M20" s="506"/>
      <c r="N20" s="506"/>
      <c r="O20" s="506"/>
      <c r="P20" s="506"/>
      <c r="Q20" s="510">
        <f t="shared" si="1"/>
        <v>0</v>
      </c>
      <c r="U20" s="523" t="s">
        <v>558</v>
      </c>
      <c r="V20" s="525" t="s">
        <v>559</v>
      </c>
      <c r="W20" s="524" t="s">
        <v>560</v>
      </c>
      <c r="X20" s="516">
        <v>6</v>
      </c>
    </row>
    <row r="21" spans="1:24" ht="20.100000000000001" customHeight="1" x14ac:dyDescent="0.55000000000000004">
      <c r="A21" s="505">
        <f t="shared" si="2"/>
        <v>20</v>
      </c>
      <c r="B21" s="506"/>
      <c r="C21" s="506"/>
      <c r="D21" s="506"/>
      <c r="E21" s="507"/>
      <c r="F21" s="506"/>
      <c r="G21" s="507"/>
      <c r="H21" s="506"/>
      <c r="I21" s="508"/>
      <c r="J21" s="509" t="str">
        <f t="shared" si="0"/>
        <v xml:space="preserve"> </v>
      </c>
      <c r="K21" s="506"/>
      <c r="L21" s="506"/>
      <c r="M21" s="506"/>
      <c r="N21" s="506"/>
      <c r="O21" s="506"/>
      <c r="P21" s="506"/>
      <c r="Q21" s="510">
        <f t="shared" si="1"/>
        <v>0</v>
      </c>
      <c r="U21" s="527" t="s">
        <v>561</v>
      </c>
      <c r="V21" s="525" t="s">
        <v>562</v>
      </c>
      <c r="W21" s="524" t="s">
        <v>563</v>
      </c>
      <c r="X21" s="516">
        <v>5</v>
      </c>
    </row>
    <row r="22" spans="1:24" ht="20.100000000000001" customHeight="1" x14ac:dyDescent="0.55000000000000004">
      <c r="A22" s="505">
        <f t="shared" si="2"/>
        <v>21</v>
      </c>
      <c r="B22" s="506"/>
      <c r="C22" s="506"/>
      <c r="D22" s="506"/>
      <c r="E22" s="507"/>
      <c r="F22" s="506"/>
      <c r="G22" s="507"/>
      <c r="H22" s="506"/>
      <c r="I22" s="508"/>
      <c r="J22" s="509" t="str">
        <f t="shared" si="0"/>
        <v xml:space="preserve"> </v>
      </c>
      <c r="K22" s="506"/>
      <c r="L22" s="506"/>
      <c r="M22" s="506"/>
      <c r="N22" s="506"/>
      <c r="O22" s="506"/>
      <c r="P22" s="506"/>
      <c r="Q22" s="510">
        <f t="shared" si="1"/>
        <v>0</v>
      </c>
      <c r="U22" s="526" t="s">
        <v>564</v>
      </c>
      <c r="V22" s="525" t="s">
        <v>565</v>
      </c>
      <c r="W22" s="524" t="s">
        <v>566</v>
      </c>
      <c r="X22" s="516">
        <v>4</v>
      </c>
    </row>
    <row r="23" spans="1:24" ht="20.100000000000001" customHeight="1" x14ac:dyDescent="0.55000000000000004">
      <c r="A23" s="505">
        <f t="shared" si="2"/>
        <v>22</v>
      </c>
      <c r="B23" s="506"/>
      <c r="C23" s="506"/>
      <c r="D23" s="506"/>
      <c r="E23" s="507"/>
      <c r="F23" s="506"/>
      <c r="G23" s="507"/>
      <c r="H23" s="506"/>
      <c r="I23" s="508"/>
      <c r="J23" s="509" t="str">
        <f t="shared" si="0"/>
        <v xml:space="preserve"> </v>
      </c>
      <c r="K23" s="506"/>
      <c r="L23" s="506"/>
      <c r="M23" s="506"/>
      <c r="N23" s="506"/>
      <c r="O23" s="506"/>
      <c r="P23" s="506"/>
      <c r="Q23" s="510">
        <f t="shared" si="1"/>
        <v>0</v>
      </c>
      <c r="U23" s="528" t="s">
        <v>567</v>
      </c>
      <c r="V23" s="525" t="s">
        <v>568</v>
      </c>
      <c r="W23" s="524" t="s">
        <v>569</v>
      </c>
      <c r="X23" s="516">
        <v>3</v>
      </c>
    </row>
    <row r="24" spans="1:24" ht="20.100000000000001" customHeight="1" x14ac:dyDescent="0.55000000000000004">
      <c r="A24" s="505">
        <f t="shared" si="2"/>
        <v>23</v>
      </c>
      <c r="B24" s="506"/>
      <c r="C24" s="506"/>
      <c r="D24" s="506"/>
      <c r="E24" s="507"/>
      <c r="F24" s="506"/>
      <c r="G24" s="507"/>
      <c r="H24" s="506"/>
      <c r="I24" s="508"/>
      <c r="J24" s="509" t="str">
        <f t="shared" si="0"/>
        <v xml:space="preserve"> </v>
      </c>
      <c r="K24" s="506"/>
      <c r="L24" s="506"/>
      <c r="M24" s="506"/>
      <c r="N24" s="506"/>
      <c r="O24" s="506"/>
      <c r="P24" s="506"/>
      <c r="Q24" s="510">
        <f t="shared" si="1"/>
        <v>0</v>
      </c>
      <c r="U24" s="528" t="s">
        <v>570</v>
      </c>
      <c r="V24" s="525" t="s">
        <v>571</v>
      </c>
      <c r="W24" s="524" t="s">
        <v>572</v>
      </c>
      <c r="X24" s="516">
        <v>2</v>
      </c>
    </row>
    <row r="25" spans="1:24" ht="20.100000000000001" customHeight="1" thickBot="1" x14ac:dyDescent="0.6">
      <c r="A25" s="505">
        <f t="shared" si="2"/>
        <v>24</v>
      </c>
      <c r="B25" s="506"/>
      <c r="C25" s="506"/>
      <c r="D25" s="506"/>
      <c r="E25" s="507"/>
      <c r="F25" s="506"/>
      <c r="G25" s="507"/>
      <c r="H25" s="506"/>
      <c r="I25" s="508"/>
      <c r="J25" s="509" t="str">
        <f t="shared" si="0"/>
        <v xml:space="preserve"> </v>
      </c>
      <c r="K25" s="506"/>
      <c r="L25" s="506"/>
      <c r="M25" s="506"/>
      <c r="N25" s="506"/>
      <c r="O25" s="506"/>
      <c r="P25" s="506"/>
      <c r="Q25" s="510">
        <f t="shared" si="1"/>
        <v>0</v>
      </c>
      <c r="U25" s="529" t="s">
        <v>573</v>
      </c>
      <c r="V25" s="530" t="s">
        <v>574</v>
      </c>
      <c r="W25" s="530" t="s">
        <v>575</v>
      </c>
      <c r="X25" s="518">
        <v>1</v>
      </c>
    </row>
    <row r="26" spans="1:24" ht="20.100000000000001" customHeight="1" thickBot="1" x14ac:dyDescent="0.6">
      <c r="A26" s="505">
        <f t="shared" si="2"/>
        <v>25</v>
      </c>
      <c r="B26" s="506"/>
      <c r="C26" s="506"/>
      <c r="D26" s="506"/>
      <c r="E26" s="507"/>
      <c r="F26" s="506"/>
      <c r="G26" s="507"/>
      <c r="H26" s="506"/>
      <c r="I26" s="508"/>
      <c r="J26" s="509" t="str">
        <f t="shared" si="0"/>
        <v xml:space="preserve"> </v>
      </c>
      <c r="K26" s="506"/>
      <c r="L26" s="506"/>
      <c r="M26" s="506"/>
      <c r="N26" s="506"/>
      <c r="O26" s="506"/>
      <c r="P26" s="506"/>
      <c r="Q26" s="510">
        <f t="shared" si="1"/>
        <v>0</v>
      </c>
      <c r="U26" s="514"/>
      <c r="V26" s="519"/>
      <c r="W26" s="514"/>
      <c r="X26" s="514"/>
    </row>
    <row r="27" spans="1:24" ht="20.100000000000001" customHeight="1" thickBot="1" x14ac:dyDescent="0.6">
      <c r="A27" s="505">
        <f t="shared" si="2"/>
        <v>26</v>
      </c>
      <c r="B27" s="506"/>
      <c r="C27" s="506"/>
      <c r="D27" s="506"/>
      <c r="E27" s="507"/>
      <c r="F27" s="506"/>
      <c r="G27" s="507"/>
      <c r="H27" s="506"/>
      <c r="I27" s="508"/>
      <c r="J27" s="509" t="str">
        <f t="shared" si="0"/>
        <v xml:space="preserve"> </v>
      </c>
      <c r="K27" s="506"/>
      <c r="L27" s="506"/>
      <c r="M27" s="506"/>
      <c r="N27" s="506"/>
      <c r="O27" s="506"/>
      <c r="P27" s="506"/>
      <c r="Q27" s="510">
        <f t="shared" si="1"/>
        <v>0</v>
      </c>
      <c r="U27" s="531" t="s">
        <v>576</v>
      </c>
      <c r="V27" s="532" t="s">
        <v>577</v>
      </c>
      <c r="W27" s="533" t="s">
        <v>578</v>
      </c>
      <c r="X27" s="514"/>
    </row>
    <row r="28" spans="1:24" ht="20.100000000000001" customHeight="1" x14ac:dyDescent="0.55000000000000004">
      <c r="A28" s="505">
        <f t="shared" si="2"/>
        <v>27</v>
      </c>
      <c r="B28" s="506"/>
      <c r="C28" s="506"/>
      <c r="D28" s="506"/>
      <c r="E28" s="507"/>
      <c r="F28" s="506"/>
      <c r="G28" s="507"/>
      <c r="H28" s="506"/>
      <c r="I28" s="508"/>
      <c r="J28" s="509" t="str">
        <f t="shared" si="0"/>
        <v xml:space="preserve"> </v>
      </c>
      <c r="K28" s="506"/>
      <c r="L28" s="506"/>
      <c r="M28" s="506"/>
      <c r="N28" s="506"/>
      <c r="O28" s="506"/>
      <c r="P28" s="506"/>
      <c r="Q28" s="510">
        <f t="shared" si="1"/>
        <v>0</v>
      </c>
      <c r="U28" s="534" t="s">
        <v>579</v>
      </c>
      <c r="V28" s="535" t="s">
        <v>580</v>
      </c>
      <c r="W28" s="536">
        <v>10</v>
      </c>
      <c r="X28" s="514"/>
    </row>
    <row r="29" spans="1:24" ht="20.100000000000001" customHeight="1" x14ac:dyDescent="0.55000000000000004">
      <c r="A29" s="505">
        <f t="shared" si="2"/>
        <v>28</v>
      </c>
      <c r="B29" s="506"/>
      <c r="C29" s="506"/>
      <c r="D29" s="506"/>
      <c r="E29" s="507"/>
      <c r="F29" s="506"/>
      <c r="G29" s="507"/>
      <c r="H29" s="506"/>
      <c r="I29" s="508"/>
      <c r="J29" s="509" t="str">
        <f t="shared" si="0"/>
        <v xml:space="preserve"> </v>
      </c>
      <c r="K29" s="506"/>
      <c r="L29" s="506"/>
      <c r="M29" s="506"/>
      <c r="N29" s="506"/>
      <c r="O29" s="506"/>
      <c r="P29" s="506"/>
      <c r="Q29" s="510">
        <f t="shared" si="1"/>
        <v>0</v>
      </c>
      <c r="U29" s="534" t="s">
        <v>581</v>
      </c>
      <c r="V29" s="535" t="s">
        <v>582</v>
      </c>
      <c r="W29" s="536">
        <v>9</v>
      </c>
      <c r="X29" s="514"/>
    </row>
    <row r="30" spans="1:24" ht="20.100000000000001" customHeight="1" x14ac:dyDescent="0.55000000000000004">
      <c r="A30" s="505">
        <f t="shared" si="2"/>
        <v>29</v>
      </c>
      <c r="B30" s="506"/>
      <c r="C30" s="506"/>
      <c r="D30" s="506"/>
      <c r="E30" s="507"/>
      <c r="F30" s="506"/>
      <c r="G30" s="507"/>
      <c r="H30" s="506"/>
      <c r="I30" s="508"/>
      <c r="J30" s="509" t="str">
        <f t="shared" si="0"/>
        <v xml:space="preserve"> </v>
      </c>
      <c r="K30" s="506"/>
      <c r="L30" s="506"/>
      <c r="M30" s="506"/>
      <c r="N30" s="506"/>
      <c r="O30" s="506"/>
      <c r="P30" s="506"/>
      <c r="Q30" s="510">
        <f t="shared" si="1"/>
        <v>0</v>
      </c>
      <c r="U30" s="534" t="s">
        <v>583</v>
      </c>
      <c r="V30" s="535" t="s">
        <v>584</v>
      </c>
      <c r="W30" s="536">
        <v>8</v>
      </c>
      <c r="X30" s="514"/>
    </row>
    <row r="31" spans="1:24" ht="20.100000000000001" customHeight="1" x14ac:dyDescent="0.55000000000000004">
      <c r="A31" s="505">
        <f t="shared" si="2"/>
        <v>30</v>
      </c>
      <c r="B31" s="506"/>
      <c r="C31" s="506"/>
      <c r="D31" s="506"/>
      <c r="E31" s="507"/>
      <c r="F31" s="506"/>
      <c r="G31" s="507"/>
      <c r="H31" s="506"/>
      <c r="I31" s="508"/>
      <c r="J31" s="509" t="str">
        <f t="shared" si="0"/>
        <v xml:space="preserve"> </v>
      </c>
      <c r="K31" s="506"/>
      <c r="L31" s="506"/>
      <c r="M31" s="506"/>
      <c r="N31" s="506"/>
      <c r="O31" s="506"/>
      <c r="P31" s="506"/>
      <c r="Q31" s="510">
        <f t="shared" si="1"/>
        <v>0</v>
      </c>
      <c r="U31" s="534" t="s">
        <v>539</v>
      </c>
      <c r="V31" s="535" t="s">
        <v>585</v>
      </c>
      <c r="W31" s="536">
        <v>7</v>
      </c>
      <c r="X31" s="514"/>
    </row>
    <row r="32" spans="1:24" ht="20.100000000000001" customHeight="1" x14ac:dyDescent="0.55000000000000004">
      <c r="A32" s="505">
        <f t="shared" si="2"/>
        <v>31</v>
      </c>
      <c r="B32" s="506"/>
      <c r="C32" s="506"/>
      <c r="D32" s="506"/>
      <c r="E32" s="507"/>
      <c r="F32" s="506"/>
      <c r="G32" s="507"/>
      <c r="H32" s="506"/>
      <c r="I32" s="508"/>
      <c r="J32" s="509" t="str">
        <f t="shared" si="0"/>
        <v xml:space="preserve"> </v>
      </c>
      <c r="K32" s="506"/>
      <c r="L32" s="506"/>
      <c r="M32" s="506"/>
      <c r="N32" s="506"/>
      <c r="O32" s="506"/>
      <c r="P32" s="506"/>
      <c r="Q32" s="510">
        <f t="shared" si="1"/>
        <v>0</v>
      </c>
      <c r="U32" s="534" t="s">
        <v>538</v>
      </c>
      <c r="V32" s="535" t="s">
        <v>586</v>
      </c>
      <c r="W32" s="536">
        <v>6</v>
      </c>
      <c r="X32" s="514"/>
    </row>
    <row r="33" spans="1:24" ht="20.100000000000001" customHeight="1" x14ac:dyDescent="0.55000000000000004">
      <c r="A33" s="505">
        <f t="shared" si="2"/>
        <v>32</v>
      </c>
      <c r="B33" s="506"/>
      <c r="C33" s="506"/>
      <c r="D33" s="506"/>
      <c r="E33" s="507"/>
      <c r="F33" s="506"/>
      <c r="G33" s="507"/>
      <c r="H33" s="506"/>
      <c r="I33" s="508"/>
      <c r="J33" s="509" t="str">
        <f t="shared" si="0"/>
        <v xml:space="preserve"> </v>
      </c>
      <c r="K33" s="506"/>
      <c r="L33" s="506"/>
      <c r="M33" s="506"/>
      <c r="N33" s="506"/>
      <c r="O33" s="506"/>
      <c r="P33" s="506"/>
      <c r="Q33" s="510">
        <f t="shared" si="1"/>
        <v>0</v>
      </c>
      <c r="U33" s="534" t="s">
        <v>537</v>
      </c>
      <c r="V33" s="535" t="s">
        <v>587</v>
      </c>
      <c r="W33" s="536">
        <v>5</v>
      </c>
      <c r="X33" s="514"/>
    </row>
    <row r="34" spans="1:24" ht="20.100000000000001" customHeight="1" x14ac:dyDescent="0.55000000000000004">
      <c r="A34" s="505">
        <f t="shared" si="2"/>
        <v>33</v>
      </c>
      <c r="B34" s="506"/>
      <c r="C34" s="506"/>
      <c r="D34" s="506"/>
      <c r="E34" s="507"/>
      <c r="F34" s="506"/>
      <c r="G34" s="507"/>
      <c r="H34" s="506"/>
      <c r="I34" s="508"/>
      <c r="J34" s="509" t="str">
        <f t="shared" si="0"/>
        <v xml:space="preserve"> </v>
      </c>
      <c r="K34" s="506"/>
      <c r="L34" s="506"/>
      <c r="M34" s="506"/>
      <c r="N34" s="506"/>
      <c r="O34" s="506"/>
      <c r="P34" s="506"/>
      <c r="Q34" s="510">
        <f t="shared" si="1"/>
        <v>0</v>
      </c>
      <c r="U34" s="534" t="s">
        <v>588</v>
      </c>
      <c r="V34" s="535" t="s">
        <v>589</v>
      </c>
      <c r="W34" s="536">
        <v>4</v>
      </c>
      <c r="X34" s="514"/>
    </row>
    <row r="35" spans="1:24" ht="20.100000000000001" customHeight="1" x14ac:dyDescent="0.55000000000000004">
      <c r="A35" s="505">
        <f t="shared" si="2"/>
        <v>34</v>
      </c>
      <c r="B35" s="506"/>
      <c r="C35" s="506"/>
      <c r="D35" s="506"/>
      <c r="E35" s="507"/>
      <c r="F35" s="506"/>
      <c r="G35" s="507"/>
      <c r="H35" s="506"/>
      <c r="I35" s="508"/>
      <c r="J35" s="509" t="str">
        <f t="shared" si="0"/>
        <v xml:space="preserve"> </v>
      </c>
      <c r="K35" s="506"/>
      <c r="L35" s="506"/>
      <c r="M35" s="506"/>
      <c r="N35" s="506"/>
      <c r="O35" s="506"/>
      <c r="P35" s="506"/>
      <c r="Q35" s="510">
        <f t="shared" si="1"/>
        <v>0</v>
      </c>
      <c r="U35" s="534" t="s">
        <v>536</v>
      </c>
      <c r="V35" s="535" t="s">
        <v>590</v>
      </c>
      <c r="W35" s="536">
        <v>3</v>
      </c>
      <c r="X35" s="514"/>
    </row>
    <row r="36" spans="1:24" ht="20.100000000000001" customHeight="1" x14ac:dyDescent="0.55000000000000004">
      <c r="A36" s="505">
        <f t="shared" si="2"/>
        <v>35</v>
      </c>
      <c r="B36" s="506"/>
      <c r="C36" s="506"/>
      <c r="D36" s="506"/>
      <c r="E36" s="507"/>
      <c r="F36" s="506"/>
      <c r="G36" s="507"/>
      <c r="H36" s="506"/>
      <c r="I36" s="508"/>
      <c r="J36" s="509" t="str">
        <f t="shared" si="0"/>
        <v xml:space="preserve"> </v>
      </c>
      <c r="K36" s="506"/>
      <c r="L36" s="506"/>
      <c r="M36" s="506"/>
      <c r="N36" s="506"/>
      <c r="O36" s="506"/>
      <c r="P36" s="506"/>
      <c r="Q36" s="510">
        <f t="shared" si="1"/>
        <v>0</v>
      </c>
      <c r="U36" s="534" t="s">
        <v>535</v>
      </c>
      <c r="V36" s="535" t="s">
        <v>591</v>
      </c>
      <c r="W36" s="536">
        <v>2</v>
      </c>
      <c r="X36" s="514"/>
    </row>
    <row r="37" spans="1:24" ht="20.100000000000001" customHeight="1" thickBot="1" x14ac:dyDescent="0.6">
      <c r="A37" s="505">
        <f t="shared" si="2"/>
        <v>36</v>
      </c>
      <c r="B37" s="506"/>
      <c r="C37" s="506"/>
      <c r="D37" s="506"/>
      <c r="E37" s="507"/>
      <c r="F37" s="506"/>
      <c r="G37" s="507"/>
      <c r="H37" s="506"/>
      <c r="I37" s="508"/>
      <c r="J37" s="509" t="str">
        <f t="shared" si="0"/>
        <v xml:space="preserve"> </v>
      </c>
      <c r="K37" s="506"/>
      <c r="L37" s="506"/>
      <c r="M37" s="506"/>
      <c r="N37" s="506"/>
      <c r="O37" s="506"/>
      <c r="P37" s="506"/>
      <c r="Q37" s="510">
        <f t="shared" si="1"/>
        <v>0</v>
      </c>
      <c r="U37" s="537" t="s">
        <v>592</v>
      </c>
      <c r="V37" s="538" t="s">
        <v>593</v>
      </c>
      <c r="W37" s="539">
        <v>1</v>
      </c>
      <c r="X37" s="514"/>
    </row>
    <row r="38" spans="1:24" ht="20.100000000000001" customHeight="1" x14ac:dyDescent="0.55000000000000004">
      <c r="A38" s="505">
        <f t="shared" si="2"/>
        <v>37</v>
      </c>
      <c r="B38" s="506"/>
      <c r="C38" s="506"/>
      <c r="D38" s="506"/>
      <c r="E38" s="507"/>
      <c r="F38" s="506"/>
      <c r="G38" s="507"/>
      <c r="H38" s="506"/>
      <c r="I38" s="508"/>
      <c r="J38" s="509" t="str">
        <f t="shared" si="0"/>
        <v xml:space="preserve"> </v>
      </c>
      <c r="K38" s="506"/>
      <c r="L38" s="506"/>
      <c r="M38" s="506"/>
      <c r="N38" s="506"/>
      <c r="O38" s="506"/>
      <c r="P38" s="506"/>
      <c r="Q38" s="510">
        <f t="shared" si="1"/>
        <v>0</v>
      </c>
    </row>
    <row r="39" spans="1:24" ht="20.100000000000001" customHeight="1" x14ac:dyDescent="0.55000000000000004">
      <c r="A39" s="505">
        <f t="shared" si="2"/>
        <v>38</v>
      </c>
      <c r="B39" s="506"/>
      <c r="C39" s="506"/>
      <c r="D39" s="506"/>
      <c r="E39" s="507"/>
      <c r="F39" s="506"/>
      <c r="G39" s="507"/>
      <c r="H39" s="506"/>
      <c r="I39" s="508"/>
      <c r="J39" s="509" t="str">
        <f t="shared" si="0"/>
        <v xml:space="preserve"> </v>
      </c>
      <c r="K39" s="506"/>
      <c r="L39" s="506"/>
      <c r="M39" s="506"/>
      <c r="N39" s="506"/>
      <c r="O39" s="506"/>
      <c r="P39" s="506"/>
      <c r="Q39" s="510">
        <f t="shared" si="1"/>
        <v>0</v>
      </c>
    </row>
    <row r="40" spans="1:24" ht="20.100000000000001" customHeight="1" x14ac:dyDescent="0.55000000000000004">
      <c r="A40" s="505">
        <f t="shared" si="2"/>
        <v>39</v>
      </c>
      <c r="B40" s="506"/>
      <c r="C40" s="506"/>
      <c r="D40" s="506"/>
      <c r="E40" s="507"/>
      <c r="F40" s="506"/>
      <c r="G40" s="507"/>
      <c r="H40" s="506"/>
      <c r="I40" s="508"/>
      <c r="J40" s="509" t="str">
        <f t="shared" si="0"/>
        <v xml:space="preserve"> </v>
      </c>
      <c r="K40" s="506"/>
      <c r="L40" s="506"/>
      <c r="M40" s="506"/>
      <c r="N40" s="506"/>
      <c r="O40" s="506"/>
      <c r="P40" s="506"/>
      <c r="Q40" s="510">
        <f t="shared" si="1"/>
        <v>0</v>
      </c>
    </row>
    <row r="41" spans="1:24" ht="20.100000000000001" customHeight="1" x14ac:dyDescent="0.55000000000000004">
      <c r="A41" s="505">
        <f t="shared" si="2"/>
        <v>40</v>
      </c>
      <c r="B41" s="506"/>
      <c r="C41" s="506"/>
      <c r="D41" s="506"/>
      <c r="E41" s="507"/>
      <c r="F41" s="506"/>
      <c r="G41" s="507"/>
      <c r="H41" s="506"/>
      <c r="I41" s="508"/>
      <c r="J41" s="509" t="str">
        <f t="shared" si="0"/>
        <v xml:space="preserve"> </v>
      </c>
      <c r="K41" s="506"/>
      <c r="L41" s="506"/>
      <c r="M41" s="506"/>
      <c r="N41" s="506"/>
      <c r="O41" s="506"/>
      <c r="P41" s="506"/>
      <c r="Q41" s="510">
        <f t="shared" si="1"/>
        <v>0</v>
      </c>
    </row>
    <row r="42" spans="1:24" ht="20.100000000000001" customHeight="1" x14ac:dyDescent="0.55000000000000004">
      <c r="A42" s="505">
        <f t="shared" si="2"/>
        <v>41</v>
      </c>
      <c r="B42" s="506"/>
      <c r="C42" s="506"/>
      <c r="D42" s="506"/>
      <c r="E42" s="507"/>
      <c r="F42" s="506"/>
      <c r="G42" s="507"/>
      <c r="H42" s="506"/>
      <c r="I42" s="508"/>
      <c r="J42" s="509" t="str">
        <f t="shared" si="0"/>
        <v xml:space="preserve"> </v>
      </c>
      <c r="K42" s="506"/>
      <c r="L42" s="506"/>
      <c r="M42" s="506"/>
      <c r="N42" s="506"/>
      <c r="O42" s="506"/>
      <c r="P42" s="506"/>
      <c r="Q42" s="510">
        <f t="shared" si="1"/>
        <v>0</v>
      </c>
    </row>
    <row r="43" spans="1:24" ht="20.100000000000001" customHeight="1" x14ac:dyDescent="0.55000000000000004">
      <c r="A43" s="505">
        <f t="shared" si="2"/>
        <v>42</v>
      </c>
      <c r="B43" s="506"/>
      <c r="C43" s="506"/>
      <c r="D43" s="506"/>
      <c r="E43" s="507"/>
      <c r="F43" s="506"/>
      <c r="G43" s="507"/>
      <c r="H43" s="506"/>
      <c r="I43" s="508"/>
      <c r="J43" s="509" t="str">
        <f t="shared" si="0"/>
        <v xml:space="preserve"> </v>
      </c>
      <c r="K43" s="506"/>
      <c r="L43" s="506"/>
      <c r="M43" s="506"/>
      <c r="N43" s="506"/>
      <c r="O43" s="506"/>
      <c r="P43" s="506"/>
      <c r="Q43" s="510">
        <f t="shared" si="1"/>
        <v>0</v>
      </c>
    </row>
    <row r="44" spans="1:24" ht="20.100000000000001" customHeight="1" x14ac:dyDescent="0.55000000000000004">
      <c r="A44" s="505">
        <f t="shared" si="2"/>
        <v>43</v>
      </c>
      <c r="B44" s="506"/>
      <c r="C44" s="506"/>
      <c r="D44" s="506"/>
      <c r="E44" s="507"/>
      <c r="F44" s="506"/>
      <c r="G44" s="507"/>
      <c r="H44" s="506"/>
      <c r="I44" s="508"/>
      <c r="J44" s="509" t="str">
        <f t="shared" si="0"/>
        <v xml:space="preserve"> </v>
      </c>
      <c r="K44" s="506"/>
      <c r="L44" s="506"/>
      <c r="M44" s="506"/>
      <c r="N44" s="506"/>
      <c r="O44" s="506"/>
      <c r="P44" s="506"/>
      <c r="Q44" s="510">
        <f t="shared" si="1"/>
        <v>0</v>
      </c>
    </row>
    <row r="45" spans="1:24" ht="20.100000000000001" customHeight="1" x14ac:dyDescent="0.55000000000000004">
      <c r="A45" s="505">
        <f t="shared" si="2"/>
        <v>44</v>
      </c>
      <c r="B45" s="506"/>
      <c r="C45" s="506"/>
      <c r="D45" s="506"/>
      <c r="E45" s="507"/>
      <c r="F45" s="506"/>
      <c r="G45" s="507"/>
      <c r="H45" s="506"/>
      <c r="I45" s="508"/>
      <c r="J45" s="509" t="str">
        <f t="shared" si="0"/>
        <v xml:space="preserve"> </v>
      </c>
      <c r="K45" s="506"/>
      <c r="L45" s="506"/>
      <c r="M45" s="506"/>
      <c r="N45" s="506"/>
      <c r="O45" s="506"/>
      <c r="P45" s="506"/>
      <c r="Q45" s="510">
        <f t="shared" si="1"/>
        <v>0</v>
      </c>
    </row>
    <row r="46" spans="1:24" ht="20.100000000000001" customHeight="1" x14ac:dyDescent="0.55000000000000004">
      <c r="A46" s="505">
        <f t="shared" si="2"/>
        <v>45</v>
      </c>
      <c r="B46" s="506"/>
      <c r="C46" s="506"/>
      <c r="D46" s="506"/>
      <c r="E46" s="507"/>
      <c r="F46" s="506"/>
      <c r="G46" s="507"/>
      <c r="H46" s="506"/>
      <c r="I46" s="508"/>
      <c r="J46" s="509" t="str">
        <f t="shared" si="0"/>
        <v xml:space="preserve"> </v>
      </c>
      <c r="K46" s="506"/>
      <c r="L46" s="506"/>
      <c r="M46" s="506"/>
      <c r="N46" s="506"/>
      <c r="O46" s="506"/>
      <c r="P46" s="506"/>
      <c r="Q46" s="510">
        <f t="shared" si="1"/>
        <v>0</v>
      </c>
    </row>
    <row r="47" spans="1:24" ht="20.100000000000001" customHeight="1" x14ac:dyDescent="0.55000000000000004">
      <c r="A47" s="505">
        <f t="shared" si="2"/>
        <v>46</v>
      </c>
      <c r="B47" s="506"/>
      <c r="C47" s="506"/>
      <c r="D47" s="506"/>
      <c r="E47" s="507"/>
      <c r="F47" s="506"/>
      <c r="G47" s="507"/>
      <c r="H47" s="506"/>
      <c r="I47" s="508"/>
      <c r="J47" s="509" t="str">
        <f t="shared" si="0"/>
        <v xml:space="preserve"> </v>
      </c>
      <c r="K47" s="506"/>
      <c r="L47" s="506"/>
      <c r="M47" s="506"/>
      <c r="N47" s="506"/>
      <c r="O47" s="506"/>
      <c r="P47" s="506"/>
      <c r="Q47" s="510">
        <f t="shared" si="1"/>
        <v>0</v>
      </c>
    </row>
    <row r="48" spans="1:24" ht="20.100000000000001" customHeight="1" x14ac:dyDescent="0.55000000000000004">
      <c r="A48" s="505">
        <f t="shared" si="2"/>
        <v>47</v>
      </c>
      <c r="B48" s="506"/>
      <c r="C48" s="506"/>
      <c r="D48" s="506"/>
      <c r="E48" s="507"/>
      <c r="F48" s="506"/>
      <c r="G48" s="507"/>
      <c r="H48" s="506"/>
      <c r="I48" s="508"/>
      <c r="J48" s="509" t="str">
        <f t="shared" si="0"/>
        <v xml:space="preserve"> </v>
      </c>
      <c r="K48" s="506"/>
      <c r="L48" s="506"/>
      <c r="M48" s="506"/>
      <c r="N48" s="506"/>
      <c r="O48" s="506"/>
      <c r="P48" s="506"/>
      <c r="Q48" s="510">
        <f t="shared" si="1"/>
        <v>0</v>
      </c>
    </row>
    <row r="49" spans="1:17" ht="20.100000000000001" customHeight="1" x14ac:dyDescent="0.55000000000000004">
      <c r="A49" s="505">
        <f t="shared" si="2"/>
        <v>48</v>
      </c>
      <c r="B49" s="506"/>
      <c r="C49" s="506"/>
      <c r="D49" s="506"/>
      <c r="E49" s="507"/>
      <c r="F49" s="506"/>
      <c r="G49" s="507"/>
      <c r="H49" s="506"/>
      <c r="I49" s="508"/>
      <c r="J49" s="509" t="str">
        <f t="shared" si="0"/>
        <v xml:space="preserve"> </v>
      </c>
      <c r="K49" s="506"/>
      <c r="L49" s="506"/>
      <c r="M49" s="506"/>
      <c r="N49" s="506"/>
      <c r="O49" s="506"/>
      <c r="P49" s="506"/>
      <c r="Q49" s="510">
        <f t="shared" si="1"/>
        <v>0</v>
      </c>
    </row>
    <row r="50" spans="1:17" ht="20.100000000000001" customHeight="1" x14ac:dyDescent="0.55000000000000004">
      <c r="A50" s="505">
        <f t="shared" si="2"/>
        <v>49</v>
      </c>
      <c r="B50" s="506"/>
      <c r="C50" s="506"/>
      <c r="D50" s="506"/>
      <c r="E50" s="507"/>
      <c r="F50" s="506"/>
      <c r="G50" s="507"/>
      <c r="H50" s="506"/>
      <c r="I50" s="508"/>
      <c r="J50" s="509" t="str">
        <f t="shared" si="0"/>
        <v xml:space="preserve"> </v>
      </c>
      <c r="K50" s="506"/>
      <c r="L50" s="506"/>
      <c r="M50" s="506"/>
      <c r="N50" s="506"/>
      <c r="O50" s="506"/>
      <c r="P50" s="506"/>
      <c r="Q50" s="510">
        <f t="shared" si="1"/>
        <v>0</v>
      </c>
    </row>
    <row r="51" spans="1:17" ht="20.100000000000001" customHeight="1" x14ac:dyDescent="0.55000000000000004">
      <c r="A51" s="505">
        <f t="shared" si="2"/>
        <v>50</v>
      </c>
      <c r="B51" s="506"/>
      <c r="C51" s="506"/>
      <c r="D51" s="506"/>
      <c r="E51" s="507"/>
      <c r="F51" s="506"/>
      <c r="G51" s="507"/>
      <c r="H51" s="506"/>
      <c r="I51" s="508"/>
      <c r="J51" s="509" t="str">
        <f t="shared" si="0"/>
        <v xml:space="preserve"> </v>
      </c>
      <c r="K51" s="506"/>
      <c r="L51" s="506"/>
      <c r="M51" s="506"/>
      <c r="N51" s="506"/>
      <c r="O51" s="506"/>
      <c r="P51" s="506"/>
      <c r="Q51" s="510">
        <f t="shared" si="1"/>
        <v>0</v>
      </c>
    </row>
    <row r="52" spans="1:17" ht="20.100000000000001" customHeight="1" x14ac:dyDescent="0.55000000000000004">
      <c r="A52" s="505">
        <f t="shared" si="2"/>
        <v>51</v>
      </c>
      <c r="B52" s="506"/>
      <c r="C52" s="506"/>
      <c r="D52" s="506"/>
      <c r="E52" s="507"/>
      <c r="F52" s="506"/>
      <c r="G52" s="507"/>
      <c r="H52" s="506"/>
      <c r="I52" s="508"/>
      <c r="J52" s="509" t="str">
        <f t="shared" si="0"/>
        <v xml:space="preserve"> </v>
      </c>
      <c r="K52" s="506"/>
      <c r="L52" s="506"/>
      <c r="M52" s="506"/>
      <c r="N52" s="506"/>
      <c r="O52" s="506"/>
      <c r="P52" s="506"/>
      <c r="Q52" s="510">
        <f t="shared" si="1"/>
        <v>0</v>
      </c>
    </row>
    <row r="53" spans="1:17" ht="20.100000000000001" customHeight="1" x14ac:dyDescent="0.55000000000000004">
      <c r="A53" s="505">
        <f t="shared" si="2"/>
        <v>52</v>
      </c>
      <c r="B53" s="506"/>
      <c r="C53" s="506"/>
      <c r="D53" s="506"/>
      <c r="E53" s="507"/>
      <c r="F53" s="506"/>
      <c r="G53" s="507"/>
      <c r="H53" s="506"/>
      <c r="I53" s="508"/>
      <c r="J53" s="509" t="str">
        <f t="shared" si="0"/>
        <v xml:space="preserve"> </v>
      </c>
      <c r="K53" s="506"/>
      <c r="L53" s="506"/>
      <c r="M53" s="506"/>
      <c r="N53" s="506"/>
      <c r="O53" s="506"/>
      <c r="P53" s="506"/>
      <c r="Q53" s="510">
        <f t="shared" si="1"/>
        <v>0</v>
      </c>
    </row>
    <row r="54" spans="1:17" ht="20.100000000000001" customHeight="1" x14ac:dyDescent="0.55000000000000004">
      <c r="A54" s="505">
        <f t="shared" si="2"/>
        <v>53</v>
      </c>
      <c r="B54" s="506"/>
      <c r="C54" s="506"/>
      <c r="D54" s="506"/>
      <c r="E54" s="507"/>
      <c r="F54" s="506"/>
      <c r="G54" s="507"/>
      <c r="H54" s="506"/>
      <c r="I54" s="508"/>
      <c r="J54" s="509" t="str">
        <f t="shared" si="0"/>
        <v xml:space="preserve"> </v>
      </c>
      <c r="K54" s="506"/>
      <c r="L54" s="506"/>
      <c r="M54" s="506"/>
      <c r="N54" s="506"/>
      <c r="O54" s="506"/>
      <c r="P54" s="506"/>
      <c r="Q54" s="510">
        <f t="shared" si="1"/>
        <v>0</v>
      </c>
    </row>
    <row r="55" spans="1:17" ht="20.100000000000001" customHeight="1" x14ac:dyDescent="0.55000000000000004">
      <c r="A55" s="505">
        <f t="shared" si="2"/>
        <v>54</v>
      </c>
      <c r="B55" s="506"/>
      <c r="C55" s="506"/>
      <c r="D55" s="506"/>
      <c r="E55" s="507"/>
      <c r="F55" s="506"/>
      <c r="G55" s="507"/>
      <c r="H55" s="506"/>
      <c r="I55" s="508"/>
      <c r="J55" s="509" t="str">
        <f t="shared" si="0"/>
        <v xml:space="preserve"> </v>
      </c>
      <c r="K55" s="506"/>
      <c r="L55" s="506"/>
      <c r="M55" s="506"/>
      <c r="N55" s="506"/>
      <c r="O55" s="506"/>
      <c r="P55" s="506"/>
      <c r="Q55" s="510">
        <f t="shared" si="1"/>
        <v>0</v>
      </c>
    </row>
    <row r="56" spans="1:17" ht="20.100000000000001" customHeight="1" x14ac:dyDescent="0.55000000000000004">
      <c r="A56" s="505">
        <f t="shared" si="2"/>
        <v>55</v>
      </c>
      <c r="B56" s="506"/>
      <c r="C56" s="506"/>
      <c r="D56" s="506"/>
      <c r="E56" s="507"/>
      <c r="F56" s="506"/>
      <c r="G56" s="507"/>
      <c r="H56" s="506"/>
      <c r="I56" s="508"/>
      <c r="J56" s="509" t="str">
        <f t="shared" si="0"/>
        <v xml:space="preserve"> </v>
      </c>
      <c r="K56" s="506"/>
      <c r="L56" s="506"/>
      <c r="M56" s="506"/>
      <c r="N56" s="506"/>
      <c r="O56" s="506"/>
      <c r="P56" s="506"/>
      <c r="Q56" s="510">
        <f t="shared" si="1"/>
        <v>0</v>
      </c>
    </row>
    <row r="57" spans="1:17" ht="20.100000000000001" customHeight="1" x14ac:dyDescent="0.55000000000000004">
      <c r="A57" s="505">
        <f t="shared" si="2"/>
        <v>56</v>
      </c>
      <c r="B57" s="506"/>
      <c r="C57" s="506"/>
      <c r="D57" s="506"/>
      <c r="E57" s="507"/>
      <c r="F57" s="506"/>
      <c r="G57" s="507"/>
      <c r="H57" s="506"/>
      <c r="I57" s="508"/>
      <c r="J57" s="509" t="str">
        <f t="shared" si="0"/>
        <v xml:space="preserve"> </v>
      </c>
      <c r="K57" s="506"/>
      <c r="L57" s="506"/>
      <c r="M57" s="506"/>
      <c r="N57" s="506"/>
      <c r="O57" s="506"/>
      <c r="P57" s="506"/>
      <c r="Q57" s="510">
        <f t="shared" si="1"/>
        <v>0</v>
      </c>
    </row>
    <row r="58" spans="1:17" ht="20.100000000000001" customHeight="1" x14ac:dyDescent="0.55000000000000004">
      <c r="A58" s="505">
        <f t="shared" si="2"/>
        <v>57</v>
      </c>
      <c r="B58" s="506"/>
      <c r="C58" s="506"/>
      <c r="D58" s="506"/>
      <c r="E58" s="507"/>
      <c r="F58" s="506"/>
      <c r="G58" s="507"/>
      <c r="H58" s="506"/>
      <c r="I58" s="508"/>
      <c r="J58" s="509" t="str">
        <f t="shared" si="0"/>
        <v xml:space="preserve"> </v>
      </c>
      <c r="K58" s="506"/>
      <c r="L58" s="506"/>
      <c r="M58" s="506"/>
      <c r="N58" s="506"/>
      <c r="O58" s="506"/>
      <c r="P58" s="506"/>
      <c r="Q58" s="510">
        <f t="shared" si="1"/>
        <v>0</v>
      </c>
    </row>
    <row r="59" spans="1:17" ht="20.100000000000001" customHeight="1" x14ac:dyDescent="0.55000000000000004">
      <c r="A59" s="505">
        <f t="shared" si="2"/>
        <v>58</v>
      </c>
      <c r="B59" s="506"/>
      <c r="C59" s="506"/>
      <c r="D59" s="506"/>
      <c r="E59" s="507"/>
      <c r="F59" s="506"/>
      <c r="G59" s="507"/>
      <c r="H59" s="506"/>
      <c r="I59" s="508"/>
      <c r="J59" s="509" t="str">
        <f t="shared" si="0"/>
        <v xml:space="preserve"> </v>
      </c>
      <c r="K59" s="506"/>
      <c r="L59" s="506"/>
      <c r="M59" s="506"/>
      <c r="N59" s="506"/>
      <c r="O59" s="506"/>
      <c r="P59" s="506"/>
      <c r="Q59" s="510">
        <f t="shared" si="1"/>
        <v>0</v>
      </c>
    </row>
    <row r="60" spans="1:17" ht="20.100000000000001" customHeight="1" x14ac:dyDescent="0.55000000000000004">
      <c r="A60" s="505">
        <f t="shared" si="2"/>
        <v>59</v>
      </c>
      <c r="B60" s="506"/>
      <c r="C60" s="506"/>
      <c r="D60" s="506"/>
      <c r="E60" s="507"/>
      <c r="F60" s="506"/>
      <c r="G60" s="507"/>
      <c r="H60" s="506"/>
      <c r="I60" s="508"/>
      <c r="J60" s="509" t="str">
        <f t="shared" si="0"/>
        <v xml:space="preserve"> </v>
      </c>
      <c r="K60" s="506"/>
      <c r="L60" s="506"/>
      <c r="M60" s="506"/>
      <c r="N60" s="506"/>
      <c r="O60" s="506"/>
      <c r="P60" s="506"/>
      <c r="Q60" s="510">
        <f t="shared" si="1"/>
        <v>0</v>
      </c>
    </row>
    <row r="61" spans="1:17" ht="20.100000000000001" customHeight="1" x14ac:dyDescent="0.55000000000000004">
      <c r="A61" s="505">
        <f t="shared" si="2"/>
        <v>60</v>
      </c>
      <c r="B61" s="506"/>
      <c r="C61" s="506"/>
      <c r="D61" s="506"/>
      <c r="E61" s="507"/>
      <c r="F61" s="506"/>
      <c r="G61" s="507"/>
      <c r="H61" s="506"/>
      <c r="I61" s="508"/>
      <c r="J61" s="509" t="str">
        <f t="shared" si="0"/>
        <v xml:space="preserve"> </v>
      </c>
      <c r="K61" s="506"/>
      <c r="L61" s="506"/>
      <c r="M61" s="506"/>
      <c r="N61" s="506"/>
      <c r="O61" s="506"/>
      <c r="P61" s="506"/>
      <c r="Q61" s="510">
        <f t="shared" si="1"/>
        <v>0</v>
      </c>
    </row>
    <row r="62" spans="1:17" ht="20.100000000000001" customHeight="1" x14ac:dyDescent="0.55000000000000004">
      <c r="A62" s="505">
        <f t="shared" si="2"/>
        <v>61</v>
      </c>
      <c r="B62" s="506"/>
      <c r="C62" s="506"/>
      <c r="D62" s="506"/>
      <c r="E62" s="507"/>
      <c r="F62" s="506"/>
      <c r="G62" s="507"/>
      <c r="H62" s="506"/>
      <c r="I62" s="508"/>
      <c r="J62" s="509" t="str">
        <f t="shared" si="0"/>
        <v xml:space="preserve"> </v>
      </c>
      <c r="K62" s="506"/>
      <c r="L62" s="506"/>
      <c r="M62" s="506"/>
      <c r="N62" s="506"/>
      <c r="O62" s="506"/>
      <c r="P62" s="506"/>
      <c r="Q62" s="510">
        <f t="shared" si="1"/>
        <v>0</v>
      </c>
    </row>
    <row r="63" spans="1:17" ht="20.100000000000001" customHeight="1" x14ac:dyDescent="0.55000000000000004">
      <c r="A63" s="505">
        <f t="shared" si="2"/>
        <v>62</v>
      </c>
      <c r="B63" s="506"/>
      <c r="C63" s="506"/>
      <c r="D63" s="506"/>
      <c r="E63" s="507"/>
      <c r="F63" s="506"/>
      <c r="G63" s="507"/>
      <c r="H63" s="506"/>
      <c r="I63" s="508"/>
      <c r="J63" s="509" t="str">
        <f t="shared" si="0"/>
        <v xml:space="preserve"> </v>
      </c>
      <c r="K63" s="506"/>
      <c r="L63" s="506"/>
      <c r="M63" s="506"/>
      <c r="N63" s="506"/>
      <c r="O63" s="506"/>
      <c r="P63" s="506"/>
      <c r="Q63" s="510">
        <f t="shared" si="1"/>
        <v>0</v>
      </c>
    </row>
    <row r="64" spans="1:17" ht="20.100000000000001" customHeight="1" x14ac:dyDescent="0.55000000000000004">
      <c r="A64" s="505">
        <f t="shared" si="2"/>
        <v>63</v>
      </c>
      <c r="B64" s="506"/>
      <c r="C64" s="506"/>
      <c r="D64" s="506"/>
      <c r="E64" s="507"/>
      <c r="F64" s="506"/>
      <c r="G64" s="507"/>
      <c r="H64" s="506"/>
      <c r="I64" s="508"/>
      <c r="J64" s="509" t="str">
        <f t="shared" si="0"/>
        <v xml:space="preserve"> </v>
      </c>
      <c r="K64" s="506"/>
      <c r="L64" s="506"/>
      <c r="M64" s="506"/>
      <c r="N64" s="506"/>
      <c r="O64" s="506"/>
      <c r="P64" s="506"/>
      <c r="Q64" s="510">
        <f t="shared" si="1"/>
        <v>0</v>
      </c>
    </row>
    <row r="65" spans="1:17" ht="20.100000000000001" customHeight="1" x14ac:dyDescent="0.55000000000000004">
      <c r="A65" s="505">
        <f t="shared" si="2"/>
        <v>64</v>
      </c>
      <c r="B65" s="506"/>
      <c r="C65" s="506"/>
      <c r="D65" s="506"/>
      <c r="E65" s="507"/>
      <c r="F65" s="506"/>
      <c r="G65" s="507"/>
      <c r="H65" s="506"/>
      <c r="I65" s="508"/>
      <c r="J65" s="509" t="str">
        <f t="shared" si="0"/>
        <v xml:space="preserve"> </v>
      </c>
      <c r="K65" s="506"/>
      <c r="L65" s="506"/>
      <c r="M65" s="506"/>
      <c r="N65" s="506"/>
      <c r="O65" s="506"/>
      <c r="P65" s="506"/>
      <c r="Q65" s="510">
        <f t="shared" si="1"/>
        <v>0</v>
      </c>
    </row>
    <row r="66" spans="1:17" ht="20.100000000000001" customHeight="1" x14ac:dyDescent="0.55000000000000004">
      <c r="A66" s="505">
        <f t="shared" si="2"/>
        <v>65</v>
      </c>
      <c r="B66" s="506"/>
      <c r="C66" s="506"/>
      <c r="D66" s="506"/>
      <c r="E66" s="507"/>
      <c r="F66" s="506"/>
      <c r="G66" s="507"/>
      <c r="H66" s="506"/>
      <c r="I66" s="508"/>
      <c r="J66" s="509" t="str">
        <f t="shared" ref="J66:J97" si="3">IF(E66*G66*I66=0," ",E66*G66*I66)</f>
        <v xml:space="preserve"> </v>
      </c>
      <c r="K66" s="506"/>
      <c r="L66" s="506"/>
      <c r="M66" s="506"/>
      <c r="N66" s="506"/>
      <c r="O66" s="506"/>
      <c r="P66" s="506"/>
      <c r="Q66" s="510">
        <f t="shared" si="1"/>
        <v>0</v>
      </c>
    </row>
    <row r="67" spans="1:17" ht="20.100000000000001" customHeight="1" x14ac:dyDescent="0.55000000000000004">
      <c r="A67" s="505">
        <f t="shared" si="2"/>
        <v>66</v>
      </c>
      <c r="B67" s="506"/>
      <c r="C67" s="506"/>
      <c r="D67" s="506"/>
      <c r="E67" s="507"/>
      <c r="F67" s="506"/>
      <c r="G67" s="507"/>
      <c r="H67" s="506"/>
      <c r="I67" s="508"/>
      <c r="J67" s="509" t="str">
        <f t="shared" si="3"/>
        <v xml:space="preserve"> </v>
      </c>
      <c r="K67" s="506"/>
      <c r="L67" s="506"/>
      <c r="M67" s="506"/>
      <c r="N67" s="506"/>
      <c r="O67" s="506"/>
      <c r="P67" s="506"/>
      <c r="Q67" s="510">
        <f t="shared" ref="Q67:Q101" si="4">N67*O67*P67</f>
        <v>0</v>
      </c>
    </row>
    <row r="68" spans="1:17" ht="20.100000000000001" customHeight="1" x14ac:dyDescent="0.55000000000000004">
      <c r="A68" s="505">
        <f t="shared" ref="A68:A99" si="5">A67+1</f>
        <v>67</v>
      </c>
      <c r="B68" s="506"/>
      <c r="C68" s="506"/>
      <c r="D68" s="506"/>
      <c r="E68" s="507"/>
      <c r="F68" s="506"/>
      <c r="G68" s="507"/>
      <c r="H68" s="506"/>
      <c r="I68" s="508"/>
      <c r="J68" s="509" t="str">
        <f t="shared" si="3"/>
        <v xml:space="preserve"> </v>
      </c>
      <c r="K68" s="506"/>
      <c r="L68" s="506"/>
      <c r="M68" s="506"/>
      <c r="N68" s="506"/>
      <c r="O68" s="506"/>
      <c r="P68" s="506"/>
      <c r="Q68" s="510">
        <f t="shared" si="4"/>
        <v>0</v>
      </c>
    </row>
    <row r="69" spans="1:17" ht="20.100000000000001" customHeight="1" x14ac:dyDescent="0.55000000000000004">
      <c r="A69" s="505">
        <f t="shared" si="5"/>
        <v>68</v>
      </c>
      <c r="B69" s="506"/>
      <c r="C69" s="506"/>
      <c r="D69" s="506"/>
      <c r="E69" s="507"/>
      <c r="F69" s="506"/>
      <c r="G69" s="507"/>
      <c r="H69" s="506"/>
      <c r="I69" s="508"/>
      <c r="J69" s="509" t="str">
        <f t="shared" si="3"/>
        <v xml:space="preserve"> </v>
      </c>
      <c r="K69" s="506"/>
      <c r="L69" s="506"/>
      <c r="M69" s="506"/>
      <c r="N69" s="506"/>
      <c r="O69" s="506"/>
      <c r="P69" s="506"/>
      <c r="Q69" s="510">
        <f t="shared" si="4"/>
        <v>0</v>
      </c>
    </row>
    <row r="70" spans="1:17" ht="20.100000000000001" customHeight="1" x14ac:dyDescent="0.55000000000000004">
      <c r="A70" s="505">
        <f t="shared" si="5"/>
        <v>69</v>
      </c>
      <c r="B70" s="506"/>
      <c r="C70" s="506"/>
      <c r="D70" s="506"/>
      <c r="E70" s="507"/>
      <c r="F70" s="506"/>
      <c r="G70" s="507"/>
      <c r="H70" s="506"/>
      <c r="I70" s="508"/>
      <c r="J70" s="509" t="str">
        <f t="shared" si="3"/>
        <v xml:space="preserve"> </v>
      </c>
      <c r="K70" s="506"/>
      <c r="L70" s="506"/>
      <c r="M70" s="506"/>
      <c r="N70" s="506"/>
      <c r="O70" s="506"/>
      <c r="P70" s="506"/>
      <c r="Q70" s="510">
        <f t="shared" si="4"/>
        <v>0</v>
      </c>
    </row>
    <row r="71" spans="1:17" ht="20.100000000000001" customHeight="1" x14ac:dyDescent="0.55000000000000004">
      <c r="A71" s="505">
        <f t="shared" si="5"/>
        <v>70</v>
      </c>
      <c r="B71" s="506"/>
      <c r="C71" s="506"/>
      <c r="D71" s="506"/>
      <c r="E71" s="507"/>
      <c r="F71" s="506"/>
      <c r="G71" s="507"/>
      <c r="H71" s="506"/>
      <c r="I71" s="508"/>
      <c r="J71" s="509" t="str">
        <f t="shared" si="3"/>
        <v xml:space="preserve"> </v>
      </c>
      <c r="K71" s="506"/>
      <c r="L71" s="506"/>
      <c r="M71" s="506"/>
      <c r="N71" s="506"/>
      <c r="O71" s="506"/>
      <c r="P71" s="506"/>
      <c r="Q71" s="510">
        <f t="shared" si="4"/>
        <v>0</v>
      </c>
    </row>
    <row r="72" spans="1:17" ht="20.100000000000001" customHeight="1" x14ac:dyDescent="0.55000000000000004">
      <c r="A72" s="505">
        <f t="shared" si="5"/>
        <v>71</v>
      </c>
      <c r="B72" s="506"/>
      <c r="C72" s="506"/>
      <c r="D72" s="506"/>
      <c r="E72" s="507"/>
      <c r="F72" s="506"/>
      <c r="G72" s="507"/>
      <c r="H72" s="506"/>
      <c r="I72" s="508"/>
      <c r="J72" s="509" t="str">
        <f t="shared" si="3"/>
        <v xml:space="preserve"> </v>
      </c>
      <c r="K72" s="506"/>
      <c r="L72" s="506"/>
      <c r="M72" s="506"/>
      <c r="N72" s="506"/>
      <c r="O72" s="506"/>
      <c r="P72" s="506"/>
      <c r="Q72" s="510">
        <f t="shared" si="4"/>
        <v>0</v>
      </c>
    </row>
    <row r="73" spans="1:17" ht="20.100000000000001" customHeight="1" x14ac:dyDescent="0.55000000000000004">
      <c r="A73" s="505">
        <f t="shared" si="5"/>
        <v>72</v>
      </c>
      <c r="B73" s="506"/>
      <c r="C73" s="506"/>
      <c r="D73" s="506"/>
      <c r="E73" s="507"/>
      <c r="F73" s="506"/>
      <c r="G73" s="507"/>
      <c r="H73" s="506"/>
      <c r="I73" s="508"/>
      <c r="J73" s="509" t="str">
        <f t="shared" si="3"/>
        <v xml:space="preserve"> </v>
      </c>
      <c r="K73" s="506"/>
      <c r="L73" s="506"/>
      <c r="M73" s="506"/>
      <c r="N73" s="506"/>
      <c r="O73" s="506"/>
      <c r="P73" s="506"/>
      <c r="Q73" s="510">
        <f t="shared" si="4"/>
        <v>0</v>
      </c>
    </row>
    <row r="74" spans="1:17" ht="20.100000000000001" customHeight="1" x14ac:dyDescent="0.55000000000000004">
      <c r="A74" s="505">
        <f t="shared" si="5"/>
        <v>73</v>
      </c>
      <c r="B74" s="506"/>
      <c r="C74" s="506"/>
      <c r="D74" s="506"/>
      <c r="E74" s="507"/>
      <c r="F74" s="506"/>
      <c r="G74" s="507"/>
      <c r="H74" s="506"/>
      <c r="I74" s="508"/>
      <c r="J74" s="509" t="str">
        <f t="shared" si="3"/>
        <v xml:space="preserve"> </v>
      </c>
      <c r="K74" s="506"/>
      <c r="L74" s="506"/>
      <c r="M74" s="506"/>
      <c r="N74" s="506"/>
      <c r="O74" s="506"/>
      <c r="P74" s="506"/>
      <c r="Q74" s="510">
        <f t="shared" si="4"/>
        <v>0</v>
      </c>
    </row>
    <row r="75" spans="1:17" ht="20.100000000000001" customHeight="1" x14ac:dyDescent="0.55000000000000004">
      <c r="A75" s="505">
        <f t="shared" si="5"/>
        <v>74</v>
      </c>
      <c r="B75" s="506"/>
      <c r="C75" s="506"/>
      <c r="D75" s="506"/>
      <c r="E75" s="507"/>
      <c r="F75" s="506"/>
      <c r="G75" s="507"/>
      <c r="H75" s="506"/>
      <c r="I75" s="508"/>
      <c r="J75" s="509" t="str">
        <f t="shared" si="3"/>
        <v xml:space="preserve"> </v>
      </c>
      <c r="K75" s="506"/>
      <c r="L75" s="506"/>
      <c r="M75" s="506"/>
      <c r="N75" s="506"/>
      <c r="O75" s="506"/>
      <c r="P75" s="506"/>
      <c r="Q75" s="510">
        <f t="shared" si="4"/>
        <v>0</v>
      </c>
    </row>
    <row r="76" spans="1:17" ht="20.100000000000001" customHeight="1" x14ac:dyDescent="0.55000000000000004">
      <c r="A76" s="505">
        <f t="shared" si="5"/>
        <v>75</v>
      </c>
      <c r="B76" s="506"/>
      <c r="C76" s="506"/>
      <c r="D76" s="506"/>
      <c r="E76" s="507"/>
      <c r="F76" s="506"/>
      <c r="G76" s="507"/>
      <c r="H76" s="506"/>
      <c r="I76" s="508"/>
      <c r="J76" s="509" t="str">
        <f t="shared" si="3"/>
        <v xml:space="preserve"> </v>
      </c>
      <c r="K76" s="506"/>
      <c r="L76" s="506"/>
      <c r="M76" s="506"/>
      <c r="N76" s="506"/>
      <c r="O76" s="506"/>
      <c r="P76" s="506"/>
      <c r="Q76" s="510">
        <f t="shared" si="4"/>
        <v>0</v>
      </c>
    </row>
    <row r="77" spans="1:17" ht="20.100000000000001" customHeight="1" x14ac:dyDescent="0.55000000000000004">
      <c r="A77" s="505">
        <f t="shared" si="5"/>
        <v>76</v>
      </c>
      <c r="B77" s="506"/>
      <c r="C77" s="506"/>
      <c r="D77" s="506"/>
      <c r="E77" s="507"/>
      <c r="F77" s="506"/>
      <c r="G77" s="507"/>
      <c r="H77" s="506"/>
      <c r="I77" s="508"/>
      <c r="J77" s="509" t="str">
        <f t="shared" si="3"/>
        <v xml:space="preserve"> </v>
      </c>
      <c r="K77" s="506"/>
      <c r="L77" s="506"/>
      <c r="M77" s="506"/>
      <c r="N77" s="506"/>
      <c r="O77" s="506"/>
      <c r="P77" s="506"/>
      <c r="Q77" s="510">
        <f t="shared" si="4"/>
        <v>0</v>
      </c>
    </row>
    <row r="78" spans="1:17" ht="20.100000000000001" customHeight="1" x14ac:dyDescent="0.55000000000000004">
      <c r="A78" s="505">
        <f t="shared" si="5"/>
        <v>77</v>
      </c>
      <c r="B78" s="506"/>
      <c r="C78" s="506"/>
      <c r="D78" s="506"/>
      <c r="E78" s="507"/>
      <c r="F78" s="506"/>
      <c r="G78" s="507"/>
      <c r="H78" s="506"/>
      <c r="I78" s="508"/>
      <c r="J78" s="509" t="str">
        <f t="shared" si="3"/>
        <v xml:space="preserve"> </v>
      </c>
      <c r="K78" s="506"/>
      <c r="L78" s="506"/>
      <c r="M78" s="506"/>
      <c r="N78" s="506"/>
      <c r="O78" s="506"/>
      <c r="P78" s="506"/>
      <c r="Q78" s="510">
        <f t="shared" si="4"/>
        <v>0</v>
      </c>
    </row>
    <row r="79" spans="1:17" ht="20.100000000000001" customHeight="1" x14ac:dyDescent="0.55000000000000004">
      <c r="A79" s="505">
        <f t="shared" si="5"/>
        <v>78</v>
      </c>
      <c r="B79" s="506"/>
      <c r="C79" s="506"/>
      <c r="D79" s="506"/>
      <c r="E79" s="507"/>
      <c r="F79" s="506"/>
      <c r="G79" s="507"/>
      <c r="H79" s="506"/>
      <c r="I79" s="508"/>
      <c r="J79" s="509" t="str">
        <f t="shared" si="3"/>
        <v xml:space="preserve"> </v>
      </c>
      <c r="K79" s="506"/>
      <c r="L79" s="506"/>
      <c r="M79" s="506"/>
      <c r="N79" s="506"/>
      <c r="O79" s="506"/>
      <c r="P79" s="506"/>
      <c r="Q79" s="510">
        <f t="shared" si="4"/>
        <v>0</v>
      </c>
    </row>
    <row r="80" spans="1:17" ht="20.100000000000001" customHeight="1" x14ac:dyDescent="0.55000000000000004">
      <c r="A80" s="505">
        <f t="shared" si="5"/>
        <v>79</v>
      </c>
      <c r="B80" s="506"/>
      <c r="C80" s="506"/>
      <c r="D80" s="506"/>
      <c r="E80" s="507"/>
      <c r="F80" s="506"/>
      <c r="G80" s="507"/>
      <c r="H80" s="506"/>
      <c r="I80" s="508"/>
      <c r="J80" s="509" t="str">
        <f t="shared" si="3"/>
        <v xml:space="preserve"> </v>
      </c>
      <c r="K80" s="506"/>
      <c r="L80" s="506"/>
      <c r="M80" s="506"/>
      <c r="N80" s="506"/>
      <c r="O80" s="506"/>
      <c r="P80" s="506"/>
      <c r="Q80" s="510">
        <f t="shared" si="4"/>
        <v>0</v>
      </c>
    </row>
    <row r="81" spans="1:17" ht="20.100000000000001" customHeight="1" x14ac:dyDescent="0.55000000000000004">
      <c r="A81" s="505">
        <f t="shared" si="5"/>
        <v>80</v>
      </c>
      <c r="B81" s="506"/>
      <c r="C81" s="506"/>
      <c r="D81" s="506"/>
      <c r="E81" s="507"/>
      <c r="F81" s="506"/>
      <c r="G81" s="507"/>
      <c r="H81" s="506"/>
      <c r="I81" s="508"/>
      <c r="J81" s="509" t="str">
        <f t="shared" si="3"/>
        <v xml:space="preserve"> </v>
      </c>
      <c r="K81" s="506"/>
      <c r="L81" s="506"/>
      <c r="M81" s="506"/>
      <c r="N81" s="506"/>
      <c r="O81" s="506"/>
      <c r="P81" s="506"/>
      <c r="Q81" s="510">
        <f t="shared" si="4"/>
        <v>0</v>
      </c>
    </row>
    <row r="82" spans="1:17" ht="20.100000000000001" customHeight="1" x14ac:dyDescent="0.55000000000000004">
      <c r="A82" s="505">
        <f t="shared" si="5"/>
        <v>81</v>
      </c>
      <c r="B82" s="506"/>
      <c r="C82" s="506"/>
      <c r="D82" s="506"/>
      <c r="E82" s="507"/>
      <c r="F82" s="506"/>
      <c r="G82" s="507"/>
      <c r="H82" s="506"/>
      <c r="I82" s="508"/>
      <c r="J82" s="509" t="str">
        <f t="shared" si="3"/>
        <v xml:space="preserve"> </v>
      </c>
      <c r="K82" s="506"/>
      <c r="L82" s="506"/>
      <c r="M82" s="506"/>
      <c r="N82" s="506"/>
      <c r="O82" s="506"/>
      <c r="P82" s="506"/>
      <c r="Q82" s="510">
        <f t="shared" si="4"/>
        <v>0</v>
      </c>
    </row>
    <row r="83" spans="1:17" ht="20.100000000000001" customHeight="1" x14ac:dyDescent="0.55000000000000004">
      <c r="A83" s="505">
        <f t="shared" si="5"/>
        <v>82</v>
      </c>
      <c r="B83" s="506"/>
      <c r="C83" s="506"/>
      <c r="D83" s="506"/>
      <c r="E83" s="507"/>
      <c r="F83" s="506"/>
      <c r="G83" s="507"/>
      <c r="H83" s="506"/>
      <c r="I83" s="508"/>
      <c r="J83" s="509" t="str">
        <f t="shared" si="3"/>
        <v xml:space="preserve"> </v>
      </c>
      <c r="K83" s="506"/>
      <c r="L83" s="506"/>
      <c r="M83" s="506"/>
      <c r="N83" s="506"/>
      <c r="O83" s="506"/>
      <c r="P83" s="506"/>
      <c r="Q83" s="510">
        <f t="shared" si="4"/>
        <v>0</v>
      </c>
    </row>
    <row r="84" spans="1:17" ht="20.100000000000001" customHeight="1" x14ac:dyDescent="0.55000000000000004">
      <c r="A84" s="505">
        <f t="shared" si="5"/>
        <v>83</v>
      </c>
      <c r="B84" s="506"/>
      <c r="C84" s="506"/>
      <c r="D84" s="506"/>
      <c r="E84" s="507"/>
      <c r="F84" s="506"/>
      <c r="G84" s="507"/>
      <c r="H84" s="506"/>
      <c r="I84" s="508"/>
      <c r="J84" s="509" t="str">
        <f t="shared" si="3"/>
        <v xml:space="preserve"> </v>
      </c>
      <c r="K84" s="506"/>
      <c r="L84" s="506"/>
      <c r="M84" s="506"/>
      <c r="N84" s="506"/>
      <c r="O84" s="506"/>
      <c r="P84" s="506"/>
      <c r="Q84" s="510">
        <f t="shared" si="4"/>
        <v>0</v>
      </c>
    </row>
    <row r="85" spans="1:17" ht="20.100000000000001" customHeight="1" x14ac:dyDescent="0.55000000000000004">
      <c r="A85" s="505">
        <f t="shared" si="5"/>
        <v>84</v>
      </c>
      <c r="B85" s="506"/>
      <c r="C85" s="506"/>
      <c r="D85" s="506"/>
      <c r="E85" s="507"/>
      <c r="F85" s="506"/>
      <c r="G85" s="507"/>
      <c r="H85" s="506"/>
      <c r="I85" s="508"/>
      <c r="J85" s="509" t="str">
        <f t="shared" si="3"/>
        <v xml:space="preserve"> </v>
      </c>
      <c r="K85" s="506"/>
      <c r="L85" s="506"/>
      <c r="M85" s="506"/>
      <c r="N85" s="506"/>
      <c r="O85" s="506"/>
      <c r="P85" s="506"/>
      <c r="Q85" s="510">
        <f t="shared" si="4"/>
        <v>0</v>
      </c>
    </row>
    <row r="86" spans="1:17" ht="20.100000000000001" customHeight="1" x14ac:dyDescent="0.55000000000000004">
      <c r="A86" s="505">
        <f t="shared" si="5"/>
        <v>85</v>
      </c>
      <c r="B86" s="506"/>
      <c r="C86" s="506"/>
      <c r="D86" s="506"/>
      <c r="E86" s="507"/>
      <c r="F86" s="506"/>
      <c r="G86" s="507"/>
      <c r="H86" s="506"/>
      <c r="I86" s="508"/>
      <c r="J86" s="509" t="str">
        <f t="shared" si="3"/>
        <v xml:space="preserve"> </v>
      </c>
      <c r="K86" s="506"/>
      <c r="L86" s="506"/>
      <c r="M86" s="506"/>
      <c r="N86" s="506"/>
      <c r="O86" s="506"/>
      <c r="P86" s="506"/>
      <c r="Q86" s="510">
        <f t="shared" si="4"/>
        <v>0</v>
      </c>
    </row>
    <row r="87" spans="1:17" ht="20.100000000000001" customHeight="1" x14ac:dyDescent="0.55000000000000004">
      <c r="A87" s="505">
        <f t="shared" si="5"/>
        <v>86</v>
      </c>
      <c r="B87" s="506"/>
      <c r="C87" s="506"/>
      <c r="D87" s="506"/>
      <c r="E87" s="507"/>
      <c r="F87" s="506"/>
      <c r="G87" s="507"/>
      <c r="H87" s="506"/>
      <c r="I87" s="508"/>
      <c r="J87" s="509" t="str">
        <f t="shared" si="3"/>
        <v xml:space="preserve"> </v>
      </c>
      <c r="K87" s="506"/>
      <c r="L87" s="506"/>
      <c r="M87" s="506"/>
      <c r="N87" s="506"/>
      <c r="O87" s="506"/>
      <c r="P87" s="506"/>
      <c r="Q87" s="510">
        <f t="shared" si="4"/>
        <v>0</v>
      </c>
    </row>
    <row r="88" spans="1:17" ht="20.100000000000001" customHeight="1" x14ac:dyDescent="0.55000000000000004">
      <c r="A88" s="505">
        <f t="shared" si="5"/>
        <v>87</v>
      </c>
      <c r="B88" s="506"/>
      <c r="C88" s="506"/>
      <c r="D88" s="506"/>
      <c r="E88" s="507"/>
      <c r="F88" s="506"/>
      <c r="G88" s="507"/>
      <c r="H88" s="506"/>
      <c r="I88" s="508"/>
      <c r="J88" s="509" t="str">
        <f t="shared" si="3"/>
        <v xml:space="preserve"> </v>
      </c>
      <c r="K88" s="506"/>
      <c r="L88" s="506"/>
      <c r="M88" s="506"/>
      <c r="N88" s="506"/>
      <c r="O88" s="506"/>
      <c r="P88" s="506"/>
      <c r="Q88" s="510">
        <f t="shared" si="4"/>
        <v>0</v>
      </c>
    </row>
    <row r="89" spans="1:17" ht="20.100000000000001" customHeight="1" x14ac:dyDescent="0.55000000000000004">
      <c r="A89" s="505">
        <f t="shared" si="5"/>
        <v>88</v>
      </c>
      <c r="B89" s="506"/>
      <c r="C89" s="506"/>
      <c r="D89" s="506"/>
      <c r="E89" s="507"/>
      <c r="F89" s="506"/>
      <c r="G89" s="507"/>
      <c r="H89" s="506"/>
      <c r="I89" s="508"/>
      <c r="J89" s="509" t="str">
        <f t="shared" si="3"/>
        <v xml:space="preserve"> </v>
      </c>
      <c r="K89" s="506"/>
      <c r="L89" s="506"/>
      <c r="M89" s="506"/>
      <c r="N89" s="506"/>
      <c r="O89" s="506"/>
      <c r="P89" s="506"/>
      <c r="Q89" s="510">
        <f t="shared" si="4"/>
        <v>0</v>
      </c>
    </row>
    <row r="90" spans="1:17" ht="20.100000000000001" customHeight="1" x14ac:dyDescent="0.55000000000000004">
      <c r="A90" s="505">
        <f t="shared" si="5"/>
        <v>89</v>
      </c>
      <c r="B90" s="506"/>
      <c r="C90" s="506"/>
      <c r="D90" s="506"/>
      <c r="E90" s="507"/>
      <c r="F90" s="506"/>
      <c r="G90" s="507"/>
      <c r="H90" s="506"/>
      <c r="I90" s="508"/>
      <c r="J90" s="509" t="str">
        <f t="shared" si="3"/>
        <v xml:space="preserve"> </v>
      </c>
      <c r="K90" s="506"/>
      <c r="L90" s="506"/>
      <c r="M90" s="506"/>
      <c r="N90" s="506"/>
      <c r="O90" s="506"/>
      <c r="P90" s="506"/>
      <c r="Q90" s="510">
        <f t="shared" si="4"/>
        <v>0</v>
      </c>
    </row>
    <row r="91" spans="1:17" ht="20.100000000000001" customHeight="1" x14ac:dyDescent="0.55000000000000004">
      <c r="A91" s="505">
        <f t="shared" si="5"/>
        <v>90</v>
      </c>
      <c r="B91" s="506"/>
      <c r="C91" s="506"/>
      <c r="D91" s="506"/>
      <c r="E91" s="507"/>
      <c r="F91" s="506"/>
      <c r="G91" s="507"/>
      <c r="H91" s="506"/>
      <c r="I91" s="508"/>
      <c r="J91" s="509" t="str">
        <f t="shared" si="3"/>
        <v xml:space="preserve"> </v>
      </c>
      <c r="K91" s="506"/>
      <c r="L91" s="506"/>
      <c r="M91" s="506"/>
      <c r="N91" s="506"/>
      <c r="O91" s="506"/>
      <c r="P91" s="506"/>
      <c r="Q91" s="510">
        <f t="shared" si="4"/>
        <v>0</v>
      </c>
    </row>
    <row r="92" spans="1:17" ht="20.100000000000001" customHeight="1" x14ac:dyDescent="0.55000000000000004">
      <c r="A92" s="505">
        <f t="shared" si="5"/>
        <v>91</v>
      </c>
      <c r="B92" s="506"/>
      <c r="C92" s="506"/>
      <c r="D92" s="506"/>
      <c r="E92" s="507"/>
      <c r="F92" s="506"/>
      <c r="G92" s="507"/>
      <c r="H92" s="506"/>
      <c r="I92" s="508"/>
      <c r="J92" s="509" t="str">
        <f t="shared" si="3"/>
        <v xml:space="preserve"> </v>
      </c>
      <c r="K92" s="506"/>
      <c r="L92" s="506"/>
      <c r="M92" s="506"/>
      <c r="N92" s="506"/>
      <c r="O92" s="506"/>
      <c r="P92" s="506"/>
      <c r="Q92" s="510">
        <f t="shared" si="4"/>
        <v>0</v>
      </c>
    </row>
    <row r="93" spans="1:17" ht="20.100000000000001" customHeight="1" x14ac:dyDescent="0.55000000000000004">
      <c r="A93" s="505">
        <f t="shared" si="5"/>
        <v>92</v>
      </c>
      <c r="B93" s="506"/>
      <c r="C93" s="506"/>
      <c r="D93" s="506"/>
      <c r="E93" s="507"/>
      <c r="F93" s="506"/>
      <c r="G93" s="507"/>
      <c r="H93" s="506"/>
      <c r="I93" s="508"/>
      <c r="J93" s="509" t="str">
        <f t="shared" si="3"/>
        <v xml:space="preserve"> </v>
      </c>
      <c r="K93" s="506"/>
      <c r="L93" s="506"/>
      <c r="M93" s="506"/>
      <c r="N93" s="506"/>
      <c r="O93" s="506"/>
      <c r="P93" s="506"/>
      <c r="Q93" s="510">
        <f t="shared" si="4"/>
        <v>0</v>
      </c>
    </row>
    <row r="94" spans="1:17" ht="20.100000000000001" customHeight="1" x14ac:dyDescent="0.55000000000000004">
      <c r="A94" s="505">
        <f t="shared" si="5"/>
        <v>93</v>
      </c>
      <c r="B94" s="506"/>
      <c r="C94" s="506"/>
      <c r="D94" s="506"/>
      <c r="E94" s="507"/>
      <c r="F94" s="506"/>
      <c r="G94" s="507"/>
      <c r="H94" s="506"/>
      <c r="I94" s="508"/>
      <c r="J94" s="509" t="str">
        <f t="shared" si="3"/>
        <v xml:space="preserve"> </v>
      </c>
      <c r="K94" s="506"/>
      <c r="L94" s="506"/>
      <c r="M94" s="506"/>
      <c r="N94" s="506"/>
      <c r="O94" s="506"/>
      <c r="P94" s="506"/>
      <c r="Q94" s="510">
        <f t="shared" si="4"/>
        <v>0</v>
      </c>
    </row>
    <row r="95" spans="1:17" ht="20.100000000000001" customHeight="1" x14ac:dyDescent="0.55000000000000004">
      <c r="A95" s="505">
        <f t="shared" si="5"/>
        <v>94</v>
      </c>
      <c r="B95" s="506"/>
      <c r="C95" s="506"/>
      <c r="D95" s="506"/>
      <c r="E95" s="507"/>
      <c r="F95" s="506"/>
      <c r="G95" s="507"/>
      <c r="H95" s="506"/>
      <c r="I95" s="508"/>
      <c r="J95" s="509" t="str">
        <f t="shared" si="3"/>
        <v xml:space="preserve"> </v>
      </c>
      <c r="K95" s="506"/>
      <c r="L95" s="506"/>
      <c r="M95" s="506"/>
      <c r="N95" s="506"/>
      <c r="O95" s="506"/>
      <c r="P95" s="506"/>
      <c r="Q95" s="510">
        <f t="shared" si="4"/>
        <v>0</v>
      </c>
    </row>
    <row r="96" spans="1:17" ht="20.100000000000001" customHeight="1" x14ac:dyDescent="0.55000000000000004">
      <c r="A96" s="505">
        <f t="shared" si="5"/>
        <v>95</v>
      </c>
      <c r="B96" s="506"/>
      <c r="C96" s="506"/>
      <c r="D96" s="506"/>
      <c r="E96" s="507"/>
      <c r="F96" s="506"/>
      <c r="G96" s="507"/>
      <c r="H96" s="506"/>
      <c r="I96" s="508"/>
      <c r="J96" s="509" t="str">
        <f t="shared" si="3"/>
        <v xml:space="preserve"> </v>
      </c>
      <c r="K96" s="506"/>
      <c r="L96" s="506"/>
      <c r="M96" s="506"/>
      <c r="N96" s="506"/>
      <c r="O96" s="506"/>
      <c r="P96" s="506"/>
      <c r="Q96" s="510">
        <f t="shared" si="4"/>
        <v>0</v>
      </c>
    </row>
    <row r="97" spans="1:17" ht="20.100000000000001" customHeight="1" x14ac:dyDescent="0.55000000000000004">
      <c r="A97" s="505">
        <f t="shared" si="5"/>
        <v>96</v>
      </c>
      <c r="B97" s="506"/>
      <c r="C97" s="506"/>
      <c r="D97" s="506"/>
      <c r="E97" s="507"/>
      <c r="F97" s="506"/>
      <c r="G97" s="507"/>
      <c r="H97" s="506"/>
      <c r="I97" s="508"/>
      <c r="J97" s="509" t="str">
        <f t="shared" si="3"/>
        <v xml:space="preserve"> </v>
      </c>
      <c r="K97" s="506"/>
      <c r="L97" s="506"/>
      <c r="M97" s="506"/>
      <c r="N97" s="506"/>
      <c r="O97" s="506"/>
      <c r="P97" s="506"/>
      <c r="Q97" s="510">
        <f t="shared" si="4"/>
        <v>0</v>
      </c>
    </row>
    <row r="98" spans="1:17" ht="20.100000000000001" customHeight="1" x14ac:dyDescent="0.55000000000000004">
      <c r="A98" s="505">
        <f t="shared" si="5"/>
        <v>97</v>
      </c>
      <c r="B98" s="506"/>
      <c r="C98" s="506"/>
      <c r="D98" s="506"/>
      <c r="E98" s="507"/>
      <c r="F98" s="506"/>
      <c r="G98" s="507"/>
      <c r="H98" s="506"/>
      <c r="I98" s="508"/>
      <c r="J98" s="509" t="str">
        <f>IF(E98*G98*I98=0," ",E98*G98*I98)</f>
        <v xml:space="preserve"> </v>
      </c>
      <c r="K98" s="506"/>
      <c r="L98" s="506"/>
      <c r="M98" s="506"/>
      <c r="N98" s="506"/>
      <c r="O98" s="506"/>
      <c r="P98" s="506"/>
      <c r="Q98" s="510">
        <f t="shared" si="4"/>
        <v>0</v>
      </c>
    </row>
    <row r="99" spans="1:17" ht="20.100000000000001" customHeight="1" x14ac:dyDescent="0.55000000000000004">
      <c r="A99" s="505">
        <f t="shared" si="5"/>
        <v>98</v>
      </c>
      <c r="B99" s="506"/>
      <c r="C99" s="506"/>
      <c r="D99" s="506"/>
      <c r="E99" s="507"/>
      <c r="F99" s="506"/>
      <c r="G99" s="507"/>
      <c r="H99" s="506"/>
      <c r="I99" s="508"/>
      <c r="J99" s="509" t="str">
        <f>IF(E99*G99*I99=0," ",E99*G99*I99)</f>
        <v xml:space="preserve"> </v>
      </c>
      <c r="K99" s="506"/>
      <c r="L99" s="506"/>
      <c r="M99" s="506"/>
      <c r="N99" s="506"/>
      <c r="O99" s="506"/>
      <c r="P99" s="506"/>
      <c r="Q99" s="510">
        <f t="shared" si="4"/>
        <v>0</v>
      </c>
    </row>
    <row r="100" spans="1:17" ht="20.100000000000001" customHeight="1" x14ac:dyDescent="0.55000000000000004">
      <c r="A100" s="505">
        <f>A99+1</f>
        <v>99</v>
      </c>
      <c r="B100" s="506"/>
      <c r="C100" s="506"/>
      <c r="D100" s="506"/>
      <c r="E100" s="507"/>
      <c r="F100" s="506"/>
      <c r="G100" s="507"/>
      <c r="H100" s="506"/>
      <c r="I100" s="508"/>
      <c r="J100" s="509" t="str">
        <f>IF(E100*G100*I100=0," ",E100*G100*I100)</f>
        <v xml:space="preserve"> </v>
      </c>
      <c r="K100" s="506"/>
      <c r="L100" s="506"/>
      <c r="M100" s="506"/>
      <c r="N100" s="506"/>
      <c r="O100" s="506"/>
      <c r="P100" s="506"/>
      <c r="Q100" s="510">
        <f t="shared" si="4"/>
        <v>0</v>
      </c>
    </row>
    <row r="101" spans="1:17" ht="20.100000000000001" customHeight="1" thickBot="1" x14ac:dyDescent="0.6">
      <c r="A101" s="540">
        <f>A100+1</f>
        <v>100</v>
      </c>
      <c r="B101" s="541"/>
      <c r="C101" s="541"/>
      <c r="D101" s="541"/>
      <c r="E101" s="542"/>
      <c r="F101" s="541"/>
      <c r="G101" s="542"/>
      <c r="H101" s="541"/>
      <c r="I101" s="543"/>
      <c r="J101" s="544" t="str">
        <f>IF(E101*G101*I101=0," ",E101*G101*I101)</f>
        <v xml:space="preserve"> </v>
      </c>
      <c r="K101" s="541"/>
      <c r="L101" s="541"/>
      <c r="M101" s="541"/>
      <c r="N101" s="541"/>
      <c r="O101" s="541"/>
      <c r="P101" s="541"/>
      <c r="Q101" s="510">
        <f t="shared" si="4"/>
        <v>0</v>
      </c>
    </row>
  </sheetData>
  <hyperlinks>
    <hyperlink ref="S1" location="Menu!A1" display="Return to menu" xr:uid="{00000000-0004-0000-0600-000000000000}"/>
  </hyperlinks>
  <printOptions horizontalCentered="1"/>
  <pageMargins left="0.25" right="0.25" top="1" bottom="1" header="0.5" footer="0.5"/>
  <pageSetup orientation="landscape" r:id="rId1"/>
  <headerFooter alignWithMargins="0">
    <oddFooter>&amp;L&amp;A&amp;RPage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K1:T6"/>
  <sheetViews>
    <sheetView showGridLines="0" showRowColHeaders="0" zoomScale="130" zoomScaleNormal="130" workbookViewId="0">
      <selection activeCell="K1" sqref="K1:M1"/>
    </sheetView>
  </sheetViews>
  <sheetFormatPr defaultColWidth="9.1015625" defaultRowHeight="12.3" x14ac:dyDescent="0.45"/>
  <cols>
    <col min="1" max="16384" width="9.1015625" style="317"/>
  </cols>
  <sheetData>
    <row r="1" spans="11:20" ht="20.399999999999999" x14ac:dyDescent="0.75">
      <c r="K1" s="598" t="s">
        <v>20</v>
      </c>
      <c r="L1" s="598"/>
      <c r="M1" s="598"/>
    </row>
    <row r="2" spans="11:20" ht="12.6" x14ac:dyDescent="0.45">
      <c r="L2" s="312"/>
      <c r="M2" s="312"/>
      <c r="N2" s="312"/>
      <c r="O2" s="312"/>
      <c r="P2" s="312"/>
      <c r="Q2" s="312"/>
      <c r="R2" s="312"/>
      <c r="S2" s="312"/>
      <c r="T2" s="312"/>
    </row>
    <row r="3" spans="11:20" ht="12.6" x14ac:dyDescent="0.45">
      <c r="K3" s="312"/>
      <c r="L3" s="312"/>
      <c r="M3" s="312"/>
      <c r="N3" s="312"/>
      <c r="O3" s="312"/>
      <c r="P3" s="312"/>
      <c r="R3" s="312"/>
      <c r="S3" s="312"/>
      <c r="T3" s="312"/>
    </row>
    <row r="4" spans="11:20" ht="17.7" x14ac:dyDescent="0.6">
      <c r="K4" s="313" t="s">
        <v>245</v>
      </c>
      <c r="L4" s="312"/>
      <c r="M4" s="312"/>
      <c r="N4" s="312"/>
      <c r="O4" s="312"/>
      <c r="P4" s="312"/>
      <c r="Q4" s="312"/>
      <c r="R4" s="312"/>
      <c r="S4" s="312"/>
      <c r="T4" s="312"/>
    </row>
    <row r="6" spans="11:20" ht="15" x14ac:dyDescent="0.5">
      <c r="K6" s="314" t="s">
        <v>496</v>
      </c>
    </row>
  </sheetData>
  <mergeCells count="1">
    <mergeCell ref="K1:M1"/>
  </mergeCells>
  <hyperlinks>
    <hyperlink ref="K1" location="Menu!A1" display="Return to menu" xr:uid="{00000000-0004-0000-0700-000000000000}"/>
  </hyperlinks>
  <printOptions horizontalCentered="1" verticalCentered="1"/>
  <pageMargins left="0" right="0" top="0.52" bottom="0" header="0.5" footer="0.5"/>
  <pageSetup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S136"/>
  <sheetViews>
    <sheetView showGridLines="0" zoomScale="75" zoomScaleNormal="75" workbookViewId="0">
      <selection activeCell="Q1" sqref="Q1:S1"/>
    </sheetView>
  </sheetViews>
  <sheetFormatPr defaultColWidth="9.1015625" defaultRowHeight="12.75" customHeight="1" zeroHeight="1" x14ac:dyDescent="0.55000000000000004"/>
  <cols>
    <col min="1" max="1" width="13.1015625" style="321" customWidth="1"/>
    <col min="2" max="2" width="3.26171875" style="318" customWidth="1"/>
    <col min="3" max="12" width="9.1015625" style="318" customWidth="1"/>
    <col min="13" max="13" width="9.734375" style="318" bestFit="1" customWidth="1"/>
    <col min="14" max="14" width="9.1015625" style="318" customWidth="1"/>
    <col min="15" max="15" width="0.26171875" style="318" customWidth="1"/>
    <col min="16" max="16384" width="9.1015625" style="318"/>
  </cols>
  <sheetData>
    <row r="1" spans="1:19" ht="26.25" customHeight="1" x14ac:dyDescent="0.75">
      <c r="A1" s="601" t="s">
        <v>269</v>
      </c>
      <c r="B1" s="602"/>
      <c r="C1" s="602"/>
      <c r="D1" s="602"/>
      <c r="E1" s="602"/>
      <c r="F1" s="602"/>
      <c r="G1" s="602"/>
      <c r="H1" s="602"/>
      <c r="I1" s="602"/>
      <c r="J1" s="602"/>
      <c r="K1" s="602"/>
      <c r="L1" s="602"/>
      <c r="M1" s="602"/>
      <c r="N1" s="603"/>
      <c r="Q1" s="598" t="s">
        <v>20</v>
      </c>
      <c r="R1" s="598"/>
      <c r="S1" s="598"/>
    </row>
    <row r="2" spans="1:19" ht="15.75" customHeight="1" x14ac:dyDescent="0.55000000000000004">
      <c r="A2" s="604" t="s">
        <v>270</v>
      </c>
      <c r="B2" s="604"/>
      <c r="C2" s="605" t="s">
        <v>271</v>
      </c>
      <c r="D2" s="605"/>
      <c r="E2" s="605"/>
      <c r="G2" s="319"/>
      <c r="H2" s="605" t="s">
        <v>272</v>
      </c>
      <c r="I2" s="605"/>
      <c r="J2" s="605"/>
      <c r="L2" s="319"/>
      <c r="M2" s="606">
        <v>29221</v>
      </c>
      <c r="N2" s="606"/>
    </row>
    <row r="3" spans="1:19" ht="15.75" customHeight="1" x14ac:dyDescent="0.55000000000000004">
      <c r="A3" s="604" t="s">
        <v>273</v>
      </c>
      <c r="B3" s="604"/>
      <c r="C3" s="605" t="s">
        <v>274</v>
      </c>
      <c r="D3" s="605"/>
      <c r="E3" s="605"/>
      <c r="G3" s="319"/>
      <c r="H3" s="605">
        <v>1234</v>
      </c>
      <c r="I3" s="605"/>
      <c r="J3" s="605"/>
      <c r="L3" s="319"/>
      <c r="M3" s="605" t="s">
        <v>275</v>
      </c>
      <c r="N3" s="605"/>
      <c r="P3" s="467" t="s">
        <v>497</v>
      </c>
    </row>
    <row r="4" spans="1:19" ht="15.75" customHeight="1" x14ac:dyDescent="0.55000000000000004">
      <c r="A4" s="604" t="s">
        <v>276</v>
      </c>
      <c r="B4" s="604"/>
      <c r="C4" s="605" t="s">
        <v>277</v>
      </c>
      <c r="D4" s="605"/>
      <c r="E4" s="605"/>
      <c r="G4" s="319"/>
      <c r="H4" s="605" t="s">
        <v>278</v>
      </c>
      <c r="I4" s="605"/>
      <c r="J4" s="605"/>
      <c r="N4" s="320"/>
    </row>
    <row r="5" spans="1:19" ht="15.75" customHeight="1" x14ac:dyDescent="0.55000000000000004">
      <c r="B5" s="319"/>
      <c r="G5" s="319"/>
      <c r="N5" s="320"/>
    </row>
    <row r="6" spans="1:19" ht="15.75" customHeight="1" x14ac:dyDescent="0.55000000000000004">
      <c r="A6" s="604" t="s">
        <v>279</v>
      </c>
      <c r="B6" s="604"/>
      <c r="C6" s="322">
        <v>0.52</v>
      </c>
      <c r="E6" s="319" t="s">
        <v>280</v>
      </c>
      <c r="F6" s="323">
        <f>3-COUNTIF(C12:C14,"")</f>
        <v>2</v>
      </c>
      <c r="G6" s="319" t="s">
        <v>281</v>
      </c>
      <c r="H6" s="323">
        <f>IF(F6=2,0.8862,IF(F6=3,0.5908,""))</f>
        <v>0.88619999999999999</v>
      </c>
      <c r="J6" s="319" t="s">
        <v>282</v>
      </c>
      <c r="K6" s="323">
        <f>(MAX(N15,N20,N25)-MIN(N15,N20,N25))</f>
        <v>9.1999999999998749E-3</v>
      </c>
      <c r="L6" s="319" t="s">
        <v>283</v>
      </c>
      <c r="M6" s="323">
        <f>IF(F6=2,3.27,IF(F6=3,2.58,""))</f>
        <v>3.27</v>
      </c>
      <c r="N6" s="320"/>
    </row>
    <row r="7" spans="1:19" ht="15.75" customHeight="1" x14ac:dyDescent="0.55000000000000004">
      <c r="A7" s="604" t="s">
        <v>284</v>
      </c>
      <c r="B7" s="604"/>
      <c r="C7" s="322">
        <v>0.48</v>
      </c>
      <c r="E7" s="319" t="s">
        <v>285</v>
      </c>
      <c r="F7" s="323">
        <f>SUM((1-COUNTBLANK(C12)),(1-COUNTBLANK(C17)),(1-COUNTBLANK(C22)))</f>
        <v>2</v>
      </c>
      <c r="G7" s="319" t="s">
        <v>286</v>
      </c>
      <c r="H7" s="323">
        <f>IF(F7=2,0.7071,IF(F7=3,0.5231,""))</f>
        <v>0.70709999999999995</v>
      </c>
      <c r="J7" s="319" t="s">
        <v>287</v>
      </c>
      <c r="K7" s="323">
        <f>N29</f>
        <v>4.7999999999999987E-3</v>
      </c>
      <c r="L7" s="319" t="s">
        <v>288</v>
      </c>
      <c r="M7" s="323">
        <f>N28</f>
        <v>2.349999999999991E-2</v>
      </c>
      <c r="N7" s="320"/>
    </row>
    <row r="8" spans="1:19" ht="15.75" customHeight="1" x14ac:dyDescent="0.55000000000000004">
      <c r="A8" s="599" t="s">
        <v>289</v>
      </c>
      <c r="B8" s="600"/>
      <c r="C8" s="324">
        <f>MAX(C6:C7)-MIN(C6:C7)</f>
        <v>4.0000000000000036E-2</v>
      </c>
      <c r="E8" s="319" t="s">
        <v>290</v>
      </c>
      <c r="F8" s="323">
        <f>10-COUNTIF(C12:L12,"")</f>
        <v>5</v>
      </c>
      <c r="G8" s="319" t="s">
        <v>291</v>
      </c>
      <c r="H8" s="323">
        <f>VLOOKUP(F8,G58:H66,2)</f>
        <v>0.40300000000000002</v>
      </c>
      <c r="N8" s="320"/>
    </row>
    <row r="9" spans="1:19" ht="15.75" customHeight="1" x14ac:dyDescent="0.55000000000000004">
      <c r="A9" s="325"/>
      <c r="B9" s="326"/>
      <c r="C9" s="326"/>
      <c r="D9" s="326"/>
      <c r="E9" s="326"/>
      <c r="F9" s="326"/>
      <c r="G9" s="326"/>
      <c r="H9" s="326"/>
      <c r="I9" s="326"/>
      <c r="J9" s="326"/>
      <c r="K9" s="326"/>
      <c r="L9" s="326"/>
      <c r="M9" s="326"/>
      <c r="N9" s="327"/>
    </row>
    <row r="10" spans="1:19" ht="15.75" customHeight="1" x14ac:dyDescent="0.55000000000000004">
      <c r="A10" s="609" t="s">
        <v>292</v>
      </c>
      <c r="B10" s="610"/>
      <c r="C10" s="613" t="s">
        <v>293</v>
      </c>
      <c r="D10" s="613"/>
      <c r="E10" s="613"/>
      <c r="F10" s="613"/>
      <c r="G10" s="613"/>
      <c r="H10" s="613"/>
      <c r="I10" s="613"/>
      <c r="J10" s="613"/>
      <c r="K10" s="613"/>
      <c r="L10" s="613"/>
      <c r="M10" s="614" t="s">
        <v>135</v>
      </c>
      <c r="N10" s="614"/>
    </row>
    <row r="11" spans="1:19" ht="15.75" customHeight="1" x14ac:dyDescent="0.55000000000000004">
      <c r="A11" s="611"/>
      <c r="B11" s="612"/>
      <c r="C11" s="328">
        <v>1</v>
      </c>
      <c r="D11" s="328">
        <v>2</v>
      </c>
      <c r="E11" s="328">
        <v>3</v>
      </c>
      <c r="F11" s="328">
        <v>4</v>
      </c>
      <c r="G11" s="328">
        <v>5</v>
      </c>
      <c r="H11" s="328">
        <v>6</v>
      </c>
      <c r="I11" s="328">
        <v>7</v>
      </c>
      <c r="J11" s="328">
        <v>8</v>
      </c>
      <c r="K11" s="328">
        <v>9</v>
      </c>
      <c r="L11" s="328">
        <v>10</v>
      </c>
      <c r="M11" s="615"/>
      <c r="N11" s="615"/>
    </row>
    <row r="12" spans="1:19" ht="18" customHeight="1" x14ac:dyDescent="0.55000000000000004">
      <c r="A12" s="329" t="s">
        <v>60</v>
      </c>
      <c r="B12" s="330">
        <v>1</v>
      </c>
      <c r="C12" s="466">
        <v>0.52100000000000002</v>
      </c>
      <c r="D12" s="466">
        <v>0.52200000000000002</v>
      </c>
      <c r="E12" s="466">
        <v>0.52300000000000002</v>
      </c>
      <c r="F12" s="466">
        <v>0.52100000000000002</v>
      </c>
      <c r="G12" s="466">
        <v>0.52500000000000002</v>
      </c>
      <c r="H12" s="322"/>
      <c r="I12" s="322"/>
      <c r="J12" s="322"/>
      <c r="K12" s="322"/>
      <c r="L12" s="329"/>
      <c r="M12" s="607">
        <f>IF(C12="","",IF($F$6&lt;1,"",AVERAGE(C12:L12)))</f>
        <v>0.52239999999999998</v>
      </c>
      <c r="N12" s="608"/>
    </row>
    <row r="13" spans="1:19" ht="18" customHeight="1" x14ac:dyDescent="0.55000000000000004">
      <c r="A13" s="331"/>
      <c r="B13" s="332">
        <v>2</v>
      </c>
      <c r="C13" s="466">
        <v>0.52100000000000002</v>
      </c>
      <c r="D13" s="466">
        <v>0.52300000000000002</v>
      </c>
      <c r="E13" s="466">
        <v>0.52100000000000002</v>
      </c>
      <c r="F13" s="466">
        <v>0.52200000000000002</v>
      </c>
      <c r="G13" s="466">
        <v>0.52400000000000002</v>
      </c>
      <c r="H13" s="322"/>
      <c r="I13" s="322"/>
      <c r="J13" s="322"/>
      <c r="K13" s="322"/>
      <c r="L13" s="329"/>
      <c r="M13" s="607">
        <f>IF(C13="","",IF($F$6&lt;1,"",AVERAGE(C13:L13)))</f>
        <v>0.5222</v>
      </c>
      <c r="N13" s="608"/>
    </row>
    <row r="14" spans="1:19" ht="18" customHeight="1" x14ac:dyDescent="0.55000000000000004">
      <c r="A14" s="331"/>
      <c r="B14" s="332">
        <v>3</v>
      </c>
      <c r="C14" s="322"/>
      <c r="D14" s="322"/>
      <c r="E14" s="322"/>
      <c r="F14" s="322"/>
      <c r="G14" s="322"/>
      <c r="H14" s="322"/>
      <c r="I14" s="322"/>
      <c r="J14" s="322"/>
      <c r="K14" s="322"/>
      <c r="L14" s="322"/>
      <c r="M14" s="607" t="str">
        <f>IF(C14="","",IF($F$6&lt;1,"",AVERAGE(C14:L14)))</f>
        <v/>
      </c>
      <c r="N14" s="608"/>
    </row>
    <row r="15" spans="1:19" ht="18" customHeight="1" x14ac:dyDescent="0.55000000000000004">
      <c r="A15" s="331"/>
      <c r="B15" s="332" t="s">
        <v>135</v>
      </c>
      <c r="C15" s="324">
        <f>IF($F$7&lt;1,"",IF($F$8&lt;C11,"",AVERAGE(C12:C14)))</f>
        <v>0.52100000000000002</v>
      </c>
      <c r="D15" s="324">
        <f t="shared" ref="D15:L15" si="0">IF($F$7&lt;1,"",IF($F$8&lt;D11,"",AVERAGE(D12:D14)))</f>
        <v>0.52249999999999996</v>
      </c>
      <c r="E15" s="324">
        <f t="shared" si="0"/>
        <v>0.52200000000000002</v>
      </c>
      <c r="F15" s="324">
        <f t="shared" si="0"/>
        <v>0.52150000000000007</v>
      </c>
      <c r="G15" s="324">
        <f t="shared" si="0"/>
        <v>0.52449999999999997</v>
      </c>
      <c r="H15" s="324" t="str">
        <f t="shared" si="0"/>
        <v/>
      </c>
      <c r="I15" s="324" t="str">
        <f t="shared" si="0"/>
        <v/>
      </c>
      <c r="J15" s="324" t="str">
        <f t="shared" si="0"/>
        <v/>
      </c>
      <c r="K15" s="324" t="str">
        <f t="shared" si="0"/>
        <v/>
      </c>
      <c r="L15" s="324" t="str">
        <f t="shared" si="0"/>
        <v/>
      </c>
      <c r="M15" s="333" t="s">
        <v>294</v>
      </c>
      <c r="N15" s="334">
        <f>IF(C15="","",AVERAGE(C15:L15))</f>
        <v>0.52229999999999988</v>
      </c>
    </row>
    <row r="16" spans="1:19" ht="18" customHeight="1" x14ac:dyDescent="0.55000000000000004">
      <c r="A16" s="331"/>
      <c r="B16" s="332" t="s">
        <v>139</v>
      </c>
      <c r="C16" s="324">
        <f>IF($F$7&lt;1,"",IF($F$8&lt;C11,"",MAX(C12:C14)-MIN(C12:C14)))</f>
        <v>0</v>
      </c>
      <c r="D16" s="324">
        <f t="shared" ref="D16:L16" si="1">IF($F$7&lt;1,"",IF($F$8&lt;D11,"",MAX(D12:D14)-MIN(D12:D14)))</f>
        <v>1.0000000000000009E-3</v>
      </c>
      <c r="E16" s="324">
        <f t="shared" si="1"/>
        <v>2.0000000000000018E-3</v>
      </c>
      <c r="F16" s="324">
        <f t="shared" si="1"/>
        <v>1.0000000000000009E-3</v>
      </c>
      <c r="G16" s="324">
        <f t="shared" si="1"/>
        <v>1.0000000000000009E-3</v>
      </c>
      <c r="H16" s="324" t="str">
        <f t="shared" si="1"/>
        <v/>
      </c>
      <c r="I16" s="324" t="str">
        <f t="shared" si="1"/>
        <v/>
      </c>
      <c r="J16" s="324" t="str">
        <f t="shared" si="1"/>
        <v/>
      </c>
      <c r="K16" s="324" t="str">
        <f t="shared" si="1"/>
        <v/>
      </c>
      <c r="L16" s="324" t="str">
        <f t="shared" si="1"/>
        <v/>
      </c>
      <c r="M16" s="333" t="s">
        <v>295</v>
      </c>
      <c r="N16" s="334">
        <f>IF(C16="","",AVERAGE(C16:L16))</f>
        <v>1.0000000000000009E-3</v>
      </c>
    </row>
    <row r="17" spans="1:14" ht="18" customHeight="1" x14ac:dyDescent="0.55000000000000004">
      <c r="A17" s="329" t="s">
        <v>61</v>
      </c>
      <c r="B17" s="330">
        <v>1</v>
      </c>
      <c r="C17" s="322">
        <v>0.498</v>
      </c>
      <c r="D17" s="322">
        <v>0.52100000000000002</v>
      </c>
      <c r="E17" s="322">
        <v>0.52200000000000002</v>
      </c>
      <c r="F17" s="322">
        <v>0.52400000000000002</v>
      </c>
      <c r="G17" s="322">
        <v>0.52100000000000002</v>
      </c>
      <c r="H17" s="322"/>
      <c r="I17" s="322"/>
      <c r="J17" s="322"/>
      <c r="K17" s="322"/>
      <c r="L17" s="329"/>
      <c r="M17" s="607">
        <f>IF(C17="","",IF($F$6&lt;1,"",AVERAGE(C17:L17)))</f>
        <v>0.5172000000000001</v>
      </c>
      <c r="N17" s="608"/>
    </row>
    <row r="18" spans="1:14" ht="18" customHeight="1" x14ac:dyDescent="0.55000000000000004">
      <c r="A18" s="331"/>
      <c r="B18" s="332">
        <v>2</v>
      </c>
      <c r="C18" s="322">
        <v>0.45700000000000002</v>
      </c>
      <c r="D18" s="322">
        <v>0.52200000000000002</v>
      </c>
      <c r="E18" s="322">
        <v>0.52200000000000002</v>
      </c>
      <c r="F18" s="322">
        <v>0.52300000000000002</v>
      </c>
      <c r="G18" s="322">
        <v>0.52100000000000002</v>
      </c>
      <c r="H18" s="322"/>
      <c r="I18" s="322"/>
      <c r="J18" s="322"/>
      <c r="K18" s="322"/>
      <c r="L18" s="329"/>
      <c r="M18" s="607">
        <f>IF(C18="","",IF($F$6&lt;1,"",AVERAGE(C18:L18)))</f>
        <v>0.50900000000000001</v>
      </c>
      <c r="N18" s="608"/>
    </row>
    <row r="19" spans="1:14" ht="18" customHeight="1" x14ac:dyDescent="0.55000000000000004">
      <c r="A19" s="331"/>
      <c r="B19" s="332">
        <v>3</v>
      </c>
      <c r="C19" s="322"/>
      <c r="D19" s="322"/>
      <c r="E19" s="322"/>
      <c r="F19" s="322"/>
      <c r="G19" s="322"/>
      <c r="H19" s="322"/>
      <c r="I19" s="322"/>
      <c r="J19" s="322"/>
      <c r="K19" s="322"/>
      <c r="L19" s="329"/>
      <c r="M19" s="607" t="str">
        <f>IF(C19="","",IF($F$6&lt;1,"",AVERAGE(C19:L19)))</f>
        <v/>
      </c>
      <c r="N19" s="608"/>
    </row>
    <row r="20" spans="1:14" ht="18" customHeight="1" x14ac:dyDescent="0.55000000000000004">
      <c r="A20" s="331"/>
      <c r="B20" s="332" t="s">
        <v>135</v>
      </c>
      <c r="C20" s="324">
        <f>IF($F$7&lt;2,"",IF($F$8&lt;C11,"",AVERAGE(C17:C19)))</f>
        <v>0.47750000000000004</v>
      </c>
      <c r="D20" s="324">
        <f t="shared" ref="D20:L20" si="2">IF($F$7&lt;2,"",IF($F$8&lt;D11,"",AVERAGE(D17:D19)))</f>
        <v>0.52150000000000007</v>
      </c>
      <c r="E20" s="324">
        <f t="shared" si="2"/>
        <v>0.52200000000000002</v>
      </c>
      <c r="F20" s="324">
        <f t="shared" si="2"/>
        <v>0.52350000000000008</v>
      </c>
      <c r="G20" s="324">
        <f t="shared" si="2"/>
        <v>0.52100000000000002</v>
      </c>
      <c r="H20" s="324" t="str">
        <f t="shared" si="2"/>
        <v/>
      </c>
      <c r="I20" s="324" t="str">
        <f t="shared" si="2"/>
        <v/>
      </c>
      <c r="J20" s="324" t="str">
        <f t="shared" si="2"/>
        <v/>
      </c>
      <c r="K20" s="324" t="str">
        <f t="shared" si="2"/>
        <v/>
      </c>
      <c r="L20" s="324" t="str">
        <f t="shared" si="2"/>
        <v/>
      </c>
      <c r="M20" s="333" t="s">
        <v>296</v>
      </c>
      <c r="N20" s="334">
        <f>IF(C20="","",AVERAGE(C20:L20))</f>
        <v>0.5131</v>
      </c>
    </row>
    <row r="21" spans="1:14" ht="18" customHeight="1" x14ac:dyDescent="0.55000000000000004">
      <c r="A21" s="331"/>
      <c r="B21" s="332" t="s">
        <v>139</v>
      </c>
      <c r="C21" s="324">
        <f>IF($F$7&lt;2,"",IF($F$8&lt;C11,"",MAX(C17:C19)-MIN(C17:C19)))</f>
        <v>4.0999999999999981E-2</v>
      </c>
      <c r="D21" s="324">
        <f t="shared" ref="D21:L21" si="3">IF($F$7&lt;2,"",IF($F$8&lt;D11,"",MAX(D17:D19)-MIN(D17:D19)))</f>
        <v>1.0000000000000009E-3</v>
      </c>
      <c r="E21" s="324">
        <f t="shared" si="3"/>
        <v>0</v>
      </c>
      <c r="F21" s="324">
        <f t="shared" si="3"/>
        <v>1.0000000000000009E-3</v>
      </c>
      <c r="G21" s="324">
        <f t="shared" si="3"/>
        <v>0</v>
      </c>
      <c r="H21" s="324" t="str">
        <f t="shared" si="3"/>
        <v/>
      </c>
      <c r="I21" s="324" t="str">
        <f t="shared" si="3"/>
        <v/>
      </c>
      <c r="J21" s="324" t="str">
        <f t="shared" si="3"/>
        <v/>
      </c>
      <c r="K21" s="324" t="str">
        <f t="shared" si="3"/>
        <v/>
      </c>
      <c r="L21" s="324" t="str">
        <f t="shared" si="3"/>
        <v/>
      </c>
      <c r="M21" s="333" t="s">
        <v>297</v>
      </c>
      <c r="N21" s="334">
        <f>IF(C21="","",AVERAGE(C21:L21))</f>
        <v>8.5999999999999965E-3</v>
      </c>
    </row>
    <row r="22" spans="1:14" ht="18" customHeight="1" x14ac:dyDescent="0.55000000000000004">
      <c r="A22" s="329" t="s">
        <v>62</v>
      </c>
      <c r="B22" s="330">
        <v>1</v>
      </c>
      <c r="C22" s="322"/>
      <c r="D22" s="322"/>
      <c r="E22" s="322"/>
      <c r="F22" s="322"/>
      <c r="G22" s="322"/>
      <c r="H22" s="322"/>
      <c r="I22" s="322"/>
      <c r="J22" s="322"/>
      <c r="K22" s="322"/>
      <c r="L22" s="329"/>
      <c r="M22" s="607" t="str">
        <f>IF(C22="","",IF($F$6&lt;1,"",AVERAGE(C22:L22)))</f>
        <v/>
      </c>
      <c r="N22" s="608"/>
    </row>
    <row r="23" spans="1:14" ht="18" customHeight="1" x14ac:dyDescent="0.55000000000000004">
      <c r="A23" s="331"/>
      <c r="B23" s="332">
        <v>2</v>
      </c>
      <c r="C23" s="322"/>
      <c r="D23" s="322"/>
      <c r="E23" s="322"/>
      <c r="F23" s="322"/>
      <c r="G23" s="322"/>
      <c r="H23" s="322"/>
      <c r="I23" s="322"/>
      <c r="J23" s="322"/>
      <c r="K23" s="322"/>
      <c r="L23" s="329"/>
      <c r="M23" s="607" t="str">
        <f>IF(C23="","",IF($F$6&lt;1,"",AVERAGE(C23:L23)))</f>
        <v/>
      </c>
      <c r="N23" s="608"/>
    </row>
    <row r="24" spans="1:14" ht="18" customHeight="1" x14ac:dyDescent="0.55000000000000004">
      <c r="A24" s="331"/>
      <c r="B24" s="332">
        <v>3</v>
      </c>
      <c r="C24" s="322"/>
      <c r="D24" s="322"/>
      <c r="E24" s="322"/>
      <c r="F24" s="322"/>
      <c r="G24" s="322"/>
      <c r="H24" s="322"/>
      <c r="I24" s="322"/>
      <c r="J24" s="322"/>
      <c r="K24" s="322"/>
      <c r="L24" s="329"/>
      <c r="M24" s="607" t="str">
        <f>IF(C24="","",IF($F$6&lt;1,"",AVERAGE(C24:L24)))</f>
        <v/>
      </c>
      <c r="N24" s="608"/>
    </row>
    <row r="25" spans="1:14" ht="18" customHeight="1" x14ac:dyDescent="0.55000000000000004">
      <c r="A25" s="331"/>
      <c r="B25" s="332" t="s">
        <v>135</v>
      </c>
      <c r="C25" s="324" t="str">
        <f>IF($F$7&lt;3,"",IF($F$8&lt;C11,"",AVERAGE(C22:C24)))</f>
        <v/>
      </c>
      <c r="D25" s="324" t="str">
        <f t="shared" ref="D25:L25" si="4">IF($F$7&lt;3,"",IF($F$8&lt;D11,"",AVERAGE(D22:D24)))</f>
        <v/>
      </c>
      <c r="E25" s="324" t="str">
        <f t="shared" si="4"/>
        <v/>
      </c>
      <c r="F25" s="324" t="str">
        <f t="shared" si="4"/>
        <v/>
      </c>
      <c r="G25" s="324" t="str">
        <f t="shared" si="4"/>
        <v/>
      </c>
      <c r="H25" s="324" t="str">
        <f t="shared" si="4"/>
        <v/>
      </c>
      <c r="I25" s="324" t="str">
        <f t="shared" si="4"/>
        <v/>
      </c>
      <c r="J25" s="324" t="str">
        <f t="shared" si="4"/>
        <v/>
      </c>
      <c r="K25" s="324" t="str">
        <f t="shared" si="4"/>
        <v/>
      </c>
      <c r="L25" s="324" t="str">
        <f t="shared" si="4"/>
        <v/>
      </c>
      <c r="M25" s="333" t="s">
        <v>298</v>
      </c>
      <c r="N25" s="334" t="str">
        <f>IF(C25="","",AVERAGE(C25:L25))</f>
        <v/>
      </c>
    </row>
    <row r="26" spans="1:14" ht="18" customHeight="1" x14ac:dyDescent="0.55000000000000004">
      <c r="A26" s="331"/>
      <c r="B26" s="332" t="s">
        <v>139</v>
      </c>
      <c r="C26" s="324" t="str">
        <f>IF($F$7&lt;3,"",IF($F$8&lt;C11,"",MAX(C22:C24)-MIN(C22:C24)))</f>
        <v/>
      </c>
      <c r="D26" s="324" t="str">
        <f t="shared" ref="D26:L26" si="5">IF($F$7&lt;3,"",IF($F$8&lt;D11,"",MAX(D22:D24)-MIN(D22:D24)))</f>
        <v/>
      </c>
      <c r="E26" s="324" t="str">
        <f t="shared" si="5"/>
        <v/>
      </c>
      <c r="F26" s="324" t="str">
        <f t="shared" si="5"/>
        <v/>
      </c>
      <c r="G26" s="324" t="str">
        <f t="shared" si="5"/>
        <v/>
      </c>
      <c r="H26" s="324" t="str">
        <f t="shared" si="5"/>
        <v/>
      </c>
      <c r="I26" s="324" t="str">
        <f t="shared" si="5"/>
        <v/>
      </c>
      <c r="J26" s="324" t="str">
        <f t="shared" si="5"/>
        <v/>
      </c>
      <c r="K26" s="324" t="str">
        <f t="shared" si="5"/>
        <v/>
      </c>
      <c r="L26" s="324" t="str">
        <f t="shared" si="5"/>
        <v/>
      </c>
      <c r="M26" s="333" t="s">
        <v>299</v>
      </c>
      <c r="N26" s="334" t="str">
        <f>IF(C26="","",AVERAGE(C26:L26))</f>
        <v/>
      </c>
    </row>
    <row r="27" spans="1:14" ht="15.75" customHeight="1" x14ac:dyDescent="0.55000000000000004">
      <c r="A27" s="617" t="s">
        <v>300</v>
      </c>
      <c r="B27" s="618"/>
      <c r="C27" s="616">
        <f>IF($F$8&lt;C11,"",AVERAGE(C12:C14,C17:C19,C22:C24))</f>
        <v>0.49925000000000003</v>
      </c>
      <c r="D27" s="616">
        <f t="shared" ref="D27:L27" si="6">IF($F$8&lt;D11,"",AVERAGE(D12:D14,D17:D19,D22:D24))</f>
        <v>0.52200000000000002</v>
      </c>
      <c r="E27" s="616">
        <f t="shared" si="6"/>
        <v>0.52200000000000002</v>
      </c>
      <c r="F27" s="616">
        <f t="shared" si="6"/>
        <v>0.52250000000000008</v>
      </c>
      <c r="G27" s="616">
        <f t="shared" si="6"/>
        <v>0.52274999999999994</v>
      </c>
      <c r="H27" s="616" t="str">
        <f t="shared" si="6"/>
        <v/>
      </c>
      <c r="I27" s="616" t="str">
        <f t="shared" si="6"/>
        <v/>
      </c>
      <c r="J27" s="616" t="str">
        <f t="shared" si="6"/>
        <v/>
      </c>
      <c r="K27" s="616" t="str">
        <f t="shared" si="6"/>
        <v/>
      </c>
      <c r="L27" s="616" t="str">
        <f t="shared" si="6"/>
        <v/>
      </c>
      <c r="M27" s="335" t="s">
        <v>301</v>
      </c>
      <c r="N27" s="336">
        <f>AVERAGE(M12:N14,M17:N19,M22:N24)</f>
        <v>0.51770000000000005</v>
      </c>
    </row>
    <row r="28" spans="1:14" ht="15.75" customHeight="1" x14ac:dyDescent="0.55000000000000004">
      <c r="A28" s="619"/>
      <c r="B28" s="620"/>
      <c r="C28" s="616"/>
      <c r="D28" s="616"/>
      <c r="E28" s="616"/>
      <c r="F28" s="616"/>
      <c r="G28" s="616"/>
      <c r="H28" s="616"/>
      <c r="I28" s="616"/>
      <c r="J28" s="616"/>
      <c r="K28" s="616"/>
      <c r="L28" s="616"/>
      <c r="M28" s="337" t="s">
        <v>302</v>
      </c>
      <c r="N28" s="338">
        <f>MAX(C27:L28)-MIN(C27:L28)</f>
        <v>2.349999999999991E-2</v>
      </c>
    </row>
    <row r="29" spans="1:14" ht="18" customHeight="1" x14ac:dyDescent="0.55000000000000004">
      <c r="A29" s="331" t="str">
        <f>CONCATENATE("[","(",M16,N16," + ",M21,N21," + ",M26,N26,")"," / ",E7,F7,"]"," = Rbarbar")</f>
        <v>[(Rbar a = 0.001 + Rbar b = 0.0086 + Rbar c = ) / # of appraisers = 2] = Rbarbar</v>
      </c>
      <c r="B29" s="339"/>
      <c r="C29" s="339"/>
      <c r="D29" s="339"/>
      <c r="E29" s="339"/>
      <c r="F29" s="339"/>
      <c r="G29" s="339"/>
      <c r="H29" s="339"/>
      <c r="I29" s="339"/>
      <c r="J29" s="339"/>
      <c r="K29" s="339"/>
      <c r="L29" s="340"/>
      <c r="M29" s="333" t="s">
        <v>287</v>
      </c>
      <c r="N29" s="334">
        <f>AVERAGE(N16,N21,N26)</f>
        <v>4.7999999999999987E-3</v>
      </c>
    </row>
    <row r="30" spans="1:14" ht="18" customHeight="1" x14ac:dyDescent="0.55000000000000004">
      <c r="A30" s="331" t="str">
        <f>CONCATENATE("(","Max Xbar = ",MAX(N15,N20,N25),")"," - ","Min Xbar = ",MIN(N15,N20,N25),") = Xbar diff",)</f>
        <v>(Max Xbar = 0.5223) - Min Xbar = 0.5131) = Xbar diff</v>
      </c>
      <c r="B30" s="339"/>
      <c r="C30" s="339"/>
      <c r="D30" s="339"/>
      <c r="E30" s="339"/>
      <c r="F30" s="339"/>
      <c r="G30" s="339"/>
      <c r="H30" s="339"/>
      <c r="I30" s="339"/>
      <c r="J30" s="339"/>
      <c r="K30" s="339"/>
      <c r="L30" s="340"/>
      <c r="M30" s="341" t="s">
        <v>303</v>
      </c>
      <c r="N30" s="334">
        <f>MAX(N15,N20,N25)-MIN(N15,N20,N25)</f>
        <v>9.1999999999998749E-3</v>
      </c>
    </row>
    <row r="31" spans="1:14" ht="18" customHeight="1" x14ac:dyDescent="0.55000000000000004">
      <c r="A31" s="331" t="str">
        <f>CONCATENATE("(",M29,N29,")"," x (D4 = ",IF(F6=2,3.27,IF(F6=3,2.58,"")),") = UCL R")</f>
        <v>(Rbarbar = 0.0048) x (D4 = 3.27) = UCL R</v>
      </c>
      <c r="B31" s="339"/>
      <c r="C31" s="339"/>
      <c r="D31" s="339"/>
      <c r="E31" s="339"/>
      <c r="F31" s="339"/>
      <c r="G31" s="339"/>
      <c r="H31" s="339"/>
      <c r="I31" s="339"/>
      <c r="J31" s="339"/>
      <c r="K31" s="339"/>
      <c r="L31" s="340"/>
      <c r="M31" s="341" t="s">
        <v>304</v>
      </c>
      <c r="N31" s="334">
        <f>IF(F6=2,3.27,IF(F6=3,2.58,""))*N29</f>
        <v>1.5695999999999995E-2</v>
      </c>
    </row>
    <row r="32" spans="1:14" ht="34.5" customHeight="1" x14ac:dyDescent="0.55000000000000004">
      <c r="A32" s="601" t="s">
        <v>305</v>
      </c>
      <c r="B32" s="602"/>
      <c r="C32" s="602"/>
      <c r="D32" s="602"/>
      <c r="E32" s="602"/>
      <c r="F32" s="602"/>
      <c r="G32" s="602"/>
      <c r="H32" s="602"/>
      <c r="I32" s="602"/>
      <c r="J32" s="602"/>
      <c r="K32" s="602"/>
      <c r="L32" s="602"/>
      <c r="M32" s="602"/>
      <c r="N32" s="603"/>
    </row>
    <row r="33" spans="1:14" ht="15.75" customHeight="1" x14ac:dyDescent="0.55000000000000004">
      <c r="B33" s="319" t="s">
        <v>270</v>
      </c>
      <c r="C33" s="616" t="str">
        <f>IF(C2="","",C2)</f>
        <v>123456, Shaft</v>
      </c>
      <c r="D33" s="616"/>
      <c r="E33" s="616"/>
      <c r="G33" s="319" t="s">
        <v>306</v>
      </c>
      <c r="H33" s="616" t="str">
        <f>IF(H2="","",H2)</f>
        <v>Shaft Gage</v>
      </c>
      <c r="I33" s="616"/>
      <c r="J33" s="616"/>
      <c r="L33" s="319" t="s">
        <v>307</v>
      </c>
      <c r="M33" s="625">
        <f>IF(M2="","",M2)</f>
        <v>29221</v>
      </c>
      <c r="N33" s="625"/>
    </row>
    <row r="34" spans="1:14" ht="15.75" customHeight="1" x14ac:dyDescent="0.55000000000000004">
      <c r="B34" s="319" t="s">
        <v>273</v>
      </c>
      <c r="C34" s="616" t="str">
        <f>IF(C3="","",C3)</f>
        <v>Outside Diameter</v>
      </c>
      <c r="D34" s="616"/>
      <c r="E34" s="616"/>
      <c r="G34" s="319" t="s">
        <v>308</v>
      </c>
      <c r="H34" s="616">
        <f>IF(H3="","",H3)</f>
        <v>1234</v>
      </c>
      <c r="I34" s="616"/>
      <c r="J34" s="616"/>
      <c r="L34" s="319" t="s">
        <v>309</v>
      </c>
      <c r="M34" s="616" t="str">
        <f>IF(M3="","",M3)</f>
        <v>BOB</v>
      </c>
      <c r="N34" s="616"/>
    </row>
    <row r="35" spans="1:14" ht="15.75" customHeight="1" x14ac:dyDescent="0.55000000000000004">
      <c r="B35" s="319" t="s">
        <v>276</v>
      </c>
      <c r="C35" s="616" t="str">
        <f>IF(C4="","",C4)</f>
        <v>25 plus or minus 5</v>
      </c>
      <c r="D35" s="616"/>
      <c r="E35" s="616"/>
      <c r="G35" s="319" t="s">
        <v>310</v>
      </c>
      <c r="H35" s="616" t="str">
        <f>IF(H4="","",H4)</f>
        <v>Indicator</v>
      </c>
      <c r="I35" s="616"/>
      <c r="J35" s="616"/>
      <c r="N35" s="320"/>
    </row>
    <row r="36" spans="1:14" ht="15.75" customHeight="1" x14ac:dyDescent="0.55000000000000004">
      <c r="N36" s="320"/>
    </row>
    <row r="37" spans="1:14" ht="15.75" customHeight="1" x14ac:dyDescent="0.55000000000000004">
      <c r="B37" s="319" t="s">
        <v>279</v>
      </c>
      <c r="C37" s="324">
        <f>C6</f>
        <v>0.52</v>
      </c>
      <c r="E37" s="319" t="s">
        <v>280</v>
      </c>
      <c r="F37" s="323">
        <f>F6</f>
        <v>2</v>
      </c>
      <c r="G37" s="319" t="s">
        <v>311</v>
      </c>
      <c r="H37" s="323">
        <f>H6</f>
        <v>0.88619999999999999</v>
      </c>
      <c r="J37" s="319" t="s">
        <v>282</v>
      </c>
      <c r="K37" s="324">
        <f>K6</f>
        <v>9.1999999999998749E-3</v>
      </c>
      <c r="L37" s="319" t="s">
        <v>312</v>
      </c>
      <c r="M37" s="323">
        <f>M6</f>
        <v>3.27</v>
      </c>
      <c r="N37" s="320"/>
    </row>
    <row r="38" spans="1:14" ht="15.75" customHeight="1" x14ac:dyDescent="0.55000000000000004">
      <c r="B38" s="319" t="s">
        <v>284</v>
      </c>
      <c r="C38" s="324">
        <f>C7</f>
        <v>0.48</v>
      </c>
      <c r="E38" s="319" t="s">
        <v>285</v>
      </c>
      <c r="F38" s="323">
        <f>F7</f>
        <v>2</v>
      </c>
      <c r="G38" s="319" t="s">
        <v>313</v>
      </c>
      <c r="H38" s="323">
        <f>H7</f>
        <v>0.70709999999999995</v>
      </c>
      <c r="J38" s="319" t="s">
        <v>287</v>
      </c>
      <c r="K38" s="324">
        <f>K7</f>
        <v>4.7999999999999987E-3</v>
      </c>
      <c r="L38" s="319" t="s">
        <v>302</v>
      </c>
      <c r="M38" s="323">
        <f>M7</f>
        <v>2.349999999999991E-2</v>
      </c>
      <c r="N38" s="320"/>
    </row>
    <row r="39" spans="1:14" ht="15.75" customHeight="1" x14ac:dyDescent="0.55000000000000004">
      <c r="B39" s="319" t="s">
        <v>289</v>
      </c>
      <c r="C39" s="324">
        <f>C8</f>
        <v>4.0000000000000036E-2</v>
      </c>
      <c r="E39" s="319" t="s">
        <v>290</v>
      </c>
      <c r="F39" s="323">
        <f>F8</f>
        <v>5</v>
      </c>
      <c r="G39" s="319" t="s">
        <v>314</v>
      </c>
      <c r="H39" s="323">
        <f>H8</f>
        <v>0.40300000000000002</v>
      </c>
      <c r="N39" s="320"/>
    </row>
    <row r="40" spans="1:14" ht="15.75" customHeight="1" x14ac:dyDescent="0.55000000000000004">
      <c r="N40" s="320"/>
    </row>
    <row r="41" spans="1:14" ht="15.25" customHeight="1" x14ac:dyDescent="0.55000000000000004">
      <c r="A41" s="621" t="s">
        <v>315</v>
      </c>
      <c r="B41" s="622"/>
      <c r="C41" s="622"/>
      <c r="D41" s="622"/>
      <c r="E41" s="622"/>
      <c r="F41" s="622"/>
      <c r="G41" s="622"/>
      <c r="H41" s="623"/>
      <c r="I41" s="617" t="s">
        <v>316</v>
      </c>
      <c r="J41" s="624"/>
      <c r="K41" s="624"/>
      <c r="L41" s="624"/>
      <c r="M41" s="624"/>
      <c r="N41" s="618"/>
    </row>
    <row r="42" spans="1:14" ht="15.25" customHeight="1" x14ac:dyDescent="0.55000000000000004">
      <c r="A42" s="342" t="s">
        <v>317</v>
      </c>
      <c r="B42" s="343"/>
      <c r="C42" s="343"/>
      <c r="D42" s="343"/>
      <c r="E42" s="343"/>
      <c r="F42" s="343"/>
      <c r="G42" s="343"/>
      <c r="H42" s="344"/>
      <c r="I42" s="342" t="s">
        <v>318</v>
      </c>
      <c r="J42" s="343"/>
      <c r="K42" s="343"/>
      <c r="L42" s="343"/>
      <c r="M42" s="343"/>
      <c r="N42" s="344"/>
    </row>
    <row r="43" spans="1:14" ht="15.25" customHeight="1" thickBot="1" x14ac:dyDescent="0.6">
      <c r="A43" s="345"/>
      <c r="B43" s="346" t="s">
        <v>319</v>
      </c>
      <c r="C43" s="347" t="s">
        <v>320</v>
      </c>
      <c r="D43" s="347"/>
      <c r="E43" s="347"/>
      <c r="F43" s="347"/>
      <c r="G43" s="347"/>
      <c r="H43" s="348"/>
      <c r="I43" s="345"/>
      <c r="J43" s="349" t="s">
        <v>321</v>
      </c>
      <c r="K43" s="347" t="s">
        <v>322</v>
      </c>
      <c r="L43" s="347"/>
      <c r="M43" s="347"/>
      <c r="N43" s="348"/>
    </row>
    <row r="44" spans="1:14" ht="15.25" customHeight="1" x14ac:dyDescent="0.55000000000000004">
      <c r="A44" s="345"/>
      <c r="B44" s="346" t="s">
        <v>323</v>
      </c>
      <c r="C44" s="350" t="str">
        <f>IF(H6="",0,CONCATENATE("(",N29,")"," x (",H6,")"))</f>
        <v>(0.0048) x (0.8862)</v>
      </c>
      <c r="D44" s="347"/>
      <c r="E44" s="347"/>
      <c r="F44" s="347"/>
      <c r="G44" s="351" t="s">
        <v>172</v>
      </c>
      <c r="H44" s="352" t="s">
        <v>324</v>
      </c>
      <c r="I44" s="347"/>
      <c r="J44" s="349" t="s">
        <v>325</v>
      </c>
      <c r="K44" s="347" t="str">
        <f>CONCATENATE("100 [",C45," / ",C64," ]")</f>
        <v>100 [0.0043 / 0.0122 ]</v>
      </c>
      <c r="L44" s="347"/>
      <c r="M44" s="347"/>
      <c r="N44" s="348"/>
    </row>
    <row r="45" spans="1:14" ht="15.25" customHeight="1" x14ac:dyDescent="0.55000000000000004">
      <c r="A45" s="345"/>
      <c r="B45" s="346" t="s">
        <v>323</v>
      </c>
      <c r="C45" s="350">
        <f>IF(H6="",0,ROUND((N29*H6),5-LEN(INT((N29*H6)))))</f>
        <v>4.3E-3</v>
      </c>
      <c r="D45" s="347"/>
      <c r="E45" s="347"/>
      <c r="F45" s="347"/>
      <c r="G45" s="353">
        <v>2</v>
      </c>
      <c r="H45" s="354">
        <v>0.88619999999999999</v>
      </c>
      <c r="I45" s="347"/>
      <c r="J45" s="349" t="s">
        <v>325</v>
      </c>
      <c r="K45" s="355">
        <f>100*(C45/C64)</f>
        <v>35.245901639344261</v>
      </c>
      <c r="L45" s="350" t="s">
        <v>326</v>
      </c>
      <c r="M45" s="347"/>
      <c r="N45" s="348"/>
    </row>
    <row r="46" spans="1:14" ht="15.25" customHeight="1" thickBot="1" x14ac:dyDescent="0.6">
      <c r="A46" s="345"/>
      <c r="B46" s="347"/>
      <c r="C46" s="347"/>
      <c r="D46" s="347"/>
      <c r="E46" s="347"/>
      <c r="F46" s="347"/>
      <c r="G46" s="356">
        <v>3</v>
      </c>
      <c r="H46" s="357">
        <v>0.59079999999999999</v>
      </c>
      <c r="I46" s="358"/>
      <c r="J46" s="358"/>
      <c r="K46" s="358"/>
      <c r="L46" s="358"/>
      <c r="M46" s="358"/>
      <c r="N46" s="359"/>
    </row>
    <row r="47" spans="1:14" ht="15.25" customHeight="1" x14ac:dyDescent="0.55000000000000004">
      <c r="A47" s="342" t="s">
        <v>327</v>
      </c>
      <c r="B47" s="343"/>
      <c r="C47" s="343"/>
      <c r="D47" s="343"/>
      <c r="E47" s="343"/>
      <c r="F47" s="343"/>
      <c r="G47" s="347"/>
      <c r="H47" s="348"/>
      <c r="I47" s="342" t="s">
        <v>328</v>
      </c>
      <c r="J47" s="343"/>
      <c r="K47" s="343"/>
      <c r="L47" s="343"/>
      <c r="M47" s="343"/>
      <c r="N47" s="344"/>
    </row>
    <row r="48" spans="1:14" ht="15.25" customHeight="1" x14ac:dyDescent="0.55000000000000004">
      <c r="A48" s="345"/>
      <c r="B48" s="346" t="s">
        <v>329</v>
      </c>
      <c r="C48" s="360" t="str">
        <f>CONCATENATE("SQRT{(","Xbar diff"," x ","K 2",")^2 - (","EV","/[(","# parts)"," x ","(# trials",")])}")</f>
        <v>SQRT{(Xbar diff x K 2)^2 - (EV/[(# parts) x (# trials)])}</v>
      </c>
      <c r="D48" s="347"/>
      <c r="E48" s="347"/>
      <c r="F48" s="347"/>
      <c r="G48" s="349"/>
      <c r="H48" s="361"/>
      <c r="I48" s="345"/>
      <c r="J48" s="349" t="s">
        <v>330</v>
      </c>
      <c r="K48" s="347" t="s">
        <v>331</v>
      </c>
      <c r="L48" s="347"/>
      <c r="M48" s="347"/>
      <c r="N48" s="348"/>
    </row>
    <row r="49" spans="1:14" ht="15.25" customHeight="1" thickBot="1" x14ac:dyDescent="0.6">
      <c r="A49" s="345"/>
      <c r="B49" s="346" t="s">
        <v>323</v>
      </c>
      <c r="C49" s="350" t="str">
        <f>IF(H7="",0,CONCATENATE("SQRT(",ROUND((K37*H38)^2,5-LEN(INT((K37*H38)^2)))," - ",ROUND((N29*H6)^2/(F8*F6),5-LEN(INT((N29*H6)^2/(F8*F6)))),")"))</f>
        <v>SQRT(0 - 0)</v>
      </c>
      <c r="D49" s="347"/>
      <c r="E49" s="347"/>
      <c r="F49" s="347"/>
      <c r="G49" s="349"/>
      <c r="H49" s="361"/>
      <c r="I49" s="345"/>
      <c r="J49" s="349" t="s">
        <v>325</v>
      </c>
      <c r="K49" s="347" t="str">
        <f>CONCATENATE("100 [",C50," / ",C64," ]")</f>
        <v>100 [0.0064 / 0.0122 ]</v>
      </c>
      <c r="L49" s="347"/>
      <c r="M49" s="347"/>
      <c r="N49" s="348"/>
    </row>
    <row r="50" spans="1:14" ht="15.25" customHeight="1" x14ac:dyDescent="0.55000000000000004">
      <c r="A50" s="345"/>
      <c r="B50" s="346" t="s">
        <v>323</v>
      </c>
      <c r="C50" s="362">
        <f>IF(H7="",0,ROUND(SQRT((K37*H38)^2-(N29*H6)^2/(F8*F6)),5-LEN(INT((SQRT((K37*H38)^2-(N29*H6)^2/(F8*F6)))))))</f>
        <v>6.4000000000000003E-3</v>
      </c>
      <c r="D50" s="347"/>
      <c r="E50" s="347"/>
      <c r="F50" s="351" t="s">
        <v>332</v>
      </c>
      <c r="G50" s="363">
        <v>2</v>
      </c>
      <c r="H50" s="352">
        <v>3</v>
      </c>
      <c r="I50" s="347"/>
      <c r="J50" s="349" t="s">
        <v>325</v>
      </c>
      <c r="K50" s="355">
        <f>100*(C50/C64)</f>
        <v>52.459016393442624</v>
      </c>
      <c r="L50" s="350" t="s">
        <v>326</v>
      </c>
      <c r="M50" s="347"/>
      <c r="N50" s="348"/>
    </row>
    <row r="51" spans="1:14" ht="15.25" customHeight="1" thickBot="1" x14ac:dyDescent="0.6">
      <c r="A51" s="345"/>
      <c r="B51" s="347"/>
      <c r="C51" s="347"/>
      <c r="D51" s="347"/>
      <c r="E51" s="347"/>
      <c r="F51" s="356" t="s">
        <v>173</v>
      </c>
      <c r="G51" s="364">
        <v>0.70709999999999995</v>
      </c>
      <c r="H51" s="357">
        <v>0.52310000000000001</v>
      </c>
      <c r="I51" s="358"/>
      <c r="J51" s="358"/>
      <c r="K51" s="358"/>
      <c r="L51" s="358"/>
      <c r="M51" s="358"/>
      <c r="N51" s="359"/>
    </row>
    <row r="52" spans="1:14" ht="15.25" customHeight="1" x14ac:dyDescent="0.55000000000000004">
      <c r="A52" s="342" t="s">
        <v>333</v>
      </c>
      <c r="B52" s="343"/>
      <c r="C52" s="343"/>
      <c r="D52" s="343"/>
      <c r="E52" s="343"/>
      <c r="F52" s="347"/>
      <c r="G52" s="347"/>
      <c r="H52" s="348"/>
      <c r="I52" s="342" t="s">
        <v>334</v>
      </c>
      <c r="J52" s="343"/>
      <c r="K52" s="343"/>
      <c r="L52" s="343"/>
      <c r="M52" s="343"/>
      <c r="N52" s="344"/>
    </row>
    <row r="53" spans="1:14" ht="15.25" customHeight="1" x14ac:dyDescent="0.55000000000000004">
      <c r="A53" s="345"/>
      <c r="B53" s="346" t="s">
        <v>335</v>
      </c>
      <c r="C53" s="347" t="s">
        <v>336</v>
      </c>
      <c r="D53" s="347"/>
      <c r="E53" s="347"/>
      <c r="F53" s="347"/>
      <c r="G53" s="347"/>
      <c r="H53" s="348"/>
      <c r="I53" s="345"/>
      <c r="J53" s="349" t="s">
        <v>337</v>
      </c>
      <c r="K53" s="347" t="s">
        <v>338</v>
      </c>
      <c r="L53" s="347"/>
      <c r="M53" s="347"/>
      <c r="N53" s="348"/>
    </row>
    <row r="54" spans="1:14" ht="15.25" customHeight="1" x14ac:dyDescent="0.55000000000000004">
      <c r="A54" s="345"/>
      <c r="B54" s="346" t="s">
        <v>339</v>
      </c>
      <c r="C54" s="347" t="str">
        <f>CONCATENATE("SQRT [ ",ROUND((C45)^2,5-LEN(INT((C45)^2)))," + ",ROUND((C50^2),5-LEN(INT((C50^2))))," ]")</f>
        <v>SQRT [ 0 + 0 ]</v>
      </c>
      <c r="D54" s="347"/>
      <c r="E54" s="347"/>
      <c r="F54" s="347"/>
      <c r="G54" s="347"/>
      <c r="H54" s="348"/>
      <c r="I54" s="345"/>
      <c r="J54" s="349" t="s">
        <v>325</v>
      </c>
      <c r="K54" s="347" t="str">
        <f>CONCATENATE("100 [",C55," / ",C64," ]")</f>
        <v>100 [0.0077 / 0.0122 ]</v>
      </c>
      <c r="L54" s="347"/>
      <c r="M54" s="347"/>
      <c r="N54" s="348"/>
    </row>
    <row r="55" spans="1:14" ht="15.25" customHeight="1" x14ac:dyDescent="0.55000000000000004">
      <c r="A55" s="345"/>
      <c r="B55" s="346" t="s">
        <v>339</v>
      </c>
      <c r="C55" s="350">
        <f>ROUND(SQRT((C45^2)+(C50^2)),5-LEN(INT((SQRT((C45^2)+(C50^2))))))</f>
        <v>7.7000000000000002E-3</v>
      </c>
      <c r="D55" s="347"/>
      <c r="E55" s="347"/>
      <c r="F55" s="347"/>
      <c r="G55" s="347"/>
      <c r="H55" s="348"/>
      <c r="I55" s="345"/>
      <c r="J55" s="349" t="s">
        <v>325</v>
      </c>
      <c r="K55" s="355">
        <f>100*(C55/C64)</f>
        <v>63.114754098360656</v>
      </c>
      <c r="L55" s="350" t="s">
        <v>326</v>
      </c>
      <c r="M55" s="347"/>
      <c r="N55" s="348"/>
    </row>
    <row r="56" spans="1:14" ht="15.25" customHeight="1" thickBot="1" x14ac:dyDescent="0.6">
      <c r="A56" s="365"/>
      <c r="B56" s="358"/>
      <c r="C56" s="358"/>
      <c r="D56" s="358"/>
      <c r="E56" s="358"/>
      <c r="F56" s="358"/>
      <c r="G56" s="347"/>
      <c r="H56" s="348"/>
      <c r="I56" s="365"/>
      <c r="J56" s="358"/>
      <c r="K56" s="358"/>
      <c r="L56" s="358"/>
      <c r="M56" s="358"/>
      <c r="N56" s="359"/>
    </row>
    <row r="57" spans="1:14" ht="15.25" customHeight="1" x14ac:dyDescent="0.55000000000000004">
      <c r="A57" s="342" t="s">
        <v>340</v>
      </c>
      <c r="B57" s="343"/>
      <c r="C57" s="343"/>
      <c r="D57" s="343"/>
      <c r="E57" s="343"/>
      <c r="F57" s="343"/>
      <c r="G57" s="351" t="s">
        <v>341</v>
      </c>
      <c r="H57" s="352" t="s">
        <v>342</v>
      </c>
      <c r="I57" s="343" t="s">
        <v>343</v>
      </c>
      <c r="J57" s="343"/>
      <c r="K57" s="343"/>
      <c r="L57" s="343"/>
      <c r="M57" s="343"/>
      <c r="N57" s="344"/>
    </row>
    <row r="58" spans="1:14" ht="15.25" customHeight="1" x14ac:dyDescent="0.55000000000000004">
      <c r="A58" s="345"/>
      <c r="B58" s="346" t="s">
        <v>344</v>
      </c>
      <c r="C58" s="347" t="s">
        <v>345</v>
      </c>
      <c r="D58" s="347"/>
      <c r="E58" s="347"/>
      <c r="F58" s="347"/>
      <c r="G58" s="353">
        <v>2</v>
      </c>
      <c r="H58" s="354">
        <v>0.70709999999999995</v>
      </c>
      <c r="I58" s="347"/>
      <c r="J58" s="349" t="s">
        <v>346</v>
      </c>
      <c r="K58" s="347" t="s">
        <v>347</v>
      </c>
      <c r="L58" s="347"/>
      <c r="M58" s="347"/>
      <c r="N58" s="348"/>
    </row>
    <row r="59" spans="1:14" ht="15.25" customHeight="1" x14ac:dyDescent="0.55000000000000004">
      <c r="A59" s="345"/>
      <c r="B59" s="346" t="s">
        <v>323</v>
      </c>
      <c r="C59" s="350">
        <f>ROUND((M7*H8),5-LEN(INT(((M7*H8)))))</f>
        <v>9.4999999999999998E-3</v>
      </c>
      <c r="D59" s="347"/>
      <c r="E59" s="347"/>
      <c r="F59" s="347"/>
      <c r="G59" s="353">
        <v>3</v>
      </c>
      <c r="H59" s="354">
        <v>0.52310000000000001</v>
      </c>
      <c r="I59" s="347"/>
      <c r="J59" s="349" t="s">
        <v>348</v>
      </c>
      <c r="K59" s="347" t="str">
        <f>CONCATENATE("100 [",C59," / ",C64," ]")</f>
        <v>100 [0.0095 / 0.0122 ]</v>
      </c>
      <c r="L59" s="347"/>
      <c r="M59" s="347"/>
      <c r="N59" s="348"/>
    </row>
    <row r="60" spans="1:14" ht="15.25" customHeight="1" x14ac:dyDescent="0.55000000000000004">
      <c r="A60" s="365"/>
      <c r="B60" s="358"/>
      <c r="C60" s="358"/>
      <c r="D60" s="358"/>
      <c r="E60" s="358"/>
      <c r="F60" s="358"/>
      <c r="G60" s="353">
        <v>4</v>
      </c>
      <c r="H60" s="354">
        <v>0.44669999999999999</v>
      </c>
      <c r="I60" s="347"/>
      <c r="J60" s="349" t="s">
        <v>348</v>
      </c>
      <c r="K60" s="355">
        <f>100*(C59/C64)</f>
        <v>77.868852459016395</v>
      </c>
      <c r="L60" s="350" t="s">
        <v>326</v>
      </c>
      <c r="M60" s="347"/>
      <c r="N60" s="348"/>
    </row>
    <row r="61" spans="1:14" ht="15.25" customHeight="1" x14ac:dyDescent="0.55000000000000004">
      <c r="A61" s="342" t="s">
        <v>349</v>
      </c>
      <c r="B61" s="343"/>
      <c r="C61" s="343"/>
      <c r="D61" s="343"/>
      <c r="E61" s="343"/>
      <c r="F61" s="343"/>
      <c r="G61" s="353">
        <v>5</v>
      </c>
      <c r="H61" s="354">
        <v>0.40300000000000002</v>
      </c>
      <c r="I61" s="358"/>
      <c r="J61" s="358"/>
      <c r="K61" s="358"/>
      <c r="L61" s="358"/>
      <c r="M61" s="358"/>
      <c r="N61" s="359"/>
    </row>
    <row r="62" spans="1:14" ht="15.25" customHeight="1" x14ac:dyDescent="0.55000000000000004">
      <c r="A62" s="345"/>
      <c r="B62" s="346" t="s">
        <v>350</v>
      </c>
      <c r="C62" s="347" t="s">
        <v>351</v>
      </c>
      <c r="D62" s="347"/>
      <c r="E62" s="347"/>
      <c r="F62" s="347"/>
      <c r="G62" s="353">
        <v>6</v>
      </c>
      <c r="H62" s="354">
        <v>0.37419999999999998</v>
      </c>
      <c r="I62" s="343" t="s">
        <v>352</v>
      </c>
      <c r="J62" s="343"/>
      <c r="K62" s="343"/>
      <c r="L62" s="343"/>
      <c r="M62" s="343"/>
      <c r="N62" s="344"/>
    </row>
    <row r="63" spans="1:14" ht="15.25" customHeight="1" x14ac:dyDescent="0.55000000000000004">
      <c r="A63" s="345"/>
      <c r="B63" s="346" t="s">
        <v>323</v>
      </c>
      <c r="C63" s="347" t="str">
        <f>CONCATENATE("SQRT [",ROUND((C55)^2,5-LEN(INT((C55)^2)))," + ",ROUND((C59^2),5-LEN(INT((C59^2))))," ]")</f>
        <v>SQRT [0.0001 + 0.0001 ]</v>
      </c>
      <c r="D63" s="347"/>
      <c r="E63" s="347"/>
      <c r="F63" s="347"/>
      <c r="G63" s="353">
        <v>7</v>
      </c>
      <c r="H63" s="354">
        <v>0.35339999999999999</v>
      </c>
      <c r="I63" s="347"/>
      <c r="J63" s="349" t="s">
        <v>353</v>
      </c>
      <c r="K63" s="347" t="s">
        <v>354</v>
      </c>
      <c r="L63" s="347"/>
      <c r="M63" s="347"/>
      <c r="N63" s="348"/>
    </row>
    <row r="64" spans="1:14" ht="15.25" customHeight="1" x14ac:dyDescent="0.55000000000000004">
      <c r="A64" s="345"/>
      <c r="B64" s="346" t="s">
        <v>323</v>
      </c>
      <c r="C64" s="350">
        <f>ROUND(SQRT((C55^2)+(C59^2)),5-LEN(INT(SQRT((C55^2)+(C59^2)))))</f>
        <v>1.2200000000000001E-2</v>
      </c>
      <c r="D64" s="347"/>
      <c r="E64" s="347"/>
      <c r="F64" s="347"/>
      <c r="G64" s="353">
        <v>8</v>
      </c>
      <c r="H64" s="354">
        <v>0.33750000000000002</v>
      </c>
      <c r="I64" s="347"/>
      <c r="J64" s="349" t="s">
        <v>348</v>
      </c>
      <c r="K64" s="347" t="str">
        <f>CONCATENATE("1.41 (",C59," / ",C55," )")</f>
        <v>1.41 (0.0095 / 0.0077 )</v>
      </c>
      <c r="L64" s="347"/>
      <c r="M64" s="347"/>
      <c r="N64" s="348"/>
    </row>
    <row r="65" spans="1:14" ht="15.25" customHeight="1" x14ac:dyDescent="0.55000000000000004">
      <c r="A65" s="345"/>
      <c r="B65" s="347"/>
      <c r="C65" s="347"/>
      <c r="D65" s="347"/>
      <c r="E65" s="347"/>
      <c r="F65" s="347"/>
      <c r="G65" s="353">
        <v>9</v>
      </c>
      <c r="H65" s="354">
        <v>0.32490000000000002</v>
      </c>
      <c r="I65" s="347"/>
      <c r="J65" s="349" t="s">
        <v>348</v>
      </c>
      <c r="K65" s="355">
        <f>1.41*(C59/C55)</f>
        <v>1.7396103896103894</v>
      </c>
      <c r="L65" s="350" t="s">
        <v>355</v>
      </c>
      <c r="M65" s="347"/>
      <c r="N65" s="366">
        <f>ROUNDDOWN(K65,0)</f>
        <v>1</v>
      </c>
    </row>
    <row r="66" spans="1:14" ht="15.25" customHeight="1" thickBot="1" x14ac:dyDescent="0.6">
      <c r="A66" s="365"/>
      <c r="B66" s="358"/>
      <c r="C66" s="358"/>
      <c r="D66" s="358"/>
      <c r="E66" s="358"/>
      <c r="F66" s="358"/>
      <c r="G66" s="356">
        <v>10</v>
      </c>
      <c r="H66" s="357">
        <v>0.31459999999999999</v>
      </c>
      <c r="I66" s="358"/>
      <c r="J66" s="358"/>
      <c r="K66" s="358"/>
      <c r="L66" s="358"/>
      <c r="M66" s="358"/>
      <c r="N66" s="359"/>
    </row>
    <row r="67" spans="1:14" ht="34.5" customHeight="1" x14ac:dyDescent="0.55000000000000004">
      <c r="A67" s="601" t="s">
        <v>356</v>
      </c>
      <c r="B67" s="602"/>
      <c r="C67" s="602"/>
      <c r="D67" s="602"/>
      <c r="E67" s="602"/>
      <c r="F67" s="602"/>
      <c r="G67" s="602"/>
      <c r="H67" s="602"/>
      <c r="I67" s="602"/>
      <c r="J67" s="602"/>
      <c r="K67" s="602"/>
      <c r="L67" s="602"/>
      <c r="M67" s="602"/>
      <c r="N67" s="603"/>
    </row>
    <row r="68" spans="1:14" ht="15.75" customHeight="1" x14ac:dyDescent="0.55000000000000004">
      <c r="B68" s="319" t="s">
        <v>270</v>
      </c>
      <c r="C68" s="616" t="str">
        <f>IF(C2="","",C2)</f>
        <v>123456, Shaft</v>
      </c>
      <c r="D68" s="616"/>
      <c r="E68" s="616"/>
      <c r="G68" s="319" t="s">
        <v>306</v>
      </c>
      <c r="H68" s="616" t="str">
        <f>IF(H2="","",H2)</f>
        <v>Shaft Gage</v>
      </c>
      <c r="I68" s="616"/>
      <c r="J68" s="616"/>
      <c r="L68" s="319" t="s">
        <v>307</v>
      </c>
      <c r="M68" s="625">
        <f>IF(M2="","",M2)</f>
        <v>29221</v>
      </c>
      <c r="N68" s="625"/>
    </row>
    <row r="69" spans="1:14" ht="15.75" customHeight="1" x14ac:dyDescent="0.55000000000000004">
      <c r="B69" s="319" t="s">
        <v>273</v>
      </c>
      <c r="C69" s="616" t="str">
        <f>IF(C3="","",C3)</f>
        <v>Outside Diameter</v>
      </c>
      <c r="D69" s="616"/>
      <c r="E69" s="616"/>
      <c r="G69" s="319" t="s">
        <v>308</v>
      </c>
      <c r="H69" s="616">
        <f>IF(H3="","",H3)</f>
        <v>1234</v>
      </c>
      <c r="I69" s="616"/>
      <c r="J69" s="616"/>
      <c r="L69" s="319" t="s">
        <v>309</v>
      </c>
      <c r="M69" s="616" t="str">
        <f>IF(M3="","",M3)</f>
        <v>BOB</v>
      </c>
      <c r="N69" s="616"/>
    </row>
    <row r="70" spans="1:14" ht="15.75" customHeight="1" x14ac:dyDescent="0.55000000000000004">
      <c r="B70" s="319" t="s">
        <v>276</v>
      </c>
      <c r="C70" s="616" t="str">
        <f>IF(C4="","",C4)</f>
        <v>25 plus or minus 5</v>
      </c>
      <c r="D70" s="616"/>
      <c r="E70" s="616"/>
      <c r="G70" s="319" t="s">
        <v>310</v>
      </c>
      <c r="H70" s="616" t="str">
        <f>IF(H4="","",H4)</f>
        <v>Indicator</v>
      </c>
      <c r="I70" s="616"/>
      <c r="J70" s="616"/>
      <c r="N70" s="320"/>
    </row>
    <row r="71" spans="1:14" ht="15.75" customHeight="1" x14ac:dyDescent="0.55000000000000004">
      <c r="N71" s="320"/>
    </row>
    <row r="72" spans="1:14" ht="15.75" customHeight="1" x14ac:dyDescent="0.55000000000000004">
      <c r="B72" s="319" t="s">
        <v>279</v>
      </c>
      <c r="C72" s="324">
        <f>C6</f>
        <v>0.52</v>
      </c>
      <c r="E72" s="319" t="s">
        <v>280</v>
      </c>
      <c r="F72" s="323">
        <f>F6</f>
        <v>2</v>
      </c>
      <c r="G72" s="319" t="s">
        <v>311</v>
      </c>
      <c r="H72" s="323">
        <f>H6</f>
        <v>0.88619999999999999</v>
      </c>
      <c r="J72" s="319" t="s">
        <v>282</v>
      </c>
      <c r="K72" s="324">
        <f>K6</f>
        <v>9.1999999999998749E-3</v>
      </c>
      <c r="L72" s="319" t="s">
        <v>312</v>
      </c>
      <c r="M72" s="323">
        <f>M6</f>
        <v>3.27</v>
      </c>
      <c r="N72" s="320"/>
    </row>
    <row r="73" spans="1:14" ht="15.75" customHeight="1" x14ac:dyDescent="0.55000000000000004">
      <c r="B73" s="319" t="s">
        <v>284</v>
      </c>
      <c r="C73" s="324">
        <f>C7</f>
        <v>0.48</v>
      </c>
      <c r="E73" s="319" t="s">
        <v>285</v>
      </c>
      <c r="F73" s="323">
        <f>F7</f>
        <v>2</v>
      </c>
      <c r="G73" s="319" t="s">
        <v>313</v>
      </c>
      <c r="H73" s="323">
        <f>H7</f>
        <v>0.70709999999999995</v>
      </c>
      <c r="J73" s="319" t="s">
        <v>287</v>
      </c>
      <c r="K73" s="324">
        <f>K7</f>
        <v>4.7999999999999987E-3</v>
      </c>
      <c r="L73" s="319" t="s">
        <v>302</v>
      </c>
      <c r="M73" s="323">
        <f>M7</f>
        <v>2.349999999999991E-2</v>
      </c>
      <c r="N73" s="320"/>
    </row>
    <row r="74" spans="1:14" ht="15.75" customHeight="1" x14ac:dyDescent="0.55000000000000004">
      <c r="B74" s="319" t="s">
        <v>289</v>
      </c>
      <c r="C74" s="324">
        <f>C8</f>
        <v>4.0000000000000036E-2</v>
      </c>
      <c r="E74" s="319" t="s">
        <v>290</v>
      </c>
      <c r="F74" s="323">
        <f>F8</f>
        <v>5</v>
      </c>
      <c r="G74" s="319" t="s">
        <v>314</v>
      </c>
      <c r="H74" s="323">
        <f>H8</f>
        <v>0.40300000000000002</v>
      </c>
      <c r="N74" s="320"/>
    </row>
    <row r="75" spans="1:14" ht="15.75" customHeight="1" x14ac:dyDescent="0.55000000000000004">
      <c r="N75" s="320"/>
    </row>
    <row r="76" spans="1:14" ht="15.25" customHeight="1" x14ac:dyDescent="0.55000000000000004">
      <c r="A76" s="621" t="s">
        <v>315</v>
      </c>
      <c r="B76" s="622"/>
      <c r="C76" s="622"/>
      <c r="D76" s="622"/>
      <c r="E76" s="622"/>
      <c r="F76" s="622"/>
      <c r="G76" s="622"/>
      <c r="H76" s="623"/>
      <c r="I76" s="617" t="s">
        <v>357</v>
      </c>
      <c r="J76" s="624"/>
      <c r="K76" s="624"/>
      <c r="L76" s="624"/>
      <c r="M76" s="624"/>
      <c r="N76" s="618"/>
    </row>
    <row r="77" spans="1:14" ht="15.25" customHeight="1" x14ac:dyDescent="0.55000000000000004">
      <c r="A77" s="342" t="s">
        <v>317</v>
      </c>
      <c r="B77" s="343"/>
      <c r="C77" s="343"/>
      <c r="D77" s="343"/>
      <c r="E77" s="343"/>
      <c r="F77" s="343"/>
      <c r="G77" s="343"/>
      <c r="H77" s="344"/>
      <c r="I77" s="342" t="s">
        <v>318</v>
      </c>
      <c r="J77" s="343"/>
      <c r="K77" s="343"/>
      <c r="L77" s="343"/>
      <c r="M77" s="343"/>
      <c r="N77" s="344"/>
    </row>
    <row r="78" spans="1:14" ht="15.25" customHeight="1" thickBot="1" x14ac:dyDescent="0.6">
      <c r="A78" s="345"/>
      <c r="B78" s="346" t="s">
        <v>319</v>
      </c>
      <c r="C78" s="347" t="s">
        <v>358</v>
      </c>
      <c r="D78" s="347"/>
      <c r="E78" s="347"/>
      <c r="F78" s="347"/>
      <c r="G78" s="347"/>
      <c r="H78" s="348"/>
      <c r="I78" s="345"/>
      <c r="J78" s="349" t="s">
        <v>321</v>
      </c>
      <c r="K78" s="347" t="s">
        <v>359</v>
      </c>
      <c r="L78" s="347"/>
      <c r="M78" s="347"/>
      <c r="N78" s="348"/>
    </row>
    <row r="79" spans="1:14" ht="15.25" customHeight="1" x14ac:dyDescent="0.55000000000000004">
      <c r="A79" s="345"/>
      <c r="B79" s="346" t="s">
        <v>323</v>
      </c>
      <c r="C79" s="350" t="str">
        <f>IF(H6="",0,CONCATENATE("(",N29,")"," x (",H6,")"," x (5.1)"))</f>
        <v>(0.0048) x (0.8862) x (5.1)</v>
      </c>
      <c r="D79" s="347"/>
      <c r="E79" s="347"/>
      <c r="F79" s="347"/>
      <c r="G79" s="351" t="s">
        <v>172</v>
      </c>
      <c r="H79" s="352" t="s">
        <v>324</v>
      </c>
      <c r="I79" s="347"/>
      <c r="J79" s="349" t="s">
        <v>325</v>
      </c>
      <c r="K79" s="347" t="str">
        <f>CONCATENATE("100 [",C80," / ",C74," ]")</f>
        <v>100 [0.0217 / 0.04 ]</v>
      </c>
      <c r="L79" s="347"/>
      <c r="M79" s="347"/>
      <c r="N79" s="348"/>
    </row>
    <row r="80" spans="1:14" ht="15.25" customHeight="1" x14ac:dyDescent="0.55000000000000004">
      <c r="A80" s="345"/>
      <c r="B80" s="346" t="s">
        <v>323</v>
      </c>
      <c r="C80" s="350">
        <f>IF(H6="",0,ROUND((N29*H6*5.1),5-LEN(INT((N29*H6*5.1)))))</f>
        <v>2.1700000000000001E-2</v>
      </c>
      <c r="D80" s="347"/>
      <c r="E80" s="347"/>
      <c r="F80" s="347"/>
      <c r="G80" s="353">
        <v>2</v>
      </c>
      <c r="H80" s="354">
        <v>0.88619999999999999</v>
      </c>
      <c r="I80" s="347"/>
      <c r="J80" s="349" t="s">
        <v>325</v>
      </c>
      <c r="K80" s="355">
        <f>IF(OR(COUNTBLANK(C6)=1,COUNTBLANK(C7)=1),"Enter Tol",100*(C80/C74))</f>
        <v>54.249999999999957</v>
      </c>
      <c r="L80" s="350" t="s">
        <v>326</v>
      </c>
      <c r="M80" s="347"/>
      <c r="N80" s="348"/>
    </row>
    <row r="81" spans="1:14" ht="15.25" customHeight="1" thickBot="1" x14ac:dyDescent="0.6">
      <c r="A81" s="345"/>
      <c r="B81" s="347"/>
      <c r="C81" s="347"/>
      <c r="D81" s="347"/>
      <c r="E81" s="347"/>
      <c r="F81" s="347"/>
      <c r="G81" s="356">
        <v>3</v>
      </c>
      <c r="H81" s="357">
        <v>0.59079999999999999</v>
      </c>
      <c r="I81" s="358"/>
      <c r="J81" s="358"/>
      <c r="K81" s="358"/>
      <c r="L81" s="358"/>
      <c r="M81" s="358"/>
      <c r="N81" s="359"/>
    </row>
    <row r="82" spans="1:14" ht="15.25" customHeight="1" x14ac:dyDescent="0.55000000000000004">
      <c r="A82" s="342" t="s">
        <v>327</v>
      </c>
      <c r="B82" s="343"/>
      <c r="C82" s="343"/>
      <c r="D82" s="343"/>
      <c r="E82" s="343"/>
      <c r="F82" s="343"/>
      <c r="G82" s="347"/>
      <c r="H82" s="348"/>
      <c r="I82" s="342" t="s">
        <v>328</v>
      </c>
      <c r="J82" s="343"/>
      <c r="K82" s="343"/>
      <c r="L82" s="343"/>
      <c r="M82" s="343"/>
      <c r="N82" s="344"/>
    </row>
    <row r="83" spans="1:14" ht="15.25" customHeight="1" x14ac:dyDescent="0.55000000000000004">
      <c r="A83" s="345"/>
      <c r="B83" s="346" t="s">
        <v>329</v>
      </c>
      <c r="C83" s="360" t="str">
        <f>CONCATENATE("(5.1 Sigma) x SQRT{(","Xbar diff"," x ","K 2",")^2 - (","EV","/[(","# parts)"," x ","(# trials",")])}")</f>
        <v>(5.1 Sigma) x SQRT{(Xbar diff x K 2)^2 - (EV/[(# parts) x (# trials)])}</v>
      </c>
      <c r="D83" s="347"/>
      <c r="E83" s="347"/>
      <c r="F83" s="347"/>
      <c r="G83" s="349"/>
      <c r="H83" s="361"/>
      <c r="I83" s="345"/>
      <c r="J83" s="349" t="s">
        <v>330</v>
      </c>
      <c r="K83" s="347" t="s">
        <v>360</v>
      </c>
      <c r="L83" s="347"/>
      <c r="M83" s="347"/>
      <c r="N83" s="348"/>
    </row>
    <row r="84" spans="1:14" ht="15.25" customHeight="1" thickBot="1" x14ac:dyDescent="0.6">
      <c r="A84" s="345"/>
      <c r="B84" s="346" t="s">
        <v>323</v>
      </c>
      <c r="C84" s="350" t="str">
        <f>IF(H7="",0,CONCATENATE("(5.1) x SQRT(",ROUND((K72*H73)^2,5-LEN(INT((K72*H73)^2)))," - ",ROUND((N29*H6)^2/(F8*F6),5-LEN(INT((N29*H6)^2/(F8*F6)))),")"))</f>
        <v>(5.1) x SQRT(0 - 0)</v>
      </c>
      <c r="D84" s="347"/>
      <c r="E84" s="347"/>
      <c r="F84" s="347"/>
      <c r="G84" s="349"/>
      <c r="H84" s="361"/>
      <c r="I84" s="345"/>
      <c r="J84" s="349" t="s">
        <v>325</v>
      </c>
      <c r="K84" s="347" t="str">
        <f>CONCATENATE("100 [",C85," / ",C74," ]")</f>
        <v>100 [0.0325 / 0.04 ]</v>
      </c>
      <c r="L84" s="347"/>
      <c r="M84" s="347"/>
      <c r="N84" s="348"/>
    </row>
    <row r="85" spans="1:14" ht="15.25" customHeight="1" x14ac:dyDescent="0.55000000000000004">
      <c r="A85" s="345"/>
      <c r="B85" s="346" t="s">
        <v>323</v>
      </c>
      <c r="C85" s="362">
        <f>IF(H7="",0,ROUND(5.1*SQRT((K72*H73)^2-(N29*H6)^2/(F8*F6)),5-LEN(INT((5.1*SQRT((K72*H73)^2-(N29*H6)^2/(F8*F6)))))))</f>
        <v>3.2500000000000001E-2</v>
      </c>
      <c r="D85" s="347"/>
      <c r="E85" s="347"/>
      <c r="F85" s="351" t="s">
        <v>332</v>
      </c>
      <c r="G85" s="363">
        <v>2</v>
      </c>
      <c r="H85" s="352">
        <v>3</v>
      </c>
      <c r="I85" s="347"/>
      <c r="J85" s="349" t="s">
        <v>325</v>
      </c>
      <c r="K85" s="355">
        <f>IF(OR(COUNTBLANK(C6)=1,COUNTBLANK(C7)=1),"Enter Tol",100*(C85/C74))</f>
        <v>81.249999999999929</v>
      </c>
      <c r="L85" s="350" t="s">
        <v>326</v>
      </c>
      <c r="M85" s="347"/>
      <c r="N85" s="348"/>
    </row>
    <row r="86" spans="1:14" ht="15.25" customHeight="1" thickBot="1" x14ac:dyDescent="0.6">
      <c r="A86" s="345"/>
      <c r="B86" s="347"/>
      <c r="C86" s="347"/>
      <c r="D86" s="347"/>
      <c r="E86" s="347"/>
      <c r="F86" s="356" t="s">
        <v>173</v>
      </c>
      <c r="G86" s="364">
        <v>0.70709999999999995</v>
      </c>
      <c r="H86" s="357">
        <v>0.52310000000000001</v>
      </c>
      <c r="I86" s="358"/>
      <c r="J86" s="358"/>
      <c r="K86" s="358"/>
      <c r="L86" s="358"/>
      <c r="M86" s="358"/>
      <c r="N86" s="359"/>
    </row>
    <row r="87" spans="1:14" ht="15.25" customHeight="1" x14ac:dyDescent="0.55000000000000004">
      <c r="A87" s="342" t="s">
        <v>333</v>
      </c>
      <c r="B87" s="343"/>
      <c r="C87" s="343"/>
      <c r="D87" s="343"/>
      <c r="E87" s="343"/>
      <c r="F87" s="347"/>
      <c r="G87" s="347"/>
      <c r="H87" s="348"/>
      <c r="I87" s="342" t="s">
        <v>334</v>
      </c>
      <c r="J87" s="343"/>
      <c r="K87" s="343"/>
      <c r="L87" s="343"/>
      <c r="M87" s="343"/>
      <c r="N87" s="344"/>
    </row>
    <row r="88" spans="1:14" ht="15.25" customHeight="1" x14ac:dyDescent="0.55000000000000004">
      <c r="A88" s="345"/>
      <c r="B88" s="346" t="s">
        <v>335</v>
      </c>
      <c r="C88" s="347" t="s">
        <v>336</v>
      </c>
      <c r="D88" s="347"/>
      <c r="E88" s="347"/>
      <c r="F88" s="347"/>
      <c r="G88" s="347"/>
      <c r="H88" s="348"/>
      <c r="I88" s="345"/>
      <c r="J88" s="349" t="s">
        <v>337</v>
      </c>
      <c r="K88" s="347" t="s">
        <v>361</v>
      </c>
      <c r="L88" s="347"/>
      <c r="M88" s="347"/>
      <c r="N88" s="348"/>
    </row>
    <row r="89" spans="1:14" ht="15.25" customHeight="1" x14ac:dyDescent="0.55000000000000004">
      <c r="A89" s="345"/>
      <c r="B89" s="346" t="s">
        <v>339</v>
      </c>
      <c r="C89" s="347" t="str">
        <f>CONCATENATE("SQRT [ ",ROUND((C80)^2,5-LEN(INT((C80)^2)))," + ",ROUND((C85^2),5-LEN(INT((C85^2))))," ]")</f>
        <v>SQRT [ 0.0005 + 0.0011 ]</v>
      </c>
      <c r="D89" s="347"/>
      <c r="E89" s="347"/>
      <c r="F89" s="347"/>
      <c r="G89" s="347"/>
      <c r="H89" s="348"/>
      <c r="I89" s="345"/>
      <c r="J89" s="349" t="s">
        <v>325</v>
      </c>
      <c r="K89" s="347" t="str">
        <f>CONCATENATE("100 [",C90," / ",C74," ]")</f>
        <v>100 [0.0391 / 0.04 ]</v>
      </c>
      <c r="L89" s="347"/>
      <c r="M89" s="347"/>
      <c r="N89" s="348"/>
    </row>
    <row r="90" spans="1:14" ht="15.25" customHeight="1" x14ac:dyDescent="0.55000000000000004">
      <c r="A90" s="345"/>
      <c r="B90" s="346" t="s">
        <v>339</v>
      </c>
      <c r="C90" s="350">
        <f>ROUND(SQRT((C80^2)+(C85^2)),5-LEN(INT((SQRT((C80^2)+(C85^2))))))</f>
        <v>3.9100000000000003E-2</v>
      </c>
      <c r="D90" s="347"/>
      <c r="E90" s="347"/>
      <c r="F90" s="347"/>
      <c r="G90" s="347"/>
      <c r="H90" s="348"/>
      <c r="I90" s="345"/>
      <c r="J90" s="349" t="s">
        <v>325</v>
      </c>
      <c r="K90" s="355">
        <f>IF(OR(COUNTBLANK(C6)=1,COUNTBLANK(C7)=1),"Enter Tol",100*(C90/C74))</f>
        <v>97.749999999999915</v>
      </c>
      <c r="L90" s="350" t="s">
        <v>326</v>
      </c>
      <c r="M90" s="347"/>
      <c r="N90" s="348"/>
    </row>
    <row r="91" spans="1:14" ht="15.25" customHeight="1" thickBot="1" x14ac:dyDescent="0.6">
      <c r="A91" s="365"/>
      <c r="B91" s="358"/>
      <c r="C91" s="358"/>
      <c r="D91" s="358"/>
      <c r="E91" s="358"/>
      <c r="F91" s="358"/>
      <c r="G91" s="347"/>
      <c r="H91" s="348"/>
      <c r="I91" s="365"/>
      <c r="J91" s="358"/>
      <c r="K91" s="358"/>
      <c r="L91" s="358"/>
      <c r="M91" s="358"/>
      <c r="N91" s="359"/>
    </row>
    <row r="92" spans="1:14" ht="15.25" customHeight="1" x14ac:dyDescent="0.55000000000000004">
      <c r="A92" s="342" t="s">
        <v>340</v>
      </c>
      <c r="B92" s="343"/>
      <c r="C92" s="343"/>
      <c r="D92" s="343"/>
      <c r="E92" s="343"/>
      <c r="F92" s="343"/>
      <c r="G92" s="351" t="s">
        <v>341</v>
      </c>
      <c r="H92" s="352" t="s">
        <v>342</v>
      </c>
      <c r="I92" s="343" t="s">
        <v>343</v>
      </c>
      <c r="J92" s="343"/>
      <c r="K92" s="343"/>
      <c r="L92" s="343"/>
      <c r="M92" s="343"/>
      <c r="N92" s="344"/>
    </row>
    <row r="93" spans="1:14" ht="15.25" customHeight="1" x14ac:dyDescent="0.55000000000000004">
      <c r="A93" s="345"/>
      <c r="B93" s="346" t="s">
        <v>344</v>
      </c>
      <c r="C93" s="347" t="s">
        <v>362</v>
      </c>
      <c r="D93" s="347"/>
      <c r="E93" s="347"/>
      <c r="F93" s="347"/>
      <c r="G93" s="353">
        <v>2</v>
      </c>
      <c r="H93" s="354">
        <v>0.70709999999999995</v>
      </c>
      <c r="I93" s="347"/>
      <c r="J93" s="349" t="s">
        <v>346</v>
      </c>
      <c r="K93" s="347" t="s">
        <v>363</v>
      </c>
      <c r="L93" s="347"/>
      <c r="M93" s="347"/>
      <c r="N93" s="348"/>
    </row>
    <row r="94" spans="1:14" ht="15.25" customHeight="1" x14ac:dyDescent="0.55000000000000004">
      <c r="A94" s="345"/>
      <c r="B94" s="346" t="s">
        <v>323</v>
      </c>
      <c r="C94" s="350" t="str">
        <f>CONCATENATE("(",N28,") x (",H8,") x (",5.1,")")</f>
        <v>(0.0234999999999999) x (0.403) x (5.1)</v>
      </c>
      <c r="D94" s="347"/>
      <c r="E94" s="347"/>
      <c r="F94" s="347"/>
      <c r="G94" s="353">
        <v>3</v>
      </c>
      <c r="H94" s="354">
        <v>0.52310000000000001</v>
      </c>
      <c r="I94" s="347"/>
      <c r="J94" s="349" t="s">
        <v>348</v>
      </c>
      <c r="K94" s="347" t="str">
        <f>CONCATENATE("100 [",C95," / ",C74," ]")</f>
        <v>100 [0.04845 / 0.04 ]</v>
      </c>
      <c r="L94" s="347"/>
      <c r="M94" s="347"/>
      <c r="N94" s="348"/>
    </row>
    <row r="95" spans="1:14" ht="15.25" customHeight="1" x14ac:dyDescent="0.55000000000000004">
      <c r="A95" s="345"/>
      <c r="B95" s="346" t="s">
        <v>323</v>
      </c>
      <c r="C95" s="350">
        <f>5.1*ROUND((M7*H8),5-LEN(INT(((M7*H8)))))</f>
        <v>4.8449999999999993E-2</v>
      </c>
      <c r="D95" s="347"/>
      <c r="E95" s="347"/>
      <c r="F95" s="347"/>
      <c r="G95" s="353">
        <v>4</v>
      </c>
      <c r="H95" s="354">
        <v>0.44669999999999999</v>
      </c>
      <c r="I95" s="347"/>
      <c r="J95" s="349" t="s">
        <v>348</v>
      </c>
      <c r="K95" s="355">
        <f>IF(OR(COUNTBLANK(C6)=1,COUNTBLANK(C7)=1),"Enter Tol",100*(C95/C74))</f>
        <v>121.12499999999989</v>
      </c>
      <c r="L95" s="350" t="s">
        <v>326</v>
      </c>
      <c r="M95" s="347"/>
      <c r="N95" s="348"/>
    </row>
    <row r="96" spans="1:14" ht="15.25" customHeight="1" x14ac:dyDescent="0.55000000000000004">
      <c r="A96" s="365"/>
      <c r="B96" s="347"/>
      <c r="C96" s="347"/>
      <c r="D96" s="347"/>
      <c r="E96" s="347"/>
      <c r="F96" s="347"/>
      <c r="G96" s="353">
        <v>5</v>
      </c>
      <c r="H96" s="354">
        <v>0.40300000000000002</v>
      </c>
      <c r="I96" s="358"/>
      <c r="J96" s="358"/>
      <c r="K96" s="358"/>
      <c r="L96" s="358"/>
      <c r="M96" s="358"/>
      <c r="N96" s="359"/>
    </row>
    <row r="97" spans="1:14" ht="15.25" customHeight="1" x14ac:dyDescent="0.55000000000000004">
      <c r="A97" s="342" t="s">
        <v>364</v>
      </c>
      <c r="B97" s="343"/>
      <c r="C97" s="343"/>
      <c r="D97" s="343"/>
      <c r="E97" s="343"/>
      <c r="F97" s="343"/>
      <c r="G97" s="353">
        <v>6</v>
      </c>
      <c r="H97" s="354">
        <v>0.37419999999999998</v>
      </c>
      <c r="I97" s="343" t="s">
        <v>352</v>
      </c>
      <c r="J97" s="343"/>
      <c r="K97" s="343"/>
      <c r="L97" s="343"/>
      <c r="M97" s="343"/>
      <c r="N97" s="344"/>
    </row>
    <row r="98" spans="1:14" ht="15.25" customHeight="1" x14ac:dyDescent="0.55000000000000004">
      <c r="A98" s="345"/>
      <c r="B98" s="346" t="s">
        <v>350</v>
      </c>
      <c r="C98" s="347" t="s">
        <v>365</v>
      </c>
      <c r="D98" s="347"/>
      <c r="E98" s="347"/>
      <c r="F98" s="347"/>
      <c r="G98" s="353">
        <v>7</v>
      </c>
      <c r="H98" s="354">
        <v>0.35339999999999999</v>
      </c>
      <c r="I98" s="347"/>
      <c r="J98" s="349" t="s">
        <v>353</v>
      </c>
      <c r="K98" s="347" t="s">
        <v>354</v>
      </c>
      <c r="L98" s="347"/>
      <c r="M98" s="347"/>
      <c r="N98" s="348"/>
    </row>
    <row r="99" spans="1:14" ht="15.25" customHeight="1" x14ac:dyDescent="0.55000000000000004">
      <c r="A99" s="345"/>
      <c r="B99" s="346" t="s">
        <v>323</v>
      </c>
      <c r="C99" s="347" t="str">
        <f>CONCATENATE(C6, " - ",C7)</f>
        <v>0.52 - 0.48</v>
      </c>
      <c r="D99" s="347"/>
      <c r="E99" s="347"/>
      <c r="F99" s="347"/>
      <c r="G99" s="353">
        <v>8</v>
      </c>
      <c r="H99" s="354">
        <v>0.33750000000000002</v>
      </c>
      <c r="I99" s="347"/>
      <c r="J99" s="349" t="s">
        <v>348</v>
      </c>
      <c r="K99" s="347" t="str">
        <f>CONCATENATE("1.41 (",C95," / ",C90," )")</f>
        <v>1.41 (0.04845 / 0.0391 )</v>
      </c>
      <c r="L99" s="347"/>
      <c r="M99" s="347"/>
      <c r="N99" s="348"/>
    </row>
    <row r="100" spans="1:14" ht="15.25" customHeight="1" x14ac:dyDescent="0.55000000000000004">
      <c r="A100" s="345"/>
      <c r="B100" s="346" t="s">
        <v>323</v>
      </c>
      <c r="C100" s="350">
        <f>C6-C7</f>
        <v>4.0000000000000036E-2</v>
      </c>
      <c r="D100" s="347"/>
      <c r="E100" s="347"/>
      <c r="F100" s="347"/>
      <c r="G100" s="353">
        <v>9</v>
      </c>
      <c r="H100" s="354">
        <v>0.32490000000000002</v>
      </c>
      <c r="I100" s="347"/>
      <c r="J100" s="349" t="s">
        <v>348</v>
      </c>
      <c r="K100" s="355">
        <f>1.41*(C95/C90)</f>
        <v>1.7471739130434778</v>
      </c>
      <c r="L100" s="350" t="s">
        <v>355</v>
      </c>
      <c r="M100" s="347"/>
      <c r="N100" s="366">
        <f>ROUNDDOWN(K100,0)</f>
        <v>1</v>
      </c>
    </row>
    <row r="101" spans="1:14" ht="15.25" customHeight="1" x14ac:dyDescent="0.55000000000000004">
      <c r="A101" s="365"/>
      <c r="B101" s="358"/>
      <c r="C101" s="358"/>
      <c r="D101" s="358"/>
      <c r="E101" s="358"/>
      <c r="F101" s="358"/>
      <c r="G101" s="353">
        <v>10</v>
      </c>
      <c r="H101" s="354">
        <v>0.31459999999999999</v>
      </c>
      <c r="I101" s="358"/>
      <c r="J101" s="358"/>
      <c r="K101" s="358"/>
      <c r="L101" s="358"/>
      <c r="M101" s="358"/>
      <c r="N101" s="359"/>
    </row>
    <row r="102" spans="1:14" ht="12.3" hidden="1" x14ac:dyDescent="0.55000000000000004"/>
    <row r="103" spans="1:14" ht="12.3" hidden="1" x14ac:dyDescent="0.55000000000000004"/>
    <row r="104" spans="1:14" ht="12.3" hidden="1" x14ac:dyDescent="0.55000000000000004"/>
    <row r="105" spans="1:14" ht="12.3" hidden="1" x14ac:dyDescent="0.55000000000000004"/>
    <row r="106" spans="1:14" ht="12.3" hidden="1" x14ac:dyDescent="0.55000000000000004"/>
    <row r="107" spans="1:14" ht="12.3" hidden="1" x14ac:dyDescent="0.55000000000000004"/>
    <row r="108" spans="1:14" ht="12.3" hidden="1" x14ac:dyDescent="0.55000000000000004"/>
    <row r="109" spans="1:14" ht="12.3" hidden="1" x14ac:dyDescent="0.55000000000000004"/>
    <row r="110" spans="1:14" ht="12.3" hidden="1" x14ac:dyDescent="0.55000000000000004"/>
    <row r="111" spans="1:14" ht="12.3" hidden="1" x14ac:dyDescent="0.55000000000000004"/>
    <row r="112" spans="1:14" ht="12.3" hidden="1" x14ac:dyDescent="0.55000000000000004"/>
    <row r="113" ht="12.3" hidden="1" x14ac:dyDescent="0.55000000000000004"/>
    <row r="114" ht="12.3" hidden="1" x14ac:dyDescent="0.55000000000000004"/>
    <row r="115" ht="12.3" hidden="1" x14ac:dyDescent="0.55000000000000004"/>
    <row r="116" ht="12.3" hidden="1" x14ac:dyDescent="0.55000000000000004"/>
    <row r="117" ht="12.3" hidden="1" x14ac:dyDescent="0.55000000000000004"/>
    <row r="118" ht="12.3" hidden="1" x14ac:dyDescent="0.55000000000000004"/>
    <row r="119" ht="12.3" hidden="1" x14ac:dyDescent="0.55000000000000004"/>
    <row r="120" ht="12.3" hidden="1" x14ac:dyDescent="0.55000000000000004"/>
    <row r="121" ht="12.3" hidden="1" x14ac:dyDescent="0.55000000000000004"/>
    <row r="122" ht="12.3" hidden="1" x14ac:dyDescent="0.55000000000000004"/>
    <row r="123" ht="12.3" hidden="1" x14ac:dyDescent="0.55000000000000004"/>
    <row r="124" ht="12.3" hidden="1" x14ac:dyDescent="0.55000000000000004"/>
    <row r="125" ht="12.3" hidden="1" x14ac:dyDescent="0.55000000000000004"/>
    <row r="126" ht="12.3" hidden="1" x14ac:dyDescent="0.55000000000000004"/>
    <row r="127" ht="12.3" hidden="1" x14ac:dyDescent="0.55000000000000004"/>
    <row r="128" ht="12.3" hidden="1" x14ac:dyDescent="0.55000000000000004"/>
    <row r="129" ht="12.3" hidden="1" x14ac:dyDescent="0.55000000000000004"/>
    <row r="130" ht="12.3" hidden="1" x14ac:dyDescent="0.55000000000000004"/>
    <row r="131" ht="12.3" hidden="1" x14ac:dyDescent="0.55000000000000004"/>
    <row r="132" ht="12.3" hidden="1" x14ac:dyDescent="0.55000000000000004"/>
    <row r="133" ht="12.3" hidden="1" x14ac:dyDescent="0.55000000000000004"/>
    <row r="134" ht="12.3" hidden="1" x14ac:dyDescent="0.55000000000000004"/>
    <row r="135" ht="12.3" hidden="1" x14ac:dyDescent="0.55000000000000004"/>
    <row r="136" ht="12.3" hidden="1" x14ac:dyDescent="0.55000000000000004"/>
  </sheetData>
  <mergeCells count="61">
    <mergeCell ref="Q1:S1"/>
    <mergeCell ref="C69:E69"/>
    <mergeCell ref="H69:J69"/>
    <mergeCell ref="M69:N69"/>
    <mergeCell ref="C70:E70"/>
    <mergeCell ref="H70:J70"/>
    <mergeCell ref="C33:E33"/>
    <mergeCell ref="H33:J33"/>
    <mergeCell ref="M33:N33"/>
    <mergeCell ref="C34:E34"/>
    <mergeCell ref="H34:J34"/>
    <mergeCell ref="M34:N34"/>
    <mergeCell ref="H27:H28"/>
    <mergeCell ref="I27:I28"/>
    <mergeCell ref="J27:J28"/>
    <mergeCell ref="K27:K28"/>
    <mergeCell ref="A76:H76"/>
    <mergeCell ref="I76:N76"/>
    <mergeCell ref="C35:E35"/>
    <mergeCell ref="H35:J35"/>
    <mergeCell ref="A41:H41"/>
    <mergeCell ref="I41:N41"/>
    <mergeCell ref="A67:N67"/>
    <mergeCell ref="C68:E68"/>
    <mergeCell ref="H68:J68"/>
    <mergeCell ref="M68:N68"/>
    <mergeCell ref="L27:L28"/>
    <mergeCell ref="A32:N32"/>
    <mergeCell ref="A27:B28"/>
    <mergeCell ref="C27:C28"/>
    <mergeCell ref="D27:D28"/>
    <mergeCell ref="E27:E28"/>
    <mergeCell ref="F27:F28"/>
    <mergeCell ref="G27:G28"/>
    <mergeCell ref="M24:N24"/>
    <mergeCell ref="A10:B11"/>
    <mergeCell ref="C10:L10"/>
    <mergeCell ref="M10:N11"/>
    <mergeCell ref="M12:N12"/>
    <mergeCell ref="M13:N13"/>
    <mergeCell ref="M14:N14"/>
    <mergeCell ref="M17:N17"/>
    <mergeCell ref="M18:N18"/>
    <mergeCell ref="M19:N19"/>
    <mergeCell ref="M22:N22"/>
    <mergeCell ref="M23:N23"/>
    <mergeCell ref="A8:B8"/>
    <mergeCell ref="A1:N1"/>
    <mergeCell ref="A2:B2"/>
    <mergeCell ref="C2:E2"/>
    <mergeCell ref="H2:J2"/>
    <mergeCell ref="M2:N2"/>
    <mergeCell ref="A3:B3"/>
    <mergeCell ref="C3:E3"/>
    <mergeCell ref="H3:J3"/>
    <mergeCell ref="M3:N3"/>
    <mergeCell ref="A4:B4"/>
    <mergeCell ref="C4:E4"/>
    <mergeCell ref="H4:J4"/>
    <mergeCell ref="A6:B6"/>
    <mergeCell ref="A7:B7"/>
  </mergeCells>
  <hyperlinks>
    <hyperlink ref="Q1" location="Menu!A1" display="Return to menu" xr:uid="{00000000-0004-0000-0800-000000000000}"/>
  </hyperlinks>
  <printOptions horizontalCentered="1" verticalCentered="1"/>
  <pageMargins left="0" right="0" top="0.5" bottom="0.5" header="0.33"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V45"/>
  <sheetViews>
    <sheetView showGridLines="0" zoomScale="70" zoomScaleNormal="70" workbookViewId="0">
      <selection activeCell="T1" sqref="T1:V1"/>
    </sheetView>
  </sheetViews>
  <sheetFormatPr defaultColWidth="9.1015625" defaultRowHeight="12.75" customHeight="1" zeroHeight="1" x14ac:dyDescent="0.4"/>
  <cols>
    <col min="1" max="18" width="11" style="370" customWidth="1"/>
    <col min="19" max="19" width="9.89453125" style="370" customWidth="1"/>
    <col min="20" max="16384" width="9.1015625" style="370"/>
  </cols>
  <sheetData>
    <row r="1" spans="1:22" s="368" customFormat="1" ht="18" customHeight="1" x14ac:dyDescent="0.75">
      <c r="A1" s="367" t="str">
        <f>CONCATENATE("Gage R&amp;R for ",'GRR AIAG GR&amp;R'!C3)</f>
        <v>Gage R&amp;R for Outside Diameter</v>
      </c>
      <c r="C1" s="369"/>
      <c r="D1" s="369"/>
      <c r="E1" s="369"/>
      <c r="F1" s="369"/>
      <c r="G1" s="369"/>
      <c r="T1" s="598" t="s">
        <v>20</v>
      </c>
      <c r="U1" s="598"/>
      <c r="V1" s="598"/>
    </row>
    <row r="2" spans="1:22" s="368" customFormat="1" ht="18" customHeight="1" x14ac:dyDescent="0.5">
      <c r="B2" s="627" t="s">
        <v>366</v>
      </c>
      <c r="C2" s="627"/>
      <c r="D2" s="631" t="str">
        <f>IF('GRR AIAG GR&amp;R'!$H$2="","",'GRR AIAG GR&amp;R'!$H$2)</f>
        <v>Shaft Gage</v>
      </c>
      <c r="E2" s="632"/>
      <c r="F2" s="633"/>
      <c r="H2" s="627" t="s">
        <v>367</v>
      </c>
      <c r="I2" s="627"/>
      <c r="J2" s="631" t="str">
        <f>IF('GRR AIAG GR&amp;R'!C2="","",'GRR AIAG GR&amp;R'!C2)</f>
        <v>123456, Shaft</v>
      </c>
      <c r="K2" s="632"/>
      <c r="L2" s="633"/>
      <c r="N2" s="627" t="s">
        <v>368</v>
      </c>
      <c r="O2" s="627"/>
      <c r="P2" s="626">
        <f>IF('GRR AIAG GR&amp;R'!C6="","",'GRR AIAG GR&amp;R'!C6)</f>
        <v>0.52</v>
      </c>
      <c r="Q2" s="626"/>
    </row>
    <row r="3" spans="1:22" s="368" customFormat="1" ht="18" customHeight="1" x14ac:dyDescent="0.5">
      <c r="B3" s="627" t="s">
        <v>369</v>
      </c>
      <c r="C3" s="627"/>
      <c r="D3" s="628">
        <f>IF('GRR AIAG GR&amp;R'!$M$2="","",'GRR AIAG GR&amp;R'!$M$2)</f>
        <v>29221</v>
      </c>
      <c r="E3" s="629"/>
      <c r="F3" s="630"/>
      <c r="H3" s="627" t="s">
        <v>370</v>
      </c>
      <c r="I3" s="627"/>
      <c r="J3" s="631">
        <f>IF('GRR AIAG GR&amp;R'!H3="","",'GRR AIAG GR&amp;R'!H3)</f>
        <v>1234</v>
      </c>
      <c r="K3" s="632"/>
      <c r="L3" s="633"/>
      <c r="N3" s="627" t="s">
        <v>371</v>
      </c>
      <c r="O3" s="627"/>
      <c r="P3" s="626">
        <f>IF('GRR AIAG GR&amp;R'!C7="","",'GRR AIAG GR&amp;R'!C7)</f>
        <v>0.48</v>
      </c>
      <c r="Q3" s="626"/>
    </row>
    <row r="4" spans="1:22" s="368" customFormat="1" ht="18" customHeight="1" x14ac:dyDescent="0.5">
      <c r="B4" s="627" t="s">
        <v>372</v>
      </c>
      <c r="C4" s="627"/>
      <c r="D4" s="631" t="str">
        <f>IF('GRR AIAG GR&amp;R'!$M$3="","",'GRR AIAG GR&amp;R'!$M$3)</f>
        <v>BOB</v>
      </c>
      <c r="E4" s="632"/>
      <c r="F4" s="633"/>
      <c r="H4" s="627" t="s">
        <v>373</v>
      </c>
      <c r="I4" s="627"/>
      <c r="J4" s="631" t="str">
        <f>IF('GRR AIAG GR&amp;R'!H4="","",'GRR AIAG GR&amp;R'!H4)</f>
        <v>Indicator</v>
      </c>
      <c r="K4" s="632"/>
      <c r="L4" s="633"/>
      <c r="N4" s="627" t="s">
        <v>374</v>
      </c>
      <c r="O4" s="627"/>
      <c r="P4" s="626">
        <f>IF('GRR AIAG GR&amp;R'!C8="","",'GRR AIAG GR&amp;R'!C8)</f>
        <v>4.0000000000000036E-2</v>
      </c>
      <c r="Q4" s="626"/>
    </row>
    <row r="5" spans="1:22" ht="18" customHeight="1" x14ac:dyDescent="0.4"/>
    <row r="6" spans="1:22" ht="20.100000000000001" customHeight="1" x14ac:dyDescent="0.4"/>
    <row r="7" spans="1:22" ht="20.100000000000001" customHeight="1" x14ac:dyDescent="0.4"/>
    <row r="8" spans="1:22" ht="20.100000000000001" customHeight="1" x14ac:dyDescent="0.4"/>
    <row r="9" spans="1:22" ht="20.100000000000001" customHeight="1" x14ac:dyDescent="0.4"/>
    <row r="10" spans="1:22" ht="20.100000000000001" customHeight="1" x14ac:dyDescent="0.4"/>
    <row r="11" spans="1:22" ht="20.100000000000001" customHeight="1" x14ac:dyDescent="0.4">
      <c r="S11" s="467" t="s">
        <v>498</v>
      </c>
    </row>
    <row r="12" spans="1:22" ht="20.100000000000001" customHeight="1" x14ac:dyDescent="0.4"/>
    <row r="13" spans="1:22" ht="20.100000000000001" customHeight="1" x14ac:dyDescent="0.4"/>
    <row r="14" spans="1:22" ht="20.100000000000001" customHeight="1" x14ac:dyDescent="0.4"/>
    <row r="15" spans="1:22" ht="20.100000000000001" customHeight="1" x14ac:dyDescent="0.4"/>
    <row r="16" spans="1:22" ht="20.100000000000001" customHeight="1" x14ac:dyDescent="0.4">
      <c r="S16" s="467"/>
    </row>
    <row r="17" ht="20.100000000000001" customHeight="1" x14ac:dyDescent="0.4"/>
    <row r="18" ht="20.100000000000001" customHeight="1" x14ac:dyDescent="0.4"/>
    <row r="19" ht="20.100000000000001" customHeight="1" x14ac:dyDescent="0.4"/>
    <row r="20" ht="20.100000000000001" customHeight="1" x14ac:dyDescent="0.4"/>
    <row r="21" ht="20.100000000000001" customHeight="1" x14ac:dyDescent="0.4"/>
    <row r="22" ht="20.100000000000001" customHeight="1" x14ac:dyDescent="0.4"/>
    <row r="23" ht="20.100000000000001" customHeight="1" x14ac:dyDescent="0.4"/>
    <row r="24" ht="20.100000000000001" customHeight="1" x14ac:dyDescent="0.4"/>
    <row r="25" ht="20.100000000000001" customHeight="1" x14ac:dyDescent="0.4"/>
    <row r="26" ht="20.100000000000001" customHeight="1" x14ac:dyDescent="0.4"/>
    <row r="27" ht="20.100000000000001" customHeight="1" x14ac:dyDescent="0.4"/>
    <row r="28" ht="20.100000000000001" customHeight="1" x14ac:dyDescent="0.4"/>
    <row r="29" ht="20.100000000000001" customHeight="1" x14ac:dyDescent="0.4"/>
    <row r="30" ht="20.100000000000001" customHeight="1" x14ac:dyDescent="0.4"/>
    <row r="31" ht="20.100000000000001" customHeight="1" x14ac:dyDescent="0.4"/>
    <row r="32"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sheetData>
  <mergeCells count="19">
    <mergeCell ref="N2:O2"/>
    <mergeCell ref="P2:Q2"/>
    <mergeCell ref="T1:V1"/>
    <mergeCell ref="B2:C2"/>
    <mergeCell ref="D2:F2"/>
    <mergeCell ref="H2:I2"/>
    <mergeCell ref="J2:L2"/>
    <mergeCell ref="P4:Q4"/>
    <mergeCell ref="B3:C3"/>
    <mergeCell ref="D3:F3"/>
    <mergeCell ref="H3:I3"/>
    <mergeCell ref="J3:L3"/>
    <mergeCell ref="N3:O3"/>
    <mergeCell ref="P3:Q3"/>
    <mergeCell ref="B4:C4"/>
    <mergeCell ref="D4:F4"/>
    <mergeCell ref="H4:I4"/>
    <mergeCell ref="J4:L4"/>
    <mergeCell ref="N4:O4"/>
  </mergeCells>
  <hyperlinks>
    <hyperlink ref="T1" location="Menu!A1" display="Return to menu" xr:uid="{00000000-0004-0000-0900-000000000000}"/>
  </hyperlinks>
  <printOptions horizontalCentered="1"/>
  <pageMargins left="0" right="0" top="0" bottom="0" header="0" footer="0.5"/>
  <pageSetup scale="67" orientation="landscape"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AF128"/>
  <sheetViews>
    <sheetView showGridLines="0" zoomScale="55" zoomScaleNormal="55" workbookViewId="0">
      <selection activeCell="T1" sqref="T1:V1"/>
    </sheetView>
  </sheetViews>
  <sheetFormatPr defaultColWidth="9.1015625" defaultRowHeight="12.75" customHeight="1" zeroHeight="1" x14ac:dyDescent="0.4"/>
  <cols>
    <col min="1" max="1" width="8.3671875" style="373" customWidth="1"/>
    <col min="2" max="5" width="11" style="373" customWidth="1"/>
    <col min="6" max="6" width="19.62890625" style="373" bestFit="1" customWidth="1"/>
    <col min="7" max="7" width="9.89453125" style="373" customWidth="1"/>
    <col min="8" max="17" width="11" style="373" customWidth="1"/>
    <col min="18" max="18" width="8.3671875" style="373" customWidth="1"/>
    <col min="19" max="19" width="9.89453125" style="373" customWidth="1"/>
    <col min="20" max="16384" width="9.1015625" style="373"/>
  </cols>
  <sheetData>
    <row r="1" spans="1:32" s="371" customFormat="1" ht="18" customHeight="1" x14ac:dyDescent="0.75">
      <c r="A1" s="367" t="str">
        <f>CONCATENATE("Gage R&amp;R for ",'GRR AIAG GR&amp;R'!C3)</f>
        <v>Gage R&amp;R for Outside Diameter</v>
      </c>
      <c r="B1" s="368"/>
      <c r="C1" s="369"/>
      <c r="D1" s="369"/>
      <c r="E1" s="369"/>
      <c r="F1" s="369"/>
      <c r="G1" s="369"/>
      <c r="H1" s="368"/>
      <c r="I1" s="368"/>
      <c r="J1" s="368"/>
      <c r="K1" s="368"/>
      <c r="L1" s="368"/>
      <c r="M1" s="368"/>
      <c r="N1" s="368"/>
      <c r="O1" s="368"/>
      <c r="P1" s="368"/>
      <c r="Q1" s="368"/>
      <c r="R1" s="368"/>
      <c r="S1" s="368"/>
      <c r="T1" s="598" t="s">
        <v>20</v>
      </c>
      <c r="U1" s="598"/>
      <c r="V1" s="598"/>
      <c r="W1" s="368"/>
      <c r="X1" s="368"/>
      <c r="Y1" s="368"/>
      <c r="Z1" s="368"/>
      <c r="AA1" s="368"/>
      <c r="AB1" s="368"/>
      <c r="AC1" s="368"/>
      <c r="AD1" s="368"/>
      <c r="AE1" s="368"/>
      <c r="AF1" s="368"/>
    </row>
    <row r="2" spans="1:32" s="371" customFormat="1" ht="18" customHeight="1" x14ac:dyDescent="0.5">
      <c r="A2" s="368"/>
      <c r="B2" s="627" t="s">
        <v>366</v>
      </c>
      <c r="C2" s="627"/>
      <c r="D2" s="631" t="str">
        <f>IF('GRR AIAG GR&amp;R'!$H$2="","",'GRR AIAG GR&amp;R'!$H$2)</f>
        <v>Shaft Gage</v>
      </c>
      <c r="E2" s="632"/>
      <c r="F2" s="633"/>
      <c r="G2" s="368"/>
      <c r="H2" s="627" t="s">
        <v>367</v>
      </c>
      <c r="I2" s="627"/>
      <c r="J2" s="631" t="str">
        <f>IF('GRR AIAG GR&amp;R'!C2="","",'GRR AIAG GR&amp;R'!C2)</f>
        <v>123456, Shaft</v>
      </c>
      <c r="K2" s="632"/>
      <c r="L2" s="633"/>
      <c r="M2" s="368"/>
      <c r="N2" s="627" t="s">
        <v>368</v>
      </c>
      <c r="O2" s="627"/>
      <c r="P2" s="634">
        <f>IF('GRR AIAG GR&amp;R'!C6="","",'GRR AIAG GR&amp;R'!C6)</f>
        <v>0.52</v>
      </c>
      <c r="Q2" s="634"/>
      <c r="R2" s="634"/>
      <c r="S2" s="368"/>
      <c r="T2" s="368"/>
      <c r="U2" s="368"/>
      <c r="V2" s="368"/>
      <c r="W2" s="368"/>
      <c r="X2" s="368"/>
      <c r="Y2" s="368"/>
      <c r="Z2" s="368"/>
      <c r="AA2" s="368"/>
      <c r="AB2" s="368"/>
      <c r="AC2" s="368"/>
      <c r="AD2" s="368"/>
      <c r="AE2" s="368"/>
      <c r="AF2" s="368"/>
    </row>
    <row r="3" spans="1:32" s="371" customFormat="1" ht="18" customHeight="1" x14ac:dyDescent="0.5">
      <c r="A3" s="368"/>
      <c r="B3" s="627" t="s">
        <v>369</v>
      </c>
      <c r="C3" s="627"/>
      <c r="D3" s="628">
        <f>IF('GRR AIAG GR&amp;R'!$M$2="","",'GRR AIAG GR&amp;R'!$M$2)</f>
        <v>29221</v>
      </c>
      <c r="E3" s="629"/>
      <c r="F3" s="630"/>
      <c r="G3" s="368"/>
      <c r="H3" s="627" t="s">
        <v>370</v>
      </c>
      <c r="I3" s="627"/>
      <c r="J3" s="631">
        <f>IF('GRR AIAG GR&amp;R'!H3="","",'GRR AIAG GR&amp;R'!H3)</f>
        <v>1234</v>
      </c>
      <c r="K3" s="632"/>
      <c r="L3" s="633"/>
      <c r="M3" s="368"/>
      <c r="N3" s="627" t="s">
        <v>371</v>
      </c>
      <c r="O3" s="627"/>
      <c r="P3" s="634">
        <f>IF('GRR AIAG GR&amp;R'!C7="","",'GRR AIAG GR&amp;R'!C7)</f>
        <v>0.48</v>
      </c>
      <c r="Q3" s="634"/>
      <c r="R3" s="634"/>
      <c r="S3" s="368"/>
      <c r="T3" s="368"/>
      <c r="U3" s="368"/>
      <c r="V3" s="368"/>
      <c r="W3" s="368"/>
      <c r="X3" s="368"/>
      <c r="Y3" s="368"/>
      <c r="Z3" s="368"/>
      <c r="AA3" s="368"/>
      <c r="AB3" s="368"/>
      <c r="AC3" s="368"/>
      <c r="AD3" s="368"/>
      <c r="AE3" s="368"/>
      <c r="AF3" s="368"/>
    </row>
    <row r="4" spans="1:32" s="371" customFormat="1" ht="15" customHeight="1" x14ac:dyDescent="0.5">
      <c r="A4" s="368"/>
      <c r="B4" s="627" t="s">
        <v>372</v>
      </c>
      <c r="C4" s="627"/>
      <c r="D4" s="631" t="str">
        <f>IF('GRR AIAG GR&amp;R'!$M$3="","",'GRR AIAG GR&amp;R'!$M$3)</f>
        <v>BOB</v>
      </c>
      <c r="E4" s="632"/>
      <c r="F4" s="633"/>
      <c r="G4" s="368"/>
      <c r="H4" s="627" t="s">
        <v>373</v>
      </c>
      <c r="I4" s="627"/>
      <c r="J4" s="631" t="str">
        <f>IF('GRR AIAG GR&amp;R'!H4="","",'GRR AIAG GR&amp;R'!H4)</f>
        <v>Indicator</v>
      </c>
      <c r="K4" s="632"/>
      <c r="L4" s="633"/>
      <c r="M4" s="368"/>
      <c r="N4" s="627" t="s">
        <v>374</v>
      </c>
      <c r="O4" s="627"/>
      <c r="P4" s="634">
        <f>IF('GRR AIAG GR&amp;R'!C8="","",'GRR AIAG GR&amp;R'!C8)</f>
        <v>4.0000000000000036E-2</v>
      </c>
      <c r="Q4" s="634"/>
      <c r="R4" s="634"/>
      <c r="S4" s="368"/>
      <c r="T4" s="368"/>
      <c r="U4" s="368"/>
      <c r="V4" s="368"/>
      <c r="W4" s="368"/>
      <c r="X4" s="368"/>
      <c r="Y4" s="368"/>
      <c r="Z4" s="368"/>
      <c r="AA4" s="368"/>
      <c r="AB4" s="368"/>
      <c r="AC4" s="368"/>
      <c r="AD4" s="368"/>
      <c r="AE4" s="368"/>
      <c r="AF4" s="368"/>
    </row>
    <row r="5" spans="1:32" s="371" customFormat="1" ht="15" customHeight="1" x14ac:dyDescent="0.5">
      <c r="A5" s="368"/>
      <c r="B5" s="367"/>
      <c r="C5" s="367"/>
      <c r="D5" s="372"/>
      <c r="E5" s="372"/>
      <c r="F5" s="372"/>
      <c r="G5" s="368"/>
      <c r="H5" s="367"/>
      <c r="I5" s="367"/>
      <c r="J5" s="372"/>
      <c r="K5" s="372"/>
      <c r="L5" s="372"/>
      <c r="M5" s="368"/>
      <c r="N5" s="367"/>
      <c r="O5" s="367"/>
      <c r="P5" s="372"/>
      <c r="Q5" s="372"/>
      <c r="R5" s="372"/>
      <c r="S5" s="368"/>
      <c r="T5" s="368"/>
      <c r="U5" s="368"/>
      <c r="V5" s="368"/>
      <c r="W5" s="368"/>
      <c r="X5" s="368"/>
      <c r="Y5" s="368"/>
      <c r="Z5" s="368"/>
      <c r="AA5" s="368"/>
      <c r="AB5" s="368"/>
      <c r="AC5" s="368"/>
      <c r="AD5" s="368"/>
      <c r="AE5" s="368"/>
      <c r="AF5" s="368"/>
    </row>
    <row r="6" spans="1:32" ht="15" customHeight="1" x14ac:dyDescent="0.5">
      <c r="A6" s="370"/>
      <c r="B6" s="370"/>
      <c r="C6" s="370"/>
      <c r="D6" s="370"/>
      <c r="E6" s="370"/>
      <c r="F6" s="370"/>
      <c r="G6" s="370"/>
      <c r="H6" s="370"/>
      <c r="I6" s="370"/>
      <c r="J6" s="370"/>
      <c r="K6" s="370"/>
      <c r="L6" s="370"/>
      <c r="M6" s="370"/>
      <c r="N6" s="370"/>
      <c r="O6" s="370"/>
      <c r="P6" s="370"/>
      <c r="Q6" s="370"/>
      <c r="R6" s="370"/>
      <c r="S6" s="368"/>
      <c r="T6" s="368"/>
      <c r="U6" s="368"/>
      <c r="V6" s="368"/>
      <c r="W6" s="368"/>
      <c r="X6" s="368"/>
      <c r="Y6" s="368"/>
      <c r="Z6" s="368"/>
      <c r="AA6" s="368"/>
      <c r="AB6" s="368"/>
      <c r="AC6" s="368"/>
      <c r="AD6" s="368"/>
      <c r="AE6" s="368"/>
      <c r="AF6" s="368"/>
    </row>
    <row r="7" spans="1:32" s="371" customFormat="1" ht="15" customHeight="1" x14ac:dyDescent="0.5">
      <c r="A7" s="368"/>
      <c r="B7" s="635" t="s">
        <v>375</v>
      </c>
      <c r="C7" s="636"/>
      <c r="D7" s="636"/>
      <c r="E7" s="636"/>
      <c r="F7" s="636"/>
      <c r="G7" s="636"/>
      <c r="H7" s="637"/>
      <c r="I7" s="369"/>
      <c r="J7" s="368"/>
      <c r="K7" s="635" t="s">
        <v>376</v>
      </c>
      <c r="L7" s="636"/>
      <c r="M7" s="636"/>
      <c r="N7" s="636"/>
      <c r="O7" s="636"/>
      <c r="P7" s="636"/>
      <c r="Q7" s="637"/>
      <c r="R7" s="368"/>
      <c r="S7" s="368"/>
      <c r="T7" s="368"/>
      <c r="U7" s="368"/>
      <c r="V7" s="368"/>
      <c r="W7" s="368"/>
      <c r="X7" s="368"/>
      <c r="Y7" s="368"/>
      <c r="Z7" s="368"/>
      <c r="AA7" s="368"/>
      <c r="AB7" s="368"/>
      <c r="AC7" s="368"/>
      <c r="AD7" s="368"/>
      <c r="AE7" s="368"/>
      <c r="AF7" s="368"/>
    </row>
    <row r="8" spans="1:32" s="371" customFormat="1" ht="15" x14ac:dyDescent="0.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row>
    <row r="9" spans="1:32" s="371" customFormat="1" ht="15.75" customHeight="1" x14ac:dyDescent="0.7">
      <c r="A9" s="368"/>
      <c r="B9" s="374" t="s">
        <v>377</v>
      </c>
      <c r="C9" s="375"/>
      <c r="D9" s="375"/>
      <c r="E9" s="375"/>
      <c r="F9" s="375"/>
      <c r="G9" s="375"/>
      <c r="H9" s="376"/>
      <c r="I9" s="368"/>
      <c r="J9" s="368"/>
      <c r="K9" s="374" t="s">
        <v>377</v>
      </c>
      <c r="L9" s="377"/>
      <c r="M9" s="377"/>
      <c r="N9" s="377"/>
      <c r="O9" s="377"/>
      <c r="P9" s="377"/>
      <c r="Q9" s="376"/>
      <c r="R9" s="368"/>
      <c r="S9" s="468" t="s">
        <v>499</v>
      </c>
      <c r="T9" s="368"/>
      <c r="U9" s="368"/>
      <c r="V9" s="368"/>
      <c r="W9" s="368"/>
      <c r="X9" s="368"/>
      <c r="Y9" s="368"/>
      <c r="Z9" s="368"/>
      <c r="AA9" s="368"/>
      <c r="AB9" s="368"/>
      <c r="AC9" s="368"/>
      <c r="AD9" s="368"/>
      <c r="AE9" s="368"/>
      <c r="AF9" s="368"/>
    </row>
    <row r="10" spans="1:32" s="371" customFormat="1" ht="15" x14ac:dyDescent="0.5">
      <c r="A10" s="368"/>
      <c r="B10" s="378"/>
      <c r="C10" s="379"/>
      <c r="D10" s="380"/>
      <c r="E10" s="380"/>
      <c r="F10" s="379"/>
      <c r="G10" s="380"/>
      <c r="H10" s="638" t="s">
        <v>378</v>
      </c>
      <c r="I10" s="368"/>
      <c r="J10" s="368"/>
      <c r="K10" s="378"/>
      <c r="L10" s="379"/>
      <c r="M10" s="379"/>
      <c r="N10" s="380"/>
      <c r="O10" s="380"/>
      <c r="P10" s="380"/>
      <c r="Q10" s="638" t="s">
        <v>378</v>
      </c>
      <c r="R10" s="368"/>
      <c r="S10" s="368"/>
      <c r="T10" s="368"/>
      <c r="U10" s="368"/>
      <c r="V10" s="368"/>
      <c r="W10" s="368"/>
      <c r="X10" s="368"/>
      <c r="Y10" s="368"/>
      <c r="Z10" s="368"/>
      <c r="AA10" s="368"/>
      <c r="AB10" s="368"/>
      <c r="AC10" s="368"/>
      <c r="AD10" s="368"/>
      <c r="AE10" s="368"/>
      <c r="AF10" s="368"/>
    </row>
    <row r="11" spans="1:32" s="371" customFormat="1" ht="15" x14ac:dyDescent="0.5">
      <c r="A11" s="368"/>
      <c r="B11" s="639" t="s">
        <v>244</v>
      </c>
      <c r="C11" s="640"/>
      <c r="D11" s="381" t="s">
        <v>379</v>
      </c>
      <c r="E11" s="380"/>
      <c r="F11" s="381" t="s">
        <v>380</v>
      </c>
      <c r="G11" s="380"/>
      <c r="H11" s="638"/>
      <c r="I11" s="368"/>
      <c r="J11" s="368"/>
      <c r="K11" s="639" t="s">
        <v>244</v>
      </c>
      <c r="L11" s="640"/>
      <c r="M11" s="381" t="s">
        <v>379</v>
      </c>
      <c r="N11" s="380"/>
      <c r="O11" s="381" t="s">
        <v>380</v>
      </c>
      <c r="P11" s="380"/>
      <c r="Q11" s="638"/>
      <c r="R11" s="368"/>
      <c r="S11" s="368"/>
      <c r="T11" s="368"/>
      <c r="U11" s="368"/>
      <c r="V11" s="368"/>
      <c r="W11" s="368"/>
      <c r="X11" s="368"/>
      <c r="Y11" s="368"/>
      <c r="Z11" s="368"/>
      <c r="AA11" s="368"/>
      <c r="AB11" s="368"/>
      <c r="AC11" s="368"/>
      <c r="AD11" s="368"/>
      <c r="AE11" s="368"/>
      <c r="AF11" s="368"/>
    </row>
    <row r="12" spans="1:32" s="371" customFormat="1" ht="15" x14ac:dyDescent="0.5">
      <c r="A12" s="368"/>
      <c r="B12" s="641" t="s">
        <v>381</v>
      </c>
      <c r="C12" s="642"/>
      <c r="D12" s="382">
        <f>IF(F12&lt;0,0,SQRT(F12))</f>
        <v>1.5270887335058317E-2</v>
      </c>
      <c r="E12" s="380"/>
      <c r="F12" s="382">
        <f>IF('GRR Calculations'!Z3&lt;0,0,'GRR Calculations'!Z3)</f>
        <v>2.3320000000004451E-4</v>
      </c>
      <c r="G12" s="380"/>
      <c r="H12" s="383">
        <f t="shared" ref="H12:H18" si="0">F12/$F$18</f>
        <v>0.94494251127122719</v>
      </c>
      <c r="I12" s="368"/>
      <c r="J12" s="368"/>
      <c r="K12" s="641" t="s">
        <v>381</v>
      </c>
      <c r="L12" s="642"/>
      <c r="M12" s="382">
        <f>'GRR AIAG GR&amp;R'!C55</f>
        <v>7.7000000000000002E-3</v>
      </c>
      <c r="N12" s="380"/>
      <c r="O12" s="382">
        <f>M12^2</f>
        <v>5.9290000000000003E-5</v>
      </c>
      <c r="P12" s="380"/>
      <c r="Q12" s="383">
        <f>O12/$O$16</f>
        <v>0.39834721848965327</v>
      </c>
      <c r="R12" s="368"/>
      <c r="S12" s="368"/>
      <c r="T12" s="368"/>
      <c r="U12" s="368"/>
      <c r="V12" s="368"/>
      <c r="W12" s="368"/>
      <c r="X12" s="368"/>
      <c r="Y12" s="368"/>
      <c r="Z12" s="368"/>
      <c r="AA12" s="368"/>
      <c r="AB12" s="368"/>
      <c r="AC12" s="368"/>
      <c r="AD12" s="368"/>
      <c r="AE12" s="368"/>
      <c r="AF12" s="368"/>
    </row>
    <row r="13" spans="1:32" s="371" customFormat="1" ht="15" x14ac:dyDescent="0.5">
      <c r="A13" s="368"/>
      <c r="B13" s="641" t="s">
        <v>382</v>
      </c>
      <c r="C13" s="642"/>
      <c r="D13" s="382">
        <f t="shared" ref="D13:D18" si="1">IF(F13&lt;0,0,SQRT(F13))</f>
        <v>9.1923881554202037E-3</v>
      </c>
      <c r="E13" s="380"/>
      <c r="F13" s="382">
        <f>IF('GRR Calculations'!Z4&lt;0,0,'GRR Calculations'!Z4)</f>
        <v>8.4499999999909653E-5</v>
      </c>
      <c r="G13" s="380"/>
      <c r="H13" s="383">
        <f t="shared" si="0"/>
        <v>0.34239983791731593</v>
      </c>
      <c r="I13" s="368"/>
      <c r="J13" s="368"/>
      <c r="K13" s="641" t="s">
        <v>382</v>
      </c>
      <c r="L13" s="642"/>
      <c r="M13" s="382">
        <f>'GRR AIAG GR&amp;R'!C45</f>
        <v>4.3E-3</v>
      </c>
      <c r="N13" s="380"/>
      <c r="O13" s="382">
        <f>M13^2</f>
        <v>1.8490000000000001E-5</v>
      </c>
      <c r="P13" s="380"/>
      <c r="Q13" s="383">
        <f>O13/$O$16</f>
        <v>0.12422735823703304</v>
      </c>
      <c r="R13" s="368"/>
      <c r="S13" s="368"/>
      <c r="T13" s="368"/>
      <c r="U13" s="368"/>
      <c r="V13" s="368"/>
      <c r="W13" s="368"/>
      <c r="X13" s="368"/>
      <c r="Y13" s="368"/>
      <c r="Z13" s="368"/>
      <c r="AA13" s="368"/>
      <c r="AB13" s="368"/>
      <c r="AC13" s="368"/>
      <c r="AD13" s="368"/>
      <c r="AE13" s="368"/>
      <c r="AF13" s="368"/>
    </row>
    <row r="14" spans="1:32" s="371" customFormat="1" ht="15" x14ac:dyDescent="0.5">
      <c r="A14" s="368"/>
      <c r="B14" s="641" t="s">
        <v>383</v>
      </c>
      <c r="C14" s="642"/>
      <c r="D14" s="382">
        <f t="shared" si="1"/>
        <v>1.21942609452207E-2</v>
      </c>
      <c r="E14" s="380"/>
      <c r="F14" s="382">
        <f>IF('GRR Calculations'!Z5&lt;0,0,'GRR Calculations'!Z5)</f>
        <v>1.4870000000013486E-4</v>
      </c>
      <c r="G14" s="380"/>
      <c r="H14" s="383">
        <f t="shared" si="0"/>
        <v>0.60254267335391121</v>
      </c>
      <c r="I14" s="368"/>
      <c r="J14" s="368"/>
      <c r="K14" s="641" t="s">
        <v>383</v>
      </c>
      <c r="L14" s="642"/>
      <c r="M14" s="382">
        <f>'GRR AIAG GR&amp;R'!C50</f>
        <v>6.4000000000000003E-3</v>
      </c>
      <c r="N14" s="380"/>
      <c r="O14" s="382">
        <f>M14^2</f>
        <v>4.0960000000000001E-5</v>
      </c>
      <c r="P14" s="380"/>
      <c r="Q14" s="383">
        <f>O14/$O$16</f>
        <v>0.27519484009674816</v>
      </c>
      <c r="R14" s="368"/>
      <c r="S14" s="368"/>
      <c r="T14" s="368"/>
      <c r="U14" s="368"/>
      <c r="V14" s="368"/>
      <c r="W14" s="368"/>
      <c r="X14" s="368"/>
      <c r="Y14" s="368"/>
      <c r="Z14" s="368"/>
      <c r="AA14" s="368"/>
      <c r="AB14" s="368"/>
      <c r="AC14" s="368"/>
      <c r="AD14" s="368"/>
      <c r="AE14" s="368"/>
      <c r="AF14" s="368"/>
    </row>
    <row r="15" spans="1:32" s="371" customFormat="1" ht="15" x14ac:dyDescent="0.5">
      <c r="A15" s="368"/>
      <c r="B15" s="384"/>
      <c r="C15" s="385" t="s">
        <v>384</v>
      </c>
      <c r="D15" s="382">
        <f t="shared" si="1"/>
        <v>2.2721135534270491E-3</v>
      </c>
      <c r="E15" s="380"/>
      <c r="F15" s="382">
        <f>IF('GRR Calculations'!Z6&lt;0,0,'GRR Calculations'!Z6)</f>
        <v>5.1624999996668917E-6</v>
      </c>
      <c r="G15" s="380"/>
      <c r="H15" s="383">
        <f t="shared" si="0"/>
        <v>2.0918806664331092E-2</v>
      </c>
      <c r="I15" s="368"/>
      <c r="J15" s="368"/>
      <c r="K15" s="641" t="s">
        <v>385</v>
      </c>
      <c r="L15" s="642"/>
      <c r="M15" s="382">
        <f>'GRR AIAG GR&amp;R'!C59</f>
        <v>9.4999999999999998E-3</v>
      </c>
      <c r="N15" s="380"/>
      <c r="O15" s="382">
        <f>M15^2</f>
        <v>9.0249999999999998E-5</v>
      </c>
      <c r="P15" s="380"/>
      <c r="Q15" s="383">
        <f>O15/$O$16</f>
        <v>0.60635581832840624</v>
      </c>
      <c r="R15" s="368"/>
      <c r="S15" s="368"/>
      <c r="T15" s="368"/>
      <c r="U15" s="368"/>
      <c r="V15" s="368"/>
      <c r="W15" s="368"/>
      <c r="X15" s="368"/>
      <c r="Y15" s="368"/>
      <c r="Z15" s="368"/>
      <c r="AA15" s="368"/>
      <c r="AB15" s="368"/>
      <c r="AC15" s="368"/>
      <c r="AD15" s="368"/>
      <c r="AE15" s="368"/>
      <c r="AF15" s="368"/>
    </row>
    <row r="16" spans="1:32" s="371" customFormat="1" ht="15" x14ac:dyDescent="0.5">
      <c r="A16" s="368"/>
      <c r="B16" s="384"/>
      <c r="C16" s="385" t="s">
        <v>386</v>
      </c>
      <c r="D16" s="382">
        <f t="shared" si="1"/>
        <v>1.1980713668244807E-2</v>
      </c>
      <c r="E16" s="380"/>
      <c r="F16" s="382">
        <f>IF('GRR Calculations'!Z7&lt;0,0,'GRR Calculations'!Z7)</f>
        <v>1.4353750000046795E-4</v>
      </c>
      <c r="G16" s="380"/>
      <c r="H16" s="383">
        <f t="shared" si="0"/>
        <v>0.5816238666895801</v>
      </c>
      <c r="I16" s="368"/>
      <c r="J16" s="368"/>
      <c r="K16" s="643" t="s">
        <v>387</v>
      </c>
      <c r="L16" s="644"/>
      <c r="M16" s="386">
        <f>'GRR AIAG GR&amp;R'!C64</f>
        <v>1.2200000000000001E-2</v>
      </c>
      <c r="N16" s="387"/>
      <c r="O16" s="386">
        <f>M16^2</f>
        <v>1.4884000000000002E-4</v>
      </c>
      <c r="P16" s="387"/>
      <c r="Q16" s="388">
        <f>O16/$O$16</f>
        <v>1</v>
      </c>
      <c r="R16" s="368"/>
      <c r="S16" s="368"/>
      <c r="T16" s="368"/>
      <c r="U16" s="368"/>
      <c r="V16" s="368"/>
      <c r="W16" s="368"/>
      <c r="X16" s="368"/>
      <c r="Y16" s="368"/>
      <c r="Z16" s="368"/>
      <c r="AA16" s="368"/>
      <c r="AB16" s="368"/>
      <c r="AC16" s="368"/>
      <c r="AD16" s="368"/>
      <c r="AE16" s="368"/>
      <c r="AF16" s="368"/>
    </row>
    <row r="17" spans="1:32" s="371" customFormat="1" ht="15" x14ac:dyDescent="0.5">
      <c r="A17" s="368"/>
      <c r="B17" s="641" t="s">
        <v>385</v>
      </c>
      <c r="C17" s="642"/>
      <c r="D17" s="382">
        <f t="shared" si="1"/>
        <v>3.6861226240637165E-3</v>
      </c>
      <c r="E17" s="380"/>
      <c r="F17" s="382">
        <f>IF('GRR Calculations'!Z8&lt;0,0,'GRR Calculations'!Z8)</f>
        <v>1.3587499999634378E-5</v>
      </c>
      <c r="G17" s="380"/>
      <c r="H17" s="383">
        <f t="shared" si="0"/>
        <v>5.5057488728772967E-2</v>
      </c>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row>
    <row r="18" spans="1:32" s="371" customFormat="1" ht="15" x14ac:dyDescent="0.5">
      <c r="A18" s="368"/>
      <c r="B18" s="643" t="s">
        <v>387</v>
      </c>
      <c r="C18" s="644"/>
      <c r="D18" s="386">
        <f t="shared" si="1"/>
        <v>1.5709471665198638E-2</v>
      </c>
      <c r="E18" s="387"/>
      <c r="F18" s="386">
        <f>IF('GRR Calculations'!Z9&lt;0,0,'GRR Calculations'!Z9)</f>
        <v>2.4678749999967886E-4</v>
      </c>
      <c r="G18" s="387"/>
      <c r="H18" s="388">
        <f t="shared" si="0"/>
        <v>1</v>
      </c>
      <c r="I18" s="368"/>
      <c r="J18" s="368"/>
      <c r="K18" s="645" t="s">
        <v>388</v>
      </c>
      <c r="L18" s="646"/>
      <c r="M18" s="389">
        <f>'GRR AIAG GR&amp;R'!C8</f>
        <v>4.0000000000000036E-2</v>
      </c>
      <c r="N18" s="390"/>
      <c r="O18" s="390"/>
      <c r="P18" s="390"/>
      <c r="Q18" s="391"/>
      <c r="R18" s="368"/>
      <c r="S18" s="368"/>
      <c r="T18" s="368"/>
      <c r="U18" s="368"/>
      <c r="V18" s="368"/>
      <c r="W18" s="368"/>
      <c r="X18" s="368"/>
      <c r="Y18" s="368"/>
      <c r="Z18" s="368"/>
      <c r="AA18" s="368"/>
      <c r="AB18" s="368"/>
      <c r="AC18" s="368"/>
      <c r="AD18" s="368"/>
      <c r="AE18" s="368"/>
      <c r="AF18" s="368"/>
    </row>
    <row r="19" spans="1:32" s="371" customFormat="1" ht="15" x14ac:dyDescent="0.5">
      <c r="A19" s="368"/>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row>
    <row r="20" spans="1:32" s="371" customFormat="1" ht="15" x14ac:dyDescent="0.5">
      <c r="A20" s="368"/>
      <c r="B20" s="645" t="s">
        <v>388</v>
      </c>
      <c r="C20" s="646"/>
      <c r="D20" s="389">
        <f>M18</f>
        <v>4.0000000000000036E-2</v>
      </c>
      <c r="E20" s="390"/>
      <c r="F20" s="390"/>
      <c r="G20" s="390"/>
      <c r="H20" s="391"/>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row>
    <row r="21" spans="1:32" s="371" customFormat="1" ht="15" x14ac:dyDescent="0.5">
      <c r="A21" s="368"/>
      <c r="B21" s="392"/>
      <c r="C21" s="392"/>
      <c r="D21" s="372"/>
      <c r="E21" s="368"/>
      <c r="F21" s="368"/>
      <c r="G21" s="368"/>
      <c r="H21" s="368"/>
      <c r="I21" s="368"/>
      <c r="J21" s="368"/>
      <c r="K21" s="392"/>
      <c r="L21" s="392"/>
      <c r="M21" s="372"/>
      <c r="N21" s="368"/>
      <c r="O21" s="368"/>
      <c r="P21" s="368"/>
      <c r="Q21" s="368"/>
      <c r="R21" s="368"/>
      <c r="S21" s="368"/>
      <c r="T21" s="368"/>
      <c r="U21" s="368"/>
      <c r="V21" s="368"/>
      <c r="W21" s="368"/>
      <c r="X21" s="368"/>
      <c r="Y21" s="368"/>
      <c r="Z21" s="368"/>
      <c r="AA21" s="368"/>
      <c r="AB21" s="368"/>
      <c r="AC21" s="368"/>
      <c r="AD21" s="368"/>
      <c r="AE21" s="368"/>
      <c r="AF21" s="368"/>
    </row>
    <row r="22" spans="1:32" s="371" customFormat="1" ht="15" x14ac:dyDescent="0.5">
      <c r="A22" s="368"/>
      <c r="B22" s="374" t="s">
        <v>389</v>
      </c>
      <c r="C22" s="375"/>
      <c r="D22" s="375"/>
      <c r="E22" s="375"/>
      <c r="F22" s="375"/>
      <c r="G22" s="377"/>
      <c r="H22" s="376"/>
      <c r="I22" s="369"/>
      <c r="J22" s="368"/>
      <c r="K22" s="374" t="s">
        <v>389</v>
      </c>
      <c r="L22" s="377"/>
      <c r="M22" s="377"/>
      <c r="N22" s="377"/>
      <c r="O22" s="377"/>
      <c r="P22" s="377"/>
      <c r="Q22" s="376"/>
      <c r="R22" s="368"/>
      <c r="S22" s="368"/>
      <c r="T22" s="368"/>
      <c r="U22" s="368"/>
      <c r="V22" s="368"/>
      <c r="W22" s="368"/>
      <c r="X22" s="368"/>
      <c r="Y22" s="368"/>
      <c r="Z22" s="368"/>
      <c r="AA22" s="368"/>
      <c r="AB22" s="368"/>
      <c r="AC22" s="368"/>
      <c r="AD22" s="368"/>
      <c r="AE22" s="368"/>
      <c r="AF22" s="368"/>
    </row>
    <row r="23" spans="1:32" s="371" customFormat="1" ht="7.5" customHeight="1" x14ac:dyDescent="0.5">
      <c r="A23" s="368"/>
      <c r="B23" s="393"/>
      <c r="C23" s="379"/>
      <c r="D23" s="379"/>
      <c r="E23" s="379"/>
      <c r="F23" s="379"/>
      <c r="G23" s="380"/>
      <c r="H23" s="394"/>
      <c r="I23" s="369"/>
      <c r="J23" s="368"/>
      <c r="K23" s="393"/>
      <c r="L23" s="380"/>
      <c r="M23" s="380"/>
      <c r="N23" s="380"/>
      <c r="O23" s="380"/>
      <c r="P23" s="380"/>
      <c r="Q23" s="394"/>
      <c r="R23" s="368"/>
      <c r="S23" s="368"/>
      <c r="T23" s="368"/>
      <c r="U23" s="368"/>
      <c r="V23" s="368"/>
      <c r="W23" s="368"/>
      <c r="X23" s="368"/>
      <c r="Y23" s="368"/>
      <c r="Z23" s="368"/>
      <c r="AA23" s="368"/>
      <c r="AB23" s="368"/>
      <c r="AC23" s="368"/>
      <c r="AD23" s="368"/>
      <c r="AE23" s="368"/>
      <c r="AF23" s="368"/>
    </row>
    <row r="24" spans="1:32" s="371" customFormat="1" ht="15" x14ac:dyDescent="0.5">
      <c r="A24" s="368"/>
      <c r="B24" s="378"/>
      <c r="C24" s="380"/>
      <c r="D24" s="647" t="s">
        <v>390</v>
      </c>
      <c r="E24" s="380"/>
      <c r="F24" s="647" t="s">
        <v>391</v>
      </c>
      <c r="G24" s="380"/>
      <c r="H24" s="638" t="s">
        <v>392</v>
      </c>
      <c r="I24" s="368"/>
      <c r="J24" s="368"/>
      <c r="K24" s="378"/>
      <c r="L24" s="380"/>
      <c r="M24" s="647" t="s">
        <v>390</v>
      </c>
      <c r="N24" s="380"/>
      <c r="O24" s="647" t="s">
        <v>391</v>
      </c>
      <c r="P24" s="380"/>
      <c r="Q24" s="638" t="s">
        <v>392</v>
      </c>
      <c r="R24" s="368"/>
      <c r="S24" s="368"/>
      <c r="T24" s="368"/>
      <c r="U24" s="368"/>
      <c r="V24" s="368"/>
      <c r="W24" s="368"/>
      <c r="X24" s="368"/>
      <c r="Y24" s="368"/>
      <c r="Z24" s="368"/>
      <c r="AA24" s="368"/>
      <c r="AB24" s="368"/>
      <c r="AC24" s="368"/>
      <c r="AD24" s="368"/>
      <c r="AE24" s="368"/>
      <c r="AF24" s="368"/>
    </row>
    <row r="25" spans="1:32" s="371" customFormat="1" ht="15" x14ac:dyDescent="0.5">
      <c r="A25" s="368"/>
      <c r="B25" s="639" t="s">
        <v>244</v>
      </c>
      <c r="C25" s="640"/>
      <c r="D25" s="647"/>
      <c r="E25" s="380"/>
      <c r="F25" s="647"/>
      <c r="G25" s="380"/>
      <c r="H25" s="638"/>
      <c r="I25" s="368"/>
      <c r="J25" s="368"/>
      <c r="K25" s="639" t="s">
        <v>244</v>
      </c>
      <c r="L25" s="640"/>
      <c r="M25" s="647"/>
      <c r="N25" s="380"/>
      <c r="O25" s="647"/>
      <c r="P25" s="380"/>
      <c r="Q25" s="638"/>
      <c r="R25" s="368"/>
      <c r="S25" s="368"/>
      <c r="T25" s="368"/>
      <c r="U25" s="368"/>
      <c r="V25" s="368"/>
      <c r="W25" s="368"/>
      <c r="X25" s="368"/>
      <c r="Y25" s="368"/>
      <c r="Z25" s="368"/>
      <c r="AA25" s="368"/>
      <c r="AB25" s="368"/>
      <c r="AC25" s="368"/>
      <c r="AD25" s="368"/>
      <c r="AE25" s="368"/>
      <c r="AF25" s="368"/>
    </row>
    <row r="26" spans="1:32" s="371" customFormat="1" ht="15" x14ac:dyDescent="0.5">
      <c r="A26" s="368"/>
      <c r="B26" s="641" t="s">
        <v>381</v>
      </c>
      <c r="C26" s="642"/>
      <c r="D26" s="382">
        <f>D12*5.15</f>
        <v>7.864506977555033E-2</v>
      </c>
      <c r="E26" s="380"/>
      <c r="F26" s="395">
        <f t="shared" ref="F26:F32" si="2">D26/$D$32</f>
        <v>0.97208153530001118</v>
      </c>
      <c r="G26" s="385"/>
      <c r="H26" s="396">
        <f t="shared" ref="H26:H32" si="3">D26/$D$20</f>
        <v>1.9661267443887565</v>
      </c>
      <c r="I26" s="368"/>
      <c r="J26" s="368"/>
      <c r="K26" s="641" t="s">
        <v>381</v>
      </c>
      <c r="L26" s="642"/>
      <c r="M26" s="382">
        <f>M12*5.15</f>
        <v>3.9655000000000003E-2</v>
      </c>
      <c r="N26" s="380"/>
      <c r="O26" s="395">
        <f>(M26/$M$30)</f>
        <v>0.63114754098360648</v>
      </c>
      <c r="P26" s="385"/>
      <c r="Q26" s="396">
        <f>M26/$M$18</f>
        <v>0.99137499999999923</v>
      </c>
      <c r="R26" s="368"/>
      <c r="S26" s="368"/>
      <c r="T26" s="368"/>
      <c r="U26" s="368"/>
      <c r="V26" s="368"/>
      <c r="W26" s="368"/>
      <c r="X26" s="368"/>
      <c r="Y26" s="368"/>
      <c r="Z26" s="368"/>
      <c r="AA26" s="368"/>
      <c r="AB26" s="368"/>
      <c r="AC26" s="368"/>
      <c r="AD26" s="368"/>
      <c r="AE26" s="368"/>
      <c r="AF26" s="368"/>
    </row>
    <row r="27" spans="1:32" s="371" customFormat="1" ht="15" x14ac:dyDescent="0.5">
      <c r="A27" s="368"/>
      <c r="B27" s="641" t="s">
        <v>382</v>
      </c>
      <c r="C27" s="642"/>
      <c r="D27" s="382">
        <f t="shared" ref="D27:D32" si="4">D13*5.15</f>
        <v>4.7340799000414054E-2</v>
      </c>
      <c r="E27" s="380"/>
      <c r="F27" s="397">
        <f t="shared" si="2"/>
        <v>0.58514941503629303</v>
      </c>
      <c r="G27" s="385"/>
      <c r="H27" s="383">
        <f t="shared" si="3"/>
        <v>1.1835199750103502</v>
      </c>
      <c r="I27" s="368"/>
      <c r="J27" s="368"/>
      <c r="K27" s="641" t="s">
        <v>382</v>
      </c>
      <c r="L27" s="642"/>
      <c r="M27" s="382">
        <f>M13*5.15</f>
        <v>2.2145000000000001E-2</v>
      </c>
      <c r="N27" s="380"/>
      <c r="O27" s="397">
        <f>(M27/$M$30)</f>
        <v>0.35245901639344257</v>
      </c>
      <c r="P27" s="385"/>
      <c r="Q27" s="383">
        <f>M27/$M$18</f>
        <v>0.55362499999999959</v>
      </c>
      <c r="R27" s="368"/>
      <c r="S27" s="368"/>
      <c r="T27" s="368"/>
      <c r="U27" s="368"/>
      <c r="V27" s="368"/>
      <c r="W27" s="368"/>
      <c r="X27" s="368"/>
      <c r="Y27" s="368"/>
      <c r="Z27" s="368"/>
      <c r="AA27" s="368"/>
      <c r="AB27" s="368"/>
      <c r="AC27" s="368"/>
      <c r="AD27" s="368"/>
      <c r="AE27" s="368"/>
      <c r="AF27" s="368"/>
    </row>
    <row r="28" spans="1:32" s="371" customFormat="1" ht="15" x14ac:dyDescent="0.5">
      <c r="A28" s="368"/>
      <c r="B28" s="641" t="s">
        <v>383</v>
      </c>
      <c r="C28" s="642"/>
      <c r="D28" s="382">
        <f t="shared" si="4"/>
        <v>6.2800443867886607E-2</v>
      </c>
      <c r="E28" s="380"/>
      <c r="F28" s="397">
        <f t="shared" si="2"/>
        <v>0.77623622264998104</v>
      </c>
      <c r="G28" s="385"/>
      <c r="H28" s="383">
        <f t="shared" si="3"/>
        <v>1.5700110966971639</v>
      </c>
      <c r="I28" s="368"/>
      <c r="J28" s="368"/>
      <c r="K28" s="641" t="s">
        <v>383</v>
      </c>
      <c r="L28" s="642"/>
      <c r="M28" s="382">
        <f>M14*5.15</f>
        <v>3.2960000000000003E-2</v>
      </c>
      <c r="N28" s="380"/>
      <c r="O28" s="397">
        <f>(M28/$M$30)</f>
        <v>0.52459016393442615</v>
      </c>
      <c r="P28" s="385"/>
      <c r="Q28" s="383">
        <f>M28/$M$18</f>
        <v>0.8239999999999994</v>
      </c>
      <c r="R28" s="368"/>
      <c r="S28" s="368"/>
      <c r="T28" s="368"/>
      <c r="U28" s="368"/>
      <c r="V28" s="368"/>
      <c r="W28" s="368"/>
      <c r="X28" s="368"/>
      <c r="Y28" s="368"/>
      <c r="Z28" s="368"/>
      <c r="AA28" s="368"/>
      <c r="AB28" s="368"/>
      <c r="AC28" s="368"/>
      <c r="AD28" s="368"/>
      <c r="AE28" s="368"/>
      <c r="AF28" s="368"/>
    </row>
    <row r="29" spans="1:32" s="371" customFormat="1" ht="15" x14ac:dyDescent="0.5">
      <c r="A29" s="368"/>
      <c r="B29" s="384"/>
      <c r="C29" s="385" t="s">
        <v>384</v>
      </c>
      <c r="D29" s="382">
        <f t="shared" si="4"/>
        <v>1.1701384800149303E-2</v>
      </c>
      <c r="E29" s="380"/>
      <c r="F29" s="397">
        <f t="shared" si="2"/>
        <v>0.14463335253091208</v>
      </c>
      <c r="G29" s="385"/>
      <c r="H29" s="383">
        <f t="shared" si="3"/>
        <v>0.29253462000373232</v>
      </c>
      <c r="I29" s="368"/>
      <c r="J29" s="368"/>
      <c r="K29" s="641" t="s">
        <v>385</v>
      </c>
      <c r="L29" s="642"/>
      <c r="M29" s="382">
        <f>M15*5.15</f>
        <v>4.8925000000000003E-2</v>
      </c>
      <c r="N29" s="380"/>
      <c r="O29" s="397">
        <f>(M29/$M$30)</f>
        <v>0.7786885245901638</v>
      </c>
      <c r="P29" s="385"/>
      <c r="Q29" s="383">
        <f>M29/$M$18</f>
        <v>1.2231249999999989</v>
      </c>
      <c r="R29" s="368"/>
      <c r="S29" s="368"/>
      <c r="T29" s="368"/>
      <c r="U29" s="368"/>
      <c r="V29" s="368"/>
      <c r="W29" s="368"/>
      <c r="X29" s="368"/>
      <c r="Y29" s="368"/>
      <c r="Z29" s="368"/>
      <c r="AA29" s="368"/>
      <c r="AB29" s="368"/>
      <c r="AC29" s="368"/>
      <c r="AD29" s="368"/>
      <c r="AE29" s="368"/>
      <c r="AF29" s="368"/>
    </row>
    <row r="30" spans="1:32" s="371" customFormat="1" ht="15" x14ac:dyDescent="0.5">
      <c r="A30" s="368"/>
      <c r="B30" s="384"/>
      <c r="C30" s="385" t="s">
        <v>386</v>
      </c>
      <c r="D30" s="382">
        <f t="shared" si="4"/>
        <v>6.1700675391460763E-2</v>
      </c>
      <c r="E30" s="380"/>
      <c r="F30" s="397">
        <f t="shared" si="2"/>
        <v>0.76264268611819785</v>
      </c>
      <c r="G30" s="385"/>
      <c r="H30" s="383">
        <f t="shared" si="3"/>
        <v>1.5425168847865176</v>
      </c>
      <c r="I30" s="368"/>
      <c r="J30" s="368"/>
      <c r="K30" s="643" t="s">
        <v>387</v>
      </c>
      <c r="L30" s="644"/>
      <c r="M30" s="386">
        <f>M16*5.15</f>
        <v>6.2830000000000011E-2</v>
      </c>
      <c r="N30" s="387"/>
      <c r="O30" s="398">
        <f>(M30/$M$30)</f>
        <v>1</v>
      </c>
      <c r="P30" s="399"/>
      <c r="Q30" s="388">
        <f>M30/$M$18</f>
        <v>1.570749999999999</v>
      </c>
      <c r="R30" s="368"/>
      <c r="S30" s="368"/>
      <c r="T30" s="368"/>
      <c r="U30" s="368"/>
      <c r="V30" s="368"/>
      <c r="W30" s="368"/>
      <c r="X30" s="368"/>
      <c r="Y30" s="368"/>
      <c r="Z30" s="368"/>
      <c r="AA30" s="368"/>
      <c r="AB30" s="368"/>
      <c r="AC30" s="368"/>
      <c r="AD30" s="368"/>
      <c r="AE30" s="368"/>
      <c r="AF30" s="368"/>
    </row>
    <row r="31" spans="1:32" s="371" customFormat="1" ht="15" x14ac:dyDescent="0.5">
      <c r="A31" s="368"/>
      <c r="B31" s="641" t="s">
        <v>385</v>
      </c>
      <c r="C31" s="642"/>
      <c r="D31" s="382">
        <f t="shared" si="4"/>
        <v>1.8983531513928141E-2</v>
      </c>
      <c r="E31" s="380"/>
      <c r="F31" s="397">
        <f t="shared" si="2"/>
        <v>0.23464332236135119</v>
      </c>
      <c r="G31" s="385"/>
      <c r="H31" s="383">
        <f t="shared" si="3"/>
        <v>0.47458828784820312</v>
      </c>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row>
    <row r="32" spans="1:32" s="371" customFormat="1" ht="15" x14ac:dyDescent="0.5">
      <c r="A32" s="368"/>
      <c r="B32" s="643" t="s">
        <v>387</v>
      </c>
      <c r="C32" s="644"/>
      <c r="D32" s="386">
        <f t="shared" si="4"/>
        <v>8.0903779075772994E-2</v>
      </c>
      <c r="E32" s="387"/>
      <c r="F32" s="398">
        <f t="shared" si="2"/>
        <v>1</v>
      </c>
      <c r="G32" s="399"/>
      <c r="H32" s="388">
        <f t="shared" si="3"/>
        <v>2.0225944768943229</v>
      </c>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row>
    <row r="33" spans="1:32" s="371" customFormat="1" ht="15" x14ac:dyDescent="0.5">
      <c r="A33" s="368"/>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row>
    <row r="34" spans="1:32" s="371" customFormat="1" ht="15" x14ac:dyDescent="0.5">
      <c r="A34" s="368"/>
      <c r="B34" s="469" t="s">
        <v>393</v>
      </c>
      <c r="C34" s="470"/>
      <c r="D34" s="470"/>
      <c r="E34" s="470"/>
      <c r="F34" s="470"/>
      <c r="G34" s="471"/>
      <c r="H34" s="472"/>
      <c r="I34" s="369"/>
      <c r="J34" s="368"/>
      <c r="K34" s="374" t="s">
        <v>393</v>
      </c>
      <c r="L34" s="377"/>
      <c r="M34" s="377"/>
      <c r="N34" s="377"/>
      <c r="O34" s="377"/>
      <c r="P34" s="377"/>
      <c r="Q34" s="376"/>
      <c r="R34" s="368"/>
      <c r="S34" s="368"/>
      <c r="T34" s="368"/>
      <c r="U34" s="368"/>
      <c r="V34" s="368"/>
      <c r="W34" s="368"/>
      <c r="X34" s="368"/>
      <c r="Y34" s="368"/>
      <c r="Z34" s="368"/>
      <c r="AA34" s="368"/>
      <c r="AB34" s="368"/>
      <c r="AC34" s="368"/>
      <c r="AD34" s="368"/>
      <c r="AE34" s="368"/>
      <c r="AF34" s="368"/>
    </row>
    <row r="35" spans="1:32" s="371" customFormat="1" ht="7.5" customHeight="1" x14ac:dyDescent="0.5">
      <c r="A35" s="368"/>
      <c r="B35" s="473"/>
      <c r="C35" s="474"/>
      <c r="D35" s="474"/>
      <c r="E35" s="474"/>
      <c r="F35" s="474"/>
      <c r="G35" s="475"/>
      <c r="H35" s="476"/>
      <c r="I35" s="369"/>
      <c r="J35" s="368"/>
      <c r="K35" s="393"/>
      <c r="L35" s="380"/>
      <c r="M35" s="380"/>
      <c r="N35" s="380"/>
      <c r="O35" s="380"/>
      <c r="P35" s="380"/>
      <c r="Q35" s="394"/>
      <c r="R35" s="368"/>
      <c r="S35" s="368"/>
      <c r="T35" s="368"/>
      <c r="U35" s="368"/>
      <c r="V35" s="368"/>
      <c r="W35" s="368"/>
      <c r="X35" s="368"/>
      <c r="Y35" s="368"/>
      <c r="Z35" s="368"/>
      <c r="AA35" s="368"/>
      <c r="AB35" s="368"/>
      <c r="AC35" s="368"/>
      <c r="AD35" s="368"/>
      <c r="AE35" s="368"/>
      <c r="AF35" s="368"/>
    </row>
    <row r="36" spans="1:32" s="371" customFormat="1" ht="15" x14ac:dyDescent="0.5">
      <c r="A36" s="368"/>
      <c r="B36" s="477"/>
      <c r="C36" s="475"/>
      <c r="D36" s="650" t="s">
        <v>390</v>
      </c>
      <c r="E36" s="475"/>
      <c r="F36" s="650" t="s">
        <v>391</v>
      </c>
      <c r="G36" s="475"/>
      <c r="H36" s="651" t="s">
        <v>392</v>
      </c>
      <c r="I36" s="368"/>
      <c r="J36" s="368"/>
      <c r="K36" s="378"/>
      <c r="L36" s="380"/>
      <c r="M36" s="647" t="s">
        <v>390</v>
      </c>
      <c r="N36" s="380"/>
      <c r="O36" s="647" t="s">
        <v>391</v>
      </c>
      <c r="P36" s="380"/>
      <c r="Q36" s="638" t="s">
        <v>392</v>
      </c>
      <c r="R36" s="368"/>
      <c r="S36" s="368"/>
      <c r="T36" s="368"/>
      <c r="U36" s="368"/>
      <c r="V36" s="368"/>
      <c r="W36" s="368"/>
      <c r="X36" s="368"/>
      <c r="Y36" s="368"/>
      <c r="Z36" s="368"/>
      <c r="AA36" s="368"/>
      <c r="AB36" s="368"/>
      <c r="AC36" s="368"/>
      <c r="AD36" s="368"/>
      <c r="AE36" s="368"/>
      <c r="AF36" s="368"/>
    </row>
    <row r="37" spans="1:32" s="371" customFormat="1" ht="15" x14ac:dyDescent="0.5">
      <c r="A37" s="368"/>
      <c r="B37" s="654" t="s">
        <v>244</v>
      </c>
      <c r="C37" s="655"/>
      <c r="D37" s="650"/>
      <c r="E37" s="475"/>
      <c r="F37" s="650"/>
      <c r="G37" s="475"/>
      <c r="H37" s="651"/>
      <c r="I37" s="368"/>
      <c r="J37" s="368"/>
      <c r="K37" s="639" t="s">
        <v>244</v>
      </c>
      <c r="L37" s="640"/>
      <c r="M37" s="647"/>
      <c r="N37" s="380"/>
      <c r="O37" s="647"/>
      <c r="P37" s="380"/>
      <c r="Q37" s="638"/>
      <c r="R37" s="368"/>
      <c r="S37" s="368"/>
      <c r="T37" s="368"/>
      <c r="U37" s="368"/>
      <c r="V37" s="368"/>
      <c r="W37" s="368"/>
      <c r="X37" s="368"/>
      <c r="Y37" s="368"/>
      <c r="Z37" s="368"/>
      <c r="AA37" s="368"/>
      <c r="AB37" s="368"/>
      <c r="AC37" s="368"/>
      <c r="AD37" s="368"/>
      <c r="AE37" s="368"/>
      <c r="AF37" s="368"/>
    </row>
    <row r="38" spans="1:32" s="371" customFormat="1" ht="15" x14ac:dyDescent="0.5">
      <c r="A38" s="368"/>
      <c r="B38" s="648" t="s">
        <v>381</v>
      </c>
      <c r="C38" s="649"/>
      <c r="D38" s="478">
        <f>D12*6</f>
        <v>9.1625324010349896E-2</v>
      </c>
      <c r="E38" s="475"/>
      <c r="F38" s="479">
        <f t="shared" ref="F38:F44" si="5">D38/$D$44</f>
        <v>0.97208153530001118</v>
      </c>
      <c r="G38" s="480"/>
      <c r="H38" s="481">
        <f t="shared" ref="H38:H44" si="6">D38/$D$20</f>
        <v>2.2906331002587454</v>
      </c>
      <c r="I38" s="368"/>
      <c r="J38" s="368"/>
      <c r="K38" s="641" t="s">
        <v>381</v>
      </c>
      <c r="L38" s="642"/>
      <c r="M38" s="382">
        <f>M12*6</f>
        <v>4.6200000000000005E-2</v>
      </c>
      <c r="N38" s="380"/>
      <c r="O38" s="395">
        <f>(M38/$M$42)</f>
        <v>0.63114754098360659</v>
      </c>
      <c r="P38" s="385"/>
      <c r="Q38" s="396">
        <f>M38/$M$18</f>
        <v>1.1549999999999991</v>
      </c>
      <c r="R38" s="368"/>
      <c r="S38" s="368"/>
      <c r="T38" s="368"/>
      <c r="U38" s="368"/>
      <c r="V38" s="368"/>
      <c r="W38" s="368"/>
      <c r="X38" s="368"/>
      <c r="Y38" s="368"/>
      <c r="Z38" s="368"/>
      <c r="AA38" s="368"/>
      <c r="AB38" s="368"/>
      <c r="AC38" s="368"/>
      <c r="AD38" s="368"/>
      <c r="AE38" s="368"/>
      <c r="AF38" s="368"/>
    </row>
    <row r="39" spans="1:32" s="371" customFormat="1" ht="15" x14ac:dyDescent="0.5">
      <c r="A39" s="368"/>
      <c r="B39" s="648" t="s">
        <v>382</v>
      </c>
      <c r="C39" s="649"/>
      <c r="D39" s="478">
        <f t="shared" ref="D39:D44" si="7">D13*6</f>
        <v>5.5154328932521222E-2</v>
      </c>
      <c r="E39" s="475"/>
      <c r="F39" s="482">
        <f t="shared" si="5"/>
        <v>0.58514941503629303</v>
      </c>
      <c r="G39" s="480"/>
      <c r="H39" s="483">
        <f t="shared" si="6"/>
        <v>1.3788582233130293</v>
      </c>
      <c r="I39" s="368"/>
      <c r="J39" s="368"/>
      <c r="K39" s="641" t="s">
        <v>382</v>
      </c>
      <c r="L39" s="642"/>
      <c r="M39" s="382">
        <f>M13*6</f>
        <v>2.58E-2</v>
      </c>
      <c r="N39" s="380"/>
      <c r="O39" s="397">
        <f>(M39/$M$42)</f>
        <v>0.35245901639344263</v>
      </c>
      <c r="P39" s="385"/>
      <c r="Q39" s="383">
        <f>M39/$M$18</f>
        <v>0.64499999999999946</v>
      </c>
      <c r="R39" s="368"/>
      <c r="S39" s="368"/>
      <c r="T39" s="368"/>
      <c r="U39" s="368"/>
      <c r="V39" s="368"/>
      <c r="W39" s="368"/>
      <c r="X39" s="368"/>
      <c r="Y39" s="368"/>
      <c r="Z39" s="368"/>
      <c r="AA39" s="368"/>
      <c r="AB39" s="368"/>
      <c r="AC39" s="368"/>
      <c r="AD39" s="368"/>
      <c r="AE39" s="368"/>
      <c r="AF39" s="368"/>
    </row>
    <row r="40" spans="1:32" s="371" customFormat="1" ht="15" x14ac:dyDescent="0.5">
      <c r="A40" s="368"/>
      <c r="B40" s="648" t="s">
        <v>383</v>
      </c>
      <c r="C40" s="649"/>
      <c r="D40" s="478">
        <f t="shared" si="7"/>
        <v>7.3165565671324206E-2</v>
      </c>
      <c r="E40" s="475"/>
      <c r="F40" s="482">
        <f t="shared" si="5"/>
        <v>0.77623622264998116</v>
      </c>
      <c r="G40" s="480"/>
      <c r="H40" s="483">
        <f t="shared" si="6"/>
        <v>1.8291391417831036</v>
      </c>
      <c r="I40" s="368"/>
      <c r="J40" s="368"/>
      <c r="K40" s="641" t="s">
        <v>383</v>
      </c>
      <c r="L40" s="642"/>
      <c r="M40" s="382">
        <f>M14*6</f>
        <v>3.8400000000000004E-2</v>
      </c>
      <c r="N40" s="380"/>
      <c r="O40" s="397">
        <f>(M40/$M$42)</f>
        <v>0.52459016393442626</v>
      </c>
      <c r="P40" s="385"/>
      <c r="Q40" s="383">
        <f>M40/$M$18</f>
        <v>0.95999999999999919</v>
      </c>
      <c r="R40" s="368"/>
      <c r="S40" s="368"/>
      <c r="T40" s="368"/>
      <c r="U40" s="368"/>
      <c r="V40" s="368"/>
      <c r="W40" s="368"/>
      <c r="X40" s="368"/>
      <c r="Y40" s="368"/>
      <c r="Z40" s="368"/>
      <c r="AA40" s="368"/>
      <c r="AB40" s="368"/>
      <c r="AC40" s="368"/>
      <c r="AD40" s="368"/>
      <c r="AE40" s="368"/>
      <c r="AF40" s="368"/>
    </row>
    <row r="41" spans="1:32" s="371" customFormat="1" ht="15" x14ac:dyDescent="0.5">
      <c r="A41" s="368"/>
      <c r="B41" s="484"/>
      <c r="C41" s="480" t="s">
        <v>384</v>
      </c>
      <c r="D41" s="478">
        <f t="shared" si="7"/>
        <v>1.3632681320562294E-2</v>
      </c>
      <c r="E41" s="475"/>
      <c r="F41" s="482">
        <f t="shared" si="5"/>
        <v>0.14463335253091206</v>
      </c>
      <c r="G41" s="480"/>
      <c r="H41" s="483">
        <f t="shared" si="6"/>
        <v>0.34081703301405708</v>
      </c>
      <c r="I41" s="368"/>
      <c r="J41" s="368"/>
      <c r="K41" s="641" t="s">
        <v>385</v>
      </c>
      <c r="L41" s="642"/>
      <c r="M41" s="382">
        <f>M15*6</f>
        <v>5.6999999999999995E-2</v>
      </c>
      <c r="N41" s="380"/>
      <c r="O41" s="397">
        <f>(M41/$M$42)</f>
        <v>0.7786885245901638</v>
      </c>
      <c r="P41" s="385"/>
      <c r="Q41" s="383">
        <f>M41/$M$18</f>
        <v>1.4249999999999987</v>
      </c>
      <c r="R41" s="368"/>
      <c r="S41" s="368"/>
      <c r="T41" s="368"/>
      <c r="U41" s="368"/>
      <c r="V41" s="368"/>
      <c r="W41" s="368"/>
      <c r="X41" s="368"/>
      <c r="Y41" s="368"/>
      <c r="Z41" s="368"/>
      <c r="AA41" s="368"/>
      <c r="AB41" s="368"/>
      <c r="AC41" s="368"/>
      <c r="AD41" s="368"/>
      <c r="AE41" s="368"/>
      <c r="AF41" s="368"/>
    </row>
    <row r="42" spans="1:32" s="371" customFormat="1" ht="15" x14ac:dyDescent="0.5">
      <c r="A42" s="368"/>
      <c r="B42" s="484"/>
      <c r="C42" s="480" t="s">
        <v>386</v>
      </c>
      <c r="D42" s="478">
        <f t="shared" si="7"/>
        <v>7.1884282009468836E-2</v>
      </c>
      <c r="E42" s="475"/>
      <c r="F42" s="482">
        <f t="shared" si="5"/>
        <v>0.76264268611819763</v>
      </c>
      <c r="G42" s="480"/>
      <c r="H42" s="483">
        <f t="shared" si="6"/>
        <v>1.7971070502367192</v>
      </c>
      <c r="I42" s="368"/>
      <c r="J42" s="368"/>
      <c r="K42" s="643" t="s">
        <v>387</v>
      </c>
      <c r="L42" s="644"/>
      <c r="M42" s="386">
        <f>M16*6</f>
        <v>7.3200000000000001E-2</v>
      </c>
      <c r="N42" s="387"/>
      <c r="O42" s="398">
        <f>(M42/$M$42)</f>
        <v>1</v>
      </c>
      <c r="P42" s="399"/>
      <c r="Q42" s="388">
        <f>M42/$M$18</f>
        <v>1.8299999999999983</v>
      </c>
      <c r="R42" s="368"/>
      <c r="S42" s="368"/>
      <c r="T42" s="368"/>
      <c r="U42" s="368"/>
      <c r="V42" s="368"/>
      <c r="W42" s="368"/>
      <c r="X42" s="368"/>
      <c r="Y42" s="368"/>
      <c r="Z42" s="368"/>
      <c r="AA42" s="368"/>
      <c r="AB42" s="368"/>
      <c r="AC42" s="368"/>
      <c r="AD42" s="368"/>
      <c r="AE42" s="368"/>
      <c r="AF42" s="368"/>
    </row>
    <row r="43" spans="1:32" s="371" customFormat="1" ht="15" x14ac:dyDescent="0.5">
      <c r="A43" s="368"/>
      <c r="B43" s="648" t="s">
        <v>385</v>
      </c>
      <c r="C43" s="649"/>
      <c r="D43" s="478">
        <f t="shared" si="7"/>
        <v>2.2116735744382297E-2</v>
      </c>
      <c r="E43" s="475"/>
      <c r="F43" s="482">
        <f t="shared" si="5"/>
        <v>0.23464332236135116</v>
      </c>
      <c r="G43" s="480"/>
      <c r="H43" s="483">
        <f t="shared" si="6"/>
        <v>0.55291839360955697</v>
      </c>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row>
    <row r="44" spans="1:32" s="371" customFormat="1" ht="15" x14ac:dyDescent="0.5">
      <c r="A44" s="368"/>
      <c r="B44" s="652" t="s">
        <v>387</v>
      </c>
      <c r="C44" s="653"/>
      <c r="D44" s="485">
        <f t="shared" si="7"/>
        <v>9.4256829991191837E-2</v>
      </c>
      <c r="E44" s="486"/>
      <c r="F44" s="487">
        <f t="shared" si="5"/>
        <v>1</v>
      </c>
      <c r="G44" s="488"/>
      <c r="H44" s="489">
        <f t="shared" si="6"/>
        <v>2.3564207497797938</v>
      </c>
      <c r="I44" s="368"/>
      <c r="J44" s="368"/>
      <c r="K44" s="645" t="s">
        <v>394</v>
      </c>
      <c r="L44" s="646"/>
      <c r="M44" s="646"/>
      <c r="N44" s="389">
        <f>'GRR AIAG GR&amp;R'!N65</f>
        <v>1</v>
      </c>
      <c r="O44" s="390"/>
      <c r="P44" s="390"/>
      <c r="Q44" s="391"/>
      <c r="R44" s="368"/>
      <c r="S44" s="368"/>
      <c r="T44" s="368"/>
      <c r="U44" s="368"/>
      <c r="V44" s="368"/>
      <c r="W44" s="368"/>
      <c r="X44" s="368"/>
      <c r="Y44" s="368"/>
      <c r="Z44" s="368"/>
      <c r="AA44" s="368"/>
      <c r="AB44" s="368"/>
      <c r="AC44" s="368"/>
      <c r="AD44" s="368"/>
      <c r="AE44" s="368"/>
      <c r="AF44" s="368"/>
    </row>
    <row r="45" spans="1:32" s="371" customFormat="1" ht="15" x14ac:dyDescent="0.5">
      <c r="A45" s="368"/>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2" s="371" customFormat="1" ht="15" x14ac:dyDescent="0.5">
      <c r="A46" s="368"/>
      <c r="B46" s="645" t="s">
        <v>394</v>
      </c>
      <c r="C46" s="646"/>
      <c r="D46" s="646"/>
      <c r="E46" s="389">
        <f>ROUNDDOWN(1.41*(D17/D12),0)</f>
        <v>0</v>
      </c>
      <c r="F46" s="390"/>
      <c r="G46" s="390"/>
      <c r="H46" s="391"/>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row>
    <row r="47" spans="1:32" s="371" customFormat="1" ht="15" x14ac:dyDescent="0.5">
      <c r="A47" s="368"/>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row>
    <row r="48" spans="1:32" s="371" customFormat="1" ht="15" x14ac:dyDescent="0.5">
      <c r="A48" s="368"/>
      <c r="B48" s="374" t="s">
        <v>395</v>
      </c>
      <c r="C48" s="375"/>
      <c r="D48" s="375"/>
      <c r="E48" s="375"/>
      <c r="F48" s="375"/>
      <c r="G48" s="375"/>
      <c r="H48" s="400"/>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row>
    <row r="49" spans="1:32" s="371" customFormat="1" ht="7.5" customHeight="1" x14ac:dyDescent="0.5">
      <c r="A49" s="368"/>
      <c r="B49" s="393"/>
      <c r="C49" s="379"/>
      <c r="D49" s="379"/>
      <c r="E49" s="379"/>
      <c r="F49" s="379"/>
      <c r="G49" s="379"/>
      <c r="H49" s="401"/>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row>
    <row r="50" spans="1:32" s="371" customFormat="1" ht="15" x14ac:dyDescent="0.5">
      <c r="A50" s="368"/>
      <c r="B50" s="639" t="s">
        <v>244</v>
      </c>
      <c r="C50" s="640"/>
      <c r="D50" s="381" t="s">
        <v>396</v>
      </c>
      <c r="E50" s="381" t="s">
        <v>397</v>
      </c>
      <c r="F50" s="381" t="s">
        <v>398</v>
      </c>
      <c r="G50" s="381" t="s">
        <v>65</v>
      </c>
      <c r="H50" s="402" t="s">
        <v>399</v>
      </c>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row>
    <row r="51" spans="1:32" s="371" customFormat="1" ht="15" x14ac:dyDescent="0.5">
      <c r="A51" s="368"/>
      <c r="B51" s="641" t="s">
        <v>400</v>
      </c>
      <c r="C51" s="642"/>
      <c r="D51" s="382">
        <f>'GRR Calculations'!S3</f>
        <v>4</v>
      </c>
      <c r="E51" s="382">
        <f>'GRR Calculations'!T3</f>
        <v>1.7036999999975322E-3</v>
      </c>
      <c r="F51" s="382">
        <f>'GRR Calculations'!U3</f>
        <v>4.2592499999938305E-4</v>
      </c>
      <c r="G51" s="403">
        <f>'GRR Calculations'!V3</f>
        <v>1.1462692592300716</v>
      </c>
      <c r="H51" s="404">
        <f>'GRR Calculations'!W3</f>
        <v>0.44896627832308522</v>
      </c>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row>
    <row r="52" spans="1:32" s="371" customFormat="1" ht="15" x14ac:dyDescent="0.5">
      <c r="A52" s="368"/>
      <c r="B52" s="641" t="s">
        <v>384</v>
      </c>
      <c r="C52" s="642"/>
      <c r="D52" s="382">
        <f>'GRR Calculations'!S4</f>
        <v>1</v>
      </c>
      <c r="E52" s="382">
        <f>'GRR Calculations'!T4</f>
        <v>4.2319999999751445E-4</v>
      </c>
      <c r="F52" s="382">
        <f>'GRR Calculations'!U4</f>
        <v>4.2319999999751445E-4</v>
      </c>
      <c r="G52" s="403">
        <f>'GRR Calculations'!V4</f>
        <v>1.1389356119129421</v>
      </c>
      <c r="H52" s="404">
        <f>'GRR Calculations'!W4</f>
        <v>0.34600671843600028</v>
      </c>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row>
    <row r="53" spans="1:32" s="371" customFormat="1" ht="15" x14ac:dyDescent="0.5">
      <c r="A53" s="368"/>
      <c r="B53" s="641" t="s">
        <v>401</v>
      </c>
      <c r="C53" s="642"/>
      <c r="D53" s="382">
        <f>'GRR Calculations'!S5</f>
        <v>4</v>
      </c>
      <c r="E53" s="382">
        <f>'GRR Calculations'!T5</f>
        <v>1.4863000000033821E-3</v>
      </c>
      <c r="F53" s="382">
        <f>'GRR Calculations'!U5</f>
        <v>3.7157500000084553E-4</v>
      </c>
      <c r="G53" s="403">
        <f>'GRR Calculations'!V5</f>
        <v>4.397337278121217</v>
      </c>
      <c r="H53" s="404">
        <f>'GRR Calculations'!W5</f>
        <v>2.6198049304480914E-2</v>
      </c>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row>
    <row r="54" spans="1:32" s="371" customFormat="1" ht="15" x14ac:dyDescent="0.5">
      <c r="A54" s="368"/>
      <c r="B54" s="641" t="s">
        <v>402</v>
      </c>
      <c r="C54" s="642"/>
      <c r="D54" s="382">
        <f>'GRR Calculations'!S6</f>
        <v>10</v>
      </c>
      <c r="E54" s="382">
        <f>'GRR Calculations'!T6</f>
        <v>8.4499999999909647E-4</v>
      </c>
      <c r="F54" s="382">
        <f>'GRR Calculations'!U6</f>
        <v>8.4499999999909653E-5</v>
      </c>
      <c r="G54" s="382"/>
      <c r="H54" s="405"/>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row>
    <row r="55" spans="1:32" s="371" customFormat="1" ht="15" x14ac:dyDescent="0.5">
      <c r="A55" s="368"/>
      <c r="B55" s="641" t="s">
        <v>403</v>
      </c>
      <c r="C55" s="642"/>
      <c r="D55" s="382">
        <f>'GRR Calculations'!S7</f>
        <v>19</v>
      </c>
      <c r="E55" s="382">
        <f>'GRR Calculations'!T7</f>
        <v>4.4581999999975253E-3</v>
      </c>
      <c r="F55" s="382"/>
      <c r="G55" s="382"/>
      <c r="H55" s="405"/>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row>
    <row r="56" spans="1:32" s="371" customFormat="1" ht="15" x14ac:dyDescent="0.5">
      <c r="A56" s="368"/>
      <c r="B56" s="378"/>
      <c r="C56" s="380"/>
      <c r="D56" s="380"/>
      <c r="E56" s="380"/>
      <c r="F56" s="380"/>
      <c r="G56" s="380"/>
      <c r="H56" s="394"/>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row>
    <row r="57" spans="1:32" s="371" customFormat="1" ht="15" x14ac:dyDescent="0.5">
      <c r="A57" s="368"/>
      <c r="B57" s="406" t="s">
        <v>404</v>
      </c>
      <c r="C57" s="387"/>
      <c r="D57" s="387"/>
      <c r="E57" s="387"/>
      <c r="F57" s="387"/>
      <c r="G57" s="387"/>
      <c r="H57" s="407"/>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row>
    <row r="58" spans="1:32" ht="15" x14ac:dyDescent="0.5">
      <c r="A58" s="370"/>
      <c r="B58" s="370"/>
      <c r="C58" s="370"/>
      <c r="D58" s="370"/>
      <c r="E58" s="370"/>
      <c r="F58" s="370"/>
      <c r="G58" s="370"/>
      <c r="H58" s="370"/>
      <c r="I58" s="370"/>
      <c r="J58" s="370"/>
      <c r="K58" s="370"/>
      <c r="L58" s="370"/>
      <c r="M58" s="370"/>
      <c r="N58" s="370"/>
      <c r="O58" s="370"/>
      <c r="P58" s="370"/>
      <c r="Q58" s="370"/>
      <c r="R58" s="370"/>
      <c r="S58" s="368"/>
      <c r="T58" s="368"/>
      <c r="U58" s="368"/>
      <c r="V58" s="368"/>
      <c r="W58" s="368"/>
      <c r="X58" s="368"/>
      <c r="Y58" s="368"/>
      <c r="Z58" s="368"/>
      <c r="AA58" s="368"/>
      <c r="AB58" s="368"/>
      <c r="AC58" s="368"/>
      <c r="AD58" s="368"/>
      <c r="AE58" s="368"/>
      <c r="AF58" s="368"/>
    </row>
    <row r="59" spans="1:32" ht="12.3" hidden="1" x14ac:dyDescent="0.4"/>
    <row r="60" spans="1:32" ht="12.3" hidden="1" x14ac:dyDescent="0.4"/>
    <row r="61" spans="1:32" ht="12.3" hidden="1" x14ac:dyDescent="0.4"/>
    <row r="62" spans="1:32" ht="12.3" hidden="1" x14ac:dyDescent="0.4"/>
    <row r="63" spans="1:32" ht="12.3" hidden="1" x14ac:dyDescent="0.4"/>
    <row r="64" spans="1:32" ht="12.3" hidden="1" x14ac:dyDescent="0.4"/>
    <row r="65" ht="12.3" hidden="1" x14ac:dyDescent="0.4"/>
    <row r="66" ht="12.3" hidden="1" x14ac:dyDescent="0.4"/>
    <row r="67" ht="12.3" hidden="1" x14ac:dyDescent="0.4"/>
    <row r="68" ht="12.3" hidden="1" x14ac:dyDescent="0.4"/>
    <row r="69" ht="12.3" hidden="1" x14ac:dyDescent="0.4"/>
    <row r="70" ht="12.3" hidden="1" x14ac:dyDescent="0.4"/>
    <row r="71" ht="12.3" hidden="1" x14ac:dyDescent="0.4"/>
    <row r="72" ht="12.3" hidden="1" x14ac:dyDescent="0.4"/>
    <row r="73" ht="12.3" hidden="1" x14ac:dyDescent="0.4"/>
    <row r="74" ht="12.3" hidden="1" x14ac:dyDescent="0.4"/>
    <row r="75" ht="12.3" hidden="1" x14ac:dyDescent="0.4"/>
    <row r="76" ht="12.3" hidden="1" x14ac:dyDescent="0.4"/>
    <row r="77" ht="12.3" hidden="1" x14ac:dyDescent="0.4"/>
    <row r="78" ht="12.3" hidden="1" x14ac:dyDescent="0.4"/>
    <row r="79" ht="12.3" hidden="1" x14ac:dyDescent="0.4"/>
    <row r="80" ht="12.3" hidden="1" x14ac:dyDescent="0.4"/>
    <row r="81" ht="12.3" hidden="1" x14ac:dyDescent="0.4"/>
    <row r="82" ht="12.3" hidden="1" x14ac:dyDescent="0.4"/>
    <row r="83" ht="12.3" hidden="1" x14ac:dyDescent="0.4"/>
    <row r="84" ht="12.3" hidden="1" x14ac:dyDescent="0.4"/>
    <row r="85" ht="12.3" hidden="1" x14ac:dyDescent="0.4"/>
    <row r="86" ht="12.3" hidden="1" x14ac:dyDescent="0.4"/>
    <row r="87" ht="12.3" hidden="1" x14ac:dyDescent="0.4"/>
    <row r="88" ht="12.3" hidden="1" x14ac:dyDescent="0.4"/>
    <row r="89" ht="12.3" hidden="1" x14ac:dyDescent="0.4"/>
    <row r="90" ht="12.3" hidden="1" x14ac:dyDescent="0.4"/>
    <row r="91" ht="12.3" hidden="1" x14ac:dyDescent="0.4"/>
    <row r="92" ht="12.3" hidden="1" x14ac:dyDescent="0.4"/>
    <row r="93" ht="12.3" hidden="1" x14ac:dyDescent="0.4"/>
    <row r="94" ht="12.3" hidden="1" x14ac:dyDescent="0.4"/>
    <row r="95" ht="12.3" hidden="1" x14ac:dyDescent="0.4"/>
    <row r="96" ht="12.3" hidden="1" x14ac:dyDescent="0.4"/>
    <row r="97" ht="12.3" hidden="1" x14ac:dyDescent="0.4"/>
    <row r="98" ht="12.3" hidden="1" x14ac:dyDescent="0.4"/>
    <row r="99" ht="12.3" hidden="1" x14ac:dyDescent="0.4"/>
    <row r="100" ht="12.3" hidden="1" x14ac:dyDescent="0.4"/>
    <row r="101" ht="12.3" hidden="1" x14ac:dyDescent="0.4"/>
    <row r="102" ht="12.3" hidden="1" x14ac:dyDescent="0.4"/>
    <row r="103" ht="12.3" hidden="1" x14ac:dyDescent="0.4"/>
    <row r="104" ht="12.3" hidden="1" x14ac:dyDescent="0.4"/>
    <row r="105" ht="12.3" hidden="1" x14ac:dyDescent="0.4"/>
    <row r="106" ht="12.3" hidden="1" x14ac:dyDescent="0.4"/>
    <row r="107" ht="12.3" hidden="1" x14ac:dyDescent="0.4"/>
    <row r="108" ht="12.3" hidden="1" x14ac:dyDescent="0.4"/>
    <row r="109" ht="12.3" hidden="1" x14ac:dyDescent="0.4"/>
    <row r="110" ht="12.3" hidden="1" x14ac:dyDescent="0.4"/>
    <row r="111" ht="12.3" hidden="1" x14ac:dyDescent="0.4"/>
    <row r="112" ht="12.3" hidden="1" x14ac:dyDescent="0.4"/>
    <row r="113" ht="12.3" hidden="1" x14ac:dyDescent="0.4"/>
    <row r="114" ht="12.3" hidden="1" x14ac:dyDescent="0.4"/>
    <row r="115" ht="12.3" hidden="1" x14ac:dyDescent="0.4"/>
    <row r="116" ht="12.3" hidden="1" x14ac:dyDescent="0.4"/>
    <row r="117" ht="12.3" hidden="1" x14ac:dyDescent="0.4"/>
    <row r="118" ht="12.3" hidden="1" x14ac:dyDescent="0.4"/>
    <row r="119" ht="12.3" hidden="1" x14ac:dyDescent="0.4"/>
    <row r="120" ht="12.3" hidden="1" x14ac:dyDescent="0.4"/>
    <row r="121" ht="12.3" hidden="1" x14ac:dyDescent="0.4"/>
    <row r="122" ht="12.3" hidden="1" x14ac:dyDescent="0.4"/>
    <row r="123" ht="12.3" hidden="1" x14ac:dyDescent="0.4"/>
    <row r="124" ht="12.3" hidden="1" x14ac:dyDescent="0.4"/>
    <row r="125" ht="12.3" hidden="1" x14ac:dyDescent="0.4"/>
    <row r="126" ht="12.3" hidden="1" x14ac:dyDescent="0.4"/>
    <row r="127" ht="12.3" hidden="1" x14ac:dyDescent="0.4"/>
    <row r="128" ht="12.3" hidden="1" x14ac:dyDescent="0.4"/>
  </sheetData>
  <mergeCells count="81">
    <mergeCell ref="B55:C55"/>
    <mergeCell ref="T1:V1"/>
    <mergeCell ref="B46:D46"/>
    <mergeCell ref="B50:C50"/>
    <mergeCell ref="B51:C51"/>
    <mergeCell ref="B52:C52"/>
    <mergeCell ref="B53:C53"/>
    <mergeCell ref="B54:C54"/>
    <mergeCell ref="B40:C40"/>
    <mergeCell ref="K40:L40"/>
    <mergeCell ref="K41:L41"/>
    <mergeCell ref="K42:L42"/>
    <mergeCell ref="B43:C43"/>
    <mergeCell ref="B44:C44"/>
    <mergeCell ref="K44:M44"/>
    <mergeCell ref="B37:C37"/>
    <mergeCell ref="B38:C38"/>
    <mergeCell ref="K38:L38"/>
    <mergeCell ref="B39:C39"/>
    <mergeCell ref="K39:L39"/>
    <mergeCell ref="D36:D37"/>
    <mergeCell ref="F36:F37"/>
    <mergeCell ref="H36:H37"/>
    <mergeCell ref="M36:M37"/>
    <mergeCell ref="O36:O37"/>
    <mergeCell ref="Q36:Q37"/>
    <mergeCell ref="B28:C28"/>
    <mergeCell ref="K28:L28"/>
    <mergeCell ref="K29:L29"/>
    <mergeCell ref="K30:L30"/>
    <mergeCell ref="B31:C31"/>
    <mergeCell ref="B32:C32"/>
    <mergeCell ref="K37:L37"/>
    <mergeCell ref="B25:C25"/>
    <mergeCell ref="K25:L25"/>
    <mergeCell ref="B26:C26"/>
    <mergeCell ref="K26:L26"/>
    <mergeCell ref="B27:C27"/>
    <mergeCell ref="K27:L27"/>
    <mergeCell ref="D24:D25"/>
    <mergeCell ref="F24:F25"/>
    <mergeCell ref="H24:H25"/>
    <mergeCell ref="M24:M25"/>
    <mergeCell ref="O24:O25"/>
    <mergeCell ref="Q24:Q25"/>
    <mergeCell ref="K15:L15"/>
    <mergeCell ref="K16:L16"/>
    <mergeCell ref="B17:C17"/>
    <mergeCell ref="B18:C18"/>
    <mergeCell ref="K18:L18"/>
    <mergeCell ref="B20:C20"/>
    <mergeCell ref="B12:C12"/>
    <mergeCell ref="K12:L12"/>
    <mergeCell ref="B13:C13"/>
    <mergeCell ref="K13:L13"/>
    <mergeCell ref="B14:C14"/>
    <mergeCell ref="K14:L14"/>
    <mergeCell ref="B7:H7"/>
    <mergeCell ref="K7:Q7"/>
    <mergeCell ref="H10:H11"/>
    <mergeCell ref="Q10:Q11"/>
    <mergeCell ref="B11:C11"/>
    <mergeCell ref="K11:L11"/>
    <mergeCell ref="P4:R4"/>
    <mergeCell ref="B3:C3"/>
    <mergeCell ref="D3:F3"/>
    <mergeCell ref="H3:I3"/>
    <mergeCell ref="J3:L3"/>
    <mergeCell ref="N3:O3"/>
    <mergeCell ref="P3:R3"/>
    <mergeCell ref="B4:C4"/>
    <mergeCell ref="D4:F4"/>
    <mergeCell ref="H4:I4"/>
    <mergeCell ref="J4:L4"/>
    <mergeCell ref="N4:O4"/>
    <mergeCell ref="P2:R2"/>
    <mergeCell ref="B2:C2"/>
    <mergeCell ref="D2:F2"/>
    <mergeCell ref="H2:I2"/>
    <mergeCell ref="J2:L2"/>
    <mergeCell ref="N2:O2"/>
  </mergeCells>
  <hyperlinks>
    <hyperlink ref="T1" location="Menu!A1" display="Return to menu" xr:uid="{00000000-0004-0000-0A00-000000000000}"/>
  </hyperlinks>
  <printOptions horizontalCentered="1" verticalCentered="1"/>
  <pageMargins left="0" right="0" top="0" bottom="0" header="0" footer="0.5"/>
  <pageSetup scale="70" orientation="landscape"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CF164"/>
  <sheetViews>
    <sheetView topLeftCell="O60" workbookViewId="0">
      <selection activeCell="D2" sqref="D2:F2"/>
    </sheetView>
  </sheetViews>
  <sheetFormatPr defaultColWidth="9.1015625" defaultRowHeight="12.3" x14ac:dyDescent="0.4"/>
  <cols>
    <col min="1" max="1" width="9.1015625" style="18"/>
    <col min="2" max="2" width="9.1015625" style="44"/>
    <col min="3" max="9" width="9.1015625" style="18"/>
    <col min="10" max="10" width="13.26171875" style="18" customWidth="1"/>
    <col min="11" max="14" width="9.1015625" style="18"/>
    <col min="15" max="16" width="9.26171875" style="18" customWidth="1"/>
    <col min="17" max="17" width="9.1015625" style="18"/>
    <col min="18" max="18" width="18.3671875" style="18" bestFit="1" customWidth="1"/>
    <col min="19" max="22" width="9.1015625" style="18"/>
    <col min="23" max="23" width="10.3671875" style="18" customWidth="1"/>
    <col min="24" max="24" width="14" style="18" customWidth="1"/>
    <col min="25" max="25" width="16.62890625" style="18" customWidth="1"/>
    <col min="26" max="26" width="12.26171875" style="18" bestFit="1" customWidth="1"/>
    <col min="27" max="27" width="12" style="18" bestFit="1" customWidth="1"/>
    <col min="28" max="16384" width="9.1015625" style="18"/>
  </cols>
  <sheetData>
    <row r="1" spans="1:27" ht="15" x14ac:dyDescent="0.5">
      <c r="A1" s="408" t="s">
        <v>405</v>
      </c>
      <c r="B1" s="409"/>
      <c r="C1" s="410"/>
      <c r="D1" s="411" t="s">
        <v>406</v>
      </c>
      <c r="E1" s="412"/>
      <c r="F1" s="413"/>
      <c r="G1" s="413"/>
      <c r="H1" s="413"/>
      <c r="I1" s="413"/>
      <c r="J1" s="414"/>
      <c r="K1" s="415" t="s">
        <v>407</v>
      </c>
      <c r="L1" s="416"/>
      <c r="R1" s="417" t="s">
        <v>408</v>
      </c>
      <c r="X1" s="44"/>
      <c r="Y1" s="44"/>
      <c r="Z1" s="44"/>
    </row>
    <row r="2" spans="1:27" ht="13.8" x14ac:dyDescent="0.4">
      <c r="A2" s="418" t="s">
        <v>409</v>
      </c>
      <c r="B2" s="419"/>
      <c r="C2" s="420" t="s">
        <v>60</v>
      </c>
      <c r="D2" s="420" t="s">
        <v>61</v>
      </c>
      <c r="E2" s="420" t="s">
        <v>62</v>
      </c>
      <c r="F2" s="421" t="s">
        <v>73</v>
      </c>
      <c r="G2" s="421" t="s">
        <v>144</v>
      </c>
      <c r="H2" s="421" t="s">
        <v>410</v>
      </c>
      <c r="I2" s="421" t="s">
        <v>411</v>
      </c>
      <c r="J2" s="421" t="s">
        <v>60</v>
      </c>
      <c r="K2" s="421" t="s">
        <v>61</v>
      </c>
      <c r="L2" s="421" t="s">
        <v>62</v>
      </c>
      <c r="M2" s="44"/>
      <c r="N2" s="414"/>
      <c r="O2" s="415" t="s">
        <v>412</v>
      </c>
      <c r="P2" s="416"/>
      <c r="R2" s="420" t="s">
        <v>244</v>
      </c>
      <c r="S2" s="420" t="s">
        <v>396</v>
      </c>
      <c r="T2" s="420" t="s">
        <v>397</v>
      </c>
      <c r="U2" s="420" t="s">
        <v>398</v>
      </c>
      <c r="V2" s="420" t="s">
        <v>65</v>
      </c>
      <c r="W2" s="420" t="s">
        <v>413</v>
      </c>
      <c r="Y2" s="422" t="s">
        <v>244</v>
      </c>
      <c r="Z2" s="44" t="s">
        <v>380</v>
      </c>
      <c r="AA2" s="423"/>
    </row>
    <row r="3" spans="1:27" x14ac:dyDescent="0.4">
      <c r="A3" s="408"/>
      <c r="B3" s="409">
        <v>1</v>
      </c>
      <c r="C3" s="424">
        <f>'GRR Calculations'!G41</f>
        <v>0.52100000000000002</v>
      </c>
      <c r="D3" s="424">
        <f>'GRR Calculations'!G51</f>
        <v>0.498</v>
      </c>
      <c r="E3" s="414" t="str">
        <f>'GRR Calculations'!G61</f>
        <v/>
      </c>
      <c r="F3" s="421"/>
      <c r="G3" s="421"/>
      <c r="H3" s="421"/>
      <c r="I3" s="421"/>
      <c r="J3" s="421"/>
      <c r="K3" s="421"/>
      <c r="L3" s="421"/>
      <c r="M3" s="44"/>
      <c r="N3" s="424">
        <f>IF(C3="","",C3^2)</f>
        <v>0.27144100000000004</v>
      </c>
      <c r="O3" s="424">
        <f>IF(D3="","",D3^2)</f>
        <v>0.248004</v>
      </c>
      <c r="P3" s="424" t="str">
        <f>IF(E3="","",E3^2)</f>
        <v/>
      </c>
      <c r="R3" s="425" t="s">
        <v>400</v>
      </c>
      <c r="S3" s="424">
        <f>'GRR Calculations'!X13-1</f>
        <v>4</v>
      </c>
      <c r="T3" s="424">
        <f>C43</f>
        <v>1.7036999999975322E-3</v>
      </c>
      <c r="U3" s="424">
        <f>T3/S3</f>
        <v>4.2592499999938305E-4</v>
      </c>
      <c r="V3" s="424">
        <f>IF(W5&lt;0.25,U3/U5,U3/U6)</f>
        <v>1.1462692592300716</v>
      </c>
      <c r="W3" s="426">
        <f>IF(W5&lt;0.25,FDIST(V3,S3,$S$5),FDIST(V3,S3,$S$6))</f>
        <v>0.44896627832308522</v>
      </c>
      <c r="Y3" s="18" t="s">
        <v>414</v>
      </c>
      <c r="Z3" s="303">
        <f>Z4+Z5</f>
        <v>2.3320000000004451E-4</v>
      </c>
      <c r="AA3" s="423"/>
    </row>
    <row r="4" spans="1:27" x14ac:dyDescent="0.4">
      <c r="A4" s="427">
        <v>1</v>
      </c>
      <c r="B4" s="428">
        <v>2</v>
      </c>
      <c r="C4" s="424">
        <f>'GRR Calculations'!H41</f>
        <v>0.52100000000000002</v>
      </c>
      <c r="D4" s="424">
        <f>'GRR Calculations'!H51</f>
        <v>0.45700000000000002</v>
      </c>
      <c r="E4" s="414" t="str">
        <f>'GRR Calculations'!H61</f>
        <v/>
      </c>
      <c r="F4" s="429">
        <f>SUM(C3:E5)</f>
        <v>1.9970000000000001</v>
      </c>
      <c r="G4" s="429">
        <f>COUNT('GRR Calculations'!G41:I41,'GRR Calculations'!G51:I51,'GRR Calculations'!G61:I61)</f>
        <v>4</v>
      </c>
      <c r="H4" s="429">
        <f>IF('GRR Calculations'!G41="",0,AVERAGE('GRR Calculations'!G41:I41,'GRR Calculations'!G51:I51,'GRR Calculations'!G61:I61))</f>
        <v>0.49925000000000003</v>
      </c>
      <c r="I4" s="429">
        <f>IF(F4=0,0,F4^2/G4)</f>
        <v>0.99700225000000009</v>
      </c>
      <c r="J4" s="429">
        <f>IF(COUNT('GRR Calculations'!G41:I41)=0,0,(SUM('GRR Calculations'!G41:I41)^2/COUNT('GRR Calculations'!G41:I41)))</f>
        <v>0.54288200000000009</v>
      </c>
      <c r="K4" s="429">
        <f>IF(COUNT('GRR Calculations'!G51:I51)=0,0,(SUM('GRR Calculations'!G51:I51)^2)/COUNT('GRR Calculations'!G51:I51))</f>
        <v>0.45601250000000004</v>
      </c>
      <c r="L4" s="429">
        <f>IF(COUNT('GRR Calculations'!G61:I61)=0,0,(SUM('GRR Calculations'!G61:I61)^2)/COUNT('GRR Calculations'!G61:I61))</f>
        <v>0</v>
      </c>
      <c r="M4" s="44"/>
      <c r="N4" s="424">
        <f t="shared" ref="N4:P32" si="0">IF(C4="","",C4^2)</f>
        <v>0.27144100000000004</v>
      </c>
      <c r="O4" s="424">
        <f t="shared" si="0"/>
        <v>0.20884900000000001</v>
      </c>
      <c r="P4" s="424" t="str">
        <f t="shared" si="0"/>
        <v/>
      </c>
      <c r="R4" s="425" t="s">
        <v>384</v>
      </c>
      <c r="S4" s="424">
        <f>'GRR Calculations'!X12-1</f>
        <v>1</v>
      </c>
      <c r="T4" s="424">
        <f>C42</f>
        <v>4.2319999999751445E-4</v>
      </c>
      <c r="U4" s="424">
        <f>T4/S4</f>
        <v>4.2319999999751445E-4</v>
      </c>
      <c r="V4" s="424">
        <f>IF(W5&lt;0.25,U4/U5,U4/U6)</f>
        <v>1.1389356119129421</v>
      </c>
      <c r="W4" s="426">
        <f>IF(W5&lt;0.25,FDIST(V4,S4,$S$5),FDIST(V4,S4,$S$6))</f>
        <v>0.34600671843600028</v>
      </c>
      <c r="Y4" s="18" t="s">
        <v>243</v>
      </c>
      <c r="Z4" s="303">
        <f>U6</f>
        <v>8.4499999999909653E-5</v>
      </c>
    </row>
    <row r="5" spans="1:27" x14ac:dyDescent="0.4">
      <c r="A5" s="418"/>
      <c r="B5" s="419">
        <v>3</v>
      </c>
      <c r="C5" s="424" t="str">
        <f>'GRR Calculations'!I41</f>
        <v/>
      </c>
      <c r="D5" s="424" t="str">
        <f>'GRR Calculations'!I51</f>
        <v/>
      </c>
      <c r="E5" s="414" t="str">
        <f>'GRR Calculations'!I61</f>
        <v/>
      </c>
      <c r="F5" s="430"/>
      <c r="G5" s="430"/>
      <c r="H5" s="430"/>
      <c r="I5" s="430"/>
      <c r="J5" s="430"/>
      <c r="K5" s="430"/>
      <c r="L5" s="430"/>
      <c r="M5" s="44"/>
      <c r="N5" s="424" t="str">
        <f t="shared" si="0"/>
        <v/>
      </c>
      <c r="O5" s="424" t="str">
        <f t="shared" si="0"/>
        <v/>
      </c>
      <c r="P5" s="424" t="str">
        <f t="shared" si="0"/>
        <v/>
      </c>
      <c r="R5" s="425" t="s">
        <v>401</v>
      </c>
      <c r="S5" s="424">
        <f>S4*S3</f>
        <v>4</v>
      </c>
      <c r="T5" s="424">
        <f>C44</f>
        <v>1.4863000000033821E-3</v>
      </c>
      <c r="U5" s="424">
        <f>T5/S5</f>
        <v>3.7157500000084553E-4</v>
      </c>
      <c r="V5" s="424">
        <f>U5/$U$6</f>
        <v>4.397337278121217</v>
      </c>
      <c r="W5" s="426">
        <f>FDIST(V5,S5,$S$6)</f>
        <v>2.6198049304480914E-2</v>
      </c>
      <c r="Y5" s="18" t="s">
        <v>415</v>
      </c>
      <c r="Z5" s="303">
        <f>Z6+Z7</f>
        <v>1.4870000000013486E-4</v>
      </c>
    </row>
    <row r="6" spans="1:27" x14ac:dyDescent="0.4">
      <c r="A6" s="408"/>
      <c r="B6" s="409">
        <v>1</v>
      </c>
      <c r="C6" s="424">
        <f>'GRR Calculations'!G42</f>
        <v>0.52200000000000002</v>
      </c>
      <c r="D6" s="424">
        <f>'GRR Calculations'!G52</f>
        <v>0.52100000000000002</v>
      </c>
      <c r="E6" s="424" t="str">
        <f>'GRR Calculations'!G62</f>
        <v/>
      </c>
      <c r="F6" s="421"/>
      <c r="G6" s="421"/>
      <c r="H6" s="421"/>
      <c r="I6" s="421"/>
      <c r="J6" s="421"/>
      <c r="K6" s="421"/>
      <c r="L6" s="421"/>
      <c r="M6" s="44"/>
      <c r="N6" s="424">
        <f t="shared" si="0"/>
        <v>0.272484</v>
      </c>
      <c r="O6" s="424">
        <f t="shared" si="0"/>
        <v>0.27144100000000004</v>
      </c>
      <c r="P6" s="424" t="str">
        <f t="shared" si="0"/>
        <v/>
      </c>
      <c r="R6" s="424" t="s">
        <v>402</v>
      </c>
      <c r="S6" s="424">
        <f>(C39-1)-S4-S3-S5</f>
        <v>10</v>
      </c>
      <c r="T6" s="424">
        <f>C45</f>
        <v>8.4499999999909647E-4</v>
      </c>
      <c r="U6" s="424">
        <f>T6/S6</f>
        <v>8.4499999999909653E-5</v>
      </c>
      <c r="Y6" s="431" t="s">
        <v>384</v>
      </c>
      <c r="Z6" s="303">
        <f>(U4-U5)/(X11*X13)</f>
        <v>5.1624999996668917E-6</v>
      </c>
    </row>
    <row r="7" spans="1:27" x14ac:dyDescent="0.4">
      <c r="A7" s="427">
        <v>2</v>
      </c>
      <c r="B7" s="428">
        <v>2</v>
      </c>
      <c r="C7" s="424">
        <f>'GRR Calculations'!H42</f>
        <v>0.52300000000000002</v>
      </c>
      <c r="D7" s="424">
        <f>'GRR Calculations'!H52</f>
        <v>0.52200000000000002</v>
      </c>
      <c r="E7" s="424" t="str">
        <f>'GRR Calculations'!H62</f>
        <v/>
      </c>
      <c r="F7" s="429">
        <f>SUM(C6:E8)</f>
        <v>2.0880000000000001</v>
      </c>
      <c r="G7" s="429">
        <f>COUNT('GRR Calculations'!G42:I42,'GRR Calculations'!G52:I52,'GRR Calculations'!G62:I62)</f>
        <v>4</v>
      </c>
      <c r="H7" s="429">
        <f>IF('GRR Calculations'!G42="",0,AVERAGE('GRR Calculations'!G42:I42,'GRR Calculations'!G52:I52,'GRR Calculations'!G62:I62))</f>
        <v>0.52200000000000002</v>
      </c>
      <c r="I7" s="429">
        <f>IF(F7=0,0,F7^2/G7)</f>
        <v>1.089936</v>
      </c>
      <c r="J7" s="429">
        <f>IF(COUNT('GRR Calculations'!G42:I42)=0,0,(SUM('GRR Calculations'!G42:I42)^2/COUNT('GRR Calculations'!G42:I42)))</f>
        <v>0.5460124999999999</v>
      </c>
      <c r="K7" s="429">
        <f>IF(COUNT('GRR Calculations'!G52:I52)=0,0,(SUM('GRR Calculations'!G52:I52)^2)/COUNT('GRR Calculations'!G52:I52))</f>
        <v>0.54392450000000014</v>
      </c>
      <c r="L7" s="429">
        <f>IF(COUNT('GRR Calculations'!G62:I62)=0,0,(SUM('GRR Calculations'!G62:I62)^2)/COUNT('GRR Calculations'!G62:I62))</f>
        <v>0</v>
      </c>
      <c r="M7" s="44"/>
      <c r="N7" s="424">
        <f t="shared" si="0"/>
        <v>0.27352900000000002</v>
      </c>
      <c r="O7" s="424">
        <f t="shared" si="0"/>
        <v>0.272484</v>
      </c>
      <c r="P7" s="424" t="str">
        <f t="shared" si="0"/>
        <v/>
      </c>
      <c r="R7" s="424" t="s">
        <v>403</v>
      </c>
      <c r="S7" s="424">
        <f>SUM(S3:S6)</f>
        <v>19</v>
      </c>
      <c r="T7" s="424">
        <f>SUM(T3:T6)</f>
        <v>4.4581999999975253E-3</v>
      </c>
      <c r="Y7" s="431" t="s">
        <v>386</v>
      </c>
      <c r="Z7" s="303">
        <f>(U5-U6)/X11</f>
        <v>1.4353750000046795E-4</v>
      </c>
    </row>
    <row r="8" spans="1:27" x14ac:dyDescent="0.4">
      <c r="A8" s="418"/>
      <c r="B8" s="419">
        <v>3</v>
      </c>
      <c r="C8" s="424" t="str">
        <f>'GRR Calculations'!I42</f>
        <v/>
      </c>
      <c r="D8" s="424" t="str">
        <f>'GRR Calculations'!I52</f>
        <v/>
      </c>
      <c r="E8" s="424" t="str">
        <f>'GRR Calculations'!I62</f>
        <v/>
      </c>
      <c r="F8" s="430"/>
      <c r="G8" s="430"/>
      <c r="H8" s="430"/>
      <c r="I8" s="430"/>
      <c r="J8" s="430"/>
      <c r="K8" s="430"/>
      <c r="L8" s="430"/>
      <c r="M8" s="44"/>
      <c r="N8" s="424" t="str">
        <f t="shared" si="0"/>
        <v/>
      </c>
      <c r="O8" s="424" t="str">
        <f t="shared" si="0"/>
        <v/>
      </c>
      <c r="P8" s="424" t="str">
        <f t="shared" si="0"/>
        <v/>
      </c>
      <c r="Y8" s="18" t="s">
        <v>416</v>
      </c>
      <c r="Z8" s="303">
        <f>(U3-U5)/(X11*X12)</f>
        <v>1.3587499999634378E-5</v>
      </c>
    </row>
    <row r="9" spans="1:27" x14ac:dyDescent="0.4">
      <c r="A9" s="408"/>
      <c r="B9" s="409">
        <v>1</v>
      </c>
      <c r="C9" s="424">
        <f>'GRR Calculations'!G43</f>
        <v>0.52300000000000002</v>
      </c>
      <c r="D9" s="424">
        <f>'GRR Calculations'!G53</f>
        <v>0.52200000000000002</v>
      </c>
      <c r="E9" s="424" t="str">
        <f>'GRR Calculations'!G63</f>
        <v/>
      </c>
      <c r="F9" s="421"/>
      <c r="G9" s="421"/>
      <c r="H9" s="421"/>
      <c r="I9" s="421"/>
      <c r="J9" s="421"/>
      <c r="K9" s="421"/>
      <c r="L9" s="421"/>
      <c r="M9" s="44"/>
      <c r="N9" s="424">
        <f t="shared" si="0"/>
        <v>0.27352900000000002</v>
      </c>
      <c r="O9" s="424">
        <f t="shared" si="0"/>
        <v>0.272484</v>
      </c>
      <c r="P9" s="424" t="str">
        <f t="shared" si="0"/>
        <v/>
      </c>
      <c r="Y9" s="18" t="s">
        <v>387</v>
      </c>
      <c r="Z9" s="303">
        <f>Z4+Z5+Z8</f>
        <v>2.4678749999967886E-4</v>
      </c>
    </row>
    <row r="10" spans="1:27" x14ac:dyDescent="0.4">
      <c r="A10" s="427">
        <v>3</v>
      </c>
      <c r="B10" s="428">
        <v>2</v>
      </c>
      <c r="C10" s="424">
        <f>'GRR Calculations'!H43</f>
        <v>0.52100000000000002</v>
      </c>
      <c r="D10" s="424">
        <f>'GRR Calculations'!H53</f>
        <v>0.52200000000000002</v>
      </c>
      <c r="E10" s="424" t="str">
        <f>'GRR Calculations'!H63</f>
        <v/>
      </c>
      <c r="F10" s="429">
        <f>SUM(C9:E11)</f>
        <v>2.0880000000000001</v>
      </c>
      <c r="G10" s="429">
        <f>COUNT('GRR Calculations'!G43:I43,'GRR Calculations'!G53:I53,'GRR Calculations'!G63:I63)</f>
        <v>4</v>
      </c>
      <c r="H10" s="429">
        <f>IF('GRR Calculations'!G43="",0,AVERAGE('GRR Calculations'!G43:I43,'GRR Calculations'!G53:I53,'GRR Calculations'!G63:I63))</f>
        <v>0.52200000000000002</v>
      </c>
      <c r="I10" s="429">
        <f>IF(F10=0,0,F10^2/G10)</f>
        <v>1.089936</v>
      </c>
      <c r="J10" s="429">
        <f>IF(COUNT('GRR Calculations'!G43:I43)=0,0,(SUM('GRR Calculations'!G43:I43)^2/COUNT('GRR Calculations'!G43:I43)))</f>
        <v>0.54496800000000001</v>
      </c>
      <c r="K10" s="429">
        <f>IF(COUNT('GRR Calculations'!G53:I53)=0,0,(SUM('GRR Calculations'!G53:I53)^2)/COUNT('GRR Calculations'!G53:I53))</f>
        <v>0.54496800000000001</v>
      </c>
      <c r="L10" s="429">
        <f>IF(COUNT('GRR Calculations'!G63:I63)=0,0,(SUM('GRR Calculations'!G63:I63)^2)/COUNT('GRR Calculations'!G63:I63))</f>
        <v>0</v>
      </c>
      <c r="M10" s="44"/>
      <c r="N10" s="424">
        <f t="shared" si="0"/>
        <v>0.27144100000000004</v>
      </c>
      <c r="O10" s="424">
        <f t="shared" si="0"/>
        <v>0.272484</v>
      </c>
      <c r="P10" s="424" t="str">
        <f t="shared" si="0"/>
        <v/>
      </c>
    </row>
    <row r="11" spans="1:27" ht="12.6" x14ac:dyDescent="0.45">
      <c r="A11" s="418"/>
      <c r="B11" s="419">
        <v>3</v>
      </c>
      <c r="C11" s="424" t="str">
        <f>'GRR Calculations'!I43</f>
        <v/>
      </c>
      <c r="D11" s="424" t="str">
        <f>'GRR Calculations'!I53</f>
        <v/>
      </c>
      <c r="E11" s="424" t="str">
        <f>'GRR Calculations'!I63</f>
        <v/>
      </c>
      <c r="F11" s="430"/>
      <c r="G11" s="430"/>
      <c r="H11" s="430"/>
      <c r="I11" s="430"/>
      <c r="J11" s="429"/>
      <c r="K11" s="429"/>
      <c r="L11" s="429"/>
      <c r="M11" s="44"/>
      <c r="N11" s="424" t="str">
        <f t="shared" si="0"/>
        <v/>
      </c>
      <c r="O11" s="424" t="str">
        <f t="shared" si="0"/>
        <v/>
      </c>
      <c r="P11" s="424" t="str">
        <f t="shared" si="0"/>
        <v/>
      </c>
      <c r="S11" s="18" t="s">
        <v>417</v>
      </c>
      <c r="T11" s="18" t="s">
        <v>418</v>
      </c>
      <c r="U11" s="18" t="s">
        <v>419</v>
      </c>
      <c r="V11" s="18" t="s">
        <v>416</v>
      </c>
      <c r="X11" s="432">
        <f>'GRR AIAG GR&amp;R'!F6</f>
        <v>2</v>
      </c>
      <c r="Y11" s="432" t="s">
        <v>172</v>
      </c>
    </row>
    <row r="12" spans="1:27" ht="12.6" x14ac:dyDescent="0.45">
      <c r="A12" s="408"/>
      <c r="B12" s="409">
        <v>1</v>
      </c>
      <c r="C12" s="424">
        <f>'GRR Calculations'!G44</f>
        <v>0.52100000000000002</v>
      </c>
      <c r="D12" s="424">
        <f>'GRR Calculations'!G54</f>
        <v>0.52400000000000002</v>
      </c>
      <c r="E12" s="424" t="str">
        <f>'GRR Calculations'!G64</f>
        <v/>
      </c>
      <c r="F12" s="421"/>
      <c r="G12" s="421"/>
      <c r="H12" s="421"/>
      <c r="I12" s="408"/>
      <c r="J12" s="433"/>
      <c r="K12" s="433"/>
      <c r="L12" s="433"/>
      <c r="M12" s="44"/>
      <c r="N12" s="424">
        <f t="shared" si="0"/>
        <v>0.27144100000000004</v>
      </c>
      <c r="O12" s="424">
        <f t="shared" si="0"/>
        <v>0.27457600000000004</v>
      </c>
      <c r="P12" s="424" t="str">
        <f t="shared" si="0"/>
        <v/>
      </c>
      <c r="R12" s="18" t="s">
        <v>420</v>
      </c>
      <c r="S12" s="434">
        <f>'GRR Numerical Summary'!Q12</f>
        <v>0.39834721848965327</v>
      </c>
      <c r="T12" s="434">
        <f>'GRR Numerical Summary'!Q13</f>
        <v>0.12422735823703304</v>
      </c>
      <c r="U12" s="434">
        <f>'GRR Numerical Summary'!Q14</f>
        <v>0.27519484009674816</v>
      </c>
      <c r="V12" s="434">
        <f>'GRR Numerical Summary'!Q15</f>
        <v>0.60635581832840624</v>
      </c>
      <c r="X12" s="432">
        <f>'GRR AIAG GR&amp;R'!F7</f>
        <v>2</v>
      </c>
      <c r="Y12" s="432" t="s">
        <v>421</v>
      </c>
    </row>
    <row r="13" spans="1:27" ht="12.6" x14ac:dyDescent="0.45">
      <c r="A13" s="427">
        <v>4</v>
      </c>
      <c r="B13" s="428">
        <v>2</v>
      </c>
      <c r="C13" s="424">
        <f>'GRR Calculations'!H44</f>
        <v>0.52200000000000002</v>
      </c>
      <c r="D13" s="424">
        <f>'GRR Calculations'!H54</f>
        <v>0.52300000000000002</v>
      </c>
      <c r="E13" s="424" t="str">
        <f>'GRR Calculations'!H64</f>
        <v/>
      </c>
      <c r="F13" s="429">
        <f>SUM(C12:E14)</f>
        <v>2.09</v>
      </c>
      <c r="G13" s="429">
        <f>COUNT('GRR Calculations'!G44:I44,'GRR Calculations'!G54:I54,'GRR Calculations'!G64:I64)</f>
        <v>4</v>
      </c>
      <c r="H13" s="429">
        <f>IF('GRR Calculations'!G44="",0,AVERAGE('GRR Calculations'!G44:I44,'GRR Calculations'!G54:I54,'GRR Calculations'!G64:I64))</f>
        <v>0.52250000000000008</v>
      </c>
      <c r="I13" s="427">
        <f>IF(F13=0,0,F13^2/G13)</f>
        <v>1.0920249999999998</v>
      </c>
      <c r="J13" s="429">
        <f>IF(COUNT('GRR Calculations'!G44:I44)=0,0,(SUM('GRR Calculations'!G44:I44)^2/COUNT('GRR Calculations'!G44:I44)))</f>
        <v>0.54392450000000014</v>
      </c>
      <c r="K13" s="429">
        <f>IF(COUNT('GRR Calculations'!G54:I54)=0,0,(SUM('GRR Calculations'!G54:I54)^2)/COUNT('GRR Calculations'!G54:I54))</f>
        <v>0.54810450000000011</v>
      </c>
      <c r="L13" s="429">
        <f>IF(COUNT('GRR Calculations'!G64:I64)=0,0,(SUM('GRR Calculations'!G64:I64)^2)/COUNT('GRR Calculations'!G64:I64))</f>
        <v>0</v>
      </c>
      <c r="M13" s="44"/>
      <c r="N13" s="424">
        <f t="shared" si="0"/>
        <v>0.272484</v>
      </c>
      <c r="O13" s="424">
        <f t="shared" si="0"/>
        <v>0.27352900000000002</v>
      </c>
      <c r="P13" s="424" t="str">
        <f t="shared" si="0"/>
        <v/>
      </c>
      <c r="R13" s="18" t="s">
        <v>391</v>
      </c>
      <c r="S13" s="434">
        <f>'GRR Numerical Summary'!O26</f>
        <v>0.63114754098360648</v>
      </c>
      <c r="T13" s="434">
        <f>'GRR Numerical Summary'!O27</f>
        <v>0.35245901639344257</v>
      </c>
      <c r="U13" s="434">
        <f>'GRR Numerical Summary'!O28</f>
        <v>0.52459016393442615</v>
      </c>
      <c r="V13" s="434">
        <f>'GRR Numerical Summary'!O29</f>
        <v>0.7786885245901638</v>
      </c>
      <c r="X13" s="432">
        <f>'GRR AIAG GR&amp;R'!F8</f>
        <v>5</v>
      </c>
      <c r="Y13" s="432" t="s">
        <v>341</v>
      </c>
    </row>
    <row r="14" spans="1:27" x14ac:dyDescent="0.4">
      <c r="A14" s="418"/>
      <c r="B14" s="419">
        <v>3</v>
      </c>
      <c r="C14" s="424" t="str">
        <f>'GRR Calculations'!I44</f>
        <v/>
      </c>
      <c r="D14" s="424" t="str">
        <f>'GRR Calculations'!I54</f>
        <v/>
      </c>
      <c r="E14" s="424" t="str">
        <f>'GRR Calculations'!I64</f>
        <v/>
      </c>
      <c r="F14" s="430"/>
      <c r="G14" s="430"/>
      <c r="H14" s="430"/>
      <c r="I14" s="418"/>
      <c r="J14" s="430"/>
      <c r="K14" s="430"/>
      <c r="L14" s="430"/>
      <c r="M14" s="44"/>
      <c r="N14" s="424" t="str">
        <f t="shared" si="0"/>
        <v/>
      </c>
      <c r="O14" s="424" t="str">
        <f t="shared" si="0"/>
        <v/>
      </c>
      <c r="P14" s="424" t="str">
        <f t="shared" si="0"/>
        <v/>
      </c>
      <c r="R14" s="18" t="s">
        <v>422</v>
      </c>
      <c r="S14" s="434">
        <f>'GRR Numerical Summary'!Q26</f>
        <v>0.99137499999999923</v>
      </c>
      <c r="T14" s="434">
        <f>'GRR Numerical Summary'!Q27</f>
        <v>0.55362499999999959</v>
      </c>
      <c r="U14" s="434">
        <f>'GRR Numerical Summary'!Q28</f>
        <v>0.8239999999999994</v>
      </c>
      <c r="V14" s="434">
        <f>'GRR Numerical Summary'!Q29</f>
        <v>1.2231249999999989</v>
      </c>
    </row>
    <row r="15" spans="1:27" x14ac:dyDescent="0.4">
      <c r="A15" s="408"/>
      <c r="B15" s="409">
        <v>1</v>
      </c>
      <c r="C15" s="424">
        <f>'GRR Calculations'!G45</f>
        <v>0.52500000000000002</v>
      </c>
      <c r="D15" s="424">
        <f>'GRR Calculations'!G55</f>
        <v>0.52100000000000002</v>
      </c>
      <c r="E15" s="424" t="str">
        <f>'GRR Calculations'!G65</f>
        <v/>
      </c>
      <c r="F15" s="421"/>
      <c r="G15" s="421"/>
      <c r="H15" s="421"/>
      <c r="I15" s="421"/>
      <c r="J15" s="429"/>
      <c r="K15" s="429"/>
      <c r="L15" s="429"/>
      <c r="M15" s="44"/>
      <c r="N15" s="424">
        <f t="shared" si="0"/>
        <v>0.27562500000000001</v>
      </c>
      <c r="O15" s="424">
        <f t="shared" si="0"/>
        <v>0.27144100000000004</v>
      </c>
      <c r="P15" s="424" t="str">
        <f t="shared" si="0"/>
        <v/>
      </c>
      <c r="R15" s="18" t="s">
        <v>423</v>
      </c>
      <c r="S15" s="434">
        <f>'GRR Numerical Summary'!Q38</f>
        <v>1.1549999999999991</v>
      </c>
      <c r="T15" s="434">
        <f>'GRR Numerical Summary'!Q39</f>
        <v>0.64499999999999946</v>
      </c>
      <c r="U15" s="434">
        <f>'GRR Numerical Summary'!Q40</f>
        <v>0.95999999999999919</v>
      </c>
      <c r="V15" s="434">
        <f>'GRR Numerical Summary'!Q41</f>
        <v>1.4249999999999987</v>
      </c>
    </row>
    <row r="16" spans="1:27" x14ac:dyDescent="0.4">
      <c r="A16" s="427">
        <v>5</v>
      </c>
      <c r="B16" s="428">
        <v>2</v>
      </c>
      <c r="C16" s="424">
        <f>'GRR Calculations'!H45</f>
        <v>0.52400000000000002</v>
      </c>
      <c r="D16" s="424">
        <f>'GRR Calculations'!H55</f>
        <v>0.52100000000000002</v>
      </c>
      <c r="E16" s="424" t="str">
        <f>'GRR Calculations'!H65</f>
        <v/>
      </c>
      <c r="F16" s="429">
        <f>SUM(C15:E17)</f>
        <v>2.0910000000000002</v>
      </c>
      <c r="G16" s="429">
        <f>COUNT('GRR Calculations'!G45:I45,'GRR Calculations'!G55:I55,'GRR Calculations'!G65:I65)</f>
        <v>4</v>
      </c>
      <c r="H16" s="429">
        <f>IF('GRR Calculations'!G45="",0,AVERAGE('GRR Calculations'!G45:I45,'GRR Calculations'!G55:I55,'GRR Calculations'!G65:I65))</f>
        <v>0.52274999999999994</v>
      </c>
      <c r="I16" s="429">
        <f>IF(F16=0,0,F16^2/G16)</f>
        <v>1.0930702500000002</v>
      </c>
      <c r="J16" s="429">
        <f>IF(COUNT('GRR Calculations'!G45:I45)=0,0,(SUM('GRR Calculations'!G45:I45)^2/COUNT('GRR Calculations'!G45:I45)))</f>
        <v>0.55020049999999998</v>
      </c>
      <c r="K16" s="429">
        <f>IF(COUNT('GRR Calculations'!G55:I55)=0,0,(SUM('GRR Calculations'!G55:I55)^2)/COUNT('GRR Calculations'!G55:I55))</f>
        <v>0.54288200000000009</v>
      </c>
      <c r="L16" s="429">
        <f>IF(COUNT('GRR Calculations'!G65:I65)=0,0,(SUM('GRR Calculations'!G65:I65)^2)/COUNT('GRR Calculations'!G65:I65))</f>
        <v>0</v>
      </c>
      <c r="M16" s="44"/>
      <c r="N16" s="424">
        <f t="shared" si="0"/>
        <v>0.27457600000000004</v>
      </c>
      <c r="O16" s="424">
        <f t="shared" si="0"/>
        <v>0.27144100000000004</v>
      </c>
      <c r="P16" s="424" t="str">
        <f t="shared" si="0"/>
        <v/>
      </c>
    </row>
    <row r="17" spans="1:22" x14ac:dyDescent="0.4">
      <c r="A17" s="418"/>
      <c r="B17" s="419">
        <v>3</v>
      </c>
      <c r="C17" s="424" t="str">
        <f>'GRR Calculations'!I45</f>
        <v/>
      </c>
      <c r="D17" s="424" t="str">
        <f>'GRR Calculations'!I55</f>
        <v/>
      </c>
      <c r="E17" s="424" t="str">
        <f>'GRR Calculations'!I65</f>
        <v/>
      </c>
      <c r="F17" s="430"/>
      <c r="G17" s="430"/>
      <c r="H17" s="430"/>
      <c r="I17" s="430"/>
      <c r="J17" s="430"/>
      <c r="K17" s="430"/>
      <c r="L17" s="430"/>
      <c r="M17" s="44"/>
      <c r="N17" s="424" t="str">
        <f t="shared" si="0"/>
        <v/>
      </c>
      <c r="O17" s="424" t="str">
        <f t="shared" si="0"/>
        <v/>
      </c>
      <c r="P17" s="424" t="str">
        <f t="shared" si="0"/>
        <v/>
      </c>
    </row>
    <row r="18" spans="1:22" x14ac:dyDescent="0.4">
      <c r="A18" s="408"/>
      <c r="B18" s="409">
        <v>1</v>
      </c>
      <c r="C18" s="424" t="str">
        <f>'GRR Calculations'!G46</f>
        <v/>
      </c>
      <c r="D18" s="424" t="str">
        <f>'GRR Calculations'!G56</f>
        <v/>
      </c>
      <c r="E18" s="424" t="str">
        <f>'GRR Calculations'!G66</f>
        <v/>
      </c>
      <c r="F18" s="421"/>
      <c r="G18" s="421"/>
      <c r="H18" s="421"/>
      <c r="I18" s="421"/>
      <c r="J18" s="421"/>
      <c r="K18" s="421"/>
      <c r="L18" s="421"/>
      <c r="M18" s="44"/>
      <c r="N18" s="424" t="str">
        <f t="shared" si="0"/>
        <v/>
      </c>
      <c r="O18" s="424" t="str">
        <f t="shared" si="0"/>
        <v/>
      </c>
      <c r="P18" s="424" t="str">
        <f t="shared" si="0"/>
        <v/>
      </c>
      <c r="R18" s="18" t="s">
        <v>420</v>
      </c>
      <c r="S18" s="434">
        <f>'GRR Numerical Summary'!H12</f>
        <v>0.94494251127122719</v>
      </c>
      <c r="T18" s="434">
        <f>'GRR Numerical Summary'!H13</f>
        <v>0.34239983791731593</v>
      </c>
      <c r="U18" s="434">
        <f>'GRR Numerical Summary'!H14</f>
        <v>0.60254267335391121</v>
      </c>
      <c r="V18" s="434">
        <f>'GRR Numerical Summary'!H17</f>
        <v>5.5057488728772967E-2</v>
      </c>
    </row>
    <row r="19" spans="1:22" x14ac:dyDescent="0.4">
      <c r="A19" s="427">
        <v>6</v>
      </c>
      <c r="B19" s="428">
        <v>2</v>
      </c>
      <c r="C19" s="424" t="str">
        <f>'GRR Calculations'!H46</f>
        <v/>
      </c>
      <c r="D19" s="424" t="str">
        <f>'GRR Calculations'!H56</f>
        <v/>
      </c>
      <c r="E19" s="424" t="str">
        <f>'GRR Calculations'!H66</f>
        <v/>
      </c>
      <c r="F19" s="429">
        <f>SUM(C18:E20)</f>
        <v>0</v>
      </c>
      <c r="G19" s="429">
        <f>COUNT('GRR Calculations'!G46:I46,'GRR Calculations'!G56:I56,'GRR Calculations'!G66:I66)</f>
        <v>0</v>
      </c>
      <c r="H19" s="429">
        <f>IF('GRR Calculations'!G46="",0,AVERAGE('GRR Calculations'!G46:I46,'GRR Calculations'!G56:I56,'GRR Calculations'!G66:I66))</f>
        <v>0</v>
      </c>
      <c r="I19" s="429">
        <f>IF(F19=0,0,F19^2/G19)</f>
        <v>0</v>
      </c>
      <c r="J19" s="429">
        <f>IF(COUNT('GRR Calculations'!G46:I46)=0,0,(SUM('GRR Calculations'!G46:I46)^2/COUNT('GRR Calculations'!G46:I46)))</f>
        <v>0</v>
      </c>
      <c r="K19" s="429">
        <f>IF(COUNT('GRR Calculations'!G56:I56)=0,0,(SUM('GRR Calculations'!G56:I56)^2)/COUNT('GRR Calculations'!G56:I56))</f>
        <v>0</v>
      </c>
      <c r="L19" s="429">
        <f>IF(COUNT('GRR Calculations'!G66:I66)=0,0,(SUM('GRR Calculations'!G66:I66)^2)/COUNT('GRR Calculations'!G66:I66))</f>
        <v>0</v>
      </c>
      <c r="M19" s="44"/>
      <c r="N19" s="424" t="str">
        <f t="shared" si="0"/>
        <v/>
      </c>
      <c r="O19" s="424" t="str">
        <f t="shared" si="0"/>
        <v/>
      </c>
      <c r="P19" s="424" t="str">
        <f t="shared" si="0"/>
        <v/>
      </c>
      <c r="R19" s="18" t="s">
        <v>391</v>
      </c>
      <c r="S19" s="434">
        <f>'GRR Numerical Summary'!F26</f>
        <v>0.97208153530001118</v>
      </c>
      <c r="T19" s="434">
        <f>'GRR Numerical Summary'!F27</f>
        <v>0.58514941503629303</v>
      </c>
      <c r="U19" s="434">
        <f>'GRR Numerical Summary'!F28</f>
        <v>0.77623622264998104</v>
      </c>
      <c r="V19" s="434">
        <f>'GRR Numerical Summary'!F43</f>
        <v>0.23464332236135116</v>
      </c>
    </row>
    <row r="20" spans="1:22" x14ac:dyDescent="0.4">
      <c r="A20" s="418"/>
      <c r="B20" s="419">
        <v>3</v>
      </c>
      <c r="C20" s="424" t="str">
        <f>'GRR Calculations'!I46</f>
        <v/>
      </c>
      <c r="D20" s="424" t="str">
        <f>'GRR Calculations'!I56</f>
        <v/>
      </c>
      <c r="E20" s="424" t="str">
        <f>'GRR Calculations'!I66</f>
        <v/>
      </c>
      <c r="F20" s="430"/>
      <c r="G20" s="430"/>
      <c r="H20" s="430"/>
      <c r="I20" s="430"/>
      <c r="J20" s="430"/>
      <c r="K20" s="430"/>
      <c r="L20" s="430"/>
      <c r="M20" s="44"/>
      <c r="N20" s="424" t="str">
        <f t="shared" si="0"/>
        <v/>
      </c>
      <c r="O20" s="424" t="str">
        <f t="shared" si="0"/>
        <v/>
      </c>
      <c r="P20" s="424" t="str">
        <f t="shared" si="0"/>
        <v/>
      </c>
      <c r="R20" s="18" t="s">
        <v>422</v>
      </c>
      <c r="S20" s="434">
        <f>'GRR Numerical Summary'!H26</f>
        <v>1.9661267443887565</v>
      </c>
      <c r="T20" s="434">
        <f>'GRR Numerical Summary'!H27</f>
        <v>1.1835199750103502</v>
      </c>
      <c r="U20" s="434">
        <f>'GRR Numerical Summary'!H28</f>
        <v>1.5700110966971639</v>
      </c>
      <c r="V20" s="434">
        <f>'GRR Numerical Summary'!H31</f>
        <v>0.47458828784820312</v>
      </c>
    </row>
    <row r="21" spans="1:22" x14ac:dyDescent="0.4">
      <c r="A21" s="408"/>
      <c r="B21" s="409">
        <v>1</v>
      </c>
      <c r="C21" s="424" t="str">
        <f>'GRR Calculations'!G47</f>
        <v/>
      </c>
      <c r="D21" s="424" t="str">
        <f>'GRR Calculations'!G57</f>
        <v/>
      </c>
      <c r="E21" s="424" t="str">
        <f>'GRR Calculations'!G67</f>
        <v/>
      </c>
      <c r="F21" s="421"/>
      <c r="G21" s="421"/>
      <c r="H21" s="421"/>
      <c r="I21" s="421"/>
      <c r="J21" s="421"/>
      <c r="K21" s="421"/>
      <c r="L21" s="421"/>
      <c r="M21" s="44"/>
      <c r="N21" s="424" t="str">
        <f t="shared" si="0"/>
        <v/>
      </c>
      <c r="O21" s="424" t="str">
        <f t="shared" si="0"/>
        <v/>
      </c>
      <c r="P21" s="424" t="str">
        <f t="shared" si="0"/>
        <v/>
      </c>
      <c r="R21" s="18" t="s">
        <v>423</v>
      </c>
      <c r="S21" s="434">
        <f>'GRR Numerical Summary'!H38</f>
        <v>2.2906331002587454</v>
      </c>
      <c r="T21" s="434">
        <f>'GRR Numerical Summary'!H39</f>
        <v>1.3788582233130293</v>
      </c>
      <c r="U21" s="434">
        <f>'GRR Numerical Summary'!H40</f>
        <v>1.8291391417831036</v>
      </c>
      <c r="V21" s="434">
        <f>'GRR Numerical Summary'!H43</f>
        <v>0.55291839360955697</v>
      </c>
    </row>
    <row r="22" spans="1:22" x14ac:dyDescent="0.4">
      <c r="A22" s="427">
        <v>7</v>
      </c>
      <c r="B22" s="428">
        <v>2</v>
      </c>
      <c r="C22" s="424" t="str">
        <f>'GRR Calculations'!H47</f>
        <v/>
      </c>
      <c r="D22" s="424" t="str">
        <f>'GRR Calculations'!H57</f>
        <v/>
      </c>
      <c r="E22" s="424" t="str">
        <f>'GRR Calculations'!H67</f>
        <v/>
      </c>
      <c r="F22" s="429">
        <f>SUM(C21:E23)</f>
        <v>0</v>
      </c>
      <c r="G22" s="429">
        <f>COUNT('GRR Calculations'!G47:I47,'GRR Calculations'!G57:I57,'GRR Calculations'!G67:I67)</f>
        <v>0</v>
      </c>
      <c r="H22" s="429">
        <f>IF('GRR Calculations'!G47="",0,AVERAGE('GRR Calculations'!G47:I47,'GRR Calculations'!G57:I57,'GRR Calculations'!G67:I67))</f>
        <v>0</v>
      </c>
      <c r="I22" s="429">
        <f>IF(F22=0,0,F22^2/G22)</f>
        <v>0</v>
      </c>
      <c r="J22" s="429">
        <f>IF(COUNT('GRR Calculations'!G47:I47)=0,0,(SUM('GRR Calculations'!G47:I47)^2/COUNT('GRR Calculations'!G47:I47)))</f>
        <v>0</v>
      </c>
      <c r="K22" s="429">
        <f>IF(COUNT('GRR Calculations'!G57:I57)=0,0,(SUM('GRR Calculations'!G57:I57)^2)/COUNT('GRR Calculations'!G57:I57))</f>
        <v>0</v>
      </c>
      <c r="L22" s="429">
        <f>IF(COUNT('GRR Calculations'!G67:I67)=0,0,(SUM('GRR Calculations'!G67:I67)^2)/COUNT('GRR Calculations'!G67:I67))</f>
        <v>0</v>
      </c>
      <c r="M22" s="44"/>
      <c r="N22" s="424" t="str">
        <f t="shared" si="0"/>
        <v/>
      </c>
      <c r="O22" s="424" t="str">
        <f t="shared" si="0"/>
        <v/>
      </c>
      <c r="P22" s="424" t="str">
        <f t="shared" si="0"/>
        <v/>
      </c>
    </row>
    <row r="23" spans="1:22" x14ac:dyDescent="0.4">
      <c r="A23" s="418"/>
      <c r="B23" s="419">
        <v>3</v>
      </c>
      <c r="C23" s="424" t="str">
        <f>'GRR Calculations'!I47</f>
        <v/>
      </c>
      <c r="D23" s="424" t="str">
        <f>'GRR Calculations'!I57</f>
        <v/>
      </c>
      <c r="E23" s="424" t="str">
        <f>'GRR Calculations'!I67</f>
        <v/>
      </c>
      <c r="F23" s="430"/>
      <c r="G23" s="430"/>
      <c r="H23" s="430"/>
      <c r="I23" s="430"/>
      <c r="J23" s="430"/>
      <c r="K23" s="430"/>
      <c r="L23" s="430"/>
      <c r="M23" s="44"/>
      <c r="N23" s="424" t="str">
        <f t="shared" si="0"/>
        <v/>
      </c>
      <c r="O23" s="424" t="str">
        <f t="shared" si="0"/>
        <v/>
      </c>
      <c r="P23" s="424" t="str">
        <f t="shared" si="0"/>
        <v/>
      </c>
    </row>
    <row r="24" spans="1:22" x14ac:dyDescent="0.4">
      <c r="A24" s="408"/>
      <c r="B24" s="409">
        <v>1</v>
      </c>
      <c r="C24" s="424" t="str">
        <f>'GRR Calculations'!G48</f>
        <v/>
      </c>
      <c r="D24" s="424" t="str">
        <f>'GRR Calculations'!G58</f>
        <v/>
      </c>
      <c r="E24" s="424" t="str">
        <f>'GRR Calculations'!G68</f>
        <v/>
      </c>
      <c r="F24" s="421"/>
      <c r="G24" s="421"/>
      <c r="H24" s="421"/>
      <c r="I24" s="421"/>
      <c r="J24" s="421"/>
      <c r="K24" s="421"/>
      <c r="L24" s="421"/>
      <c r="M24" s="44"/>
      <c r="N24" s="424" t="str">
        <f t="shared" si="0"/>
        <v/>
      </c>
      <c r="O24" s="424" t="str">
        <f t="shared" si="0"/>
        <v/>
      </c>
      <c r="P24" s="424" t="str">
        <f t="shared" si="0"/>
        <v/>
      </c>
    </row>
    <row r="25" spans="1:22" x14ac:dyDescent="0.4">
      <c r="A25" s="427">
        <v>8</v>
      </c>
      <c r="B25" s="428">
        <v>2</v>
      </c>
      <c r="C25" s="424" t="str">
        <f>'GRR Calculations'!H48</f>
        <v/>
      </c>
      <c r="D25" s="424" t="str">
        <f>'GRR Calculations'!H58</f>
        <v/>
      </c>
      <c r="E25" s="424" t="str">
        <f>'GRR Calculations'!H68</f>
        <v/>
      </c>
      <c r="F25" s="429">
        <f>SUM(C24:E26)</f>
        <v>0</v>
      </c>
      <c r="G25" s="429">
        <f>COUNT('GRR Calculations'!G48:I48,'GRR Calculations'!G58:I58,'GRR Calculations'!G68:I68)</f>
        <v>0</v>
      </c>
      <c r="H25" s="429">
        <f>IF('GRR Calculations'!G48="",0,AVERAGE('GRR Calculations'!G48:I48,'GRR Calculations'!G58:I58,'GRR Calculations'!G68:I68))</f>
        <v>0</v>
      </c>
      <c r="I25" s="429">
        <f>IF(F25=0,0,F25^2/G25)</f>
        <v>0</v>
      </c>
      <c r="J25" s="429">
        <f>IF(COUNT('GRR Calculations'!G48:I48)=0,0,(SUM('GRR Calculations'!G48:I48)^2/COUNT('GRR Calculations'!G48:I48)))</f>
        <v>0</v>
      </c>
      <c r="K25" s="429">
        <f>IF(COUNT('GRR Calculations'!G58:I58)=0,0,(SUM('GRR Calculations'!G58:I58)^2)/COUNT('GRR Calculations'!G58:I58))</f>
        <v>0</v>
      </c>
      <c r="L25" s="429">
        <f>IF(COUNT('GRR Calculations'!G68:I68)=0,0,(SUM('GRR Calculations'!G68:I68)^2)/COUNT('GRR Calculations'!G68:I68))</f>
        <v>0</v>
      </c>
      <c r="M25" s="44"/>
      <c r="N25" s="424" t="str">
        <f t="shared" si="0"/>
        <v/>
      </c>
      <c r="O25" s="424" t="str">
        <f t="shared" si="0"/>
        <v/>
      </c>
      <c r="P25" s="424" t="str">
        <f t="shared" si="0"/>
        <v/>
      </c>
    </row>
    <row r="26" spans="1:22" x14ac:dyDescent="0.4">
      <c r="A26" s="418"/>
      <c r="B26" s="419">
        <v>3</v>
      </c>
      <c r="C26" s="424" t="str">
        <f>'GRR Calculations'!I48</f>
        <v/>
      </c>
      <c r="D26" s="424" t="str">
        <f>'GRR Calculations'!I58</f>
        <v/>
      </c>
      <c r="E26" s="424" t="str">
        <f>'GRR Calculations'!I68</f>
        <v/>
      </c>
      <c r="F26" s="430"/>
      <c r="G26" s="430"/>
      <c r="H26" s="430"/>
      <c r="I26" s="430"/>
      <c r="J26" s="430"/>
      <c r="K26" s="430"/>
      <c r="L26" s="430"/>
      <c r="M26" s="44"/>
      <c r="N26" s="424" t="str">
        <f t="shared" si="0"/>
        <v/>
      </c>
      <c r="O26" s="424" t="str">
        <f>IF(D26="","",D26^2)</f>
        <v/>
      </c>
      <c r="P26" s="424" t="str">
        <f t="shared" si="0"/>
        <v/>
      </c>
    </row>
    <row r="27" spans="1:22" x14ac:dyDescent="0.4">
      <c r="A27" s="408"/>
      <c r="B27" s="409">
        <v>1</v>
      </c>
      <c r="C27" s="424" t="str">
        <f>'GRR Calculations'!G49</f>
        <v/>
      </c>
      <c r="D27" s="424" t="str">
        <f>'GRR Calculations'!G59</f>
        <v/>
      </c>
      <c r="E27" s="424" t="str">
        <f>'GRR Calculations'!G69</f>
        <v/>
      </c>
      <c r="F27" s="421"/>
      <c r="G27" s="421"/>
      <c r="H27" s="421"/>
      <c r="I27" s="421"/>
      <c r="J27" s="421"/>
      <c r="K27" s="421"/>
      <c r="L27" s="421"/>
      <c r="M27" s="44"/>
      <c r="N27" s="424" t="str">
        <f t="shared" si="0"/>
        <v/>
      </c>
      <c r="O27" s="424" t="str">
        <f t="shared" si="0"/>
        <v/>
      </c>
      <c r="P27" s="424" t="str">
        <f t="shared" si="0"/>
        <v/>
      </c>
    </row>
    <row r="28" spans="1:22" x14ac:dyDescent="0.4">
      <c r="A28" s="427">
        <v>9</v>
      </c>
      <c r="B28" s="428">
        <v>2</v>
      </c>
      <c r="C28" s="424" t="str">
        <f>'GRR Calculations'!H49</f>
        <v/>
      </c>
      <c r="D28" s="424" t="str">
        <f>'GRR Calculations'!H59</f>
        <v/>
      </c>
      <c r="E28" s="424" t="str">
        <f>'GRR Calculations'!H69</f>
        <v/>
      </c>
      <c r="F28" s="429">
        <f>SUM(C27:E29)</f>
        <v>0</v>
      </c>
      <c r="G28" s="429">
        <f>COUNT('GRR Calculations'!G49:I49,'GRR Calculations'!G59:I59,'GRR Calculations'!G69:I69)</f>
        <v>0</v>
      </c>
      <c r="H28" s="429">
        <f>IF('GRR Calculations'!G49="",0,AVERAGE('GRR Calculations'!G49:I49,'GRR Calculations'!G59:I59,'GRR Calculations'!G69:I69))</f>
        <v>0</v>
      </c>
      <c r="I28" s="429">
        <f>IF(F28=0,0,F28^2/G28)</f>
        <v>0</v>
      </c>
      <c r="J28" s="429">
        <f>IF(COUNT('GRR Calculations'!G49:I49)=0,0,(SUM('GRR Calculations'!G49:I49)^2/COUNT('GRR Calculations'!G49:I49)))</f>
        <v>0</v>
      </c>
      <c r="K28" s="429">
        <f>IF(COUNT('GRR Calculations'!G59:I59)=0,0,(SUM('GRR Calculations'!G59:I59)^2)/COUNT('GRR Calculations'!G59:I59))</f>
        <v>0</v>
      </c>
      <c r="L28" s="429">
        <f>IF(COUNT('GRR Calculations'!G69:I69)=0,0,(SUM('GRR Calculations'!G69:I69)^2)/COUNT('GRR Calculations'!G69:I69))</f>
        <v>0</v>
      </c>
      <c r="M28" s="44"/>
      <c r="N28" s="424" t="str">
        <f t="shared" si="0"/>
        <v/>
      </c>
      <c r="O28" s="424" t="str">
        <f t="shared" si="0"/>
        <v/>
      </c>
      <c r="P28" s="424" t="str">
        <f t="shared" si="0"/>
        <v/>
      </c>
    </row>
    <row r="29" spans="1:22" x14ac:dyDescent="0.4">
      <c r="A29" s="418"/>
      <c r="B29" s="419">
        <v>3</v>
      </c>
      <c r="C29" s="424" t="str">
        <f>'GRR Calculations'!I49</f>
        <v/>
      </c>
      <c r="D29" s="424" t="str">
        <f>'GRR Calculations'!I59</f>
        <v/>
      </c>
      <c r="E29" s="424" t="str">
        <f>'GRR Calculations'!I69</f>
        <v/>
      </c>
      <c r="F29" s="430"/>
      <c r="G29" s="430"/>
      <c r="H29" s="430"/>
      <c r="I29" s="430"/>
      <c r="J29" s="430"/>
      <c r="K29" s="430"/>
      <c r="L29" s="430"/>
      <c r="M29" s="44"/>
      <c r="N29" s="424" t="str">
        <f t="shared" si="0"/>
        <v/>
      </c>
      <c r="O29" s="424" t="str">
        <f t="shared" si="0"/>
        <v/>
      </c>
      <c r="P29" s="424" t="str">
        <f t="shared" si="0"/>
        <v/>
      </c>
    </row>
    <row r="30" spans="1:22" x14ac:dyDescent="0.4">
      <c r="A30" s="408"/>
      <c r="B30" s="409">
        <v>1</v>
      </c>
      <c r="C30" s="424" t="str">
        <f>'GRR Calculations'!G50</f>
        <v/>
      </c>
      <c r="D30" s="424" t="str">
        <f>'GRR Calculations'!G60</f>
        <v/>
      </c>
      <c r="E30" s="424" t="str">
        <f>'GRR Calculations'!G70</f>
        <v/>
      </c>
      <c r="F30" s="421"/>
      <c r="G30" s="421"/>
      <c r="H30" s="421"/>
      <c r="I30" s="421"/>
      <c r="J30" s="421"/>
      <c r="K30" s="421"/>
      <c r="L30" s="421"/>
      <c r="M30" s="44"/>
      <c r="N30" s="424" t="str">
        <f t="shared" si="0"/>
        <v/>
      </c>
      <c r="O30" s="424" t="str">
        <f t="shared" si="0"/>
        <v/>
      </c>
      <c r="P30" s="424" t="str">
        <f t="shared" si="0"/>
        <v/>
      </c>
    </row>
    <row r="31" spans="1:22" x14ac:dyDescent="0.4">
      <c r="A31" s="427">
        <v>10</v>
      </c>
      <c r="B31" s="428">
        <v>2</v>
      </c>
      <c r="C31" s="424" t="str">
        <f>'GRR Calculations'!H50</f>
        <v/>
      </c>
      <c r="D31" s="424" t="str">
        <f>'GRR Calculations'!H60</f>
        <v/>
      </c>
      <c r="E31" s="424" t="str">
        <f>'GRR Calculations'!H70</f>
        <v/>
      </c>
      <c r="F31" s="429">
        <f>SUM(C30:E32)</f>
        <v>0</v>
      </c>
      <c r="G31" s="429">
        <f>COUNT('GRR Calculations'!G50:I50,'GRR Calculations'!G60:I60,'GRR Calculations'!G70:I70)</f>
        <v>0</v>
      </c>
      <c r="H31" s="429">
        <f>IF('GRR Calculations'!G50="",0,AVERAGE('GRR Calculations'!G50:I50,'GRR Calculations'!G60:I60,'GRR Calculations'!G70:I70))</f>
        <v>0</v>
      </c>
      <c r="I31" s="429">
        <f>IF(F31=0,0,F31^2/G31)</f>
        <v>0</v>
      </c>
      <c r="J31" s="429">
        <f>IF(COUNT('GRR Calculations'!G50:I50)=0,0,(SUM('GRR Calculations'!G50:I50)^2/COUNT('GRR Calculations'!G50:I50)))</f>
        <v>0</v>
      </c>
      <c r="K31" s="429">
        <f>IF(COUNT('GRR Calculations'!G60:I60)=0,0,(SUM('GRR Calculations'!G60:I60)^2)/COUNT('GRR Calculations'!G60:I60))</f>
        <v>0</v>
      </c>
      <c r="L31" s="429">
        <f>IF(COUNT('GRR Calculations'!G70:I70)=0,0,(SUM('GRR Calculations'!G70:I70)^2)/COUNT('GRR Calculations'!G70:I70))</f>
        <v>0</v>
      </c>
      <c r="M31" s="44"/>
      <c r="N31" s="424" t="str">
        <f t="shared" si="0"/>
        <v/>
      </c>
      <c r="O31" s="424" t="str">
        <f t="shared" si="0"/>
        <v/>
      </c>
      <c r="P31" s="424" t="str">
        <f t="shared" si="0"/>
        <v/>
      </c>
    </row>
    <row r="32" spans="1:22" x14ac:dyDescent="0.4">
      <c r="A32" s="427"/>
      <c r="B32" s="428">
        <v>3</v>
      </c>
      <c r="C32" s="424" t="str">
        <f>'GRR Calculations'!I50</f>
        <v/>
      </c>
      <c r="D32" s="424" t="str">
        <f>'GRR Calculations'!I60</f>
        <v/>
      </c>
      <c r="E32" s="424" t="str">
        <f>'GRR Calculations'!I70</f>
        <v/>
      </c>
      <c r="F32" s="430"/>
      <c r="G32" s="430"/>
      <c r="H32" s="430"/>
      <c r="I32" s="430"/>
      <c r="J32" s="430"/>
      <c r="K32" s="430"/>
      <c r="L32" s="430"/>
      <c r="M32" s="44"/>
      <c r="N32" s="424" t="str">
        <f t="shared" si="0"/>
        <v/>
      </c>
      <c r="O32" s="424" t="str">
        <f t="shared" si="0"/>
        <v/>
      </c>
      <c r="P32" s="424" t="str">
        <f t="shared" si="0"/>
        <v/>
      </c>
    </row>
    <row r="33" spans="1:84" x14ac:dyDescent="0.4">
      <c r="A33" s="435" t="s">
        <v>73</v>
      </c>
      <c r="B33" s="436"/>
      <c r="C33" s="424">
        <f>SUM(C3:C32)</f>
        <v>5.2230000000000008</v>
      </c>
      <c r="D33" s="424">
        <f>SUM(D3:D32)</f>
        <v>5.1309999999999993</v>
      </c>
      <c r="E33" s="424">
        <f>SUM(E3:E32)</f>
        <v>0</v>
      </c>
      <c r="F33" s="424">
        <f>SUM(C33:E33)</f>
        <v>10.353999999999999</v>
      </c>
    </row>
    <row r="34" spans="1:84" x14ac:dyDescent="0.4">
      <c r="A34" s="435" t="s">
        <v>144</v>
      </c>
      <c r="B34" s="436"/>
      <c r="C34" s="424">
        <f>COUNT('GRR Calculations'!G41:I50)</f>
        <v>10</v>
      </c>
      <c r="D34" s="424">
        <f>COUNT('GRR Calculations'!G51:I60)</f>
        <v>10</v>
      </c>
      <c r="E34" s="424">
        <f>COUNT('GRR Calculations'!G61:I70)</f>
        <v>0</v>
      </c>
      <c r="G34" s="424">
        <f>SUM(G3:G32)</f>
        <v>20</v>
      </c>
    </row>
    <row r="35" spans="1:84" x14ac:dyDescent="0.4">
      <c r="A35" s="435" t="s">
        <v>410</v>
      </c>
      <c r="B35" s="436"/>
      <c r="C35" s="424">
        <f>IF(COUNT('GRR Calculations'!G41:I50)=0,0,AVERAGE('GRR Calculations'!G41:I50))</f>
        <v>0.5223000000000001</v>
      </c>
      <c r="D35" s="424">
        <f>IF(COUNT('GRR Calculations'!G51:I60)=0,0,AVERAGE('GRR Calculations'!G51:I60))</f>
        <v>0.51309999999999989</v>
      </c>
      <c r="E35" s="424">
        <f>IF(COUNT('GRR Calculations'!G61:I70)=0,0,AVERAGE('GRR Calculations'!G61:I70))</f>
        <v>0</v>
      </c>
      <c r="I35" s="424">
        <f>SUM(I3:I32)</f>
        <v>5.3619694999999998</v>
      </c>
      <c r="J35" s="414"/>
      <c r="K35" s="437">
        <f>SUM(J3:L32)</f>
        <v>5.3638790000000007</v>
      </c>
      <c r="L35" s="416"/>
    </row>
    <row r="36" spans="1:84" x14ac:dyDescent="0.4">
      <c r="A36" s="435" t="s">
        <v>424</v>
      </c>
      <c r="B36" s="436"/>
      <c r="C36" s="424">
        <f>IF(C34=0,0,C33^2/C34)</f>
        <v>2.7279729000000006</v>
      </c>
      <c r="D36" s="424">
        <f>IF(D34=0,0,D33^2/D34)</f>
        <v>2.6327160999999992</v>
      </c>
      <c r="E36" s="424">
        <f>IF(E34=0,0,E33^2/E34)</f>
        <v>0</v>
      </c>
      <c r="F36" s="424">
        <f>SUM(C36:E36)</f>
        <v>5.3606889999999998</v>
      </c>
      <c r="G36" s="424" t="s">
        <v>425</v>
      </c>
      <c r="I36" s="424" t="s">
        <v>426</v>
      </c>
      <c r="J36" s="414"/>
      <c r="K36" s="415" t="s">
        <v>427</v>
      </c>
      <c r="L36" s="416"/>
    </row>
    <row r="37" spans="1:84" x14ac:dyDescent="0.4">
      <c r="A37" s="435" t="s">
        <v>428</v>
      </c>
      <c r="B37" s="436"/>
      <c r="C37" s="416">
        <f>SUM('GRR Calculations'!G41:I50,'GRR Calculations'!G51:I60,'GRR Calculations'!G61:I70)</f>
        <v>10.354000000000003</v>
      </c>
    </row>
    <row r="38" spans="1:84" ht="13.8" x14ac:dyDescent="0.4">
      <c r="A38" s="435" t="s">
        <v>429</v>
      </c>
      <c r="B38" s="436"/>
      <c r="C38" s="416">
        <f>SUM(N3:P32)</f>
        <v>5.3647239999999998</v>
      </c>
      <c r="O38" s="438">
        <v>10</v>
      </c>
      <c r="W38" s="438">
        <f>O38-1</f>
        <v>9</v>
      </c>
      <c r="AE38" s="438">
        <f>W38-1</f>
        <v>8</v>
      </c>
      <c r="AM38" s="438">
        <f>AE38-1</f>
        <v>7</v>
      </c>
      <c r="AU38" s="438">
        <f>AM38-1</f>
        <v>6</v>
      </c>
      <c r="BC38" s="438">
        <f>AU38-1</f>
        <v>5</v>
      </c>
      <c r="BK38" s="438">
        <f>BC38-1</f>
        <v>4</v>
      </c>
      <c r="BS38" s="438">
        <f>BK38-1</f>
        <v>3</v>
      </c>
      <c r="CA38" s="438">
        <f>BS38-1</f>
        <v>2</v>
      </c>
    </row>
    <row r="39" spans="1:84" ht="12.6" x14ac:dyDescent="0.45">
      <c r="A39" s="435" t="s">
        <v>144</v>
      </c>
      <c r="B39" s="436"/>
      <c r="C39" s="416">
        <f>COUNT('GRR Calculations'!G41:I50,'GRR Calculations'!G51:I60,'GRR Calculations'!G61:I70)</f>
        <v>20</v>
      </c>
      <c r="E39" s="439"/>
      <c r="G39" s="279"/>
      <c r="H39" s="279"/>
      <c r="J39" s="439"/>
      <c r="K39" s="439"/>
      <c r="M39" s="439"/>
      <c r="N39" s="439"/>
      <c r="O39" s="657" t="s">
        <v>430</v>
      </c>
      <c r="P39" s="657"/>
      <c r="Q39" s="657"/>
      <c r="R39" s="657"/>
      <c r="S39" s="657"/>
      <c r="T39" s="657"/>
      <c r="W39" s="656" t="s">
        <v>431</v>
      </c>
      <c r="X39" s="656"/>
      <c r="Y39" s="656"/>
      <c r="Z39" s="656"/>
      <c r="AA39" s="656"/>
      <c r="AB39" s="656"/>
      <c r="AE39" s="656" t="s">
        <v>432</v>
      </c>
      <c r="AF39" s="656"/>
      <c r="AG39" s="656"/>
      <c r="AH39" s="656"/>
      <c r="AI39" s="656"/>
      <c r="AJ39" s="656"/>
      <c r="AM39" s="656" t="s">
        <v>433</v>
      </c>
      <c r="AN39" s="656"/>
      <c r="AO39" s="656"/>
      <c r="AP39" s="656"/>
      <c r="AQ39" s="656"/>
      <c r="AR39" s="656"/>
      <c r="AU39" s="656" t="s">
        <v>434</v>
      </c>
      <c r="AV39" s="656"/>
      <c r="AW39" s="656"/>
      <c r="AX39" s="656"/>
      <c r="AY39" s="656"/>
      <c r="AZ39" s="656"/>
      <c r="BC39" s="656" t="s">
        <v>435</v>
      </c>
      <c r="BD39" s="656"/>
      <c r="BE39" s="656"/>
      <c r="BF39" s="656"/>
      <c r="BG39" s="656"/>
      <c r="BH39" s="656"/>
      <c r="BK39" s="656" t="s">
        <v>436</v>
      </c>
      <c r="BL39" s="656"/>
      <c r="BM39" s="656"/>
      <c r="BN39" s="656"/>
      <c r="BO39" s="656"/>
      <c r="BP39" s="656"/>
      <c r="BS39" s="656" t="s">
        <v>437</v>
      </c>
      <c r="BT39" s="656"/>
      <c r="BU39" s="656"/>
      <c r="BV39" s="656"/>
      <c r="BW39" s="656"/>
      <c r="BX39" s="656"/>
      <c r="CA39" s="656" t="s">
        <v>438</v>
      </c>
      <c r="CB39" s="656"/>
      <c r="CC39" s="656"/>
      <c r="CD39" s="656"/>
      <c r="CE39" s="656"/>
      <c r="CF39" s="656"/>
    </row>
    <row r="40" spans="1:84" ht="12.6" x14ac:dyDescent="0.45">
      <c r="A40" s="435" t="s">
        <v>439</v>
      </c>
      <c r="B40" s="436"/>
      <c r="C40" s="416">
        <f>C37^2/C39</f>
        <v>5.3602658000000023</v>
      </c>
      <c r="E40" s="440"/>
      <c r="F40" s="441" t="s">
        <v>293</v>
      </c>
      <c r="G40" s="441">
        <v>1</v>
      </c>
      <c r="H40" s="441">
        <v>2</v>
      </c>
      <c r="I40" s="441">
        <v>3</v>
      </c>
      <c r="J40" s="442"/>
      <c r="K40" s="441" t="s">
        <v>440</v>
      </c>
      <c r="L40" s="441" t="s">
        <v>441</v>
      </c>
      <c r="M40" s="442"/>
      <c r="O40" s="656" t="s">
        <v>135</v>
      </c>
      <c r="P40" s="656"/>
      <c r="Q40" s="656"/>
      <c r="R40" s="656" t="s">
        <v>139</v>
      </c>
      <c r="S40" s="656"/>
      <c r="T40" s="656"/>
      <c r="W40" s="656" t="s">
        <v>135</v>
      </c>
      <c r="X40" s="656"/>
      <c r="Y40" s="656"/>
      <c r="Z40" s="656" t="s">
        <v>139</v>
      </c>
      <c r="AA40" s="656"/>
      <c r="AB40" s="656"/>
      <c r="AE40" s="656" t="s">
        <v>135</v>
      </c>
      <c r="AF40" s="656"/>
      <c r="AG40" s="656"/>
      <c r="AH40" s="656" t="s">
        <v>139</v>
      </c>
      <c r="AI40" s="656"/>
      <c r="AJ40" s="656"/>
      <c r="AM40" s="656" t="s">
        <v>135</v>
      </c>
      <c r="AN40" s="656"/>
      <c r="AO40" s="656"/>
      <c r="AP40" s="656" t="s">
        <v>139</v>
      </c>
      <c r="AQ40" s="656"/>
      <c r="AR40" s="656"/>
      <c r="AU40" s="656" t="s">
        <v>135</v>
      </c>
      <c r="AV40" s="656"/>
      <c r="AW40" s="656"/>
      <c r="AX40" s="656" t="s">
        <v>139</v>
      </c>
      <c r="AY40" s="656"/>
      <c r="AZ40" s="656"/>
      <c r="BC40" s="656" t="s">
        <v>135</v>
      </c>
      <c r="BD40" s="656"/>
      <c r="BE40" s="656"/>
      <c r="BF40" s="656" t="s">
        <v>139</v>
      </c>
      <c r="BG40" s="656"/>
      <c r="BH40" s="656"/>
      <c r="BK40" s="656" t="s">
        <v>135</v>
      </c>
      <c r="BL40" s="656"/>
      <c r="BM40" s="656"/>
      <c r="BN40" s="656" t="s">
        <v>139</v>
      </c>
      <c r="BO40" s="656"/>
      <c r="BP40" s="656"/>
      <c r="BS40" s="656" t="s">
        <v>135</v>
      </c>
      <c r="BT40" s="656"/>
      <c r="BU40" s="656"/>
      <c r="BV40" s="656" t="s">
        <v>139</v>
      </c>
      <c r="BW40" s="656"/>
      <c r="BX40" s="656"/>
      <c r="CA40" s="656" t="s">
        <v>135</v>
      </c>
      <c r="CB40" s="656"/>
      <c r="CC40" s="656"/>
      <c r="CD40" s="656" t="s">
        <v>139</v>
      </c>
      <c r="CE40" s="656"/>
      <c r="CF40" s="656"/>
    </row>
    <row r="41" spans="1:84" ht="12.6" x14ac:dyDescent="0.45">
      <c r="A41" s="435" t="s">
        <v>442</v>
      </c>
      <c r="B41" s="436"/>
      <c r="C41" s="416">
        <f>C38-C40</f>
        <v>4.4581999999975253E-3</v>
      </c>
      <c r="E41" s="443" t="s">
        <v>443</v>
      </c>
      <c r="F41" s="441">
        <v>1</v>
      </c>
      <c r="G41" s="444">
        <f>IF('GRR AIAG GR&amp;R'!C12="","",'GRR AIAG GR&amp;R'!C12)</f>
        <v>0.52100000000000002</v>
      </c>
      <c r="H41" s="444">
        <f>IF('GRR AIAG GR&amp;R'!C13="","",'GRR AIAG GR&amp;R'!C13)</f>
        <v>0.52100000000000002</v>
      </c>
      <c r="I41" s="444" t="str">
        <f>IF('GRR AIAG GR&amp;R'!C14="","",'GRR AIAG GR&amp;R'!C14)</f>
        <v/>
      </c>
      <c r="J41" s="18" t="s">
        <v>444</v>
      </c>
      <c r="K41" s="445">
        <f>IF(G41="","",AVERAGE(G41:I41))</f>
        <v>0.52100000000000002</v>
      </c>
      <c r="L41" s="445">
        <f>IF(G41="","",MAX(G41:I41)-MIN(G41:I41))</f>
        <v>0</v>
      </c>
      <c r="M41" s="446" t="s">
        <v>443</v>
      </c>
      <c r="N41" s="441">
        <v>1</v>
      </c>
      <c r="O41" s="438">
        <f t="shared" ref="O41:O50" si="1">IF(G41="",NA(),K41)</f>
        <v>0.52100000000000002</v>
      </c>
      <c r="P41" s="438" t="e">
        <f>NA()</f>
        <v>#N/A</v>
      </c>
      <c r="Q41" s="438" t="e">
        <f>NA()</f>
        <v>#N/A</v>
      </c>
      <c r="R41" s="438">
        <f t="shared" ref="R41:R50" si="2">IF(G41="",NA(),L41)</f>
        <v>0</v>
      </c>
      <c r="S41" s="438" t="e">
        <f>NA()</f>
        <v>#N/A</v>
      </c>
      <c r="T41" s="438" t="e">
        <f>NA()</f>
        <v>#N/A</v>
      </c>
      <c r="U41" s="446" t="s">
        <v>443</v>
      </c>
      <c r="V41" s="441">
        <v>1</v>
      </c>
      <c r="W41" s="438">
        <f t="shared" ref="W41:AB49" si="3">O41</f>
        <v>0.52100000000000002</v>
      </c>
      <c r="X41" s="438" t="e">
        <f t="shared" si="3"/>
        <v>#N/A</v>
      </c>
      <c r="Y41" s="438" t="e">
        <f t="shared" si="3"/>
        <v>#N/A</v>
      </c>
      <c r="Z41" s="438">
        <f t="shared" si="3"/>
        <v>0</v>
      </c>
      <c r="AA41" s="438" t="e">
        <f t="shared" si="3"/>
        <v>#N/A</v>
      </c>
      <c r="AB41" s="438" t="e">
        <f t="shared" si="3"/>
        <v>#N/A</v>
      </c>
      <c r="AC41" s="446" t="s">
        <v>443</v>
      </c>
      <c r="AD41" s="441">
        <v>1</v>
      </c>
      <c r="AE41" s="438">
        <f t="shared" ref="AE41:AJ48" si="4">O41</f>
        <v>0.52100000000000002</v>
      </c>
      <c r="AF41" s="438" t="e">
        <f t="shared" si="4"/>
        <v>#N/A</v>
      </c>
      <c r="AG41" s="438" t="e">
        <f t="shared" si="4"/>
        <v>#N/A</v>
      </c>
      <c r="AH41" s="438">
        <f t="shared" si="4"/>
        <v>0</v>
      </c>
      <c r="AI41" s="438" t="e">
        <f t="shared" si="4"/>
        <v>#N/A</v>
      </c>
      <c r="AJ41" s="438" t="e">
        <f t="shared" si="4"/>
        <v>#N/A</v>
      </c>
      <c r="AK41" s="446" t="s">
        <v>443</v>
      </c>
      <c r="AL41" s="440">
        <v>1</v>
      </c>
      <c r="AM41" s="438">
        <f t="shared" ref="AM41:AR47" si="5">O41</f>
        <v>0.52100000000000002</v>
      </c>
      <c r="AN41" s="438" t="e">
        <f t="shared" si="5"/>
        <v>#N/A</v>
      </c>
      <c r="AO41" s="438" t="e">
        <f t="shared" si="5"/>
        <v>#N/A</v>
      </c>
      <c r="AP41" s="438">
        <f t="shared" si="5"/>
        <v>0</v>
      </c>
      <c r="AQ41" s="438" t="e">
        <f t="shared" si="5"/>
        <v>#N/A</v>
      </c>
      <c r="AR41" s="438" t="e">
        <f t="shared" si="5"/>
        <v>#N/A</v>
      </c>
      <c r="AS41" s="446" t="s">
        <v>443</v>
      </c>
      <c r="AT41" s="440">
        <v>1</v>
      </c>
      <c r="AU41" s="438">
        <f t="shared" ref="AU41:AZ46" si="6">O41</f>
        <v>0.52100000000000002</v>
      </c>
      <c r="AV41" s="438" t="e">
        <f t="shared" si="6"/>
        <v>#N/A</v>
      </c>
      <c r="AW41" s="438" t="e">
        <f t="shared" si="6"/>
        <v>#N/A</v>
      </c>
      <c r="AX41" s="438">
        <f t="shared" si="6"/>
        <v>0</v>
      </c>
      <c r="AY41" s="438" t="e">
        <f t="shared" si="6"/>
        <v>#N/A</v>
      </c>
      <c r="AZ41" s="438" t="e">
        <f t="shared" si="6"/>
        <v>#N/A</v>
      </c>
      <c r="BA41" s="446" t="s">
        <v>443</v>
      </c>
      <c r="BB41" s="440">
        <v>1</v>
      </c>
      <c r="BC41" s="438">
        <f t="shared" ref="BC41:BH45" si="7">O41</f>
        <v>0.52100000000000002</v>
      </c>
      <c r="BD41" s="438" t="e">
        <f t="shared" si="7"/>
        <v>#N/A</v>
      </c>
      <c r="BE41" s="438" t="e">
        <f t="shared" si="7"/>
        <v>#N/A</v>
      </c>
      <c r="BF41" s="438">
        <f t="shared" si="7"/>
        <v>0</v>
      </c>
      <c r="BG41" s="438" t="e">
        <f t="shared" si="7"/>
        <v>#N/A</v>
      </c>
      <c r="BH41" s="438" t="e">
        <f t="shared" si="7"/>
        <v>#N/A</v>
      </c>
      <c r="BI41" s="446" t="s">
        <v>443</v>
      </c>
      <c r="BJ41" s="440">
        <v>1</v>
      </c>
      <c r="BK41" s="438">
        <f t="shared" ref="BK41:BP44" si="8">O41</f>
        <v>0.52100000000000002</v>
      </c>
      <c r="BL41" s="438" t="e">
        <f t="shared" si="8"/>
        <v>#N/A</v>
      </c>
      <c r="BM41" s="438" t="e">
        <f t="shared" si="8"/>
        <v>#N/A</v>
      </c>
      <c r="BN41" s="438">
        <f t="shared" si="8"/>
        <v>0</v>
      </c>
      <c r="BO41" s="438" t="e">
        <f t="shared" si="8"/>
        <v>#N/A</v>
      </c>
      <c r="BP41" s="438" t="e">
        <f t="shared" si="8"/>
        <v>#N/A</v>
      </c>
      <c r="BQ41" s="446" t="s">
        <v>443</v>
      </c>
      <c r="BR41" s="440">
        <v>1</v>
      </c>
      <c r="BS41" s="438">
        <f t="shared" ref="BS41:BX43" si="9">O41</f>
        <v>0.52100000000000002</v>
      </c>
      <c r="BT41" s="438" t="e">
        <f t="shared" si="9"/>
        <v>#N/A</v>
      </c>
      <c r="BU41" s="438" t="e">
        <f t="shared" si="9"/>
        <v>#N/A</v>
      </c>
      <c r="BV41" s="438">
        <f t="shared" si="9"/>
        <v>0</v>
      </c>
      <c r="BW41" s="438" t="e">
        <f t="shared" si="9"/>
        <v>#N/A</v>
      </c>
      <c r="BX41" s="438" t="e">
        <f t="shared" si="9"/>
        <v>#N/A</v>
      </c>
      <c r="BY41" s="446" t="s">
        <v>443</v>
      </c>
      <c r="BZ41" s="440">
        <v>1</v>
      </c>
      <c r="CA41" s="438">
        <f t="shared" ref="CA41:CF42" si="10">O41</f>
        <v>0.52100000000000002</v>
      </c>
      <c r="CB41" s="438" t="e">
        <f t="shared" si="10"/>
        <v>#N/A</v>
      </c>
      <c r="CC41" s="438" t="e">
        <f t="shared" si="10"/>
        <v>#N/A</v>
      </c>
      <c r="CD41" s="438">
        <f t="shared" si="10"/>
        <v>0</v>
      </c>
      <c r="CE41" s="438" t="e">
        <f t="shared" si="10"/>
        <v>#N/A</v>
      </c>
      <c r="CF41" s="438" t="e">
        <f t="shared" si="10"/>
        <v>#N/A</v>
      </c>
    </row>
    <row r="42" spans="1:84" ht="12.6" x14ac:dyDescent="0.45">
      <c r="A42" s="435" t="s">
        <v>445</v>
      </c>
      <c r="B42" s="436"/>
      <c r="C42" s="416">
        <f>F36-C40</f>
        <v>4.2319999999751445E-4</v>
      </c>
      <c r="E42" s="440"/>
      <c r="F42" s="441">
        <v>2</v>
      </c>
      <c r="G42" s="444">
        <f>IF('GRR AIAG GR&amp;R'!D12="","",'GRR AIAG GR&amp;R'!D12)</f>
        <v>0.52200000000000002</v>
      </c>
      <c r="H42" s="444">
        <f>IF('GRR AIAG GR&amp;R'!D13="","",'GRR AIAG GR&amp;R'!D13)</f>
        <v>0.52300000000000002</v>
      </c>
      <c r="I42" s="444" t="str">
        <f>IF('GRR AIAG GR&amp;R'!D14="","",'GRR AIAG GR&amp;R'!D14)</f>
        <v/>
      </c>
      <c r="J42" s="18" t="s">
        <v>446</v>
      </c>
      <c r="K42" s="447">
        <f t="shared" ref="K42:K70" si="11">IF(G42="","",AVERAGE(G42:I42))</f>
        <v>0.52249999999999996</v>
      </c>
      <c r="L42" s="447">
        <f t="shared" ref="L42:L70" si="12">IF(G42="","",MAX(G42:I42)-MIN(G42:I42))</f>
        <v>1.0000000000000009E-3</v>
      </c>
      <c r="M42" s="448"/>
      <c r="N42" s="441">
        <v>2</v>
      </c>
      <c r="O42" s="438">
        <f t="shared" si="1"/>
        <v>0.52249999999999996</v>
      </c>
      <c r="P42" s="438" t="e">
        <f>NA()</f>
        <v>#N/A</v>
      </c>
      <c r="Q42" s="438" t="e">
        <f>NA()</f>
        <v>#N/A</v>
      </c>
      <c r="R42" s="438">
        <f t="shared" si="2"/>
        <v>1.0000000000000009E-3</v>
      </c>
      <c r="S42" s="438" t="e">
        <f>NA()</f>
        <v>#N/A</v>
      </c>
      <c r="T42" s="438" t="e">
        <f>NA()</f>
        <v>#N/A</v>
      </c>
      <c r="U42" s="448"/>
      <c r="V42" s="441">
        <v>2</v>
      </c>
      <c r="W42" s="438">
        <f t="shared" si="3"/>
        <v>0.52249999999999996</v>
      </c>
      <c r="X42" s="438" t="e">
        <f t="shared" si="3"/>
        <v>#N/A</v>
      </c>
      <c r="Y42" s="438" t="e">
        <f t="shared" si="3"/>
        <v>#N/A</v>
      </c>
      <c r="Z42" s="438">
        <f t="shared" si="3"/>
        <v>1.0000000000000009E-3</v>
      </c>
      <c r="AA42" s="438" t="e">
        <f t="shared" si="3"/>
        <v>#N/A</v>
      </c>
      <c r="AB42" s="438" t="e">
        <f t="shared" si="3"/>
        <v>#N/A</v>
      </c>
      <c r="AC42" s="448"/>
      <c r="AD42" s="441">
        <v>2</v>
      </c>
      <c r="AE42" s="438">
        <f t="shared" si="4"/>
        <v>0.52249999999999996</v>
      </c>
      <c r="AF42" s="438" t="e">
        <f t="shared" si="4"/>
        <v>#N/A</v>
      </c>
      <c r="AG42" s="438" t="e">
        <f t="shared" si="4"/>
        <v>#N/A</v>
      </c>
      <c r="AH42" s="438">
        <f t="shared" si="4"/>
        <v>1.0000000000000009E-3</v>
      </c>
      <c r="AI42" s="438" t="e">
        <f t="shared" si="4"/>
        <v>#N/A</v>
      </c>
      <c r="AJ42" s="438" t="e">
        <f t="shared" si="4"/>
        <v>#N/A</v>
      </c>
      <c r="AK42" s="448"/>
      <c r="AL42" s="440">
        <v>2</v>
      </c>
      <c r="AM42" s="438">
        <f t="shared" si="5"/>
        <v>0.52249999999999996</v>
      </c>
      <c r="AN42" s="438" t="e">
        <f t="shared" si="5"/>
        <v>#N/A</v>
      </c>
      <c r="AO42" s="438" t="e">
        <f t="shared" si="5"/>
        <v>#N/A</v>
      </c>
      <c r="AP42" s="438">
        <f t="shared" si="5"/>
        <v>1.0000000000000009E-3</v>
      </c>
      <c r="AQ42" s="438" t="e">
        <f t="shared" si="5"/>
        <v>#N/A</v>
      </c>
      <c r="AR42" s="438" t="e">
        <f t="shared" si="5"/>
        <v>#N/A</v>
      </c>
      <c r="AS42" s="448"/>
      <c r="AT42" s="440">
        <v>2</v>
      </c>
      <c r="AU42" s="438">
        <f t="shared" si="6"/>
        <v>0.52249999999999996</v>
      </c>
      <c r="AV42" s="438" t="e">
        <f t="shared" si="6"/>
        <v>#N/A</v>
      </c>
      <c r="AW42" s="438" t="e">
        <f t="shared" si="6"/>
        <v>#N/A</v>
      </c>
      <c r="AX42" s="438">
        <f t="shared" si="6"/>
        <v>1.0000000000000009E-3</v>
      </c>
      <c r="AY42" s="438" t="e">
        <f t="shared" si="6"/>
        <v>#N/A</v>
      </c>
      <c r="AZ42" s="438" t="e">
        <f t="shared" si="6"/>
        <v>#N/A</v>
      </c>
      <c r="BA42" s="448"/>
      <c r="BB42" s="440">
        <v>2</v>
      </c>
      <c r="BC42" s="438">
        <f t="shared" si="7"/>
        <v>0.52249999999999996</v>
      </c>
      <c r="BD42" s="438" t="e">
        <f t="shared" si="7"/>
        <v>#N/A</v>
      </c>
      <c r="BE42" s="438" t="e">
        <f t="shared" si="7"/>
        <v>#N/A</v>
      </c>
      <c r="BF42" s="438">
        <f t="shared" si="7"/>
        <v>1.0000000000000009E-3</v>
      </c>
      <c r="BG42" s="438" t="e">
        <f t="shared" si="7"/>
        <v>#N/A</v>
      </c>
      <c r="BH42" s="438" t="e">
        <f t="shared" si="7"/>
        <v>#N/A</v>
      </c>
      <c r="BI42" s="448"/>
      <c r="BJ42" s="440">
        <v>2</v>
      </c>
      <c r="BK42" s="438">
        <f t="shared" si="8"/>
        <v>0.52249999999999996</v>
      </c>
      <c r="BL42" s="438" t="e">
        <f t="shared" si="8"/>
        <v>#N/A</v>
      </c>
      <c r="BM42" s="438" t="e">
        <f t="shared" si="8"/>
        <v>#N/A</v>
      </c>
      <c r="BN42" s="438">
        <f t="shared" si="8"/>
        <v>1.0000000000000009E-3</v>
      </c>
      <c r="BO42" s="438" t="e">
        <f t="shared" si="8"/>
        <v>#N/A</v>
      </c>
      <c r="BP42" s="438" t="e">
        <f t="shared" si="8"/>
        <v>#N/A</v>
      </c>
      <c r="BQ42" s="448"/>
      <c r="BR42" s="440">
        <v>2</v>
      </c>
      <c r="BS42" s="438">
        <f t="shared" si="9"/>
        <v>0.52249999999999996</v>
      </c>
      <c r="BT42" s="438" t="e">
        <f t="shared" si="9"/>
        <v>#N/A</v>
      </c>
      <c r="BU42" s="438" t="e">
        <f t="shared" si="9"/>
        <v>#N/A</v>
      </c>
      <c r="BV42" s="438">
        <f t="shared" si="9"/>
        <v>1.0000000000000009E-3</v>
      </c>
      <c r="BW42" s="438" t="e">
        <f t="shared" si="9"/>
        <v>#N/A</v>
      </c>
      <c r="BX42" s="438" t="e">
        <f t="shared" si="9"/>
        <v>#N/A</v>
      </c>
      <c r="BY42" s="448"/>
      <c r="BZ42" s="440">
        <v>2</v>
      </c>
      <c r="CA42" s="438">
        <f t="shared" si="10"/>
        <v>0.52249999999999996</v>
      </c>
      <c r="CB42" s="438" t="e">
        <f t="shared" si="10"/>
        <v>#N/A</v>
      </c>
      <c r="CC42" s="438" t="e">
        <f t="shared" si="10"/>
        <v>#N/A</v>
      </c>
      <c r="CD42" s="438">
        <f t="shared" si="10"/>
        <v>1.0000000000000009E-3</v>
      </c>
      <c r="CE42" s="438" t="e">
        <f t="shared" si="10"/>
        <v>#N/A</v>
      </c>
      <c r="CF42" s="438" t="e">
        <f t="shared" si="10"/>
        <v>#N/A</v>
      </c>
    </row>
    <row r="43" spans="1:84" ht="12.6" x14ac:dyDescent="0.45">
      <c r="A43" s="435" t="s">
        <v>447</v>
      </c>
      <c r="B43" s="436"/>
      <c r="C43" s="416">
        <f>I35-C40</f>
        <v>1.7036999999975322E-3</v>
      </c>
      <c r="E43" s="440"/>
      <c r="F43" s="441">
        <v>3</v>
      </c>
      <c r="G43" s="444">
        <f>IF('GRR AIAG GR&amp;R'!E12="","",'GRR AIAG GR&amp;R'!E12)</f>
        <v>0.52300000000000002</v>
      </c>
      <c r="H43" s="444">
        <f>IF('GRR AIAG GR&amp;R'!E13="","",'GRR AIAG GR&amp;R'!E13)</f>
        <v>0.52100000000000002</v>
      </c>
      <c r="I43" s="444" t="str">
        <f>IF('GRR AIAG GR&amp;R'!E14="","",'GRR AIAG GR&amp;R'!E14)</f>
        <v/>
      </c>
      <c r="J43" s="18" t="s">
        <v>448</v>
      </c>
      <c r="K43" s="447">
        <f t="shared" si="11"/>
        <v>0.52200000000000002</v>
      </c>
      <c r="L43" s="447">
        <f t="shared" si="12"/>
        <v>2.0000000000000018E-3</v>
      </c>
      <c r="M43" s="448"/>
      <c r="N43" s="441">
        <v>3</v>
      </c>
      <c r="O43" s="438">
        <f t="shared" si="1"/>
        <v>0.52200000000000002</v>
      </c>
      <c r="P43" s="438" t="e">
        <f>NA()</f>
        <v>#N/A</v>
      </c>
      <c r="Q43" s="438" t="e">
        <f>NA()</f>
        <v>#N/A</v>
      </c>
      <c r="R43" s="438">
        <f t="shared" si="2"/>
        <v>2.0000000000000018E-3</v>
      </c>
      <c r="S43" s="438" t="e">
        <f>NA()</f>
        <v>#N/A</v>
      </c>
      <c r="T43" s="438" t="e">
        <f>NA()</f>
        <v>#N/A</v>
      </c>
      <c r="U43" s="448"/>
      <c r="V43" s="441">
        <v>3</v>
      </c>
      <c r="W43" s="438">
        <f t="shared" si="3"/>
        <v>0.52200000000000002</v>
      </c>
      <c r="X43" s="438" t="e">
        <f t="shared" si="3"/>
        <v>#N/A</v>
      </c>
      <c r="Y43" s="438" t="e">
        <f t="shared" si="3"/>
        <v>#N/A</v>
      </c>
      <c r="Z43" s="438">
        <f t="shared" si="3"/>
        <v>2.0000000000000018E-3</v>
      </c>
      <c r="AA43" s="438" t="e">
        <f t="shared" si="3"/>
        <v>#N/A</v>
      </c>
      <c r="AB43" s="438" t="e">
        <f t="shared" si="3"/>
        <v>#N/A</v>
      </c>
      <c r="AC43" s="448"/>
      <c r="AD43" s="441">
        <v>3</v>
      </c>
      <c r="AE43" s="438">
        <f t="shared" si="4"/>
        <v>0.52200000000000002</v>
      </c>
      <c r="AF43" s="438" t="e">
        <f t="shared" si="4"/>
        <v>#N/A</v>
      </c>
      <c r="AG43" s="438" t="e">
        <f t="shared" si="4"/>
        <v>#N/A</v>
      </c>
      <c r="AH43" s="438">
        <f t="shared" si="4"/>
        <v>2.0000000000000018E-3</v>
      </c>
      <c r="AI43" s="438" t="e">
        <f t="shared" si="4"/>
        <v>#N/A</v>
      </c>
      <c r="AJ43" s="438" t="e">
        <f t="shared" si="4"/>
        <v>#N/A</v>
      </c>
      <c r="AK43" s="448"/>
      <c r="AL43" s="440">
        <v>3</v>
      </c>
      <c r="AM43" s="438">
        <f t="shared" si="5"/>
        <v>0.52200000000000002</v>
      </c>
      <c r="AN43" s="438" t="e">
        <f t="shared" si="5"/>
        <v>#N/A</v>
      </c>
      <c r="AO43" s="438" t="e">
        <f t="shared" si="5"/>
        <v>#N/A</v>
      </c>
      <c r="AP43" s="438">
        <f t="shared" si="5"/>
        <v>2.0000000000000018E-3</v>
      </c>
      <c r="AQ43" s="438" t="e">
        <f t="shared" si="5"/>
        <v>#N/A</v>
      </c>
      <c r="AR43" s="438" t="e">
        <f t="shared" si="5"/>
        <v>#N/A</v>
      </c>
      <c r="AS43" s="448"/>
      <c r="AT43" s="440">
        <v>3</v>
      </c>
      <c r="AU43" s="438">
        <f t="shared" si="6"/>
        <v>0.52200000000000002</v>
      </c>
      <c r="AV43" s="438" t="e">
        <f t="shared" si="6"/>
        <v>#N/A</v>
      </c>
      <c r="AW43" s="438" t="e">
        <f t="shared" si="6"/>
        <v>#N/A</v>
      </c>
      <c r="AX43" s="438">
        <f t="shared" si="6"/>
        <v>2.0000000000000018E-3</v>
      </c>
      <c r="AY43" s="438" t="e">
        <f t="shared" si="6"/>
        <v>#N/A</v>
      </c>
      <c r="AZ43" s="438" t="e">
        <f t="shared" si="6"/>
        <v>#N/A</v>
      </c>
      <c r="BA43" s="448"/>
      <c r="BB43" s="440">
        <v>3</v>
      </c>
      <c r="BC43" s="438">
        <f t="shared" si="7"/>
        <v>0.52200000000000002</v>
      </c>
      <c r="BD43" s="438" t="e">
        <f t="shared" si="7"/>
        <v>#N/A</v>
      </c>
      <c r="BE43" s="438" t="e">
        <f t="shared" si="7"/>
        <v>#N/A</v>
      </c>
      <c r="BF43" s="438">
        <f t="shared" si="7"/>
        <v>2.0000000000000018E-3</v>
      </c>
      <c r="BG43" s="438" t="e">
        <f t="shared" si="7"/>
        <v>#N/A</v>
      </c>
      <c r="BH43" s="438" t="e">
        <f t="shared" si="7"/>
        <v>#N/A</v>
      </c>
      <c r="BI43" s="448"/>
      <c r="BJ43" s="440">
        <v>3</v>
      </c>
      <c r="BK43" s="438">
        <f t="shared" si="8"/>
        <v>0.52200000000000002</v>
      </c>
      <c r="BL43" s="438" t="e">
        <f t="shared" si="8"/>
        <v>#N/A</v>
      </c>
      <c r="BM43" s="438" t="e">
        <f t="shared" si="8"/>
        <v>#N/A</v>
      </c>
      <c r="BN43" s="438">
        <f t="shared" si="8"/>
        <v>2.0000000000000018E-3</v>
      </c>
      <c r="BO43" s="438" t="e">
        <f t="shared" si="8"/>
        <v>#N/A</v>
      </c>
      <c r="BP43" s="438" t="e">
        <f t="shared" si="8"/>
        <v>#N/A</v>
      </c>
      <c r="BQ43" s="448"/>
      <c r="BR43" s="440">
        <v>3</v>
      </c>
      <c r="BS43" s="438">
        <f t="shared" si="9"/>
        <v>0.52200000000000002</v>
      </c>
      <c r="BT43" s="438" t="e">
        <f t="shared" si="9"/>
        <v>#N/A</v>
      </c>
      <c r="BU43" s="438" t="e">
        <f t="shared" si="9"/>
        <v>#N/A</v>
      </c>
      <c r="BV43" s="438">
        <f t="shared" si="9"/>
        <v>2.0000000000000018E-3</v>
      </c>
      <c r="BW43" s="438" t="e">
        <f t="shared" si="9"/>
        <v>#N/A</v>
      </c>
      <c r="BX43" s="438" t="e">
        <f t="shared" si="9"/>
        <v>#N/A</v>
      </c>
      <c r="BY43" s="446" t="s">
        <v>449</v>
      </c>
      <c r="BZ43" s="440">
        <v>1</v>
      </c>
      <c r="CA43" s="438" t="e">
        <f t="shared" ref="CA43:CF44" si="13">O51</f>
        <v>#N/A</v>
      </c>
      <c r="CB43" s="438">
        <f t="shared" si="13"/>
        <v>0.47750000000000004</v>
      </c>
      <c r="CC43" s="438" t="e">
        <f t="shared" si="13"/>
        <v>#N/A</v>
      </c>
      <c r="CD43" s="438" t="e">
        <f t="shared" si="13"/>
        <v>#N/A</v>
      </c>
      <c r="CE43" s="438">
        <f t="shared" si="13"/>
        <v>4.0999999999999981E-2</v>
      </c>
      <c r="CF43" s="438" t="e">
        <f t="shared" si="13"/>
        <v>#N/A</v>
      </c>
    </row>
    <row r="44" spans="1:84" ht="12.6" x14ac:dyDescent="0.45">
      <c r="A44" s="435" t="s">
        <v>450</v>
      </c>
      <c r="B44" s="436"/>
      <c r="C44" s="416">
        <f>K35-C40-C42-C43</f>
        <v>1.4863000000033821E-3</v>
      </c>
      <c r="E44" s="440"/>
      <c r="F44" s="441">
        <v>4</v>
      </c>
      <c r="G44" s="444">
        <f>IF('GRR AIAG GR&amp;R'!F12="","",'GRR AIAG GR&amp;R'!F12)</f>
        <v>0.52100000000000002</v>
      </c>
      <c r="H44" s="444">
        <f>IF('GRR AIAG GR&amp;R'!F13="","",'GRR AIAG GR&amp;R'!F13)</f>
        <v>0.52200000000000002</v>
      </c>
      <c r="I44" s="444" t="str">
        <f>IF('GRR AIAG GR&amp;R'!F14="","",'GRR AIAG GR&amp;R'!F14)</f>
        <v/>
      </c>
      <c r="K44" s="447">
        <f t="shared" si="11"/>
        <v>0.52150000000000007</v>
      </c>
      <c r="L44" s="447">
        <f t="shared" si="12"/>
        <v>1.0000000000000009E-3</v>
      </c>
      <c r="M44" s="448"/>
      <c r="N44" s="441">
        <v>4</v>
      </c>
      <c r="O44" s="438">
        <f t="shared" si="1"/>
        <v>0.52150000000000007</v>
      </c>
      <c r="P44" s="438" t="e">
        <f>NA()</f>
        <v>#N/A</v>
      </c>
      <c r="Q44" s="438" t="e">
        <f>NA()</f>
        <v>#N/A</v>
      </c>
      <c r="R44" s="438">
        <f t="shared" si="2"/>
        <v>1.0000000000000009E-3</v>
      </c>
      <c r="S44" s="438" t="e">
        <f>NA()</f>
        <v>#N/A</v>
      </c>
      <c r="T44" s="438" t="e">
        <f>NA()</f>
        <v>#N/A</v>
      </c>
      <c r="U44" s="448"/>
      <c r="V44" s="441">
        <v>4</v>
      </c>
      <c r="W44" s="438">
        <f t="shared" si="3"/>
        <v>0.52150000000000007</v>
      </c>
      <c r="X44" s="438" t="e">
        <f t="shared" si="3"/>
        <v>#N/A</v>
      </c>
      <c r="Y44" s="438" t="e">
        <f t="shared" si="3"/>
        <v>#N/A</v>
      </c>
      <c r="Z44" s="438">
        <f t="shared" si="3"/>
        <v>1.0000000000000009E-3</v>
      </c>
      <c r="AA44" s="438" t="e">
        <f t="shared" si="3"/>
        <v>#N/A</v>
      </c>
      <c r="AB44" s="438" t="e">
        <f t="shared" si="3"/>
        <v>#N/A</v>
      </c>
      <c r="AC44" s="448"/>
      <c r="AD44" s="441">
        <v>4</v>
      </c>
      <c r="AE44" s="438">
        <f t="shared" si="4"/>
        <v>0.52150000000000007</v>
      </c>
      <c r="AF44" s="438" t="e">
        <f t="shared" si="4"/>
        <v>#N/A</v>
      </c>
      <c r="AG44" s="438" t="e">
        <f t="shared" si="4"/>
        <v>#N/A</v>
      </c>
      <c r="AH44" s="438">
        <f t="shared" si="4"/>
        <v>1.0000000000000009E-3</v>
      </c>
      <c r="AI44" s="438" t="e">
        <f t="shared" si="4"/>
        <v>#N/A</v>
      </c>
      <c r="AJ44" s="438" t="e">
        <f t="shared" si="4"/>
        <v>#N/A</v>
      </c>
      <c r="AK44" s="448"/>
      <c r="AL44" s="440">
        <v>4</v>
      </c>
      <c r="AM44" s="438">
        <f t="shared" si="5"/>
        <v>0.52150000000000007</v>
      </c>
      <c r="AN44" s="438" t="e">
        <f t="shared" si="5"/>
        <v>#N/A</v>
      </c>
      <c r="AO44" s="438" t="e">
        <f t="shared" si="5"/>
        <v>#N/A</v>
      </c>
      <c r="AP44" s="438">
        <f t="shared" si="5"/>
        <v>1.0000000000000009E-3</v>
      </c>
      <c r="AQ44" s="438" t="e">
        <f t="shared" si="5"/>
        <v>#N/A</v>
      </c>
      <c r="AR44" s="438" t="e">
        <f t="shared" si="5"/>
        <v>#N/A</v>
      </c>
      <c r="AS44" s="448"/>
      <c r="AT44" s="440">
        <v>4</v>
      </c>
      <c r="AU44" s="438">
        <f t="shared" si="6"/>
        <v>0.52150000000000007</v>
      </c>
      <c r="AV44" s="438" t="e">
        <f t="shared" si="6"/>
        <v>#N/A</v>
      </c>
      <c r="AW44" s="438" t="e">
        <f t="shared" si="6"/>
        <v>#N/A</v>
      </c>
      <c r="AX44" s="438">
        <f t="shared" si="6"/>
        <v>1.0000000000000009E-3</v>
      </c>
      <c r="AY44" s="438" t="e">
        <f t="shared" si="6"/>
        <v>#N/A</v>
      </c>
      <c r="AZ44" s="438" t="e">
        <f t="shared" si="6"/>
        <v>#N/A</v>
      </c>
      <c r="BA44" s="448"/>
      <c r="BB44" s="440">
        <v>4</v>
      </c>
      <c r="BC44" s="438">
        <f t="shared" si="7"/>
        <v>0.52150000000000007</v>
      </c>
      <c r="BD44" s="438" t="e">
        <f t="shared" si="7"/>
        <v>#N/A</v>
      </c>
      <c r="BE44" s="438" t="e">
        <f t="shared" si="7"/>
        <v>#N/A</v>
      </c>
      <c r="BF44" s="438">
        <f t="shared" si="7"/>
        <v>1.0000000000000009E-3</v>
      </c>
      <c r="BG44" s="438" t="e">
        <f t="shared" si="7"/>
        <v>#N/A</v>
      </c>
      <c r="BH44" s="438" t="e">
        <f t="shared" si="7"/>
        <v>#N/A</v>
      </c>
      <c r="BI44" s="448"/>
      <c r="BJ44" s="440">
        <v>4</v>
      </c>
      <c r="BK44" s="438">
        <f t="shared" si="8"/>
        <v>0.52150000000000007</v>
      </c>
      <c r="BL44" s="438" t="e">
        <f t="shared" si="8"/>
        <v>#N/A</v>
      </c>
      <c r="BM44" s="438" t="e">
        <f t="shared" si="8"/>
        <v>#N/A</v>
      </c>
      <c r="BN44" s="438">
        <f t="shared" si="8"/>
        <v>1.0000000000000009E-3</v>
      </c>
      <c r="BO44" s="438" t="e">
        <f t="shared" si="8"/>
        <v>#N/A</v>
      </c>
      <c r="BP44" s="438" t="e">
        <f t="shared" si="8"/>
        <v>#N/A</v>
      </c>
      <c r="BQ44" s="446" t="s">
        <v>449</v>
      </c>
      <c r="BR44" s="440">
        <v>1</v>
      </c>
      <c r="BS44" s="438" t="e">
        <f t="shared" ref="BS44:BX46" si="14">O51</f>
        <v>#N/A</v>
      </c>
      <c r="BT44" s="438">
        <f t="shared" si="14"/>
        <v>0.47750000000000004</v>
      </c>
      <c r="BU44" s="438" t="e">
        <f t="shared" si="14"/>
        <v>#N/A</v>
      </c>
      <c r="BV44" s="438" t="e">
        <f t="shared" si="14"/>
        <v>#N/A</v>
      </c>
      <c r="BW44" s="438">
        <f t="shared" si="14"/>
        <v>4.0999999999999981E-2</v>
      </c>
      <c r="BX44" s="438" t="e">
        <f t="shared" si="14"/>
        <v>#N/A</v>
      </c>
      <c r="BY44" s="440"/>
      <c r="BZ44" s="440">
        <v>2</v>
      </c>
      <c r="CA44" s="438" t="e">
        <f t="shared" si="13"/>
        <v>#N/A</v>
      </c>
      <c r="CB44" s="438">
        <f t="shared" si="13"/>
        <v>0.52150000000000007</v>
      </c>
      <c r="CC44" s="438" t="e">
        <f t="shared" si="13"/>
        <v>#N/A</v>
      </c>
      <c r="CD44" s="438" t="e">
        <f t="shared" si="13"/>
        <v>#N/A</v>
      </c>
      <c r="CE44" s="438">
        <f t="shared" si="13"/>
        <v>1.0000000000000009E-3</v>
      </c>
      <c r="CF44" s="438" t="e">
        <f t="shared" si="13"/>
        <v>#N/A</v>
      </c>
    </row>
    <row r="45" spans="1:84" ht="12.6" x14ac:dyDescent="0.45">
      <c r="A45" s="435" t="s">
        <v>451</v>
      </c>
      <c r="B45" s="436"/>
      <c r="C45" s="416">
        <f>C41-C42-C43-C44</f>
        <v>8.4499999999909647E-4</v>
      </c>
      <c r="E45" s="440"/>
      <c r="F45" s="441">
        <v>5</v>
      </c>
      <c r="G45" s="444">
        <f>IF('GRR AIAG GR&amp;R'!G12="","",'GRR AIAG GR&amp;R'!G12)</f>
        <v>0.52500000000000002</v>
      </c>
      <c r="H45" s="444">
        <f>IF('GRR AIAG GR&amp;R'!G13="","",'GRR AIAG GR&amp;R'!G13)</f>
        <v>0.52400000000000002</v>
      </c>
      <c r="I45" s="444" t="str">
        <f>IF('GRR AIAG GR&amp;R'!G14="","",'GRR AIAG GR&amp;R'!G14)</f>
        <v/>
      </c>
      <c r="K45" s="447">
        <f t="shared" si="11"/>
        <v>0.52449999999999997</v>
      </c>
      <c r="L45" s="447">
        <f t="shared" si="12"/>
        <v>1.0000000000000009E-3</v>
      </c>
      <c r="M45" s="448"/>
      <c r="N45" s="441">
        <v>5</v>
      </c>
      <c r="O45" s="438">
        <f t="shared" si="1"/>
        <v>0.52449999999999997</v>
      </c>
      <c r="P45" s="438" t="e">
        <f>NA()</f>
        <v>#N/A</v>
      </c>
      <c r="Q45" s="438" t="e">
        <f>NA()</f>
        <v>#N/A</v>
      </c>
      <c r="R45" s="438">
        <f t="shared" si="2"/>
        <v>1.0000000000000009E-3</v>
      </c>
      <c r="S45" s="438" t="e">
        <f>NA()</f>
        <v>#N/A</v>
      </c>
      <c r="T45" s="438" t="e">
        <f>NA()</f>
        <v>#N/A</v>
      </c>
      <c r="U45" s="448"/>
      <c r="V45" s="441">
        <v>5</v>
      </c>
      <c r="W45" s="438">
        <f t="shared" si="3"/>
        <v>0.52449999999999997</v>
      </c>
      <c r="X45" s="438" t="e">
        <f t="shared" si="3"/>
        <v>#N/A</v>
      </c>
      <c r="Y45" s="438" t="e">
        <f t="shared" si="3"/>
        <v>#N/A</v>
      </c>
      <c r="Z45" s="438">
        <f t="shared" si="3"/>
        <v>1.0000000000000009E-3</v>
      </c>
      <c r="AA45" s="438" t="e">
        <f t="shared" si="3"/>
        <v>#N/A</v>
      </c>
      <c r="AB45" s="438" t="e">
        <f t="shared" si="3"/>
        <v>#N/A</v>
      </c>
      <c r="AC45" s="448"/>
      <c r="AD45" s="441">
        <v>5</v>
      </c>
      <c r="AE45" s="438">
        <f t="shared" si="4"/>
        <v>0.52449999999999997</v>
      </c>
      <c r="AF45" s="438" t="e">
        <f t="shared" si="4"/>
        <v>#N/A</v>
      </c>
      <c r="AG45" s="438" t="e">
        <f t="shared" si="4"/>
        <v>#N/A</v>
      </c>
      <c r="AH45" s="438">
        <f t="shared" si="4"/>
        <v>1.0000000000000009E-3</v>
      </c>
      <c r="AI45" s="438" t="e">
        <f t="shared" si="4"/>
        <v>#N/A</v>
      </c>
      <c r="AJ45" s="438" t="e">
        <f t="shared" si="4"/>
        <v>#N/A</v>
      </c>
      <c r="AK45" s="448"/>
      <c r="AL45" s="440">
        <v>5</v>
      </c>
      <c r="AM45" s="438">
        <f t="shared" si="5"/>
        <v>0.52449999999999997</v>
      </c>
      <c r="AN45" s="438" t="e">
        <f t="shared" si="5"/>
        <v>#N/A</v>
      </c>
      <c r="AO45" s="438" t="e">
        <f t="shared" si="5"/>
        <v>#N/A</v>
      </c>
      <c r="AP45" s="438">
        <f t="shared" si="5"/>
        <v>1.0000000000000009E-3</v>
      </c>
      <c r="AQ45" s="438" t="e">
        <f t="shared" si="5"/>
        <v>#N/A</v>
      </c>
      <c r="AR45" s="438" t="e">
        <f t="shared" si="5"/>
        <v>#N/A</v>
      </c>
      <c r="AS45" s="448"/>
      <c r="AT45" s="440">
        <v>5</v>
      </c>
      <c r="AU45" s="438">
        <f t="shared" si="6"/>
        <v>0.52449999999999997</v>
      </c>
      <c r="AV45" s="438" t="e">
        <f t="shared" si="6"/>
        <v>#N/A</v>
      </c>
      <c r="AW45" s="438" t="e">
        <f t="shared" si="6"/>
        <v>#N/A</v>
      </c>
      <c r="AX45" s="438">
        <f t="shared" si="6"/>
        <v>1.0000000000000009E-3</v>
      </c>
      <c r="AY45" s="438" t="e">
        <f t="shared" si="6"/>
        <v>#N/A</v>
      </c>
      <c r="AZ45" s="438" t="e">
        <f t="shared" si="6"/>
        <v>#N/A</v>
      </c>
      <c r="BA45" s="448"/>
      <c r="BB45" s="440">
        <v>5</v>
      </c>
      <c r="BC45" s="438">
        <f t="shared" si="7"/>
        <v>0.52449999999999997</v>
      </c>
      <c r="BD45" s="438" t="e">
        <f t="shared" si="7"/>
        <v>#N/A</v>
      </c>
      <c r="BE45" s="438" t="e">
        <f t="shared" si="7"/>
        <v>#N/A</v>
      </c>
      <c r="BF45" s="438">
        <f t="shared" si="7"/>
        <v>1.0000000000000009E-3</v>
      </c>
      <c r="BG45" s="438" t="e">
        <f t="shared" si="7"/>
        <v>#N/A</v>
      </c>
      <c r="BH45" s="438" t="e">
        <f t="shared" si="7"/>
        <v>#N/A</v>
      </c>
      <c r="BI45" s="446" t="s">
        <v>449</v>
      </c>
      <c r="BJ45" s="440">
        <v>1</v>
      </c>
      <c r="BK45" s="438" t="e">
        <f t="shared" ref="BK45:BP48" si="15">O51</f>
        <v>#N/A</v>
      </c>
      <c r="BL45" s="438">
        <f t="shared" si="15"/>
        <v>0.47750000000000004</v>
      </c>
      <c r="BM45" s="438" t="e">
        <f t="shared" si="15"/>
        <v>#N/A</v>
      </c>
      <c r="BN45" s="438" t="e">
        <f t="shared" si="15"/>
        <v>#N/A</v>
      </c>
      <c r="BO45" s="438">
        <f t="shared" si="15"/>
        <v>4.0999999999999981E-2</v>
      </c>
      <c r="BP45" s="438" t="e">
        <f t="shared" si="15"/>
        <v>#N/A</v>
      </c>
      <c r="BQ45" s="440"/>
      <c r="BR45" s="440">
        <v>2</v>
      </c>
      <c r="BS45" s="438" t="e">
        <f t="shared" si="14"/>
        <v>#N/A</v>
      </c>
      <c r="BT45" s="438">
        <f t="shared" si="14"/>
        <v>0.52150000000000007</v>
      </c>
      <c r="BU45" s="438" t="e">
        <f t="shared" si="14"/>
        <v>#N/A</v>
      </c>
      <c r="BV45" s="438" t="e">
        <f t="shared" si="14"/>
        <v>#N/A</v>
      </c>
      <c r="BW45" s="438">
        <f t="shared" si="14"/>
        <v>1.0000000000000009E-3</v>
      </c>
      <c r="BX45" s="438" t="e">
        <f t="shared" si="14"/>
        <v>#N/A</v>
      </c>
      <c r="BY45" s="446" t="s">
        <v>452</v>
      </c>
      <c r="BZ45" s="440">
        <v>1</v>
      </c>
      <c r="CA45" s="438" t="e">
        <f t="shared" ref="CA45:CF46" si="16">O61</f>
        <v>#N/A</v>
      </c>
      <c r="CB45" s="438" t="e">
        <f t="shared" si="16"/>
        <v>#N/A</v>
      </c>
      <c r="CC45" s="438" t="e">
        <f t="shared" si="16"/>
        <v>#N/A</v>
      </c>
      <c r="CD45" s="438" t="e">
        <f t="shared" si="16"/>
        <v>#N/A</v>
      </c>
      <c r="CE45" s="438" t="e">
        <f t="shared" si="16"/>
        <v>#N/A</v>
      </c>
      <c r="CF45" s="438" t="e">
        <f t="shared" si="16"/>
        <v>#N/A</v>
      </c>
    </row>
    <row r="46" spans="1:84" ht="12.6" x14ac:dyDescent="0.45">
      <c r="A46" s="44"/>
      <c r="E46" s="440"/>
      <c r="F46" s="441">
        <v>6</v>
      </c>
      <c r="G46" s="444" t="str">
        <f>IF('GRR AIAG GR&amp;R'!H12="","",'GRR AIAG GR&amp;R'!H12)</f>
        <v/>
      </c>
      <c r="H46" s="444" t="str">
        <f>IF('GRR AIAG GR&amp;R'!H13="","",'GRR AIAG GR&amp;R'!H13)</f>
        <v/>
      </c>
      <c r="I46" s="444" t="str">
        <f>IF('GRR AIAG GR&amp;R'!H14="","",'GRR AIAG GR&amp;R'!H14)</f>
        <v/>
      </c>
      <c r="K46" s="447" t="str">
        <f t="shared" si="11"/>
        <v/>
      </c>
      <c r="L46" s="447" t="str">
        <f t="shared" si="12"/>
        <v/>
      </c>
      <c r="M46" s="448"/>
      <c r="N46" s="441">
        <v>6</v>
      </c>
      <c r="O46" s="438" t="e">
        <f t="shared" si="1"/>
        <v>#N/A</v>
      </c>
      <c r="P46" s="438" t="e">
        <f>NA()</f>
        <v>#N/A</v>
      </c>
      <c r="Q46" s="438" t="e">
        <f>NA()</f>
        <v>#N/A</v>
      </c>
      <c r="R46" s="438" t="e">
        <f t="shared" si="2"/>
        <v>#N/A</v>
      </c>
      <c r="S46" s="438" t="e">
        <f>NA()</f>
        <v>#N/A</v>
      </c>
      <c r="T46" s="438" t="e">
        <f>NA()</f>
        <v>#N/A</v>
      </c>
      <c r="U46" s="448"/>
      <c r="V46" s="441">
        <v>6</v>
      </c>
      <c r="W46" s="438" t="e">
        <f t="shared" si="3"/>
        <v>#N/A</v>
      </c>
      <c r="X46" s="438" t="e">
        <f t="shared" si="3"/>
        <v>#N/A</v>
      </c>
      <c r="Y46" s="438" t="e">
        <f t="shared" si="3"/>
        <v>#N/A</v>
      </c>
      <c r="Z46" s="438" t="e">
        <f t="shared" si="3"/>
        <v>#N/A</v>
      </c>
      <c r="AA46" s="438" t="e">
        <f t="shared" si="3"/>
        <v>#N/A</v>
      </c>
      <c r="AB46" s="438" t="e">
        <f t="shared" si="3"/>
        <v>#N/A</v>
      </c>
      <c r="AC46" s="448"/>
      <c r="AD46" s="441">
        <v>6</v>
      </c>
      <c r="AE46" s="438" t="e">
        <f t="shared" si="4"/>
        <v>#N/A</v>
      </c>
      <c r="AF46" s="438" t="e">
        <f t="shared" si="4"/>
        <v>#N/A</v>
      </c>
      <c r="AG46" s="438" t="e">
        <f t="shared" si="4"/>
        <v>#N/A</v>
      </c>
      <c r="AH46" s="438" t="e">
        <f t="shared" si="4"/>
        <v>#N/A</v>
      </c>
      <c r="AI46" s="438" t="e">
        <f t="shared" si="4"/>
        <v>#N/A</v>
      </c>
      <c r="AJ46" s="438" t="e">
        <f t="shared" si="4"/>
        <v>#N/A</v>
      </c>
      <c r="AK46" s="448"/>
      <c r="AL46" s="440">
        <v>6</v>
      </c>
      <c r="AM46" s="438" t="e">
        <f t="shared" si="5"/>
        <v>#N/A</v>
      </c>
      <c r="AN46" s="438" t="e">
        <f t="shared" si="5"/>
        <v>#N/A</v>
      </c>
      <c r="AO46" s="438" t="e">
        <f t="shared" si="5"/>
        <v>#N/A</v>
      </c>
      <c r="AP46" s="438" t="e">
        <f t="shared" si="5"/>
        <v>#N/A</v>
      </c>
      <c r="AQ46" s="438" t="e">
        <f t="shared" si="5"/>
        <v>#N/A</v>
      </c>
      <c r="AR46" s="438" t="e">
        <f t="shared" si="5"/>
        <v>#N/A</v>
      </c>
      <c r="AS46" s="448"/>
      <c r="AT46" s="440">
        <v>6</v>
      </c>
      <c r="AU46" s="438" t="e">
        <f t="shared" si="6"/>
        <v>#N/A</v>
      </c>
      <c r="AV46" s="438" t="e">
        <f t="shared" si="6"/>
        <v>#N/A</v>
      </c>
      <c r="AW46" s="438" t="e">
        <f t="shared" si="6"/>
        <v>#N/A</v>
      </c>
      <c r="AX46" s="438" t="e">
        <f t="shared" si="6"/>
        <v>#N/A</v>
      </c>
      <c r="AY46" s="438" t="e">
        <f t="shared" si="6"/>
        <v>#N/A</v>
      </c>
      <c r="AZ46" s="438" t="e">
        <f t="shared" si="6"/>
        <v>#N/A</v>
      </c>
      <c r="BA46" s="446" t="s">
        <v>449</v>
      </c>
      <c r="BB46" s="440">
        <v>1</v>
      </c>
      <c r="BC46" s="438" t="e">
        <f t="shared" ref="BC46:BH50" si="17">O51</f>
        <v>#N/A</v>
      </c>
      <c r="BD46" s="438">
        <f t="shared" si="17"/>
        <v>0.47750000000000004</v>
      </c>
      <c r="BE46" s="438" t="e">
        <f t="shared" si="17"/>
        <v>#N/A</v>
      </c>
      <c r="BF46" s="438" t="e">
        <f t="shared" si="17"/>
        <v>#N/A</v>
      </c>
      <c r="BG46" s="438">
        <f t="shared" si="17"/>
        <v>4.0999999999999981E-2</v>
      </c>
      <c r="BH46" s="438" t="e">
        <f t="shared" si="17"/>
        <v>#N/A</v>
      </c>
      <c r="BI46" s="440"/>
      <c r="BJ46" s="440">
        <v>2</v>
      </c>
      <c r="BK46" s="438" t="e">
        <f t="shared" si="15"/>
        <v>#N/A</v>
      </c>
      <c r="BL46" s="438">
        <f t="shared" si="15"/>
        <v>0.52150000000000007</v>
      </c>
      <c r="BM46" s="438" t="e">
        <f t="shared" si="15"/>
        <v>#N/A</v>
      </c>
      <c r="BN46" s="438" t="e">
        <f t="shared" si="15"/>
        <v>#N/A</v>
      </c>
      <c r="BO46" s="438">
        <f t="shared" si="15"/>
        <v>1.0000000000000009E-3</v>
      </c>
      <c r="BP46" s="438" t="e">
        <f t="shared" si="15"/>
        <v>#N/A</v>
      </c>
      <c r="BQ46" s="440"/>
      <c r="BR46" s="440">
        <v>3</v>
      </c>
      <c r="BS46" s="438" t="e">
        <f t="shared" si="14"/>
        <v>#N/A</v>
      </c>
      <c r="BT46" s="438">
        <f t="shared" si="14"/>
        <v>0.52200000000000002</v>
      </c>
      <c r="BU46" s="438" t="e">
        <f t="shared" si="14"/>
        <v>#N/A</v>
      </c>
      <c r="BV46" s="438" t="e">
        <f t="shared" si="14"/>
        <v>#N/A</v>
      </c>
      <c r="BW46" s="438">
        <f t="shared" si="14"/>
        <v>0</v>
      </c>
      <c r="BX46" s="438" t="e">
        <f t="shared" si="14"/>
        <v>#N/A</v>
      </c>
      <c r="BY46" s="440"/>
      <c r="BZ46" s="440">
        <v>2</v>
      </c>
      <c r="CA46" s="438" t="e">
        <f t="shared" si="16"/>
        <v>#N/A</v>
      </c>
      <c r="CB46" s="438" t="e">
        <f t="shared" si="16"/>
        <v>#N/A</v>
      </c>
      <c r="CC46" s="438" t="e">
        <f t="shared" si="16"/>
        <v>#N/A</v>
      </c>
      <c r="CD46" s="438" t="e">
        <f t="shared" si="16"/>
        <v>#N/A</v>
      </c>
      <c r="CE46" s="438" t="e">
        <f t="shared" si="16"/>
        <v>#N/A</v>
      </c>
      <c r="CF46" s="438" t="e">
        <f t="shared" si="16"/>
        <v>#N/A</v>
      </c>
    </row>
    <row r="47" spans="1:84" ht="12.6" x14ac:dyDescent="0.45">
      <c r="A47" s="44"/>
      <c r="E47" s="440"/>
      <c r="F47" s="441">
        <v>7</v>
      </c>
      <c r="G47" s="444" t="str">
        <f>IF('GRR AIAG GR&amp;R'!I12="","",'GRR AIAG GR&amp;R'!I12)</f>
        <v/>
      </c>
      <c r="H47" s="444" t="str">
        <f>IF('GRR AIAG GR&amp;R'!I13="","",'GRR AIAG GR&amp;R'!I13)</f>
        <v/>
      </c>
      <c r="I47" s="444" t="str">
        <f>IF('GRR AIAG GR&amp;R'!I14="","",'GRR AIAG GR&amp;R'!I14)</f>
        <v/>
      </c>
      <c r="K47" s="447" t="str">
        <f t="shared" si="11"/>
        <v/>
      </c>
      <c r="L47" s="447" t="str">
        <f t="shared" si="12"/>
        <v/>
      </c>
      <c r="M47" s="448"/>
      <c r="N47" s="441">
        <v>7</v>
      </c>
      <c r="O47" s="438" t="e">
        <f t="shared" si="1"/>
        <v>#N/A</v>
      </c>
      <c r="P47" s="438" t="e">
        <f>NA()</f>
        <v>#N/A</v>
      </c>
      <c r="Q47" s="438" t="e">
        <f>NA()</f>
        <v>#N/A</v>
      </c>
      <c r="R47" s="438" t="e">
        <f t="shared" si="2"/>
        <v>#N/A</v>
      </c>
      <c r="S47" s="438" t="e">
        <f>NA()</f>
        <v>#N/A</v>
      </c>
      <c r="T47" s="438" t="e">
        <f>NA()</f>
        <v>#N/A</v>
      </c>
      <c r="U47" s="448"/>
      <c r="V47" s="441">
        <v>7</v>
      </c>
      <c r="W47" s="438" t="e">
        <f t="shared" si="3"/>
        <v>#N/A</v>
      </c>
      <c r="X47" s="438" t="e">
        <f t="shared" si="3"/>
        <v>#N/A</v>
      </c>
      <c r="Y47" s="438" t="e">
        <f t="shared" si="3"/>
        <v>#N/A</v>
      </c>
      <c r="Z47" s="438" t="e">
        <f t="shared" si="3"/>
        <v>#N/A</v>
      </c>
      <c r="AA47" s="438" t="e">
        <f t="shared" si="3"/>
        <v>#N/A</v>
      </c>
      <c r="AB47" s="438" t="e">
        <f t="shared" si="3"/>
        <v>#N/A</v>
      </c>
      <c r="AC47" s="448"/>
      <c r="AD47" s="441">
        <v>7</v>
      </c>
      <c r="AE47" s="438" t="e">
        <f t="shared" si="4"/>
        <v>#N/A</v>
      </c>
      <c r="AF47" s="438" t="e">
        <f t="shared" si="4"/>
        <v>#N/A</v>
      </c>
      <c r="AG47" s="438" t="e">
        <f t="shared" si="4"/>
        <v>#N/A</v>
      </c>
      <c r="AH47" s="438" t="e">
        <f t="shared" si="4"/>
        <v>#N/A</v>
      </c>
      <c r="AI47" s="438" t="e">
        <f t="shared" si="4"/>
        <v>#N/A</v>
      </c>
      <c r="AJ47" s="438" t="e">
        <f t="shared" si="4"/>
        <v>#N/A</v>
      </c>
      <c r="AK47" s="448"/>
      <c r="AL47" s="440">
        <v>7</v>
      </c>
      <c r="AM47" s="438" t="e">
        <f t="shared" si="5"/>
        <v>#N/A</v>
      </c>
      <c r="AN47" s="438" t="e">
        <f t="shared" si="5"/>
        <v>#N/A</v>
      </c>
      <c r="AO47" s="438" t="e">
        <f t="shared" si="5"/>
        <v>#N/A</v>
      </c>
      <c r="AP47" s="438" t="e">
        <f t="shared" si="5"/>
        <v>#N/A</v>
      </c>
      <c r="AQ47" s="438" t="e">
        <f t="shared" si="5"/>
        <v>#N/A</v>
      </c>
      <c r="AR47" s="438" t="e">
        <f t="shared" si="5"/>
        <v>#N/A</v>
      </c>
      <c r="AS47" s="446" t="s">
        <v>449</v>
      </c>
      <c r="AT47" s="440">
        <v>1</v>
      </c>
      <c r="AU47" s="438" t="e">
        <f t="shared" ref="AU47:AZ52" si="18">O51</f>
        <v>#N/A</v>
      </c>
      <c r="AV47" s="438">
        <f t="shared" si="18"/>
        <v>0.47750000000000004</v>
      </c>
      <c r="AW47" s="438" t="e">
        <f t="shared" si="18"/>
        <v>#N/A</v>
      </c>
      <c r="AX47" s="438" t="e">
        <f t="shared" si="18"/>
        <v>#N/A</v>
      </c>
      <c r="AY47" s="438">
        <f t="shared" si="18"/>
        <v>4.0999999999999981E-2</v>
      </c>
      <c r="AZ47" s="438" t="e">
        <f t="shared" si="18"/>
        <v>#N/A</v>
      </c>
      <c r="BA47" s="440"/>
      <c r="BB47" s="440">
        <v>2</v>
      </c>
      <c r="BC47" s="438" t="e">
        <f t="shared" si="17"/>
        <v>#N/A</v>
      </c>
      <c r="BD47" s="438">
        <f t="shared" si="17"/>
        <v>0.52150000000000007</v>
      </c>
      <c r="BE47" s="438" t="e">
        <f t="shared" si="17"/>
        <v>#N/A</v>
      </c>
      <c r="BF47" s="438" t="e">
        <f t="shared" si="17"/>
        <v>#N/A</v>
      </c>
      <c r="BG47" s="438">
        <f t="shared" si="17"/>
        <v>1.0000000000000009E-3</v>
      </c>
      <c r="BH47" s="438" t="e">
        <f t="shared" si="17"/>
        <v>#N/A</v>
      </c>
      <c r="BI47" s="440"/>
      <c r="BJ47" s="440">
        <v>3</v>
      </c>
      <c r="BK47" s="438" t="e">
        <f t="shared" si="15"/>
        <v>#N/A</v>
      </c>
      <c r="BL47" s="438">
        <f t="shared" si="15"/>
        <v>0.52200000000000002</v>
      </c>
      <c r="BM47" s="438" t="e">
        <f t="shared" si="15"/>
        <v>#N/A</v>
      </c>
      <c r="BN47" s="438" t="e">
        <f t="shared" si="15"/>
        <v>#N/A</v>
      </c>
      <c r="BO47" s="438">
        <f t="shared" si="15"/>
        <v>0</v>
      </c>
      <c r="BP47" s="438" t="e">
        <f t="shared" si="15"/>
        <v>#N/A</v>
      </c>
      <c r="BQ47" s="446" t="s">
        <v>452</v>
      </c>
      <c r="BR47" s="440">
        <v>1</v>
      </c>
      <c r="BS47" s="438" t="e">
        <f t="shared" ref="BS47:BX49" si="19">O61</f>
        <v>#N/A</v>
      </c>
      <c r="BT47" s="438" t="e">
        <f t="shared" si="19"/>
        <v>#N/A</v>
      </c>
      <c r="BU47" s="438" t="e">
        <f t="shared" si="19"/>
        <v>#N/A</v>
      </c>
      <c r="BV47" s="438" t="e">
        <f t="shared" si="19"/>
        <v>#N/A</v>
      </c>
      <c r="BW47" s="438" t="e">
        <f t="shared" si="19"/>
        <v>#N/A</v>
      </c>
      <c r="BX47" s="438" t="e">
        <f t="shared" si="19"/>
        <v>#N/A</v>
      </c>
      <c r="BY47" s="440"/>
      <c r="BZ47" s="440"/>
      <c r="CA47" s="440" t="e">
        <f>NA()</f>
        <v>#N/A</v>
      </c>
      <c r="CB47" s="440" t="e">
        <f>NA()</f>
        <v>#N/A</v>
      </c>
      <c r="CC47" s="440" t="e">
        <f>NA()</f>
        <v>#N/A</v>
      </c>
      <c r="CD47" s="440" t="e">
        <f>NA()</f>
        <v>#N/A</v>
      </c>
      <c r="CE47" s="440" t="e">
        <f>NA()</f>
        <v>#N/A</v>
      </c>
      <c r="CF47" s="440" t="e">
        <f>NA()</f>
        <v>#N/A</v>
      </c>
    </row>
    <row r="48" spans="1:84" ht="12.6" x14ac:dyDescent="0.45">
      <c r="A48" s="44"/>
      <c r="E48" s="440"/>
      <c r="F48" s="441">
        <v>8</v>
      </c>
      <c r="G48" s="444" t="str">
        <f>IF('GRR AIAG GR&amp;R'!J12="","",'GRR AIAG GR&amp;R'!J12)</f>
        <v/>
      </c>
      <c r="H48" s="444" t="str">
        <f>IF('GRR AIAG GR&amp;R'!J13="","",'GRR AIAG GR&amp;R'!J13)</f>
        <v/>
      </c>
      <c r="I48" s="444" t="str">
        <f>IF('GRR AIAG GR&amp;R'!J14="","",'GRR AIAG GR&amp;R'!J14)</f>
        <v/>
      </c>
      <c r="K48" s="447" t="str">
        <f t="shared" si="11"/>
        <v/>
      </c>
      <c r="L48" s="447" t="str">
        <f t="shared" si="12"/>
        <v/>
      </c>
      <c r="M48" s="448"/>
      <c r="N48" s="441">
        <v>8</v>
      </c>
      <c r="O48" s="438" t="e">
        <f t="shared" si="1"/>
        <v>#N/A</v>
      </c>
      <c r="P48" s="438" t="e">
        <f>NA()</f>
        <v>#N/A</v>
      </c>
      <c r="Q48" s="438" t="e">
        <f>NA()</f>
        <v>#N/A</v>
      </c>
      <c r="R48" s="438" t="e">
        <f t="shared" si="2"/>
        <v>#N/A</v>
      </c>
      <c r="S48" s="438" t="e">
        <f>NA()</f>
        <v>#N/A</v>
      </c>
      <c r="T48" s="438" t="e">
        <f>NA()</f>
        <v>#N/A</v>
      </c>
      <c r="U48" s="448"/>
      <c r="V48" s="441">
        <v>8</v>
      </c>
      <c r="W48" s="438" t="e">
        <f t="shared" si="3"/>
        <v>#N/A</v>
      </c>
      <c r="X48" s="438" t="e">
        <f t="shared" si="3"/>
        <v>#N/A</v>
      </c>
      <c r="Y48" s="438" t="e">
        <f t="shared" si="3"/>
        <v>#N/A</v>
      </c>
      <c r="Z48" s="438" t="e">
        <f t="shared" si="3"/>
        <v>#N/A</v>
      </c>
      <c r="AA48" s="438" t="e">
        <f t="shared" si="3"/>
        <v>#N/A</v>
      </c>
      <c r="AB48" s="438" t="e">
        <f t="shared" si="3"/>
        <v>#N/A</v>
      </c>
      <c r="AC48" s="448"/>
      <c r="AD48" s="441">
        <v>8</v>
      </c>
      <c r="AE48" s="438" t="e">
        <f t="shared" si="4"/>
        <v>#N/A</v>
      </c>
      <c r="AF48" s="438" t="e">
        <f t="shared" si="4"/>
        <v>#N/A</v>
      </c>
      <c r="AG48" s="438" t="e">
        <f t="shared" si="4"/>
        <v>#N/A</v>
      </c>
      <c r="AH48" s="438" t="e">
        <f t="shared" si="4"/>
        <v>#N/A</v>
      </c>
      <c r="AI48" s="438" t="e">
        <f t="shared" si="4"/>
        <v>#N/A</v>
      </c>
      <c r="AJ48" s="438" t="e">
        <f t="shared" si="4"/>
        <v>#N/A</v>
      </c>
      <c r="AK48" s="446" t="s">
        <v>449</v>
      </c>
      <c r="AL48" s="440">
        <v>1</v>
      </c>
      <c r="AM48" s="438" t="e">
        <f t="shared" ref="AM48:AR54" si="20">O51</f>
        <v>#N/A</v>
      </c>
      <c r="AN48" s="438">
        <f t="shared" si="20"/>
        <v>0.47750000000000004</v>
      </c>
      <c r="AO48" s="438" t="e">
        <f t="shared" si="20"/>
        <v>#N/A</v>
      </c>
      <c r="AP48" s="438" t="e">
        <f t="shared" si="20"/>
        <v>#N/A</v>
      </c>
      <c r="AQ48" s="438">
        <f t="shared" si="20"/>
        <v>4.0999999999999981E-2</v>
      </c>
      <c r="AR48" s="438" t="e">
        <f t="shared" si="20"/>
        <v>#N/A</v>
      </c>
      <c r="AS48" s="440"/>
      <c r="AT48" s="440">
        <v>2</v>
      </c>
      <c r="AU48" s="438" t="e">
        <f t="shared" si="18"/>
        <v>#N/A</v>
      </c>
      <c r="AV48" s="438">
        <f t="shared" si="18"/>
        <v>0.52150000000000007</v>
      </c>
      <c r="AW48" s="438" t="e">
        <f t="shared" si="18"/>
        <v>#N/A</v>
      </c>
      <c r="AX48" s="438" t="e">
        <f t="shared" si="18"/>
        <v>#N/A</v>
      </c>
      <c r="AY48" s="438">
        <f t="shared" si="18"/>
        <v>1.0000000000000009E-3</v>
      </c>
      <c r="AZ48" s="438" t="e">
        <f t="shared" si="18"/>
        <v>#N/A</v>
      </c>
      <c r="BA48" s="440"/>
      <c r="BB48" s="440">
        <v>3</v>
      </c>
      <c r="BC48" s="438" t="e">
        <f t="shared" si="17"/>
        <v>#N/A</v>
      </c>
      <c r="BD48" s="438">
        <f t="shared" si="17"/>
        <v>0.52200000000000002</v>
      </c>
      <c r="BE48" s="438" t="e">
        <f t="shared" si="17"/>
        <v>#N/A</v>
      </c>
      <c r="BF48" s="438" t="e">
        <f t="shared" si="17"/>
        <v>#N/A</v>
      </c>
      <c r="BG48" s="438">
        <f t="shared" si="17"/>
        <v>0</v>
      </c>
      <c r="BH48" s="438" t="e">
        <f t="shared" si="17"/>
        <v>#N/A</v>
      </c>
      <c r="BI48" s="440"/>
      <c r="BJ48" s="440">
        <v>4</v>
      </c>
      <c r="BK48" s="438" t="e">
        <f t="shared" si="15"/>
        <v>#N/A</v>
      </c>
      <c r="BL48" s="438">
        <f t="shared" si="15"/>
        <v>0.52350000000000008</v>
      </c>
      <c r="BM48" s="438" t="e">
        <f t="shared" si="15"/>
        <v>#N/A</v>
      </c>
      <c r="BN48" s="438" t="e">
        <f t="shared" si="15"/>
        <v>#N/A</v>
      </c>
      <c r="BO48" s="438">
        <f t="shared" si="15"/>
        <v>1.0000000000000009E-3</v>
      </c>
      <c r="BP48" s="438" t="e">
        <f t="shared" si="15"/>
        <v>#N/A</v>
      </c>
      <c r="BQ48" s="440"/>
      <c r="BR48" s="440">
        <v>2</v>
      </c>
      <c r="BS48" s="445" t="e">
        <f t="shared" si="19"/>
        <v>#N/A</v>
      </c>
      <c r="BT48" s="445" t="e">
        <f t="shared" si="19"/>
        <v>#N/A</v>
      </c>
      <c r="BU48" s="445" t="e">
        <f t="shared" si="19"/>
        <v>#N/A</v>
      </c>
      <c r="BV48" s="445" t="e">
        <f t="shared" si="19"/>
        <v>#N/A</v>
      </c>
      <c r="BW48" s="445" t="e">
        <f t="shared" si="19"/>
        <v>#N/A</v>
      </c>
      <c r="BX48" s="445" t="e">
        <f t="shared" si="19"/>
        <v>#N/A</v>
      </c>
      <c r="BY48" s="440"/>
      <c r="BZ48" s="440"/>
      <c r="CA48" s="440" t="e">
        <f>NA()</f>
        <v>#N/A</v>
      </c>
      <c r="CB48" s="440" t="e">
        <f>NA()</f>
        <v>#N/A</v>
      </c>
      <c r="CC48" s="440" t="e">
        <f>NA()</f>
        <v>#N/A</v>
      </c>
      <c r="CD48" s="440" t="e">
        <f>NA()</f>
        <v>#N/A</v>
      </c>
      <c r="CE48" s="440" t="e">
        <f>NA()</f>
        <v>#N/A</v>
      </c>
      <c r="CF48" s="440" t="e">
        <f>NA()</f>
        <v>#N/A</v>
      </c>
    </row>
    <row r="49" spans="1:84" ht="12.6" x14ac:dyDescent="0.45">
      <c r="A49" s="44"/>
      <c r="E49" s="440"/>
      <c r="F49" s="441">
        <v>9</v>
      </c>
      <c r="G49" s="444" t="str">
        <f>IF('GRR AIAG GR&amp;R'!K12="","",'GRR AIAG GR&amp;R'!K12)</f>
        <v/>
      </c>
      <c r="H49" s="444" t="str">
        <f>IF('GRR AIAG GR&amp;R'!K13="","",'GRR AIAG GR&amp;R'!K13)</f>
        <v/>
      </c>
      <c r="I49" s="444" t="str">
        <f>IF('GRR AIAG GR&amp;R'!K14="","",'GRR AIAG GR&amp;R'!K14)</f>
        <v/>
      </c>
      <c r="K49" s="447" t="str">
        <f t="shared" si="11"/>
        <v/>
      </c>
      <c r="L49" s="447" t="str">
        <f t="shared" si="12"/>
        <v/>
      </c>
      <c r="M49" s="448"/>
      <c r="N49" s="441">
        <v>9</v>
      </c>
      <c r="O49" s="438" t="e">
        <f t="shared" si="1"/>
        <v>#N/A</v>
      </c>
      <c r="P49" s="438" t="e">
        <f>NA()</f>
        <v>#N/A</v>
      </c>
      <c r="Q49" s="438" t="e">
        <f>NA()</f>
        <v>#N/A</v>
      </c>
      <c r="R49" s="438" t="e">
        <f t="shared" si="2"/>
        <v>#N/A</v>
      </c>
      <c r="S49" s="438" t="e">
        <f>NA()</f>
        <v>#N/A</v>
      </c>
      <c r="T49" s="438" t="e">
        <f>NA()</f>
        <v>#N/A</v>
      </c>
      <c r="U49" s="448"/>
      <c r="V49" s="441">
        <v>9</v>
      </c>
      <c r="W49" s="438" t="e">
        <f t="shared" si="3"/>
        <v>#N/A</v>
      </c>
      <c r="X49" s="438" t="e">
        <f t="shared" si="3"/>
        <v>#N/A</v>
      </c>
      <c r="Y49" s="438" t="e">
        <f t="shared" si="3"/>
        <v>#N/A</v>
      </c>
      <c r="Z49" s="438" t="e">
        <f t="shared" si="3"/>
        <v>#N/A</v>
      </c>
      <c r="AA49" s="438" t="e">
        <f t="shared" si="3"/>
        <v>#N/A</v>
      </c>
      <c r="AB49" s="438" t="e">
        <f t="shared" si="3"/>
        <v>#N/A</v>
      </c>
      <c r="AC49" s="446" t="s">
        <v>449</v>
      </c>
      <c r="AD49" s="441">
        <v>1</v>
      </c>
      <c r="AE49" s="438" t="e">
        <f t="shared" ref="AE49:AJ56" si="21">O51</f>
        <v>#N/A</v>
      </c>
      <c r="AF49" s="438">
        <f t="shared" si="21"/>
        <v>0.47750000000000004</v>
      </c>
      <c r="AG49" s="438" t="e">
        <f t="shared" si="21"/>
        <v>#N/A</v>
      </c>
      <c r="AH49" s="438" t="e">
        <f t="shared" si="21"/>
        <v>#N/A</v>
      </c>
      <c r="AI49" s="438">
        <f t="shared" si="21"/>
        <v>4.0999999999999981E-2</v>
      </c>
      <c r="AJ49" s="438" t="e">
        <f t="shared" si="21"/>
        <v>#N/A</v>
      </c>
      <c r="AK49" s="440"/>
      <c r="AL49" s="440">
        <v>2</v>
      </c>
      <c r="AM49" s="438" t="e">
        <f t="shared" si="20"/>
        <v>#N/A</v>
      </c>
      <c r="AN49" s="438">
        <f t="shared" si="20"/>
        <v>0.52150000000000007</v>
      </c>
      <c r="AO49" s="438" t="e">
        <f t="shared" si="20"/>
        <v>#N/A</v>
      </c>
      <c r="AP49" s="438" t="e">
        <f t="shared" si="20"/>
        <v>#N/A</v>
      </c>
      <c r="AQ49" s="438">
        <f t="shared" si="20"/>
        <v>1.0000000000000009E-3</v>
      </c>
      <c r="AR49" s="438" t="e">
        <f t="shared" si="20"/>
        <v>#N/A</v>
      </c>
      <c r="AS49" s="440"/>
      <c r="AT49" s="440">
        <v>3</v>
      </c>
      <c r="AU49" s="438" t="e">
        <f t="shared" si="18"/>
        <v>#N/A</v>
      </c>
      <c r="AV49" s="438">
        <f t="shared" si="18"/>
        <v>0.52200000000000002</v>
      </c>
      <c r="AW49" s="438" t="e">
        <f t="shared" si="18"/>
        <v>#N/A</v>
      </c>
      <c r="AX49" s="438" t="e">
        <f t="shared" si="18"/>
        <v>#N/A</v>
      </c>
      <c r="AY49" s="438">
        <f t="shared" si="18"/>
        <v>0</v>
      </c>
      <c r="AZ49" s="438" t="e">
        <f t="shared" si="18"/>
        <v>#N/A</v>
      </c>
      <c r="BA49" s="440"/>
      <c r="BB49" s="440">
        <v>4</v>
      </c>
      <c r="BC49" s="438" t="e">
        <f t="shared" si="17"/>
        <v>#N/A</v>
      </c>
      <c r="BD49" s="438">
        <f t="shared" si="17"/>
        <v>0.52350000000000008</v>
      </c>
      <c r="BE49" s="438" t="e">
        <f t="shared" si="17"/>
        <v>#N/A</v>
      </c>
      <c r="BF49" s="438" t="e">
        <f t="shared" si="17"/>
        <v>#N/A</v>
      </c>
      <c r="BG49" s="438">
        <f t="shared" si="17"/>
        <v>1.0000000000000009E-3</v>
      </c>
      <c r="BH49" s="438" t="e">
        <f t="shared" si="17"/>
        <v>#N/A</v>
      </c>
      <c r="BI49" s="446" t="s">
        <v>452</v>
      </c>
      <c r="BJ49" s="440">
        <v>1</v>
      </c>
      <c r="BK49" s="438" t="e">
        <f t="shared" ref="BK49:BP52" si="22">O61</f>
        <v>#N/A</v>
      </c>
      <c r="BL49" s="438" t="e">
        <f t="shared" si="22"/>
        <v>#N/A</v>
      </c>
      <c r="BM49" s="438" t="e">
        <f t="shared" si="22"/>
        <v>#N/A</v>
      </c>
      <c r="BN49" s="438" t="e">
        <f t="shared" si="22"/>
        <v>#N/A</v>
      </c>
      <c r="BO49" s="438" t="e">
        <f t="shared" si="22"/>
        <v>#N/A</v>
      </c>
      <c r="BP49" s="438" t="e">
        <f t="shared" si="22"/>
        <v>#N/A</v>
      </c>
      <c r="BQ49" s="440"/>
      <c r="BR49" s="440">
        <v>3</v>
      </c>
      <c r="BS49" s="438" t="e">
        <f t="shared" si="19"/>
        <v>#N/A</v>
      </c>
      <c r="BT49" s="438" t="e">
        <f t="shared" si="19"/>
        <v>#N/A</v>
      </c>
      <c r="BU49" s="438" t="e">
        <f t="shared" si="19"/>
        <v>#N/A</v>
      </c>
      <c r="BV49" s="438" t="e">
        <f t="shared" si="19"/>
        <v>#N/A</v>
      </c>
      <c r="BW49" s="438" t="e">
        <f t="shared" si="19"/>
        <v>#N/A</v>
      </c>
      <c r="BX49" s="438" t="e">
        <f t="shared" si="19"/>
        <v>#N/A</v>
      </c>
      <c r="BY49" s="440"/>
      <c r="BZ49" s="440"/>
      <c r="CA49" s="440" t="e">
        <f>NA()</f>
        <v>#N/A</v>
      </c>
      <c r="CB49" s="440" t="e">
        <f>NA()</f>
        <v>#N/A</v>
      </c>
      <c r="CC49" s="440" t="e">
        <f>NA()</f>
        <v>#N/A</v>
      </c>
      <c r="CD49" s="440" t="e">
        <f>NA()</f>
        <v>#N/A</v>
      </c>
      <c r="CE49" s="440" t="e">
        <f>NA()</f>
        <v>#N/A</v>
      </c>
      <c r="CF49" s="440" t="e">
        <f>NA()</f>
        <v>#N/A</v>
      </c>
    </row>
    <row r="50" spans="1:84" ht="12.6" x14ac:dyDescent="0.45">
      <c r="A50" s="44"/>
      <c r="E50" s="440"/>
      <c r="F50" s="441">
        <v>10</v>
      </c>
      <c r="G50" s="444" t="str">
        <f>IF('GRR AIAG GR&amp;R'!L12="","",'GRR AIAG GR&amp;R'!L12)</f>
        <v/>
      </c>
      <c r="H50" s="444" t="str">
        <f>IF('GRR AIAG GR&amp;R'!L13="","",'GRR AIAG GR&amp;R'!L13)</f>
        <v/>
      </c>
      <c r="I50" s="444" t="str">
        <f>IF('GRR AIAG GR&amp;R'!L14="","",'GRR AIAG GR&amp;R'!L14)</f>
        <v/>
      </c>
      <c r="K50" s="449" t="str">
        <f t="shared" si="11"/>
        <v/>
      </c>
      <c r="L50" s="449" t="str">
        <f t="shared" si="12"/>
        <v/>
      </c>
      <c r="M50" s="448"/>
      <c r="N50" s="441">
        <v>10</v>
      </c>
      <c r="O50" s="438" t="e">
        <f t="shared" si="1"/>
        <v>#N/A</v>
      </c>
      <c r="P50" s="438" t="e">
        <f>NA()</f>
        <v>#N/A</v>
      </c>
      <c r="Q50" s="438" t="e">
        <f>NA()</f>
        <v>#N/A</v>
      </c>
      <c r="R50" s="438" t="e">
        <f t="shared" si="2"/>
        <v>#N/A</v>
      </c>
      <c r="S50" s="438" t="e">
        <f>NA()</f>
        <v>#N/A</v>
      </c>
      <c r="T50" s="438" t="e">
        <f>NA()</f>
        <v>#N/A</v>
      </c>
      <c r="U50" s="446" t="s">
        <v>449</v>
      </c>
      <c r="V50" s="441">
        <v>1</v>
      </c>
      <c r="W50" s="438" t="e">
        <f t="shared" ref="W50:AB58" si="23">O51</f>
        <v>#N/A</v>
      </c>
      <c r="X50" s="438">
        <f t="shared" si="23"/>
        <v>0.47750000000000004</v>
      </c>
      <c r="Y50" s="438" t="e">
        <f t="shared" si="23"/>
        <v>#N/A</v>
      </c>
      <c r="Z50" s="438" t="e">
        <f t="shared" si="23"/>
        <v>#N/A</v>
      </c>
      <c r="AA50" s="438">
        <f t="shared" si="23"/>
        <v>4.0999999999999981E-2</v>
      </c>
      <c r="AB50" s="438" t="e">
        <f t="shared" si="23"/>
        <v>#N/A</v>
      </c>
      <c r="AC50" s="440"/>
      <c r="AD50" s="441">
        <v>2</v>
      </c>
      <c r="AE50" s="438" t="e">
        <f t="shared" si="21"/>
        <v>#N/A</v>
      </c>
      <c r="AF50" s="438">
        <f t="shared" si="21"/>
        <v>0.52150000000000007</v>
      </c>
      <c r="AG50" s="438" t="e">
        <f t="shared" si="21"/>
        <v>#N/A</v>
      </c>
      <c r="AH50" s="438" t="e">
        <f t="shared" si="21"/>
        <v>#N/A</v>
      </c>
      <c r="AI50" s="438">
        <f t="shared" si="21"/>
        <v>1.0000000000000009E-3</v>
      </c>
      <c r="AJ50" s="438" t="e">
        <f t="shared" si="21"/>
        <v>#N/A</v>
      </c>
      <c r="AK50" s="440"/>
      <c r="AL50" s="440">
        <v>3</v>
      </c>
      <c r="AM50" s="438" t="e">
        <f t="shared" si="20"/>
        <v>#N/A</v>
      </c>
      <c r="AN50" s="438">
        <f t="shared" si="20"/>
        <v>0.52200000000000002</v>
      </c>
      <c r="AO50" s="438" t="e">
        <f t="shared" si="20"/>
        <v>#N/A</v>
      </c>
      <c r="AP50" s="438" t="e">
        <f t="shared" si="20"/>
        <v>#N/A</v>
      </c>
      <c r="AQ50" s="438">
        <f t="shared" si="20"/>
        <v>0</v>
      </c>
      <c r="AR50" s="438" t="e">
        <f t="shared" si="20"/>
        <v>#N/A</v>
      </c>
      <c r="AS50" s="440"/>
      <c r="AT50" s="440">
        <v>4</v>
      </c>
      <c r="AU50" s="438" t="e">
        <f t="shared" si="18"/>
        <v>#N/A</v>
      </c>
      <c r="AV50" s="438">
        <f t="shared" si="18"/>
        <v>0.52350000000000008</v>
      </c>
      <c r="AW50" s="438" t="e">
        <f t="shared" si="18"/>
        <v>#N/A</v>
      </c>
      <c r="AX50" s="438" t="e">
        <f t="shared" si="18"/>
        <v>#N/A</v>
      </c>
      <c r="AY50" s="438">
        <f t="shared" si="18"/>
        <v>1.0000000000000009E-3</v>
      </c>
      <c r="AZ50" s="438" t="e">
        <f t="shared" si="18"/>
        <v>#N/A</v>
      </c>
      <c r="BA50" s="440"/>
      <c r="BB50" s="440">
        <v>5</v>
      </c>
      <c r="BC50" s="438" t="e">
        <f t="shared" si="17"/>
        <v>#N/A</v>
      </c>
      <c r="BD50" s="438">
        <f t="shared" si="17"/>
        <v>0.52100000000000002</v>
      </c>
      <c r="BE50" s="438" t="e">
        <f t="shared" si="17"/>
        <v>#N/A</v>
      </c>
      <c r="BF50" s="438" t="e">
        <f t="shared" si="17"/>
        <v>#N/A</v>
      </c>
      <c r="BG50" s="438">
        <f t="shared" si="17"/>
        <v>0</v>
      </c>
      <c r="BH50" s="438" t="e">
        <f t="shared" si="17"/>
        <v>#N/A</v>
      </c>
      <c r="BI50" s="440"/>
      <c r="BJ50" s="440">
        <v>2</v>
      </c>
      <c r="BK50" s="438" t="e">
        <f t="shared" si="22"/>
        <v>#N/A</v>
      </c>
      <c r="BL50" s="438" t="e">
        <f t="shared" si="22"/>
        <v>#N/A</v>
      </c>
      <c r="BM50" s="438" t="e">
        <f t="shared" si="22"/>
        <v>#N/A</v>
      </c>
      <c r="BN50" s="438" t="e">
        <f t="shared" si="22"/>
        <v>#N/A</v>
      </c>
      <c r="BO50" s="438" t="e">
        <f t="shared" si="22"/>
        <v>#N/A</v>
      </c>
      <c r="BP50" s="438" t="e">
        <f t="shared" si="22"/>
        <v>#N/A</v>
      </c>
      <c r="BQ50" s="440"/>
      <c r="BR50" s="440"/>
      <c r="BS50" s="440" t="e">
        <f>NA()</f>
        <v>#N/A</v>
      </c>
      <c r="BT50" s="440" t="e">
        <f>NA()</f>
        <v>#N/A</v>
      </c>
      <c r="BU50" s="440" t="e">
        <f>NA()</f>
        <v>#N/A</v>
      </c>
      <c r="BV50" s="440" t="e">
        <f>NA()</f>
        <v>#N/A</v>
      </c>
      <c r="BW50" s="440" t="e">
        <f>NA()</f>
        <v>#N/A</v>
      </c>
      <c r="BX50" s="440" t="e">
        <f>NA()</f>
        <v>#N/A</v>
      </c>
      <c r="BY50" s="440"/>
      <c r="BZ50" s="440"/>
      <c r="CA50" s="440" t="e">
        <f>NA()</f>
        <v>#N/A</v>
      </c>
      <c r="CB50" s="440" t="e">
        <f>NA()</f>
        <v>#N/A</v>
      </c>
      <c r="CC50" s="440" t="e">
        <f>NA()</f>
        <v>#N/A</v>
      </c>
      <c r="CD50" s="440" t="e">
        <f>NA()</f>
        <v>#N/A</v>
      </c>
      <c r="CE50" s="440" t="e">
        <f>NA()</f>
        <v>#N/A</v>
      </c>
      <c r="CF50" s="440" t="e">
        <f>NA()</f>
        <v>#N/A</v>
      </c>
    </row>
    <row r="51" spans="1:84" ht="12.6" x14ac:dyDescent="0.45">
      <c r="A51" s="44"/>
      <c r="E51" s="443" t="s">
        <v>449</v>
      </c>
      <c r="F51" s="441">
        <v>1</v>
      </c>
      <c r="G51" s="444">
        <f>IF('GRR AIAG GR&amp;R'!C17="","",'GRR AIAG GR&amp;R'!C17)</f>
        <v>0.498</v>
      </c>
      <c r="H51" s="444">
        <f>IF('GRR AIAG GR&amp;R'!C18="","",'GRR AIAG GR&amp;R'!C18)</f>
        <v>0.45700000000000002</v>
      </c>
      <c r="I51" s="444" t="str">
        <f>IF('GRR AIAG GR&amp;R'!C19="","",'GRR AIAG GR&amp;R'!C19)</f>
        <v/>
      </c>
      <c r="K51" s="445">
        <f t="shared" si="11"/>
        <v>0.47750000000000004</v>
      </c>
      <c r="L51" s="445">
        <f t="shared" si="12"/>
        <v>4.0999999999999981E-2</v>
      </c>
      <c r="M51" s="446" t="s">
        <v>449</v>
      </c>
      <c r="N51" s="441">
        <v>1</v>
      </c>
      <c r="O51" s="438" t="e">
        <f>NA()</f>
        <v>#N/A</v>
      </c>
      <c r="P51" s="438">
        <f t="shared" ref="P51:P60" si="24">IF(G51="",NA(),K51)</f>
        <v>0.47750000000000004</v>
      </c>
      <c r="Q51" s="438" t="e">
        <f>NA()</f>
        <v>#N/A</v>
      </c>
      <c r="R51" s="438" t="e">
        <f>NA()</f>
        <v>#N/A</v>
      </c>
      <c r="S51" s="438">
        <f t="shared" ref="S51:S60" si="25">IF(G51="",NA(),L51)</f>
        <v>4.0999999999999981E-2</v>
      </c>
      <c r="T51" s="438" t="e">
        <f>NA()</f>
        <v>#N/A</v>
      </c>
      <c r="U51" s="440"/>
      <c r="V51" s="441">
        <v>2</v>
      </c>
      <c r="W51" s="438" t="e">
        <f t="shared" si="23"/>
        <v>#N/A</v>
      </c>
      <c r="X51" s="438">
        <f t="shared" si="23"/>
        <v>0.52150000000000007</v>
      </c>
      <c r="Y51" s="438" t="e">
        <f t="shared" si="23"/>
        <v>#N/A</v>
      </c>
      <c r="Z51" s="438" t="e">
        <f t="shared" si="23"/>
        <v>#N/A</v>
      </c>
      <c r="AA51" s="438">
        <f t="shared" si="23"/>
        <v>1.0000000000000009E-3</v>
      </c>
      <c r="AB51" s="438" t="e">
        <f t="shared" si="23"/>
        <v>#N/A</v>
      </c>
      <c r="AC51" s="440"/>
      <c r="AD51" s="441">
        <v>3</v>
      </c>
      <c r="AE51" s="438" t="e">
        <f t="shared" si="21"/>
        <v>#N/A</v>
      </c>
      <c r="AF51" s="438">
        <f t="shared" si="21"/>
        <v>0.52200000000000002</v>
      </c>
      <c r="AG51" s="438" t="e">
        <f t="shared" si="21"/>
        <v>#N/A</v>
      </c>
      <c r="AH51" s="438" t="e">
        <f t="shared" si="21"/>
        <v>#N/A</v>
      </c>
      <c r="AI51" s="438">
        <f t="shared" si="21"/>
        <v>0</v>
      </c>
      <c r="AJ51" s="438" t="e">
        <f t="shared" si="21"/>
        <v>#N/A</v>
      </c>
      <c r="AK51" s="440"/>
      <c r="AL51" s="440">
        <v>4</v>
      </c>
      <c r="AM51" s="438" t="e">
        <f t="shared" si="20"/>
        <v>#N/A</v>
      </c>
      <c r="AN51" s="438">
        <f t="shared" si="20"/>
        <v>0.52350000000000008</v>
      </c>
      <c r="AO51" s="438" t="e">
        <f t="shared" si="20"/>
        <v>#N/A</v>
      </c>
      <c r="AP51" s="438" t="e">
        <f t="shared" si="20"/>
        <v>#N/A</v>
      </c>
      <c r="AQ51" s="438">
        <f t="shared" si="20"/>
        <v>1.0000000000000009E-3</v>
      </c>
      <c r="AR51" s="438" t="e">
        <f t="shared" si="20"/>
        <v>#N/A</v>
      </c>
      <c r="AS51" s="440"/>
      <c r="AT51" s="440">
        <v>5</v>
      </c>
      <c r="AU51" s="438" t="e">
        <f t="shared" si="18"/>
        <v>#N/A</v>
      </c>
      <c r="AV51" s="438">
        <f t="shared" si="18"/>
        <v>0.52100000000000002</v>
      </c>
      <c r="AW51" s="438" t="e">
        <f t="shared" si="18"/>
        <v>#N/A</v>
      </c>
      <c r="AX51" s="438" t="e">
        <f t="shared" si="18"/>
        <v>#N/A</v>
      </c>
      <c r="AY51" s="438">
        <f t="shared" si="18"/>
        <v>0</v>
      </c>
      <c r="AZ51" s="438" t="e">
        <f t="shared" si="18"/>
        <v>#N/A</v>
      </c>
      <c r="BA51" s="446" t="s">
        <v>452</v>
      </c>
      <c r="BB51" s="440">
        <v>1</v>
      </c>
      <c r="BC51" s="438" t="e">
        <f t="shared" ref="BC51:BH55" si="26">O61</f>
        <v>#N/A</v>
      </c>
      <c r="BD51" s="438" t="e">
        <f t="shared" si="26"/>
        <v>#N/A</v>
      </c>
      <c r="BE51" s="438" t="e">
        <f t="shared" si="26"/>
        <v>#N/A</v>
      </c>
      <c r="BF51" s="438" t="e">
        <f t="shared" si="26"/>
        <v>#N/A</v>
      </c>
      <c r="BG51" s="438" t="e">
        <f t="shared" si="26"/>
        <v>#N/A</v>
      </c>
      <c r="BH51" s="438" t="e">
        <f t="shared" si="26"/>
        <v>#N/A</v>
      </c>
      <c r="BI51" s="440"/>
      <c r="BJ51" s="440">
        <v>3</v>
      </c>
      <c r="BK51" s="438" t="e">
        <f t="shared" si="22"/>
        <v>#N/A</v>
      </c>
      <c r="BL51" s="438" t="e">
        <f t="shared" si="22"/>
        <v>#N/A</v>
      </c>
      <c r="BM51" s="438" t="e">
        <f t="shared" si="22"/>
        <v>#N/A</v>
      </c>
      <c r="BN51" s="438" t="e">
        <f t="shared" si="22"/>
        <v>#N/A</v>
      </c>
      <c r="BO51" s="438" t="e">
        <f t="shared" si="22"/>
        <v>#N/A</v>
      </c>
      <c r="BP51" s="438" t="e">
        <f t="shared" si="22"/>
        <v>#N/A</v>
      </c>
      <c r="BQ51" s="440"/>
      <c r="BR51" s="440"/>
      <c r="BS51" s="440" t="e">
        <f>NA()</f>
        <v>#N/A</v>
      </c>
      <c r="BT51" s="440" t="e">
        <f>NA()</f>
        <v>#N/A</v>
      </c>
      <c r="BU51" s="440" t="e">
        <f>NA()</f>
        <v>#N/A</v>
      </c>
      <c r="BV51" s="440" t="e">
        <f>NA()</f>
        <v>#N/A</v>
      </c>
      <c r="BW51" s="440" t="e">
        <f>NA()</f>
        <v>#N/A</v>
      </c>
      <c r="BX51" s="440" t="e">
        <f>NA()</f>
        <v>#N/A</v>
      </c>
      <c r="BY51" s="440"/>
      <c r="BZ51" s="440"/>
      <c r="CA51" s="440" t="e">
        <f>NA()</f>
        <v>#N/A</v>
      </c>
      <c r="CB51" s="440" t="e">
        <f>NA()</f>
        <v>#N/A</v>
      </c>
      <c r="CC51" s="440" t="e">
        <f>NA()</f>
        <v>#N/A</v>
      </c>
      <c r="CD51" s="440" t="e">
        <f>NA()</f>
        <v>#N/A</v>
      </c>
      <c r="CE51" s="440" t="e">
        <f>NA()</f>
        <v>#N/A</v>
      </c>
      <c r="CF51" s="440" t="e">
        <f>NA()</f>
        <v>#N/A</v>
      </c>
    </row>
    <row r="52" spans="1:84" ht="12.6" x14ac:dyDescent="0.45">
      <c r="A52" s="44"/>
      <c r="E52" s="440"/>
      <c r="F52" s="441">
        <v>2</v>
      </c>
      <c r="G52" s="444">
        <f>IF('GRR AIAG GR&amp;R'!D17="","",'GRR AIAG GR&amp;R'!D17)</f>
        <v>0.52100000000000002</v>
      </c>
      <c r="H52" s="444">
        <f>IF('GRR AIAG GR&amp;R'!D18="","",'GRR AIAG GR&amp;R'!D18)</f>
        <v>0.52200000000000002</v>
      </c>
      <c r="I52" s="444" t="str">
        <f>IF('GRR AIAG GR&amp;R'!D19="","",'GRR AIAG GR&amp;R'!D19)</f>
        <v/>
      </c>
      <c r="K52" s="447">
        <f t="shared" si="11"/>
        <v>0.52150000000000007</v>
      </c>
      <c r="L52" s="447">
        <f t="shared" si="12"/>
        <v>1.0000000000000009E-3</v>
      </c>
      <c r="M52" s="448"/>
      <c r="N52" s="441">
        <v>2</v>
      </c>
      <c r="O52" s="438" t="e">
        <f>NA()</f>
        <v>#N/A</v>
      </c>
      <c r="P52" s="438">
        <f t="shared" si="24"/>
        <v>0.52150000000000007</v>
      </c>
      <c r="Q52" s="438" t="e">
        <f>NA()</f>
        <v>#N/A</v>
      </c>
      <c r="R52" s="438" t="e">
        <f>NA()</f>
        <v>#N/A</v>
      </c>
      <c r="S52" s="438">
        <f t="shared" si="25"/>
        <v>1.0000000000000009E-3</v>
      </c>
      <c r="T52" s="438" t="e">
        <f>NA()</f>
        <v>#N/A</v>
      </c>
      <c r="U52" s="448"/>
      <c r="V52" s="441">
        <v>3</v>
      </c>
      <c r="W52" s="438" t="e">
        <f t="shared" si="23"/>
        <v>#N/A</v>
      </c>
      <c r="X52" s="438">
        <f t="shared" si="23"/>
        <v>0.52200000000000002</v>
      </c>
      <c r="Y52" s="438" t="e">
        <f t="shared" si="23"/>
        <v>#N/A</v>
      </c>
      <c r="Z52" s="438" t="e">
        <f t="shared" si="23"/>
        <v>#N/A</v>
      </c>
      <c r="AA52" s="438">
        <f t="shared" si="23"/>
        <v>0</v>
      </c>
      <c r="AB52" s="438" t="e">
        <f t="shared" si="23"/>
        <v>#N/A</v>
      </c>
      <c r="AC52" s="448"/>
      <c r="AD52" s="441">
        <v>4</v>
      </c>
      <c r="AE52" s="438" t="e">
        <f t="shared" si="21"/>
        <v>#N/A</v>
      </c>
      <c r="AF52" s="438">
        <f t="shared" si="21"/>
        <v>0.52350000000000008</v>
      </c>
      <c r="AG52" s="438" t="e">
        <f t="shared" si="21"/>
        <v>#N/A</v>
      </c>
      <c r="AH52" s="438" t="e">
        <f t="shared" si="21"/>
        <v>#N/A</v>
      </c>
      <c r="AI52" s="438">
        <f t="shared" si="21"/>
        <v>1.0000000000000009E-3</v>
      </c>
      <c r="AJ52" s="438" t="e">
        <f t="shared" si="21"/>
        <v>#N/A</v>
      </c>
      <c r="AK52" s="448"/>
      <c r="AL52" s="440">
        <v>5</v>
      </c>
      <c r="AM52" s="438" t="e">
        <f t="shared" si="20"/>
        <v>#N/A</v>
      </c>
      <c r="AN52" s="438">
        <f t="shared" si="20"/>
        <v>0.52100000000000002</v>
      </c>
      <c r="AO52" s="438" t="e">
        <f t="shared" si="20"/>
        <v>#N/A</v>
      </c>
      <c r="AP52" s="438" t="e">
        <f t="shared" si="20"/>
        <v>#N/A</v>
      </c>
      <c r="AQ52" s="438">
        <f t="shared" si="20"/>
        <v>0</v>
      </c>
      <c r="AR52" s="438" t="e">
        <f t="shared" si="20"/>
        <v>#N/A</v>
      </c>
      <c r="AS52" s="448"/>
      <c r="AT52" s="440">
        <v>6</v>
      </c>
      <c r="AU52" s="438" t="e">
        <f t="shared" si="18"/>
        <v>#N/A</v>
      </c>
      <c r="AV52" s="438" t="e">
        <f t="shared" si="18"/>
        <v>#N/A</v>
      </c>
      <c r="AW52" s="438" t="e">
        <f t="shared" si="18"/>
        <v>#N/A</v>
      </c>
      <c r="AX52" s="438" t="e">
        <f t="shared" si="18"/>
        <v>#N/A</v>
      </c>
      <c r="AY52" s="438" t="e">
        <f t="shared" si="18"/>
        <v>#N/A</v>
      </c>
      <c r="AZ52" s="438" t="e">
        <f t="shared" si="18"/>
        <v>#N/A</v>
      </c>
      <c r="BA52" s="448"/>
      <c r="BB52" s="440">
        <v>2</v>
      </c>
      <c r="BC52" s="438" t="e">
        <f t="shared" si="26"/>
        <v>#N/A</v>
      </c>
      <c r="BD52" s="438" t="e">
        <f t="shared" si="26"/>
        <v>#N/A</v>
      </c>
      <c r="BE52" s="438" t="e">
        <f t="shared" si="26"/>
        <v>#N/A</v>
      </c>
      <c r="BF52" s="438" t="e">
        <f t="shared" si="26"/>
        <v>#N/A</v>
      </c>
      <c r="BG52" s="438" t="e">
        <f t="shared" si="26"/>
        <v>#N/A</v>
      </c>
      <c r="BH52" s="438" t="e">
        <f t="shared" si="26"/>
        <v>#N/A</v>
      </c>
      <c r="BI52" s="440"/>
      <c r="BJ52" s="440">
        <v>4</v>
      </c>
      <c r="BK52" s="438" t="e">
        <f t="shared" si="22"/>
        <v>#N/A</v>
      </c>
      <c r="BL52" s="438" t="e">
        <f t="shared" si="22"/>
        <v>#N/A</v>
      </c>
      <c r="BM52" s="438" t="e">
        <f t="shared" si="22"/>
        <v>#N/A</v>
      </c>
      <c r="BN52" s="438" t="e">
        <f t="shared" si="22"/>
        <v>#N/A</v>
      </c>
      <c r="BO52" s="438" t="e">
        <f t="shared" si="22"/>
        <v>#N/A</v>
      </c>
      <c r="BP52" s="438" t="e">
        <f t="shared" si="22"/>
        <v>#N/A</v>
      </c>
      <c r="BQ52" s="440"/>
      <c r="BR52" s="440"/>
      <c r="BS52" s="440" t="e">
        <f>NA()</f>
        <v>#N/A</v>
      </c>
      <c r="BT52" s="440" t="e">
        <f>NA()</f>
        <v>#N/A</v>
      </c>
      <c r="BU52" s="440" t="e">
        <f>NA()</f>
        <v>#N/A</v>
      </c>
      <c r="BV52" s="440" t="e">
        <f>NA()</f>
        <v>#N/A</v>
      </c>
      <c r="BW52" s="440" t="e">
        <f>NA()</f>
        <v>#N/A</v>
      </c>
      <c r="BX52" s="440" t="e">
        <f>NA()</f>
        <v>#N/A</v>
      </c>
      <c r="BY52" s="440"/>
      <c r="BZ52" s="440"/>
      <c r="CA52" s="440" t="e">
        <f>NA()</f>
        <v>#N/A</v>
      </c>
      <c r="CB52" s="440" t="e">
        <f>NA()</f>
        <v>#N/A</v>
      </c>
      <c r="CC52" s="440" t="e">
        <f>NA()</f>
        <v>#N/A</v>
      </c>
      <c r="CD52" s="440" t="e">
        <f>NA()</f>
        <v>#N/A</v>
      </c>
      <c r="CE52" s="440" t="e">
        <f>NA()</f>
        <v>#N/A</v>
      </c>
      <c r="CF52" s="440" t="e">
        <f>NA()</f>
        <v>#N/A</v>
      </c>
    </row>
    <row r="53" spans="1:84" ht="12.6" x14ac:dyDescent="0.45">
      <c r="A53" s="44"/>
      <c r="E53" s="440"/>
      <c r="F53" s="441">
        <v>3</v>
      </c>
      <c r="G53" s="444">
        <f>IF('GRR AIAG GR&amp;R'!E17="","",'GRR AIAG GR&amp;R'!E17)</f>
        <v>0.52200000000000002</v>
      </c>
      <c r="H53" s="444">
        <f>IF('GRR AIAG GR&amp;R'!E18="","",'GRR AIAG GR&amp;R'!E18)</f>
        <v>0.52200000000000002</v>
      </c>
      <c r="I53" s="444" t="str">
        <f>IF('GRR AIAG GR&amp;R'!E19="","",'GRR AIAG GR&amp;R'!E19)</f>
        <v/>
      </c>
      <c r="K53" s="447">
        <f t="shared" si="11"/>
        <v>0.52200000000000002</v>
      </c>
      <c r="L53" s="447">
        <f t="shared" si="12"/>
        <v>0</v>
      </c>
      <c r="M53" s="448"/>
      <c r="N53" s="441">
        <v>3</v>
      </c>
      <c r="O53" s="438" t="e">
        <f>NA()</f>
        <v>#N/A</v>
      </c>
      <c r="P53" s="438">
        <f t="shared" si="24"/>
        <v>0.52200000000000002</v>
      </c>
      <c r="Q53" s="438" t="e">
        <f>NA()</f>
        <v>#N/A</v>
      </c>
      <c r="R53" s="438" t="e">
        <f>NA()</f>
        <v>#N/A</v>
      </c>
      <c r="S53" s="438">
        <f t="shared" si="25"/>
        <v>0</v>
      </c>
      <c r="T53" s="438" t="e">
        <f>NA()</f>
        <v>#N/A</v>
      </c>
      <c r="U53" s="448"/>
      <c r="V53" s="441">
        <v>4</v>
      </c>
      <c r="W53" s="438" t="e">
        <f t="shared" si="23"/>
        <v>#N/A</v>
      </c>
      <c r="X53" s="438">
        <f t="shared" si="23"/>
        <v>0.52350000000000008</v>
      </c>
      <c r="Y53" s="438" t="e">
        <f t="shared" si="23"/>
        <v>#N/A</v>
      </c>
      <c r="Z53" s="438" t="e">
        <f t="shared" si="23"/>
        <v>#N/A</v>
      </c>
      <c r="AA53" s="438">
        <f t="shared" si="23"/>
        <v>1.0000000000000009E-3</v>
      </c>
      <c r="AB53" s="438" t="e">
        <f t="shared" si="23"/>
        <v>#N/A</v>
      </c>
      <c r="AC53" s="448"/>
      <c r="AD53" s="441">
        <v>5</v>
      </c>
      <c r="AE53" s="438" t="e">
        <f t="shared" si="21"/>
        <v>#N/A</v>
      </c>
      <c r="AF53" s="438">
        <f t="shared" si="21"/>
        <v>0.52100000000000002</v>
      </c>
      <c r="AG53" s="438" t="e">
        <f t="shared" si="21"/>
        <v>#N/A</v>
      </c>
      <c r="AH53" s="438" t="e">
        <f t="shared" si="21"/>
        <v>#N/A</v>
      </c>
      <c r="AI53" s="438">
        <f t="shared" si="21"/>
        <v>0</v>
      </c>
      <c r="AJ53" s="438" t="e">
        <f t="shared" si="21"/>
        <v>#N/A</v>
      </c>
      <c r="AK53" s="448"/>
      <c r="AL53" s="440">
        <v>6</v>
      </c>
      <c r="AM53" s="438" t="e">
        <f t="shared" si="20"/>
        <v>#N/A</v>
      </c>
      <c r="AN53" s="438" t="e">
        <f t="shared" si="20"/>
        <v>#N/A</v>
      </c>
      <c r="AO53" s="438" t="e">
        <f t="shared" si="20"/>
        <v>#N/A</v>
      </c>
      <c r="AP53" s="438" t="e">
        <f t="shared" si="20"/>
        <v>#N/A</v>
      </c>
      <c r="AQ53" s="438" t="e">
        <f t="shared" si="20"/>
        <v>#N/A</v>
      </c>
      <c r="AR53" s="438" t="e">
        <f t="shared" si="20"/>
        <v>#N/A</v>
      </c>
      <c r="AS53" s="446" t="s">
        <v>452</v>
      </c>
      <c r="AT53" s="440">
        <v>1</v>
      </c>
      <c r="AU53" s="438" t="e">
        <f t="shared" ref="AU53:AZ58" si="27">O61</f>
        <v>#N/A</v>
      </c>
      <c r="AV53" s="438" t="e">
        <f t="shared" si="27"/>
        <v>#N/A</v>
      </c>
      <c r="AW53" s="438" t="e">
        <f t="shared" si="27"/>
        <v>#N/A</v>
      </c>
      <c r="AX53" s="438" t="e">
        <f t="shared" si="27"/>
        <v>#N/A</v>
      </c>
      <c r="AY53" s="438" t="e">
        <f t="shared" si="27"/>
        <v>#N/A</v>
      </c>
      <c r="AZ53" s="438" t="e">
        <f t="shared" si="27"/>
        <v>#N/A</v>
      </c>
      <c r="BA53" s="440"/>
      <c r="BB53" s="440">
        <v>3</v>
      </c>
      <c r="BC53" s="438" t="e">
        <f t="shared" si="26"/>
        <v>#N/A</v>
      </c>
      <c r="BD53" s="438" t="e">
        <f t="shared" si="26"/>
        <v>#N/A</v>
      </c>
      <c r="BE53" s="438" t="e">
        <f t="shared" si="26"/>
        <v>#N/A</v>
      </c>
      <c r="BF53" s="438" t="e">
        <f t="shared" si="26"/>
        <v>#N/A</v>
      </c>
      <c r="BG53" s="438" t="e">
        <f t="shared" si="26"/>
        <v>#N/A</v>
      </c>
      <c r="BH53" s="438" t="e">
        <f t="shared" si="26"/>
        <v>#N/A</v>
      </c>
      <c r="BI53" s="440"/>
      <c r="BJ53" s="440"/>
      <c r="BK53" s="440" t="e">
        <f>NA()</f>
        <v>#N/A</v>
      </c>
      <c r="BL53" s="440" t="e">
        <f>NA()</f>
        <v>#N/A</v>
      </c>
      <c r="BM53" s="440" t="e">
        <f>NA()</f>
        <v>#N/A</v>
      </c>
      <c r="BN53" s="440" t="e">
        <f>NA()</f>
        <v>#N/A</v>
      </c>
      <c r="BO53" s="440" t="e">
        <f>NA()</f>
        <v>#N/A</v>
      </c>
      <c r="BP53" s="440" t="e">
        <f>NA()</f>
        <v>#N/A</v>
      </c>
      <c r="BQ53" s="440"/>
      <c r="BR53" s="440"/>
      <c r="BS53" s="440" t="e">
        <f>NA()</f>
        <v>#N/A</v>
      </c>
      <c r="BT53" s="440" t="e">
        <f>NA()</f>
        <v>#N/A</v>
      </c>
      <c r="BU53" s="440" t="e">
        <f>NA()</f>
        <v>#N/A</v>
      </c>
      <c r="BV53" s="440" t="e">
        <f>NA()</f>
        <v>#N/A</v>
      </c>
      <c r="BW53" s="440" t="e">
        <f>NA()</f>
        <v>#N/A</v>
      </c>
      <c r="BX53" s="440" t="e">
        <f>NA()</f>
        <v>#N/A</v>
      </c>
      <c r="BY53" s="440"/>
      <c r="BZ53" s="440"/>
      <c r="CA53" s="440" t="e">
        <f>NA()</f>
        <v>#N/A</v>
      </c>
      <c r="CB53" s="440" t="e">
        <f>NA()</f>
        <v>#N/A</v>
      </c>
      <c r="CC53" s="440" t="e">
        <f>NA()</f>
        <v>#N/A</v>
      </c>
      <c r="CD53" s="440" t="e">
        <f>NA()</f>
        <v>#N/A</v>
      </c>
      <c r="CE53" s="440" t="e">
        <f>NA()</f>
        <v>#N/A</v>
      </c>
      <c r="CF53" s="440" t="e">
        <f>NA()</f>
        <v>#N/A</v>
      </c>
    </row>
    <row r="54" spans="1:84" ht="12.6" x14ac:dyDescent="0.45">
      <c r="A54" s="44"/>
      <c r="E54" s="440"/>
      <c r="F54" s="441">
        <v>4</v>
      </c>
      <c r="G54" s="444">
        <f>IF('GRR AIAG GR&amp;R'!F17="","",'GRR AIAG GR&amp;R'!F17)</f>
        <v>0.52400000000000002</v>
      </c>
      <c r="H54" s="444">
        <f>IF('GRR AIAG GR&amp;R'!F18="","",'GRR AIAG GR&amp;R'!F18)</f>
        <v>0.52300000000000002</v>
      </c>
      <c r="I54" s="444" t="str">
        <f>IF('GRR AIAG GR&amp;R'!F19="","",'GRR AIAG GR&amp;R'!F19)</f>
        <v/>
      </c>
      <c r="K54" s="447">
        <f t="shared" si="11"/>
        <v>0.52350000000000008</v>
      </c>
      <c r="L54" s="447">
        <f t="shared" si="12"/>
        <v>1.0000000000000009E-3</v>
      </c>
      <c r="M54" s="448"/>
      <c r="N54" s="441">
        <v>4</v>
      </c>
      <c r="O54" s="438" t="e">
        <f>NA()</f>
        <v>#N/A</v>
      </c>
      <c r="P54" s="438">
        <f t="shared" si="24"/>
        <v>0.52350000000000008</v>
      </c>
      <c r="Q54" s="438" t="e">
        <f>NA()</f>
        <v>#N/A</v>
      </c>
      <c r="R54" s="438" t="e">
        <f>NA()</f>
        <v>#N/A</v>
      </c>
      <c r="S54" s="438">
        <f t="shared" si="25"/>
        <v>1.0000000000000009E-3</v>
      </c>
      <c r="T54" s="438" t="e">
        <f>NA()</f>
        <v>#N/A</v>
      </c>
      <c r="U54" s="448"/>
      <c r="V54" s="441">
        <v>5</v>
      </c>
      <c r="W54" s="438" t="e">
        <f t="shared" si="23"/>
        <v>#N/A</v>
      </c>
      <c r="X54" s="438">
        <f t="shared" si="23"/>
        <v>0.52100000000000002</v>
      </c>
      <c r="Y54" s="438" t="e">
        <f t="shared" si="23"/>
        <v>#N/A</v>
      </c>
      <c r="Z54" s="438" t="e">
        <f t="shared" si="23"/>
        <v>#N/A</v>
      </c>
      <c r="AA54" s="438">
        <f t="shared" si="23"/>
        <v>0</v>
      </c>
      <c r="AB54" s="438" t="e">
        <f t="shared" si="23"/>
        <v>#N/A</v>
      </c>
      <c r="AC54" s="448"/>
      <c r="AD54" s="441">
        <v>6</v>
      </c>
      <c r="AE54" s="438" t="e">
        <f t="shared" si="21"/>
        <v>#N/A</v>
      </c>
      <c r="AF54" s="438" t="e">
        <f t="shared" si="21"/>
        <v>#N/A</v>
      </c>
      <c r="AG54" s="438" t="e">
        <f t="shared" si="21"/>
        <v>#N/A</v>
      </c>
      <c r="AH54" s="438" t="e">
        <f t="shared" si="21"/>
        <v>#N/A</v>
      </c>
      <c r="AI54" s="438" t="e">
        <f t="shared" si="21"/>
        <v>#N/A</v>
      </c>
      <c r="AJ54" s="438" t="e">
        <f t="shared" si="21"/>
        <v>#N/A</v>
      </c>
      <c r="AK54" s="448"/>
      <c r="AL54" s="440">
        <v>7</v>
      </c>
      <c r="AM54" s="438" t="e">
        <f t="shared" si="20"/>
        <v>#N/A</v>
      </c>
      <c r="AN54" s="438" t="e">
        <f t="shared" si="20"/>
        <v>#N/A</v>
      </c>
      <c r="AO54" s="438" t="e">
        <f t="shared" si="20"/>
        <v>#N/A</v>
      </c>
      <c r="AP54" s="438" t="e">
        <f t="shared" si="20"/>
        <v>#N/A</v>
      </c>
      <c r="AQ54" s="438" t="e">
        <f t="shared" si="20"/>
        <v>#N/A</v>
      </c>
      <c r="AR54" s="438" t="e">
        <f t="shared" si="20"/>
        <v>#N/A</v>
      </c>
      <c r="AS54" s="448"/>
      <c r="AT54" s="440">
        <v>2</v>
      </c>
      <c r="AU54" s="438" t="e">
        <f t="shared" si="27"/>
        <v>#N/A</v>
      </c>
      <c r="AV54" s="438" t="e">
        <f t="shared" si="27"/>
        <v>#N/A</v>
      </c>
      <c r="AW54" s="438" t="e">
        <f t="shared" si="27"/>
        <v>#N/A</v>
      </c>
      <c r="AX54" s="438" t="e">
        <f t="shared" si="27"/>
        <v>#N/A</v>
      </c>
      <c r="AY54" s="438" t="e">
        <f t="shared" si="27"/>
        <v>#N/A</v>
      </c>
      <c r="AZ54" s="438" t="e">
        <f t="shared" si="27"/>
        <v>#N/A</v>
      </c>
      <c r="BA54" s="440"/>
      <c r="BB54" s="440">
        <v>4</v>
      </c>
      <c r="BC54" s="438" t="e">
        <f t="shared" si="26"/>
        <v>#N/A</v>
      </c>
      <c r="BD54" s="438" t="e">
        <f t="shared" si="26"/>
        <v>#N/A</v>
      </c>
      <c r="BE54" s="438" t="e">
        <f t="shared" si="26"/>
        <v>#N/A</v>
      </c>
      <c r="BF54" s="438" t="e">
        <f t="shared" si="26"/>
        <v>#N/A</v>
      </c>
      <c r="BG54" s="438" t="e">
        <f t="shared" si="26"/>
        <v>#N/A</v>
      </c>
      <c r="BH54" s="438" t="e">
        <f t="shared" si="26"/>
        <v>#N/A</v>
      </c>
      <c r="BI54" s="440"/>
      <c r="BJ54" s="440"/>
      <c r="BK54" s="440" t="e">
        <f>NA()</f>
        <v>#N/A</v>
      </c>
      <c r="BL54" s="440" t="e">
        <f>NA()</f>
        <v>#N/A</v>
      </c>
      <c r="BM54" s="440" t="e">
        <f>NA()</f>
        <v>#N/A</v>
      </c>
      <c r="BN54" s="440" t="e">
        <f>NA()</f>
        <v>#N/A</v>
      </c>
      <c r="BO54" s="440" t="e">
        <f>NA()</f>
        <v>#N/A</v>
      </c>
      <c r="BP54" s="440" t="e">
        <f>NA()</f>
        <v>#N/A</v>
      </c>
      <c r="BQ54" s="440"/>
      <c r="BR54" s="440"/>
      <c r="BS54" s="440" t="e">
        <f>NA()</f>
        <v>#N/A</v>
      </c>
      <c r="BT54" s="440" t="e">
        <f>NA()</f>
        <v>#N/A</v>
      </c>
      <c r="BU54" s="440" t="e">
        <f>NA()</f>
        <v>#N/A</v>
      </c>
      <c r="BV54" s="440" t="e">
        <f>NA()</f>
        <v>#N/A</v>
      </c>
      <c r="BW54" s="440" t="e">
        <f>NA()</f>
        <v>#N/A</v>
      </c>
      <c r="BX54" s="440" t="e">
        <f>NA()</f>
        <v>#N/A</v>
      </c>
      <c r="BY54" s="440"/>
      <c r="BZ54" s="440"/>
      <c r="CA54" s="440" t="e">
        <f>NA()</f>
        <v>#N/A</v>
      </c>
      <c r="CB54" s="440" t="e">
        <f>NA()</f>
        <v>#N/A</v>
      </c>
      <c r="CC54" s="440" t="e">
        <f>NA()</f>
        <v>#N/A</v>
      </c>
      <c r="CD54" s="440" t="e">
        <f>NA()</f>
        <v>#N/A</v>
      </c>
      <c r="CE54" s="440" t="e">
        <f>NA()</f>
        <v>#N/A</v>
      </c>
      <c r="CF54" s="440" t="e">
        <f>NA()</f>
        <v>#N/A</v>
      </c>
    </row>
    <row r="55" spans="1:84" ht="12.6" x14ac:dyDescent="0.45">
      <c r="A55" s="44"/>
      <c r="E55" s="440"/>
      <c r="F55" s="441">
        <v>5</v>
      </c>
      <c r="G55" s="444">
        <f>IF('GRR AIAG GR&amp;R'!G17="","",'GRR AIAG GR&amp;R'!G17)</f>
        <v>0.52100000000000002</v>
      </c>
      <c r="H55" s="444">
        <f>IF('GRR AIAG GR&amp;R'!G18="","",'GRR AIAG GR&amp;R'!G18)</f>
        <v>0.52100000000000002</v>
      </c>
      <c r="I55" s="444" t="str">
        <f>IF('GRR AIAG GR&amp;R'!G19="","",'GRR AIAG GR&amp;R'!G19)</f>
        <v/>
      </c>
      <c r="K55" s="447">
        <f t="shared" si="11"/>
        <v>0.52100000000000002</v>
      </c>
      <c r="L55" s="447">
        <f t="shared" si="12"/>
        <v>0</v>
      </c>
      <c r="M55" s="448"/>
      <c r="N55" s="441">
        <v>5</v>
      </c>
      <c r="O55" s="438" t="e">
        <f>NA()</f>
        <v>#N/A</v>
      </c>
      <c r="P55" s="438">
        <f t="shared" si="24"/>
        <v>0.52100000000000002</v>
      </c>
      <c r="Q55" s="438" t="e">
        <f>NA()</f>
        <v>#N/A</v>
      </c>
      <c r="R55" s="438" t="e">
        <f>NA()</f>
        <v>#N/A</v>
      </c>
      <c r="S55" s="438">
        <f t="shared" si="25"/>
        <v>0</v>
      </c>
      <c r="T55" s="438" t="e">
        <f>NA()</f>
        <v>#N/A</v>
      </c>
      <c r="U55" s="448"/>
      <c r="V55" s="441">
        <v>6</v>
      </c>
      <c r="W55" s="438" t="e">
        <f t="shared" si="23"/>
        <v>#N/A</v>
      </c>
      <c r="X55" s="438" t="e">
        <f t="shared" si="23"/>
        <v>#N/A</v>
      </c>
      <c r="Y55" s="438" t="e">
        <f t="shared" si="23"/>
        <v>#N/A</v>
      </c>
      <c r="Z55" s="438" t="e">
        <f t="shared" si="23"/>
        <v>#N/A</v>
      </c>
      <c r="AA55" s="438" t="e">
        <f t="shared" si="23"/>
        <v>#N/A</v>
      </c>
      <c r="AB55" s="438" t="e">
        <f t="shared" si="23"/>
        <v>#N/A</v>
      </c>
      <c r="AC55" s="448"/>
      <c r="AD55" s="441">
        <v>7</v>
      </c>
      <c r="AE55" s="438" t="e">
        <f t="shared" si="21"/>
        <v>#N/A</v>
      </c>
      <c r="AF55" s="438" t="e">
        <f t="shared" si="21"/>
        <v>#N/A</v>
      </c>
      <c r="AG55" s="438" t="e">
        <f t="shared" si="21"/>
        <v>#N/A</v>
      </c>
      <c r="AH55" s="438" t="e">
        <f t="shared" si="21"/>
        <v>#N/A</v>
      </c>
      <c r="AI55" s="438" t="e">
        <f t="shared" si="21"/>
        <v>#N/A</v>
      </c>
      <c r="AJ55" s="438" t="e">
        <f t="shared" si="21"/>
        <v>#N/A</v>
      </c>
      <c r="AK55" s="446" t="s">
        <v>452</v>
      </c>
      <c r="AL55" s="440">
        <v>1</v>
      </c>
      <c r="AM55" s="438" t="e">
        <f t="shared" ref="AM55:AR61" si="28">O61</f>
        <v>#N/A</v>
      </c>
      <c r="AN55" s="438" t="e">
        <f t="shared" si="28"/>
        <v>#N/A</v>
      </c>
      <c r="AO55" s="438" t="e">
        <f t="shared" si="28"/>
        <v>#N/A</v>
      </c>
      <c r="AP55" s="438" t="e">
        <f t="shared" si="28"/>
        <v>#N/A</v>
      </c>
      <c r="AQ55" s="438" t="e">
        <f t="shared" si="28"/>
        <v>#N/A</v>
      </c>
      <c r="AR55" s="438" t="e">
        <f t="shared" si="28"/>
        <v>#N/A</v>
      </c>
      <c r="AS55" s="440"/>
      <c r="AT55" s="440">
        <v>3</v>
      </c>
      <c r="AU55" s="438" t="e">
        <f t="shared" si="27"/>
        <v>#N/A</v>
      </c>
      <c r="AV55" s="438" t="e">
        <f t="shared" si="27"/>
        <v>#N/A</v>
      </c>
      <c r="AW55" s="438" t="e">
        <f t="shared" si="27"/>
        <v>#N/A</v>
      </c>
      <c r="AX55" s="438" t="e">
        <f t="shared" si="27"/>
        <v>#N/A</v>
      </c>
      <c r="AY55" s="438" t="e">
        <f t="shared" si="27"/>
        <v>#N/A</v>
      </c>
      <c r="AZ55" s="438" t="e">
        <f t="shared" si="27"/>
        <v>#N/A</v>
      </c>
      <c r="BA55" s="440"/>
      <c r="BB55" s="440">
        <v>5</v>
      </c>
      <c r="BC55" s="438" t="e">
        <f t="shared" si="26"/>
        <v>#N/A</v>
      </c>
      <c r="BD55" s="438" t="e">
        <f t="shared" si="26"/>
        <v>#N/A</v>
      </c>
      <c r="BE55" s="438" t="e">
        <f t="shared" si="26"/>
        <v>#N/A</v>
      </c>
      <c r="BF55" s="438" t="e">
        <f t="shared" si="26"/>
        <v>#N/A</v>
      </c>
      <c r="BG55" s="438" t="e">
        <f t="shared" si="26"/>
        <v>#N/A</v>
      </c>
      <c r="BH55" s="438" t="e">
        <f t="shared" si="26"/>
        <v>#N/A</v>
      </c>
      <c r="BI55" s="440"/>
      <c r="BJ55" s="440"/>
      <c r="BK55" s="440" t="e">
        <f>NA()</f>
        <v>#N/A</v>
      </c>
      <c r="BL55" s="440" t="e">
        <f>NA()</f>
        <v>#N/A</v>
      </c>
      <c r="BM55" s="440" t="e">
        <f>NA()</f>
        <v>#N/A</v>
      </c>
      <c r="BN55" s="440" t="e">
        <f>NA()</f>
        <v>#N/A</v>
      </c>
      <c r="BO55" s="440" t="e">
        <f>NA()</f>
        <v>#N/A</v>
      </c>
      <c r="BP55" s="440" t="e">
        <f>NA()</f>
        <v>#N/A</v>
      </c>
      <c r="BQ55" s="440"/>
      <c r="BR55" s="440"/>
      <c r="BS55" s="440" t="e">
        <f>NA()</f>
        <v>#N/A</v>
      </c>
      <c r="BT55" s="440" t="e">
        <f>NA()</f>
        <v>#N/A</v>
      </c>
      <c r="BU55" s="440" t="e">
        <f>NA()</f>
        <v>#N/A</v>
      </c>
      <c r="BV55" s="440" t="e">
        <f>NA()</f>
        <v>#N/A</v>
      </c>
      <c r="BW55" s="440" t="e">
        <f>NA()</f>
        <v>#N/A</v>
      </c>
      <c r="BX55" s="440" t="e">
        <f>NA()</f>
        <v>#N/A</v>
      </c>
      <c r="BY55" s="440"/>
      <c r="BZ55" s="440"/>
      <c r="CA55" s="440" t="e">
        <f>NA()</f>
        <v>#N/A</v>
      </c>
      <c r="CB55" s="440" t="e">
        <f>NA()</f>
        <v>#N/A</v>
      </c>
      <c r="CC55" s="440" t="e">
        <f>NA()</f>
        <v>#N/A</v>
      </c>
      <c r="CD55" s="440" t="e">
        <f>NA()</f>
        <v>#N/A</v>
      </c>
      <c r="CE55" s="440" t="e">
        <f>NA()</f>
        <v>#N/A</v>
      </c>
      <c r="CF55" s="440" t="e">
        <f>NA()</f>
        <v>#N/A</v>
      </c>
    </row>
    <row r="56" spans="1:84" ht="12.6" x14ac:dyDescent="0.45">
      <c r="A56" s="44"/>
      <c r="E56" s="440"/>
      <c r="F56" s="441">
        <v>6</v>
      </c>
      <c r="G56" s="444" t="str">
        <f>IF('GRR AIAG GR&amp;R'!H17="","",'GRR AIAG GR&amp;R'!H17)</f>
        <v/>
      </c>
      <c r="H56" s="444" t="str">
        <f>IF('GRR AIAG GR&amp;R'!H18="","",'GRR AIAG GR&amp;R'!H18)</f>
        <v/>
      </c>
      <c r="I56" s="444" t="str">
        <f>IF('GRR AIAG GR&amp;R'!H19="","",'GRR AIAG GR&amp;R'!H19)</f>
        <v/>
      </c>
      <c r="K56" s="447" t="str">
        <f t="shared" si="11"/>
        <v/>
      </c>
      <c r="L56" s="447" t="str">
        <f t="shared" si="12"/>
        <v/>
      </c>
      <c r="M56" s="448"/>
      <c r="N56" s="441">
        <v>6</v>
      </c>
      <c r="O56" s="438" t="e">
        <f>NA()</f>
        <v>#N/A</v>
      </c>
      <c r="P56" s="438" t="e">
        <f t="shared" si="24"/>
        <v>#N/A</v>
      </c>
      <c r="Q56" s="438" t="e">
        <f>NA()</f>
        <v>#N/A</v>
      </c>
      <c r="R56" s="438" t="e">
        <f>NA()</f>
        <v>#N/A</v>
      </c>
      <c r="S56" s="438" t="e">
        <f t="shared" si="25"/>
        <v>#N/A</v>
      </c>
      <c r="T56" s="438" t="e">
        <f>NA()</f>
        <v>#N/A</v>
      </c>
      <c r="U56" s="448"/>
      <c r="V56" s="441">
        <v>7</v>
      </c>
      <c r="W56" s="438" t="e">
        <f t="shared" si="23"/>
        <v>#N/A</v>
      </c>
      <c r="X56" s="438" t="e">
        <f t="shared" si="23"/>
        <v>#N/A</v>
      </c>
      <c r="Y56" s="438" t="e">
        <f t="shared" si="23"/>
        <v>#N/A</v>
      </c>
      <c r="Z56" s="438" t="e">
        <f t="shared" si="23"/>
        <v>#N/A</v>
      </c>
      <c r="AA56" s="438" t="e">
        <f t="shared" si="23"/>
        <v>#N/A</v>
      </c>
      <c r="AB56" s="438" t="e">
        <f t="shared" si="23"/>
        <v>#N/A</v>
      </c>
      <c r="AC56" s="448"/>
      <c r="AD56" s="441">
        <v>8</v>
      </c>
      <c r="AE56" s="438" t="e">
        <f t="shared" si="21"/>
        <v>#N/A</v>
      </c>
      <c r="AF56" s="438" t="e">
        <f t="shared" si="21"/>
        <v>#N/A</v>
      </c>
      <c r="AG56" s="438" t="e">
        <f t="shared" si="21"/>
        <v>#N/A</v>
      </c>
      <c r="AH56" s="438" t="e">
        <f t="shared" si="21"/>
        <v>#N/A</v>
      </c>
      <c r="AI56" s="438" t="e">
        <f t="shared" si="21"/>
        <v>#N/A</v>
      </c>
      <c r="AJ56" s="438" t="e">
        <f t="shared" si="21"/>
        <v>#N/A</v>
      </c>
      <c r="AK56" s="448"/>
      <c r="AL56" s="440">
        <v>2</v>
      </c>
      <c r="AM56" s="438" t="e">
        <f t="shared" si="28"/>
        <v>#N/A</v>
      </c>
      <c r="AN56" s="438" t="e">
        <f t="shared" si="28"/>
        <v>#N/A</v>
      </c>
      <c r="AO56" s="438" t="e">
        <f t="shared" si="28"/>
        <v>#N/A</v>
      </c>
      <c r="AP56" s="438" t="e">
        <f t="shared" si="28"/>
        <v>#N/A</v>
      </c>
      <c r="AQ56" s="438" t="e">
        <f t="shared" si="28"/>
        <v>#N/A</v>
      </c>
      <c r="AR56" s="438" t="e">
        <f t="shared" si="28"/>
        <v>#N/A</v>
      </c>
      <c r="AS56" s="440"/>
      <c r="AT56" s="440">
        <v>4</v>
      </c>
      <c r="AU56" s="438" t="e">
        <f t="shared" si="27"/>
        <v>#N/A</v>
      </c>
      <c r="AV56" s="438" t="e">
        <f t="shared" si="27"/>
        <v>#N/A</v>
      </c>
      <c r="AW56" s="438" t="e">
        <f t="shared" si="27"/>
        <v>#N/A</v>
      </c>
      <c r="AX56" s="438" t="e">
        <f t="shared" si="27"/>
        <v>#N/A</v>
      </c>
      <c r="AY56" s="438" t="e">
        <f t="shared" si="27"/>
        <v>#N/A</v>
      </c>
      <c r="AZ56" s="438" t="e">
        <f t="shared" si="27"/>
        <v>#N/A</v>
      </c>
      <c r="BA56" s="440"/>
      <c r="BB56" s="440"/>
      <c r="BC56" s="440" t="e">
        <f>NA()</f>
        <v>#N/A</v>
      </c>
      <c r="BD56" s="440" t="e">
        <f>NA()</f>
        <v>#N/A</v>
      </c>
      <c r="BE56" s="440" t="e">
        <f>NA()</f>
        <v>#N/A</v>
      </c>
      <c r="BF56" s="440" t="e">
        <f>NA()</f>
        <v>#N/A</v>
      </c>
      <c r="BG56" s="440" t="e">
        <f>NA()</f>
        <v>#N/A</v>
      </c>
      <c r="BH56" s="440" t="e">
        <f>NA()</f>
        <v>#N/A</v>
      </c>
      <c r="BI56" s="440"/>
      <c r="BJ56" s="440"/>
      <c r="BK56" s="440" t="e">
        <f>NA()</f>
        <v>#N/A</v>
      </c>
      <c r="BL56" s="440" t="e">
        <f>NA()</f>
        <v>#N/A</v>
      </c>
      <c r="BM56" s="440" t="e">
        <f>NA()</f>
        <v>#N/A</v>
      </c>
      <c r="BN56" s="440" t="e">
        <f>NA()</f>
        <v>#N/A</v>
      </c>
      <c r="BO56" s="440" t="e">
        <f>NA()</f>
        <v>#N/A</v>
      </c>
      <c r="BP56" s="440" t="e">
        <f>NA()</f>
        <v>#N/A</v>
      </c>
      <c r="BQ56" s="440"/>
      <c r="BR56" s="440"/>
      <c r="BS56" s="440" t="e">
        <f>NA()</f>
        <v>#N/A</v>
      </c>
      <c r="BT56" s="440" t="e">
        <f>NA()</f>
        <v>#N/A</v>
      </c>
      <c r="BU56" s="440" t="e">
        <f>NA()</f>
        <v>#N/A</v>
      </c>
      <c r="BV56" s="440" t="e">
        <f>NA()</f>
        <v>#N/A</v>
      </c>
      <c r="BW56" s="440" t="e">
        <f>NA()</f>
        <v>#N/A</v>
      </c>
      <c r="BX56" s="440" t="e">
        <f>NA()</f>
        <v>#N/A</v>
      </c>
      <c r="BY56" s="440"/>
      <c r="BZ56" s="440"/>
      <c r="CA56" s="440" t="e">
        <f>NA()</f>
        <v>#N/A</v>
      </c>
      <c r="CB56" s="440" t="e">
        <f>NA()</f>
        <v>#N/A</v>
      </c>
      <c r="CC56" s="440" t="e">
        <f>NA()</f>
        <v>#N/A</v>
      </c>
      <c r="CD56" s="440" t="e">
        <f>NA()</f>
        <v>#N/A</v>
      </c>
      <c r="CE56" s="440" t="e">
        <f>NA()</f>
        <v>#N/A</v>
      </c>
      <c r="CF56" s="440" t="e">
        <f>NA()</f>
        <v>#N/A</v>
      </c>
    </row>
    <row r="57" spans="1:84" ht="12.6" x14ac:dyDescent="0.45">
      <c r="A57" s="44"/>
      <c r="E57" s="440"/>
      <c r="F57" s="441">
        <v>7</v>
      </c>
      <c r="G57" s="444" t="str">
        <f>IF('GRR AIAG GR&amp;R'!I17="","",'GRR AIAG GR&amp;R'!I17)</f>
        <v/>
      </c>
      <c r="H57" s="444" t="str">
        <f>IF('GRR AIAG GR&amp;R'!I18="","",'GRR AIAG GR&amp;R'!I18)</f>
        <v/>
      </c>
      <c r="I57" s="444" t="str">
        <f>IF('GRR AIAG GR&amp;R'!I19="","",'GRR AIAG GR&amp;R'!I19)</f>
        <v/>
      </c>
      <c r="K57" s="447" t="str">
        <f t="shared" si="11"/>
        <v/>
      </c>
      <c r="L57" s="447" t="str">
        <f t="shared" si="12"/>
        <v/>
      </c>
      <c r="M57" s="448"/>
      <c r="N57" s="441">
        <v>7</v>
      </c>
      <c r="O57" s="438" t="e">
        <f>NA()</f>
        <v>#N/A</v>
      </c>
      <c r="P57" s="438" t="e">
        <f t="shared" si="24"/>
        <v>#N/A</v>
      </c>
      <c r="Q57" s="438" t="e">
        <f>NA()</f>
        <v>#N/A</v>
      </c>
      <c r="R57" s="438" t="e">
        <f>NA()</f>
        <v>#N/A</v>
      </c>
      <c r="S57" s="438" t="e">
        <f t="shared" si="25"/>
        <v>#N/A</v>
      </c>
      <c r="T57" s="438" t="e">
        <f>NA()</f>
        <v>#N/A</v>
      </c>
      <c r="U57" s="448"/>
      <c r="V57" s="441">
        <v>8</v>
      </c>
      <c r="W57" s="438" t="e">
        <f t="shared" si="23"/>
        <v>#N/A</v>
      </c>
      <c r="X57" s="438" t="e">
        <f t="shared" si="23"/>
        <v>#N/A</v>
      </c>
      <c r="Y57" s="438" t="e">
        <f t="shared" si="23"/>
        <v>#N/A</v>
      </c>
      <c r="Z57" s="438" t="e">
        <f t="shared" si="23"/>
        <v>#N/A</v>
      </c>
      <c r="AA57" s="438" t="e">
        <f t="shared" si="23"/>
        <v>#N/A</v>
      </c>
      <c r="AB57" s="438" t="e">
        <f t="shared" si="23"/>
        <v>#N/A</v>
      </c>
      <c r="AC57" s="446" t="s">
        <v>452</v>
      </c>
      <c r="AD57" s="441">
        <v>1</v>
      </c>
      <c r="AE57" s="438" t="e">
        <f t="shared" ref="AE57:AJ64" si="29">O61</f>
        <v>#N/A</v>
      </c>
      <c r="AF57" s="438" t="e">
        <f t="shared" si="29"/>
        <v>#N/A</v>
      </c>
      <c r="AG57" s="438" t="e">
        <f t="shared" si="29"/>
        <v>#N/A</v>
      </c>
      <c r="AH57" s="438" t="e">
        <f t="shared" si="29"/>
        <v>#N/A</v>
      </c>
      <c r="AI57" s="438" t="e">
        <f t="shared" si="29"/>
        <v>#N/A</v>
      </c>
      <c r="AJ57" s="438" t="e">
        <f t="shared" si="29"/>
        <v>#N/A</v>
      </c>
      <c r="AK57" s="440"/>
      <c r="AL57" s="440">
        <v>3</v>
      </c>
      <c r="AM57" s="438" t="e">
        <f t="shared" si="28"/>
        <v>#N/A</v>
      </c>
      <c r="AN57" s="438" t="e">
        <f t="shared" si="28"/>
        <v>#N/A</v>
      </c>
      <c r="AO57" s="438" t="e">
        <f t="shared" si="28"/>
        <v>#N/A</v>
      </c>
      <c r="AP57" s="438" t="e">
        <f t="shared" si="28"/>
        <v>#N/A</v>
      </c>
      <c r="AQ57" s="438" t="e">
        <f t="shared" si="28"/>
        <v>#N/A</v>
      </c>
      <c r="AR57" s="438" t="e">
        <f t="shared" si="28"/>
        <v>#N/A</v>
      </c>
      <c r="AS57" s="440"/>
      <c r="AT57" s="440">
        <v>5</v>
      </c>
      <c r="AU57" s="438" t="e">
        <f t="shared" si="27"/>
        <v>#N/A</v>
      </c>
      <c r="AV57" s="438" t="e">
        <f t="shared" si="27"/>
        <v>#N/A</v>
      </c>
      <c r="AW57" s="438" t="e">
        <f t="shared" si="27"/>
        <v>#N/A</v>
      </c>
      <c r="AX57" s="438" t="e">
        <f t="shared" si="27"/>
        <v>#N/A</v>
      </c>
      <c r="AY57" s="438" t="e">
        <f t="shared" si="27"/>
        <v>#N/A</v>
      </c>
      <c r="AZ57" s="438" t="e">
        <f t="shared" si="27"/>
        <v>#N/A</v>
      </c>
      <c r="BA57" s="440"/>
      <c r="BB57" s="440"/>
      <c r="BC57" s="440" t="e">
        <f>NA()</f>
        <v>#N/A</v>
      </c>
      <c r="BD57" s="440" t="e">
        <f>NA()</f>
        <v>#N/A</v>
      </c>
      <c r="BE57" s="440" t="e">
        <f>NA()</f>
        <v>#N/A</v>
      </c>
      <c r="BF57" s="440" t="e">
        <f>NA()</f>
        <v>#N/A</v>
      </c>
      <c r="BG57" s="440" t="e">
        <f>NA()</f>
        <v>#N/A</v>
      </c>
      <c r="BH57" s="440" t="e">
        <f>NA()</f>
        <v>#N/A</v>
      </c>
      <c r="BI57" s="440"/>
      <c r="BJ57" s="440"/>
      <c r="BK57" s="440" t="e">
        <f>NA()</f>
        <v>#N/A</v>
      </c>
      <c r="BL57" s="440" t="e">
        <f>NA()</f>
        <v>#N/A</v>
      </c>
      <c r="BM57" s="440" t="e">
        <f>NA()</f>
        <v>#N/A</v>
      </c>
      <c r="BN57" s="440" t="e">
        <f>NA()</f>
        <v>#N/A</v>
      </c>
      <c r="BO57" s="440" t="e">
        <f>NA()</f>
        <v>#N/A</v>
      </c>
      <c r="BP57" s="440" t="e">
        <f>NA()</f>
        <v>#N/A</v>
      </c>
      <c r="BQ57" s="440"/>
      <c r="BR57" s="440"/>
      <c r="BS57" s="440" t="e">
        <f>NA()</f>
        <v>#N/A</v>
      </c>
      <c r="BT57" s="440" t="e">
        <f>NA()</f>
        <v>#N/A</v>
      </c>
      <c r="BU57" s="440" t="e">
        <f>NA()</f>
        <v>#N/A</v>
      </c>
      <c r="BV57" s="440" t="e">
        <f>NA()</f>
        <v>#N/A</v>
      </c>
      <c r="BW57" s="440" t="e">
        <f>NA()</f>
        <v>#N/A</v>
      </c>
      <c r="BX57" s="440" t="e">
        <f>NA()</f>
        <v>#N/A</v>
      </c>
      <c r="BY57" s="440"/>
      <c r="BZ57" s="440"/>
      <c r="CA57" s="440" t="e">
        <f>NA()</f>
        <v>#N/A</v>
      </c>
      <c r="CB57" s="440" t="e">
        <f>NA()</f>
        <v>#N/A</v>
      </c>
      <c r="CC57" s="440" t="e">
        <f>NA()</f>
        <v>#N/A</v>
      </c>
      <c r="CD57" s="440" t="e">
        <f>NA()</f>
        <v>#N/A</v>
      </c>
      <c r="CE57" s="440" t="e">
        <f>NA()</f>
        <v>#N/A</v>
      </c>
      <c r="CF57" s="440" t="e">
        <f>NA()</f>
        <v>#N/A</v>
      </c>
    </row>
    <row r="58" spans="1:84" ht="12.6" x14ac:dyDescent="0.45">
      <c r="A58" s="44"/>
      <c r="E58" s="440"/>
      <c r="F58" s="441">
        <v>8</v>
      </c>
      <c r="G58" s="444" t="str">
        <f>IF('GRR AIAG GR&amp;R'!J17="","",'GRR AIAG GR&amp;R'!J17)</f>
        <v/>
      </c>
      <c r="H58" s="444" t="str">
        <f>IF('GRR AIAG GR&amp;R'!J18="","",'GRR AIAG GR&amp;R'!J18)</f>
        <v/>
      </c>
      <c r="I58" s="444" t="str">
        <f>IF('GRR AIAG GR&amp;R'!J19="","",'GRR AIAG GR&amp;R'!J19)</f>
        <v/>
      </c>
      <c r="K58" s="447" t="str">
        <f t="shared" si="11"/>
        <v/>
      </c>
      <c r="L58" s="447" t="str">
        <f t="shared" si="12"/>
        <v/>
      </c>
      <c r="M58" s="448"/>
      <c r="N58" s="441">
        <v>8</v>
      </c>
      <c r="O58" s="438" t="e">
        <f>NA()</f>
        <v>#N/A</v>
      </c>
      <c r="P58" s="438" t="e">
        <f t="shared" si="24"/>
        <v>#N/A</v>
      </c>
      <c r="Q58" s="438" t="e">
        <f>NA()</f>
        <v>#N/A</v>
      </c>
      <c r="R58" s="438" t="e">
        <f>NA()</f>
        <v>#N/A</v>
      </c>
      <c r="S58" s="438" t="e">
        <f t="shared" si="25"/>
        <v>#N/A</v>
      </c>
      <c r="T58" s="438" t="e">
        <f>NA()</f>
        <v>#N/A</v>
      </c>
      <c r="U58" s="448"/>
      <c r="V58" s="441">
        <v>9</v>
      </c>
      <c r="W58" s="438" t="e">
        <f t="shared" si="23"/>
        <v>#N/A</v>
      </c>
      <c r="X58" s="438" t="e">
        <f t="shared" si="23"/>
        <v>#N/A</v>
      </c>
      <c r="Y58" s="438" t="e">
        <f t="shared" si="23"/>
        <v>#N/A</v>
      </c>
      <c r="Z58" s="438" t="e">
        <f t="shared" si="23"/>
        <v>#N/A</v>
      </c>
      <c r="AA58" s="438" t="e">
        <f t="shared" si="23"/>
        <v>#N/A</v>
      </c>
      <c r="AB58" s="438" t="e">
        <f t="shared" si="23"/>
        <v>#N/A</v>
      </c>
      <c r="AC58" s="448"/>
      <c r="AD58" s="441">
        <v>2</v>
      </c>
      <c r="AE58" s="438" t="e">
        <f t="shared" si="29"/>
        <v>#N/A</v>
      </c>
      <c r="AF58" s="438" t="e">
        <f t="shared" si="29"/>
        <v>#N/A</v>
      </c>
      <c r="AG58" s="438" t="e">
        <f t="shared" si="29"/>
        <v>#N/A</v>
      </c>
      <c r="AH58" s="438" t="e">
        <f t="shared" si="29"/>
        <v>#N/A</v>
      </c>
      <c r="AI58" s="438" t="e">
        <f t="shared" si="29"/>
        <v>#N/A</v>
      </c>
      <c r="AJ58" s="438" t="e">
        <f t="shared" si="29"/>
        <v>#N/A</v>
      </c>
      <c r="AK58" s="440"/>
      <c r="AL58" s="440">
        <v>4</v>
      </c>
      <c r="AM58" s="438" t="e">
        <f t="shared" si="28"/>
        <v>#N/A</v>
      </c>
      <c r="AN58" s="438" t="e">
        <f t="shared" si="28"/>
        <v>#N/A</v>
      </c>
      <c r="AO58" s="438" t="e">
        <f t="shared" si="28"/>
        <v>#N/A</v>
      </c>
      <c r="AP58" s="438" t="e">
        <f t="shared" si="28"/>
        <v>#N/A</v>
      </c>
      <c r="AQ58" s="438" t="e">
        <f t="shared" si="28"/>
        <v>#N/A</v>
      </c>
      <c r="AR58" s="438" t="e">
        <f t="shared" si="28"/>
        <v>#N/A</v>
      </c>
      <c r="AS58" s="440"/>
      <c r="AT58" s="440">
        <v>6</v>
      </c>
      <c r="AU58" s="438" t="e">
        <f t="shared" si="27"/>
        <v>#N/A</v>
      </c>
      <c r="AV58" s="438" t="e">
        <f t="shared" si="27"/>
        <v>#N/A</v>
      </c>
      <c r="AW58" s="438" t="e">
        <f t="shared" si="27"/>
        <v>#N/A</v>
      </c>
      <c r="AX58" s="438" t="e">
        <f t="shared" si="27"/>
        <v>#N/A</v>
      </c>
      <c r="AY58" s="438" t="e">
        <f t="shared" si="27"/>
        <v>#N/A</v>
      </c>
      <c r="AZ58" s="438" t="e">
        <f t="shared" si="27"/>
        <v>#N/A</v>
      </c>
      <c r="BA58" s="440"/>
      <c r="BB58" s="440"/>
      <c r="BC58" s="440" t="e">
        <f>NA()</f>
        <v>#N/A</v>
      </c>
      <c r="BD58" s="440" t="e">
        <f>NA()</f>
        <v>#N/A</v>
      </c>
      <c r="BE58" s="440" t="e">
        <f>NA()</f>
        <v>#N/A</v>
      </c>
      <c r="BF58" s="440" t="e">
        <f>NA()</f>
        <v>#N/A</v>
      </c>
      <c r="BG58" s="440" t="e">
        <f>NA()</f>
        <v>#N/A</v>
      </c>
      <c r="BH58" s="440" t="e">
        <f>NA()</f>
        <v>#N/A</v>
      </c>
      <c r="BI58" s="440"/>
      <c r="BJ58" s="440"/>
      <c r="BK58" s="440" t="e">
        <f>NA()</f>
        <v>#N/A</v>
      </c>
      <c r="BL58" s="440" t="e">
        <f>NA()</f>
        <v>#N/A</v>
      </c>
      <c r="BM58" s="440" t="e">
        <f>NA()</f>
        <v>#N/A</v>
      </c>
      <c r="BN58" s="440" t="e">
        <f>NA()</f>
        <v>#N/A</v>
      </c>
      <c r="BO58" s="440" t="e">
        <f>NA()</f>
        <v>#N/A</v>
      </c>
      <c r="BP58" s="440" t="e">
        <f>NA()</f>
        <v>#N/A</v>
      </c>
      <c r="BQ58" s="440"/>
      <c r="BR58" s="440"/>
      <c r="BS58" s="440" t="e">
        <f>NA()</f>
        <v>#N/A</v>
      </c>
      <c r="BT58" s="440" t="e">
        <f>NA()</f>
        <v>#N/A</v>
      </c>
      <c r="BU58" s="440" t="e">
        <f>NA()</f>
        <v>#N/A</v>
      </c>
      <c r="BV58" s="440" t="e">
        <f>NA()</f>
        <v>#N/A</v>
      </c>
      <c r="BW58" s="440" t="e">
        <f>NA()</f>
        <v>#N/A</v>
      </c>
      <c r="BX58" s="440" t="e">
        <f>NA()</f>
        <v>#N/A</v>
      </c>
      <c r="BY58" s="440"/>
      <c r="BZ58" s="440"/>
      <c r="CA58" s="440" t="e">
        <f>NA()</f>
        <v>#N/A</v>
      </c>
      <c r="CB58" s="440" t="e">
        <f>NA()</f>
        <v>#N/A</v>
      </c>
      <c r="CC58" s="440" t="e">
        <f>NA()</f>
        <v>#N/A</v>
      </c>
      <c r="CD58" s="440" t="e">
        <f>NA()</f>
        <v>#N/A</v>
      </c>
      <c r="CE58" s="440" t="e">
        <f>NA()</f>
        <v>#N/A</v>
      </c>
      <c r="CF58" s="440" t="e">
        <f>NA()</f>
        <v>#N/A</v>
      </c>
    </row>
    <row r="59" spans="1:84" ht="12.6" x14ac:dyDescent="0.45">
      <c r="A59" s="44"/>
      <c r="E59" s="440"/>
      <c r="F59" s="441">
        <v>9</v>
      </c>
      <c r="G59" s="444" t="str">
        <f>IF('GRR AIAG GR&amp;R'!K17="","",'GRR AIAG GR&amp;R'!K17)</f>
        <v/>
      </c>
      <c r="H59" s="444" t="str">
        <f>IF('GRR AIAG GR&amp;R'!K18="","",'GRR AIAG GR&amp;R'!K18)</f>
        <v/>
      </c>
      <c r="I59" s="444" t="str">
        <f>IF('GRR AIAG GR&amp;R'!K19="","",'GRR AIAG GR&amp;R'!K19)</f>
        <v/>
      </c>
      <c r="K59" s="447" t="str">
        <f t="shared" si="11"/>
        <v/>
      </c>
      <c r="L59" s="447" t="str">
        <f t="shared" si="12"/>
        <v/>
      </c>
      <c r="M59" s="448"/>
      <c r="N59" s="441">
        <v>9</v>
      </c>
      <c r="O59" s="438" t="e">
        <f>NA()</f>
        <v>#N/A</v>
      </c>
      <c r="P59" s="438" t="e">
        <f t="shared" si="24"/>
        <v>#N/A</v>
      </c>
      <c r="Q59" s="438" t="e">
        <f>NA()</f>
        <v>#N/A</v>
      </c>
      <c r="R59" s="438" t="e">
        <f>NA()</f>
        <v>#N/A</v>
      </c>
      <c r="S59" s="438" t="e">
        <f t="shared" si="25"/>
        <v>#N/A</v>
      </c>
      <c r="T59" s="438" t="e">
        <f>NA()</f>
        <v>#N/A</v>
      </c>
      <c r="U59" s="446" t="s">
        <v>452</v>
      </c>
      <c r="V59" s="441">
        <v>1</v>
      </c>
      <c r="W59" s="438" t="e">
        <f t="shared" ref="W59:AB67" si="30">O61</f>
        <v>#N/A</v>
      </c>
      <c r="X59" s="438" t="e">
        <f t="shared" si="30"/>
        <v>#N/A</v>
      </c>
      <c r="Y59" s="438" t="e">
        <f t="shared" si="30"/>
        <v>#N/A</v>
      </c>
      <c r="Z59" s="438" t="e">
        <f t="shared" si="30"/>
        <v>#N/A</v>
      </c>
      <c r="AA59" s="438" t="e">
        <f t="shared" si="30"/>
        <v>#N/A</v>
      </c>
      <c r="AB59" s="438" t="e">
        <f t="shared" si="30"/>
        <v>#N/A</v>
      </c>
      <c r="AC59" s="440"/>
      <c r="AD59" s="441">
        <v>3</v>
      </c>
      <c r="AE59" s="438" t="e">
        <f t="shared" si="29"/>
        <v>#N/A</v>
      </c>
      <c r="AF59" s="438" t="e">
        <f t="shared" si="29"/>
        <v>#N/A</v>
      </c>
      <c r="AG59" s="438" t="e">
        <f t="shared" si="29"/>
        <v>#N/A</v>
      </c>
      <c r="AH59" s="438" t="e">
        <f t="shared" si="29"/>
        <v>#N/A</v>
      </c>
      <c r="AI59" s="438" t="e">
        <f t="shared" si="29"/>
        <v>#N/A</v>
      </c>
      <c r="AJ59" s="438" t="e">
        <f t="shared" si="29"/>
        <v>#N/A</v>
      </c>
      <c r="AK59" s="440"/>
      <c r="AL59" s="440">
        <v>5</v>
      </c>
      <c r="AM59" s="438" t="e">
        <f t="shared" si="28"/>
        <v>#N/A</v>
      </c>
      <c r="AN59" s="438" t="e">
        <f t="shared" si="28"/>
        <v>#N/A</v>
      </c>
      <c r="AO59" s="438" t="e">
        <f t="shared" si="28"/>
        <v>#N/A</v>
      </c>
      <c r="AP59" s="438" t="e">
        <f t="shared" si="28"/>
        <v>#N/A</v>
      </c>
      <c r="AQ59" s="438" t="e">
        <f t="shared" si="28"/>
        <v>#N/A</v>
      </c>
      <c r="AR59" s="438" t="e">
        <f t="shared" si="28"/>
        <v>#N/A</v>
      </c>
      <c r="AS59" s="440"/>
      <c r="AT59" s="440"/>
      <c r="AU59" s="440" t="e">
        <f>NA()</f>
        <v>#N/A</v>
      </c>
      <c r="AV59" s="440" t="e">
        <f>NA()</f>
        <v>#N/A</v>
      </c>
      <c r="AW59" s="440" t="e">
        <f>NA()</f>
        <v>#N/A</v>
      </c>
      <c r="AX59" s="440" t="e">
        <f>NA()</f>
        <v>#N/A</v>
      </c>
      <c r="AY59" s="440" t="e">
        <f>NA()</f>
        <v>#N/A</v>
      </c>
      <c r="AZ59" s="440" t="e">
        <f>NA()</f>
        <v>#N/A</v>
      </c>
      <c r="BA59" s="440"/>
      <c r="BB59" s="440"/>
      <c r="BC59" s="440" t="e">
        <f>NA()</f>
        <v>#N/A</v>
      </c>
      <c r="BD59" s="440" t="e">
        <f>NA()</f>
        <v>#N/A</v>
      </c>
      <c r="BE59" s="440" t="e">
        <f>NA()</f>
        <v>#N/A</v>
      </c>
      <c r="BF59" s="440" t="e">
        <f>NA()</f>
        <v>#N/A</v>
      </c>
      <c r="BG59" s="440" t="e">
        <f>NA()</f>
        <v>#N/A</v>
      </c>
      <c r="BH59" s="440" t="e">
        <f>NA()</f>
        <v>#N/A</v>
      </c>
      <c r="BI59" s="440"/>
      <c r="BJ59" s="440"/>
      <c r="BK59" s="440" t="e">
        <f>NA()</f>
        <v>#N/A</v>
      </c>
      <c r="BL59" s="440" t="e">
        <f>NA()</f>
        <v>#N/A</v>
      </c>
      <c r="BM59" s="440" t="e">
        <f>NA()</f>
        <v>#N/A</v>
      </c>
      <c r="BN59" s="440" t="e">
        <f>NA()</f>
        <v>#N/A</v>
      </c>
      <c r="BO59" s="440" t="e">
        <f>NA()</f>
        <v>#N/A</v>
      </c>
      <c r="BP59" s="440" t="e">
        <f>NA()</f>
        <v>#N/A</v>
      </c>
      <c r="BQ59" s="440"/>
      <c r="BR59" s="440"/>
      <c r="BS59" s="440" t="e">
        <f>NA()</f>
        <v>#N/A</v>
      </c>
      <c r="BT59" s="440" t="e">
        <f>NA()</f>
        <v>#N/A</v>
      </c>
      <c r="BU59" s="440" t="e">
        <f>NA()</f>
        <v>#N/A</v>
      </c>
      <c r="BV59" s="440" t="e">
        <f>NA()</f>
        <v>#N/A</v>
      </c>
      <c r="BW59" s="440" t="e">
        <f>NA()</f>
        <v>#N/A</v>
      </c>
      <c r="BX59" s="440" t="e">
        <f>NA()</f>
        <v>#N/A</v>
      </c>
      <c r="BY59" s="440"/>
      <c r="BZ59" s="440"/>
      <c r="CA59" s="440" t="e">
        <f>NA()</f>
        <v>#N/A</v>
      </c>
      <c r="CB59" s="440" t="e">
        <f>NA()</f>
        <v>#N/A</v>
      </c>
      <c r="CC59" s="440" t="e">
        <f>NA()</f>
        <v>#N/A</v>
      </c>
      <c r="CD59" s="440" t="e">
        <f>NA()</f>
        <v>#N/A</v>
      </c>
      <c r="CE59" s="440" t="e">
        <f>NA()</f>
        <v>#N/A</v>
      </c>
      <c r="CF59" s="440" t="e">
        <f>NA()</f>
        <v>#N/A</v>
      </c>
    </row>
    <row r="60" spans="1:84" ht="12.6" x14ac:dyDescent="0.45">
      <c r="A60" s="44"/>
      <c r="E60" s="440"/>
      <c r="F60" s="441">
        <v>10</v>
      </c>
      <c r="G60" s="444" t="str">
        <f>IF('GRR AIAG GR&amp;R'!L17="","",'GRR AIAG GR&amp;R'!L17)</f>
        <v/>
      </c>
      <c r="H60" s="444" t="str">
        <f>IF('GRR AIAG GR&amp;R'!L18="","",'GRR AIAG GR&amp;R'!L18)</f>
        <v/>
      </c>
      <c r="I60" s="444" t="str">
        <f>IF('GRR AIAG GR&amp;R'!L19="","",'GRR AIAG GR&amp;R'!L19)</f>
        <v/>
      </c>
      <c r="K60" s="449" t="str">
        <f t="shared" si="11"/>
        <v/>
      </c>
      <c r="L60" s="449" t="str">
        <f t="shared" si="12"/>
        <v/>
      </c>
      <c r="M60" s="448"/>
      <c r="N60" s="441">
        <v>10</v>
      </c>
      <c r="O60" s="438" t="e">
        <f>NA()</f>
        <v>#N/A</v>
      </c>
      <c r="P60" s="438" t="e">
        <f t="shared" si="24"/>
        <v>#N/A</v>
      </c>
      <c r="Q60" s="438" t="e">
        <f>NA()</f>
        <v>#N/A</v>
      </c>
      <c r="R60" s="438" t="e">
        <f>NA()</f>
        <v>#N/A</v>
      </c>
      <c r="S60" s="438" t="e">
        <f t="shared" si="25"/>
        <v>#N/A</v>
      </c>
      <c r="T60" s="438" t="e">
        <f>NA()</f>
        <v>#N/A</v>
      </c>
      <c r="U60" s="448"/>
      <c r="V60" s="441">
        <v>2</v>
      </c>
      <c r="W60" s="438" t="e">
        <f t="shared" si="30"/>
        <v>#N/A</v>
      </c>
      <c r="X60" s="438" t="e">
        <f t="shared" si="30"/>
        <v>#N/A</v>
      </c>
      <c r="Y60" s="438" t="e">
        <f t="shared" si="30"/>
        <v>#N/A</v>
      </c>
      <c r="Z60" s="438" t="e">
        <f t="shared" si="30"/>
        <v>#N/A</v>
      </c>
      <c r="AA60" s="438" t="e">
        <f t="shared" si="30"/>
        <v>#N/A</v>
      </c>
      <c r="AB60" s="438" t="e">
        <f t="shared" si="30"/>
        <v>#N/A</v>
      </c>
      <c r="AC60" s="440"/>
      <c r="AD60" s="441">
        <v>4</v>
      </c>
      <c r="AE60" s="438" t="e">
        <f t="shared" si="29"/>
        <v>#N/A</v>
      </c>
      <c r="AF60" s="438" t="e">
        <f t="shared" si="29"/>
        <v>#N/A</v>
      </c>
      <c r="AG60" s="438" t="e">
        <f t="shared" si="29"/>
        <v>#N/A</v>
      </c>
      <c r="AH60" s="438" t="e">
        <f t="shared" si="29"/>
        <v>#N/A</v>
      </c>
      <c r="AI60" s="438" t="e">
        <f t="shared" si="29"/>
        <v>#N/A</v>
      </c>
      <c r="AJ60" s="438" t="e">
        <f t="shared" si="29"/>
        <v>#N/A</v>
      </c>
      <c r="AK60" s="440"/>
      <c r="AL60" s="440">
        <v>6</v>
      </c>
      <c r="AM60" s="438" t="e">
        <f t="shared" si="28"/>
        <v>#N/A</v>
      </c>
      <c r="AN60" s="438" t="e">
        <f t="shared" si="28"/>
        <v>#N/A</v>
      </c>
      <c r="AO60" s="438" t="e">
        <f t="shared" si="28"/>
        <v>#N/A</v>
      </c>
      <c r="AP60" s="438" t="e">
        <f t="shared" si="28"/>
        <v>#N/A</v>
      </c>
      <c r="AQ60" s="438" t="e">
        <f t="shared" si="28"/>
        <v>#N/A</v>
      </c>
      <c r="AR60" s="438" t="e">
        <f t="shared" si="28"/>
        <v>#N/A</v>
      </c>
      <c r="AS60" s="440"/>
      <c r="AT60" s="440"/>
      <c r="AU60" s="440" t="e">
        <f>NA()</f>
        <v>#N/A</v>
      </c>
      <c r="AV60" s="440" t="e">
        <f>NA()</f>
        <v>#N/A</v>
      </c>
      <c r="AW60" s="440" t="e">
        <f>NA()</f>
        <v>#N/A</v>
      </c>
      <c r="AX60" s="440" t="e">
        <f>NA()</f>
        <v>#N/A</v>
      </c>
      <c r="AY60" s="440" t="e">
        <f>NA()</f>
        <v>#N/A</v>
      </c>
      <c r="AZ60" s="440" t="e">
        <f>NA()</f>
        <v>#N/A</v>
      </c>
      <c r="BA60" s="440"/>
      <c r="BB60" s="440"/>
      <c r="BC60" s="440" t="e">
        <f>NA()</f>
        <v>#N/A</v>
      </c>
      <c r="BD60" s="440" t="e">
        <f>NA()</f>
        <v>#N/A</v>
      </c>
      <c r="BE60" s="440" t="e">
        <f>NA()</f>
        <v>#N/A</v>
      </c>
      <c r="BF60" s="440" t="e">
        <f>NA()</f>
        <v>#N/A</v>
      </c>
      <c r="BG60" s="440" t="e">
        <f>NA()</f>
        <v>#N/A</v>
      </c>
      <c r="BH60" s="440" t="e">
        <f>NA()</f>
        <v>#N/A</v>
      </c>
      <c r="BI60" s="440"/>
      <c r="BJ60" s="440"/>
      <c r="BK60" s="440" t="e">
        <f>NA()</f>
        <v>#N/A</v>
      </c>
      <c r="BL60" s="440" t="e">
        <f>NA()</f>
        <v>#N/A</v>
      </c>
      <c r="BM60" s="440" t="e">
        <f>NA()</f>
        <v>#N/A</v>
      </c>
      <c r="BN60" s="440" t="e">
        <f>NA()</f>
        <v>#N/A</v>
      </c>
      <c r="BO60" s="440" t="e">
        <f>NA()</f>
        <v>#N/A</v>
      </c>
      <c r="BP60" s="440" t="e">
        <f>NA()</f>
        <v>#N/A</v>
      </c>
      <c r="BQ60" s="440"/>
      <c r="BR60" s="440"/>
      <c r="BS60" s="440" t="e">
        <f>NA()</f>
        <v>#N/A</v>
      </c>
      <c r="BT60" s="440" t="e">
        <f>NA()</f>
        <v>#N/A</v>
      </c>
      <c r="BU60" s="440" t="e">
        <f>NA()</f>
        <v>#N/A</v>
      </c>
      <c r="BV60" s="440" t="e">
        <f>NA()</f>
        <v>#N/A</v>
      </c>
      <c r="BW60" s="440" t="e">
        <f>NA()</f>
        <v>#N/A</v>
      </c>
      <c r="BX60" s="440" t="e">
        <f>NA()</f>
        <v>#N/A</v>
      </c>
      <c r="BY60" s="440"/>
      <c r="BZ60" s="440"/>
      <c r="CA60" s="440" t="e">
        <f>NA()</f>
        <v>#N/A</v>
      </c>
      <c r="CB60" s="440" t="e">
        <f>NA()</f>
        <v>#N/A</v>
      </c>
      <c r="CC60" s="440" t="e">
        <f>NA()</f>
        <v>#N/A</v>
      </c>
      <c r="CD60" s="440" t="e">
        <f>NA()</f>
        <v>#N/A</v>
      </c>
      <c r="CE60" s="440" t="e">
        <f>NA()</f>
        <v>#N/A</v>
      </c>
      <c r="CF60" s="440" t="e">
        <f>NA()</f>
        <v>#N/A</v>
      </c>
    </row>
    <row r="61" spans="1:84" ht="12.6" x14ac:dyDescent="0.45">
      <c r="A61" s="44"/>
      <c r="E61" s="443" t="s">
        <v>452</v>
      </c>
      <c r="F61" s="441">
        <v>1</v>
      </c>
      <c r="G61" s="444" t="str">
        <f>IF('GRR AIAG GR&amp;R'!C22="","",'GRR AIAG GR&amp;R'!C22)</f>
        <v/>
      </c>
      <c r="H61" s="444" t="str">
        <f>IF('GRR AIAG GR&amp;R'!C23="","",'GRR AIAG GR&amp;R'!C23)</f>
        <v/>
      </c>
      <c r="I61" s="444" t="str">
        <f>IF('GRR AIAG GR&amp;R'!C24="","",'GRR AIAG GR&amp;R'!C24)</f>
        <v/>
      </c>
      <c r="K61" s="445" t="str">
        <f t="shared" si="11"/>
        <v/>
      </c>
      <c r="L61" s="445" t="str">
        <f t="shared" si="12"/>
        <v/>
      </c>
      <c r="M61" s="446" t="s">
        <v>452</v>
      </c>
      <c r="N61" s="441">
        <v>1</v>
      </c>
      <c r="O61" s="438" t="e">
        <f>NA()</f>
        <v>#N/A</v>
      </c>
      <c r="P61" s="438" t="e">
        <f>NA()</f>
        <v>#N/A</v>
      </c>
      <c r="Q61" s="438" t="e">
        <f t="shared" ref="Q61:Q70" si="31">IF(G61="",NA(),K61)</f>
        <v>#N/A</v>
      </c>
      <c r="R61" s="438" t="e">
        <f>NA()</f>
        <v>#N/A</v>
      </c>
      <c r="S61" s="438" t="e">
        <f>NA()</f>
        <v>#N/A</v>
      </c>
      <c r="T61" s="438" t="e">
        <f t="shared" ref="T61:T70" si="32">IF(G61="",NA(),L61)</f>
        <v>#N/A</v>
      </c>
      <c r="U61" s="440"/>
      <c r="V61" s="441">
        <v>3</v>
      </c>
      <c r="W61" s="438" t="e">
        <f t="shared" si="30"/>
        <v>#N/A</v>
      </c>
      <c r="X61" s="438" t="e">
        <f t="shared" si="30"/>
        <v>#N/A</v>
      </c>
      <c r="Y61" s="438" t="e">
        <f t="shared" si="30"/>
        <v>#N/A</v>
      </c>
      <c r="Z61" s="438" t="e">
        <f t="shared" si="30"/>
        <v>#N/A</v>
      </c>
      <c r="AA61" s="438" t="e">
        <f t="shared" si="30"/>
        <v>#N/A</v>
      </c>
      <c r="AB61" s="438" t="e">
        <f t="shared" si="30"/>
        <v>#N/A</v>
      </c>
      <c r="AC61" s="440"/>
      <c r="AD61" s="441">
        <v>5</v>
      </c>
      <c r="AE61" s="438" t="e">
        <f t="shared" si="29"/>
        <v>#N/A</v>
      </c>
      <c r="AF61" s="438" t="e">
        <f t="shared" si="29"/>
        <v>#N/A</v>
      </c>
      <c r="AG61" s="438" t="e">
        <f t="shared" si="29"/>
        <v>#N/A</v>
      </c>
      <c r="AH61" s="438" t="e">
        <f t="shared" si="29"/>
        <v>#N/A</v>
      </c>
      <c r="AI61" s="438" t="e">
        <f t="shared" si="29"/>
        <v>#N/A</v>
      </c>
      <c r="AJ61" s="438" t="e">
        <f t="shared" si="29"/>
        <v>#N/A</v>
      </c>
      <c r="AK61" s="440"/>
      <c r="AL61" s="440">
        <v>7</v>
      </c>
      <c r="AM61" s="438" t="e">
        <f t="shared" si="28"/>
        <v>#N/A</v>
      </c>
      <c r="AN61" s="438" t="e">
        <f t="shared" si="28"/>
        <v>#N/A</v>
      </c>
      <c r="AO61" s="438" t="e">
        <f t="shared" si="28"/>
        <v>#N/A</v>
      </c>
      <c r="AP61" s="438" t="e">
        <f t="shared" si="28"/>
        <v>#N/A</v>
      </c>
      <c r="AQ61" s="438" t="e">
        <f t="shared" si="28"/>
        <v>#N/A</v>
      </c>
      <c r="AR61" s="438" t="e">
        <f t="shared" si="28"/>
        <v>#N/A</v>
      </c>
      <c r="AS61" s="440"/>
      <c r="AT61" s="440"/>
      <c r="AU61" s="440" t="e">
        <f>NA()</f>
        <v>#N/A</v>
      </c>
      <c r="AV61" s="440" t="e">
        <f>NA()</f>
        <v>#N/A</v>
      </c>
      <c r="AW61" s="440" t="e">
        <f>NA()</f>
        <v>#N/A</v>
      </c>
      <c r="AX61" s="440" t="e">
        <f>NA()</f>
        <v>#N/A</v>
      </c>
      <c r="AY61" s="440" t="e">
        <f>NA()</f>
        <v>#N/A</v>
      </c>
      <c r="AZ61" s="440" t="e">
        <f>NA()</f>
        <v>#N/A</v>
      </c>
      <c r="BA61" s="440"/>
      <c r="BB61" s="440"/>
      <c r="BC61" s="440" t="e">
        <f>NA()</f>
        <v>#N/A</v>
      </c>
      <c r="BD61" s="440" t="e">
        <f>NA()</f>
        <v>#N/A</v>
      </c>
      <c r="BE61" s="440" t="e">
        <f>NA()</f>
        <v>#N/A</v>
      </c>
      <c r="BF61" s="440" t="e">
        <f>NA()</f>
        <v>#N/A</v>
      </c>
      <c r="BG61" s="440" t="e">
        <f>NA()</f>
        <v>#N/A</v>
      </c>
      <c r="BH61" s="440" t="e">
        <f>NA()</f>
        <v>#N/A</v>
      </c>
      <c r="BI61" s="440"/>
      <c r="BJ61" s="440"/>
      <c r="BK61" s="440" t="e">
        <f>NA()</f>
        <v>#N/A</v>
      </c>
      <c r="BL61" s="440" t="e">
        <f>NA()</f>
        <v>#N/A</v>
      </c>
      <c r="BM61" s="440" t="e">
        <f>NA()</f>
        <v>#N/A</v>
      </c>
      <c r="BN61" s="440" t="e">
        <f>NA()</f>
        <v>#N/A</v>
      </c>
      <c r="BO61" s="440" t="e">
        <f>NA()</f>
        <v>#N/A</v>
      </c>
      <c r="BP61" s="440" t="e">
        <f>NA()</f>
        <v>#N/A</v>
      </c>
      <c r="BQ61" s="440"/>
      <c r="BR61" s="440"/>
      <c r="BS61" s="440" t="e">
        <f>NA()</f>
        <v>#N/A</v>
      </c>
      <c r="BT61" s="440" t="e">
        <f>NA()</f>
        <v>#N/A</v>
      </c>
      <c r="BU61" s="440" t="e">
        <f>NA()</f>
        <v>#N/A</v>
      </c>
      <c r="BV61" s="440" t="e">
        <f>NA()</f>
        <v>#N/A</v>
      </c>
      <c r="BW61" s="440" t="e">
        <f>NA()</f>
        <v>#N/A</v>
      </c>
      <c r="BX61" s="440" t="e">
        <f>NA()</f>
        <v>#N/A</v>
      </c>
      <c r="BY61" s="440"/>
      <c r="BZ61" s="440"/>
      <c r="CA61" s="440" t="e">
        <f>NA()</f>
        <v>#N/A</v>
      </c>
      <c r="CB61" s="440" t="e">
        <f>NA()</f>
        <v>#N/A</v>
      </c>
      <c r="CC61" s="440" t="e">
        <f>NA()</f>
        <v>#N/A</v>
      </c>
      <c r="CD61" s="440" t="e">
        <f>NA()</f>
        <v>#N/A</v>
      </c>
      <c r="CE61" s="440" t="e">
        <f>NA()</f>
        <v>#N/A</v>
      </c>
      <c r="CF61" s="440" t="e">
        <f>NA()</f>
        <v>#N/A</v>
      </c>
    </row>
    <row r="62" spans="1:84" ht="12.6" x14ac:dyDescent="0.45">
      <c r="A62" s="44"/>
      <c r="E62" s="440"/>
      <c r="F62" s="441">
        <v>2</v>
      </c>
      <c r="G62" s="444" t="str">
        <f>IF('GRR AIAG GR&amp;R'!D22="","",'GRR AIAG GR&amp;R'!D22)</f>
        <v/>
      </c>
      <c r="H62" s="444" t="str">
        <f>IF('GRR AIAG GR&amp;R'!D23="","",'GRR AIAG GR&amp;R'!D23)</f>
        <v/>
      </c>
      <c r="I62" s="444" t="str">
        <f>IF('GRR AIAG GR&amp;R'!D24="","",'GRR AIAG GR&amp;R'!D24)</f>
        <v/>
      </c>
      <c r="K62" s="447" t="str">
        <f t="shared" si="11"/>
        <v/>
      </c>
      <c r="L62" s="447" t="str">
        <f t="shared" si="12"/>
        <v/>
      </c>
      <c r="M62" s="448"/>
      <c r="N62" s="441">
        <v>2</v>
      </c>
      <c r="O62" s="438" t="e">
        <f>NA()</f>
        <v>#N/A</v>
      </c>
      <c r="P62" s="438" t="e">
        <f>NA()</f>
        <v>#N/A</v>
      </c>
      <c r="Q62" s="438" t="e">
        <f t="shared" si="31"/>
        <v>#N/A</v>
      </c>
      <c r="R62" s="438" t="e">
        <f>NA()</f>
        <v>#N/A</v>
      </c>
      <c r="S62" s="438" t="e">
        <f>NA()</f>
        <v>#N/A</v>
      </c>
      <c r="T62" s="438" t="e">
        <f t="shared" si="32"/>
        <v>#N/A</v>
      </c>
      <c r="U62" s="448"/>
      <c r="V62" s="441">
        <v>4</v>
      </c>
      <c r="W62" s="438" t="e">
        <f t="shared" si="30"/>
        <v>#N/A</v>
      </c>
      <c r="X62" s="438" t="e">
        <f t="shared" si="30"/>
        <v>#N/A</v>
      </c>
      <c r="Y62" s="438" t="e">
        <f t="shared" si="30"/>
        <v>#N/A</v>
      </c>
      <c r="Z62" s="438" t="e">
        <f t="shared" si="30"/>
        <v>#N/A</v>
      </c>
      <c r="AA62" s="438" t="e">
        <f t="shared" si="30"/>
        <v>#N/A</v>
      </c>
      <c r="AB62" s="438" t="e">
        <f t="shared" si="30"/>
        <v>#N/A</v>
      </c>
      <c r="AC62" s="440"/>
      <c r="AD62" s="441">
        <v>6</v>
      </c>
      <c r="AE62" s="438" t="e">
        <f t="shared" si="29"/>
        <v>#N/A</v>
      </c>
      <c r="AF62" s="438" t="e">
        <f t="shared" si="29"/>
        <v>#N/A</v>
      </c>
      <c r="AG62" s="438" t="e">
        <f t="shared" si="29"/>
        <v>#N/A</v>
      </c>
      <c r="AH62" s="438" t="e">
        <f t="shared" si="29"/>
        <v>#N/A</v>
      </c>
      <c r="AI62" s="438" t="e">
        <f t="shared" si="29"/>
        <v>#N/A</v>
      </c>
      <c r="AJ62" s="438" t="e">
        <f t="shared" si="29"/>
        <v>#N/A</v>
      </c>
      <c r="AK62" s="440"/>
      <c r="AL62" s="440"/>
      <c r="AM62" s="440" t="e">
        <f>NA()</f>
        <v>#N/A</v>
      </c>
      <c r="AN62" s="440" t="e">
        <f>NA()</f>
        <v>#N/A</v>
      </c>
      <c r="AO62" s="440" t="e">
        <f>NA()</f>
        <v>#N/A</v>
      </c>
      <c r="AP62" s="440" t="e">
        <f>NA()</f>
        <v>#N/A</v>
      </c>
      <c r="AQ62" s="440" t="e">
        <f>NA()</f>
        <v>#N/A</v>
      </c>
      <c r="AR62" s="440" t="e">
        <f>NA()</f>
        <v>#N/A</v>
      </c>
      <c r="AS62" s="440"/>
      <c r="AT62" s="440"/>
      <c r="AU62" s="440" t="e">
        <f>NA()</f>
        <v>#N/A</v>
      </c>
      <c r="AV62" s="440" t="e">
        <f>NA()</f>
        <v>#N/A</v>
      </c>
      <c r="AW62" s="440" t="e">
        <f>NA()</f>
        <v>#N/A</v>
      </c>
      <c r="AX62" s="440" t="e">
        <f>NA()</f>
        <v>#N/A</v>
      </c>
      <c r="AY62" s="440" t="e">
        <f>NA()</f>
        <v>#N/A</v>
      </c>
      <c r="AZ62" s="440" t="e">
        <f>NA()</f>
        <v>#N/A</v>
      </c>
      <c r="BA62" s="440"/>
      <c r="BB62" s="440"/>
      <c r="BC62" s="440" t="e">
        <f>NA()</f>
        <v>#N/A</v>
      </c>
      <c r="BD62" s="440" t="e">
        <f>NA()</f>
        <v>#N/A</v>
      </c>
      <c r="BE62" s="440" t="e">
        <f>NA()</f>
        <v>#N/A</v>
      </c>
      <c r="BF62" s="440" t="e">
        <f>NA()</f>
        <v>#N/A</v>
      </c>
      <c r="BG62" s="440" t="e">
        <f>NA()</f>
        <v>#N/A</v>
      </c>
      <c r="BH62" s="440" t="e">
        <f>NA()</f>
        <v>#N/A</v>
      </c>
      <c r="BI62" s="440"/>
      <c r="BJ62" s="440"/>
      <c r="BK62" s="440" t="e">
        <f>NA()</f>
        <v>#N/A</v>
      </c>
      <c r="BL62" s="440" t="e">
        <f>NA()</f>
        <v>#N/A</v>
      </c>
      <c r="BM62" s="440" t="e">
        <f>NA()</f>
        <v>#N/A</v>
      </c>
      <c r="BN62" s="440" t="e">
        <f>NA()</f>
        <v>#N/A</v>
      </c>
      <c r="BO62" s="440" t="e">
        <f>NA()</f>
        <v>#N/A</v>
      </c>
      <c r="BP62" s="440" t="e">
        <f>NA()</f>
        <v>#N/A</v>
      </c>
      <c r="BQ62" s="440"/>
      <c r="BR62" s="440"/>
      <c r="BS62" s="440" t="e">
        <f>NA()</f>
        <v>#N/A</v>
      </c>
      <c r="BT62" s="440" t="e">
        <f>NA()</f>
        <v>#N/A</v>
      </c>
      <c r="BU62" s="440" t="e">
        <f>NA()</f>
        <v>#N/A</v>
      </c>
      <c r="BV62" s="440" t="e">
        <f>NA()</f>
        <v>#N/A</v>
      </c>
      <c r="BW62" s="440" t="e">
        <f>NA()</f>
        <v>#N/A</v>
      </c>
      <c r="BX62" s="440" t="e">
        <f>NA()</f>
        <v>#N/A</v>
      </c>
      <c r="BY62" s="440"/>
      <c r="BZ62" s="440"/>
      <c r="CA62" s="440" t="e">
        <f>NA()</f>
        <v>#N/A</v>
      </c>
      <c r="CB62" s="440" t="e">
        <f>NA()</f>
        <v>#N/A</v>
      </c>
      <c r="CC62" s="440" t="e">
        <f>NA()</f>
        <v>#N/A</v>
      </c>
      <c r="CD62" s="440" t="e">
        <f>NA()</f>
        <v>#N/A</v>
      </c>
      <c r="CE62" s="440" t="e">
        <f>NA()</f>
        <v>#N/A</v>
      </c>
      <c r="CF62" s="440" t="e">
        <f>NA()</f>
        <v>#N/A</v>
      </c>
    </row>
    <row r="63" spans="1:84" ht="12.6" x14ac:dyDescent="0.45">
      <c r="A63" s="44"/>
      <c r="E63" s="440"/>
      <c r="F63" s="441">
        <v>3</v>
      </c>
      <c r="G63" s="444" t="str">
        <f>IF('GRR AIAG GR&amp;R'!E22="","",'GRR AIAG GR&amp;R'!E22)</f>
        <v/>
      </c>
      <c r="H63" s="444" t="str">
        <f>IF('GRR AIAG GR&amp;R'!E23="","",'GRR AIAG GR&amp;R'!E23)</f>
        <v/>
      </c>
      <c r="I63" s="444" t="str">
        <f>IF('GRR AIAG GR&amp;R'!E24="","",'GRR AIAG GR&amp;R'!E24)</f>
        <v/>
      </c>
      <c r="K63" s="447" t="str">
        <f t="shared" si="11"/>
        <v/>
      </c>
      <c r="L63" s="447" t="str">
        <f t="shared" si="12"/>
        <v/>
      </c>
      <c r="M63" s="448"/>
      <c r="N63" s="441">
        <v>3</v>
      </c>
      <c r="O63" s="438" t="e">
        <f>NA()</f>
        <v>#N/A</v>
      </c>
      <c r="P63" s="438" t="e">
        <f>NA()</f>
        <v>#N/A</v>
      </c>
      <c r="Q63" s="438" t="e">
        <f t="shared" si="31"/>
        <v>#N/A</v>
      </c>
      <c r="R63" s="438" t="e">
        <f>NA()</f>
        <v>#N/A</v>
      </c>
      <c r="S63" s="438" t="e">
        <f>NA()</f>
        <v>#N/A</v>
      </c>
      <c r="T63" s="438" t="e">
        <f t="shared" si="32"/>
        <v>#N/A</v>
      </c>
      <c r="U63" s="448"/>
      <c r="V63" s="441">
        <v>5</v>
      </c>
      <c r="W63" s="438" t="e">
        <f t="shared" si="30"/>
        <v>#N/A</v>
      </c>
      <c r="X63" s="438" t="e">
        <f t="shared" si="30"/>
        <v>#N/A</v>
      </c>
      <c r="Y63" s="438" t="e">
        <f t="shared" si="30"/>
        <v>#N/A</v>
      </c>
      <c r="Z63" s="438" t="e">
        <f t="shared" si="30"/>
        <v>#N/A</v>
      </c>
      <c r="AA63" s="438" t="e">
        <f t="shared" si="30"/>
        <v>#N/A</v>
      </c>
      <c r="AB63" s="438" t="e">
        <f t="shared" si="30"/>
        <v>#N/A</v>
      </c>
      <c r="AC63" s="440"/>
      <c r="AD63" s="441">
        <v>7</v>
      </c>
      <c r="AE63" s="438" t="e">
        <f t="shared" si="29"/>
        <v>#N/A</v>
      </c>
      <c r="AF63" s="438" t="e">
        <f t="shared" si="29"/>
        <v>#N/A</v>
      </c>
      <c r="AG63" s="438" t="e">
        <f t="shared" si="29"/>
        <v>#N/A</v>
      </c>
      <c r="AH63" s="438" t="e">
        <f t="shared" si="29"/>
        <v>#N/A</v>
      </c>
      <c r="AI63" s="438" t="e">
        <f t="shared" si="29"/>
        <v>#N/A</v>
      </c>
      <c r="AJ63" s="438" t="e">
        <f t="shared" si="29"/>
        <v>#N/A</v>
      </c>
      <c r="AK63" s="440"/>
      <c r="AL63" s="440"/>
      <c r="AM63" s="440" t="e">
        <f>NA()</f>
        <v>#N/A</v>
      </c>
      <c r="AN63" s="440" t="e">
        <f>NA()</f>
        <v>#N/A</v>
      </c>
      <c r="AO63" s="440" t="e">
        <f>NA()</f>
        <v>#N/A</v>
      </c>
      <c r="AP63" s="440" t="e">
        <f>NA()</f>
        <v>#N/A</v>
      </c>
      <c r="AQ63" s="440" t="e">
        <f>NA()</f>
        <v>#N/A</v>
      </c>
      <c r="AR63" s="440" t="e">
        <f>NA()</f>
        <v>#N/A</v>
      </c>
      <c r="AS63" s="440"/>
      <c r="AT63" s="440"/>
      <c r="AU63" s="440" t="e">
        <f>NA()</f>
        <v>#N/A</v>
      </c>
      <c r="AV63" s="440" t="e">
        <f>NA()</f>
        <v>#N/A</v>
      </c>
      <c r="AW63" s="440" t="e">
        <f>NA()</f>
        <v>#N/A</v>
      </c>
      <c r="AX63" s="440" t="e">
        <f>NA()</f>
        <v>#N/A</v>
      </c>
      <c r="AY63" s="440" t="e">
        <f>NA()</f>
        <v>#N/A</v>
      </c>
      <c r="AZ63" s="440" t="e">
        <f>NA()</f>
        <v>#N/A</v>
      </c>
      <c r="BA63" s="440"/>
      <c r="BB63" s="440"/>
      <c r="BC63" s="440" t="e">
        <f>NA()</f>
        <v>#N/A</v>
      </c>
      <c r="BD63" s="440" t="e">
        <f>NA()</f>
        <v>#N/A</v>
      </c>
      <c r="BE63" s="440" t="e">
        <f>NA()</f>
        <v>#N/A</v>
      </c>
      <c r="BF63" s="440" t="e">
        <f>NA()</f>
        <v>#N/A</v>
      </c>
      <c r="BG63" s="440" t="e">
        <f>NA()</f>
        <v>#N/A</v>
      </c>
      <c r="BH63" s="440" t="e">
        <f>NA()</f>
        <v>#N/A</v>
      </c>
      <c r="BI63" s="440"/>
      <c r="BJ63" s="440"/>
      <c r="BK63" s="440" t="e">
        <f>NA()</f>
        <v>#N/A</v>
      </c>
      <c r="BL63" s="440" t="e">
        <f>NA()</f>
        <v>#N/A</v>
      </c>
      <c r="BM63" s="440" t="e">
        <f>NA()</f>
        <v>#N/A</v>
      </c>
      <c r="BN63" s="440" t="e">
        <f>NA()</f>
        <v>#N/A</v>
      </c>
      <c r="BO63" s="440" t="e">
        <f>NA()</f>
        <v>#N/A</v>
      </c>
      <c r="BP63" s="440" t="e">
        <f>NA()</f>
        <v>#N/A</v>
      </c>
      <c r="BQ63" s="440"/>
      <c r="BR63" s="440"/>
      <c r="BS63" s="440" t="e">
        <f>NA()</f>
        <v>#N/A</v>
      </c>
      <c r="BT63" s="440" t="e">
        <f>NA()</f>
        <v>#N/A</v>
      </c>
      <c r="BU63" s="440" t="e">
        <f>NA()</f>
        <v>#N/A</v>
      </c>
      <c r="BV63" s="440" t="e">
        <f>NA()</f>
        <v>#N/A</v>
      </c>
      <c r="BW63" s="440" t="e">
        <f>NA()</f>
        <v>#N/A</v>
      </c>
      <c r="BX63" s="440" t="e">
        <f>NA()</f>
        <v>#N/A</v>
      </c>
      <c r="BY63" s="440"/>
      <c r="BZ63" s="440"/>
      <c r="CA63" s="440" t="e">
        <f>NA()</f>
        <v>#N/A</v>
      </c>
      <c r="CB63" s="440" t="e">
        <f>NA()</f>
        <v>#N/A</v>
      </c>
      <c r="CC63" s="440" t="e">
        <f>NA()</f>
        <v>#N/A</v>
      </c>
      <c r="CD63" s="440" t="e">
        <f>NA()</f>
        <v>#N/A</v>
      </c>
      <c r="CE63" s="440" t="e">
        <f>NA()</f>
        <v>#N/A</v>
      </c>
      <c r="CF63" s="440" t="e">
        <f>NA()</f>
        <v>#N/A</v>
      </c>
    </row>
    <row r="64" spans="1:84" ht="12.6" x14ac:dyDescent="0.45">
      <c r="A64" s="44"/>
      <c r="E64" s="440"/>
      <c r="F64" s="441">
        <v>4</v>
      </c>
      <c r="G64" s="444" t="str">
        <f>IF('GRR AIAG GR&amp;R'!F22="","",'GRR AIAG GR&amp;R'!F22)</f>
        <v/>
      </c>
      <c r="H64" s="444" t="str">
        <f>IF('GRR AIAG GR&amp;R'!F23="","",'GRR AIAG GR&amp;R'!F23)</f>
        <v/>
      </c>
      <c r="I64" s="444" t="str">
        <f>IF('GRR AIAG GR&amp;R'!F24="","",'GRR AIAG GR&amp;R'!F24)</f>
        <v/>
      </c>
      <c r="K64" s="447" t="str">
        <f t="shared" si="11"/>
        <v/>
      </c>
      <c r="L64" s="447" t="str">
        <f t="shared" si="12"/>
        <v/>
      </c>
      <c r="M64" s="448"/>
      <c r="N64" s="441">
        <v>4</v>
      </c>
      <c r="O64" s="438" t="e">
        <f>NA()</f>
        <v>#N/A</v>
      </c>
      <c r="P64" s="438" t="e">
        <f>NA()</f>
        <v>#N/A</v>
      </c>
      <c r="Q64" s="438" t="e">
        <f t="shared" si="31"/>
        <v>#N/A</v>
      </c>
      <c r="R64" s="438" t="e">
        <f>NA()</f>
        <v>#N/A</v>
      </c>
      <c r="S64" s="438" t="e">
        <f>NA()</f>
        <v>#N/A</v>
      </c>
      <c r="T64" s="438" t="e">
        <f t="shared" si="32"/>
        <v>#N/A</v>
      </c>
      <c r="U64" s="448"/>
      <c r="V64" s="441">
        <v>6</v>
      </c>
      <c r="W64" s="438" t="e">
        <f t="shared" si="30"/>
        <v>#N/A</v>
      </c>
      <c r="X64" s="438" t="e">
        <f t="shared" si="30"/>
        <v>#N/A</v>
      </c>
      <c r="Y64" s="438" t="e">
        <f t="shared" si="30"/>
        <v>#N/A</v>
      </c>
      <c r="Z64" s="438" t="e">
        <f t="shared" si="30"/>
        <v>#N/A</v>
      </c>
      <c r="AA64" s="438" t="e">
        <f t="shared" si="30"/>
        <v>#N/A</v>
      </c>
      <c r="AB64" s="438" t="e">
        <f t="shared" si="30"/>
        <v>#N/A</v>
      </c>
      <c r="AC64" s="440"/>
      <c r="AD64" s="441">
        <v>8</v>
      </c>
      <c r="AE64" s="438" t="e">
        <f t="shared" si="29"/>
        <v>#N/A</v>
      </c>
      <c r="AF64" s="438" t="e">
        <f t="shared" si="29"/>
        <v>#N/A</v>
      </c>
      <c r="AG64" s="438" t="e">
        <f t="shared" si="29"/>
        <v>#N/A</v>
      </c>
      <c r="AH64" s="438" t="e">
        <f t="shared" si="29"/>
        <v>#N/A</v>
      </c>
      <c r="AI64" s="438" t="e">
        <f t="shared" si="29"/>
        <v>#N/A</v>
      </c>
      <c r="AJ64" s="438" t="e">
        <f t="shared" si="29"/>
        <v>#N/A</v>
      </c>
      <c r="AK64" s="440"/>
      <c r="AL64" s="440"/>
      <c r="AM64" s="440" t="e">
        <f>NA()</f>
        <v>#N/A</v>
      </c>
      <c r="AN64" s="440" t="e">
        <f>NA()</f>
        <v>#N/A</v>
      </c>
      <c r="AO64" s="440" t="e">
        <f>NA()</f>
        <v>#N/A</v>
      </c>
      <c r="AP64" s="440" t="e">
        <f>NA()</f>
        <v>#N/A</v>
      </c>
      <c r="AQ64" s="440" t="e">
        <f>NA()</f>
        <v>#N/A</v>
      </c>
      <c r="AR64" s="440" t="e">
        <f>NA()</f>
        <v>#N/A</v>
      </c>
      <c r="AS64" s="440"/>
      <c r="AT64" s="440"/>
      <c r="AU64" s="440" t="e">
        <f>NA()</f>
        <v>#N/A</v>
      </c>
      <c r="AV64" s="440" t="e">
        <f>NA()</f>
        <v>#N/A</v>
      </c>
      <c r="AW64" s="440" t="e">
        <f>NA()</f>
        <v>#N/A</v>
      </c>
      <c r="AX64" s="440" t="e">
        <f>NA()</f>
        <v>#N/A</v>
      </c>
      <c r="AY64" s="440" t="e">
        <f>NA()</f>
        <v>#N/A</v>
      </c>
      <c r="AZ64" s="440" t="e">
        <f>NA()</f>
        <v>#N/A</v>
      </c>
      <c r="BA64" s="440"/>
      <c r="BB64" s="440"/>
      <c r="BC64" s="440" t="e">
        <f>NA()</f>
        <v>#N/A</v>
      </c>
      <c r="BD64" s="440" t="e">
        <f>NA()</f>
        <v>#N/A</v>
      </c>
      <c r="BE64" s="440" t="e">
        <f>NA()</f>
        <v>#N/A</v>
      </c>
      <c r="BF64" s="440" t="e">
        <f>NA()</f>
        <v>#N/A</v>
      </c>
      <c r="BG64" s="440" t="e">
        <f>NA()</f>
        <v>#N/A</v>
      </c>
      <c r="BH64" s="440" t="e">
        <f>NA()</f>
        <v>#N/A</v>
      </c>
      <c r="BI64" s="440"/>
      <c r="BJ64" s="440"/>
      <c r="BK64" s="440" t="e">
        <f>NA()</f>
        <v>#N/A</v>
      </c>
      <c r="BL64" s="440" t="e">
        <f>NA()</f>
        <v>#N/A</v>
      </c>
      <c r="BM64" s="440" t="e">
        <f>NA()</f>
        <v>#N/A</v>
      </c>
      <c r="BN64" s="440" t="e">
        <f>NA()</f>
        <v>#N/A</v>
      </c>
      <c r="BO64" s="440" t="e">
        <f>NA()</f>
        <v>#N/A</v>
      </c>
      <c r="BP64" s="440" t="e">
        <f>NA()</f>
        <v>#N/A</v>
      </c>
      <c r="BQ64" s="440"/>
      <c r="BR64" s="440"/>
      <c r="BS64" s="440" t="e">
        <f>NA()</f>
        <v>#N/A</v>
      </c>
      <c r="BT64" s="440" t="e">
        <f>NA()</f>
        <v>#N/A</v>
      </c>
      <c r="BU64" s="440" t="e">
        <f>NA()</f>
        <v>#N/A</v>
      </c>
      <c r="BV64" s="440" t="e">
        <f>NA()</f>
        <v>#N/A</v>
      </c>
      <c r="BW64" s="440" t="e">
        <f>NA()</f>
        <v>#N/A</v>
      </c>
      <c r="BX64" s="440" t="e">
        <f>NA()</f>
        <v>#N/A</v>
      </c>
      <c r="BY64" s="440"/>
      <c r="BZ64" s="440"/>
      <c r="CA64" s="440" t="e">
        <f>NA()</f>
        <v>#N/A</v>
      </c>
      <c r="CB64" s="440" t="e">
        <f>NA()</f>
        <v>#N/A</v>
      </c>
      <c r="CC64" s="440" t="e">
        <f>NA()</f>
        <v>#N/A</v>
      </c>
      <c r="CD64" s="440" t="e">
        <f>NA()</f>
        <v>#N/A</v>
      </c>
      <c r="CE64" s="440" t="e">
        <f>NA()</f>
        <v>#N/A</v>
      </c>
      <c r="CF64" s="440" t="e">
        <f>NA()</f>
        <v>#N/A</v>
      </c>
    </row>
    <row r="65" spans="1:84" ht="12.6" x14ac:dyDescent="0.45">
      <c r="A65" s="44"/>
      <c r="E65" s="440"/>
      <c r="F65" s="441">
        <v>5</v>
      </c>
      <c r="G65" s="444" t="str">
        <f>IF('GRR AIAG GR&amp;R'!G22="","",'GRR AIAG GR&amp;R'!G22)</f>
        <v/>
      </c>
      <c r="H65" s="444" t="str">
        <f>IF('GRR AIAG GR&amp;R'!G23="","",'GRR AIAG GR&amp;R'!G23)</f>
        <v/>
      </c>
      <c r="I65" s="444" t="str">
        <f>IF('GRR AIAG GR&amp;R'!G24="","",'GRR AIAG GR&amp;R'!G24)</f>
        <v/>
      </c>
      <c r="K65" s="447" t="str">
        <f t="shared" si="11"/>
        <v/>
      </c>
      <c r="L65" s="447" t="str">
        <f t="shared" si="12"/>
        <v/>
      </c>
      <c r="M65" s="448"/>
      <c r="N65" s="441">
        <v>5</v>
      </c>
      <c r="O65" s="438" t="e">
        <f>NA()</f>
        <v>#N/A</v>
      </c>
      <c r="P65" s="438" t="e">
        <f>NA()</f>
        <v>#N/A</v>
      </c>
      <c r="Q65" s="438" t="e">
        <f t="shared" si="31"/>
        <v>#N/A</v>
      </c>
      <c r="R65" s="438" t="e">
        <f>NA()</f>
        <v>#N/A</v>
      </c>
      <c r="S65" s="438" t="e">
        <f>NA()</f>
        <v>#N/A</v>
      </c>
      <c r="T65" s="438" t="e">
        <f t="shared" si="32"/>
        <v>#N/A</v>
      </c>
      <c r="U65" s="448"/>
      <c r="V65" s="441">
        <v>7</v>
      </c>
      <c r="W65" s="438" t="e">
        <f t="shared" si="30"/>
        <v>#N/A</v>
      </c>
      <c r="X65" s="438" t="e">
        <f t="shared" si="30"/>
        <v>#N/A</v>
      </c>
      <c r="Y65" s="438" t="e">
        <f t="shared" si="30"/>
        <v>#N/A</v>
      </c>
      <c r="Z65" s="438" t="e">
        <f t="shared" si="30"/>
        <v>#N/A</v>
      </c>
      <c r="AA65" s="438" t="e">
        <f t="shared" si="30"/>
        <v>#N/A</v>
      </c>
      <c r="AB65" s="438" t="e">
        <f t="shared" si="30"/>
        <v>#N/A</v>
      </c>
      <c r="AC65" s="440"/>
      <c r="AD65" s="440"/>
      <c r="AE65" s="440" t="e">
        <f>NA()</f>
        <v>#N/A</v>
      </c>
      <c r="AF65" s="440" t="e">
        <f>NA()</f>
        <v>#N/A</v>
      </c>
      <c r="AG65" s="440" t="e">
        <f>NA()</f>
        <v>#N/A</v>
      </c>
      <c r="AH65" s="440" t="e">
        <f>NA()</f>
        <v>#N/A</v>
      </c>
      <c r="AI65" s="440" t="e">
        <f>NA()</f>
        <v>#N/A</v>
      </c>
      <c r="AJ65" s="440" t="e">
        <f>NA()</f>
        <v>#N/A</v>
      </c>
      <c r="AK65" s="440"/>
      <c r="AL65" s="440"/>
      <c r="AM65" s="440" t="e">
        <f>NA()</f>
        <v>#N/A</v>
      </c>
      <c r="AN65" s="440" t="e">
        <f>NA()</f>
        <v>#N/A</v>
      </c>
      <c r="AO65" s="440" t="e">
        <f>NA()</f>
        <v>#N/A</v>
      </c>
      <c r="AP65" s="440" t="e">
        <f>NA()</f>
        <v>#N/A</v>
      </c>
      <c r="AQ65" s="440" t="e">
        <f>NA()</f>
        <v>#N/A</v>
      </c>
      <c r="AR65" s="440" t="e">
        <f>NA()</f>
        <v>#N/A</v>
      </c>
      <c r="AS65" s="440"/>
      <c r="AT65" s="440"/>
      <c r="AU65" s="440" t="e">
        <f>NA()</f>
        <v>#N/A</v>
      </c>
      <c r="AV65" s="440" t="e">
        <f>NA()</f>
        <v>#N/A</v>
      </c>
      <c r="AW65" s="440" t="e">
        <f>NA()</f>
        <v>#N/A</v>
      </c>
      <c r="AX65" s="440" t="e">
        <f>NA()</f>
        <v>#N/A</v>
      </c>
      <c r="AY65" s="440" t="e">
        <f>NA()</f>
        <v>#N/A</v>
      </c>
      <c r="AZ65" s="440" t="e">
        <f>NA()</f>
        <v>#N/A</v>
      </c>
      <c r="BA65" s="440"/>
      <c r="BB65" s="440"/>
      <c r="BC65" s="440" t="e">
        <f>NA()</f>
        <v>#N/A</v>
      </c>
      <c r="BD65" s="440" t="e">
        <f>NA()</f>
        <v>#N/A</v>
      </c>
      <c r="BE65" s="440" t="e">
        <f>NA()</f>
        <v>#N/A</v>
      </c>
      <c r="BF65" s="440" t="e">
        <f>NA()</f>
        <v>#N/A</v>
      </c>
      <c r="BG65" s="440" t="e">
        <f>NA()</f>
        <v>#N/A</v>
      </c>
      <c r="BH65" s="440" t="e">
        <f>NA()</f>
        <v>#N/A</v>
      </c>
      <c r="BI65" s="440"/>
      <c r="BJ65" s="440"/>
      <c r="BK65" s="440" t="e">
        <f>NA()</f>
        <v>#N/A</v>
      </c>
      <c r="BL65" s="440" t="e">
        <f>NA()</f>
        <v>#N/A</v>
      </c>
      <c r="BM65" s="440" t="e">
        <f>NA()</f>
        <v>#N/A</v>
      </c>
      <c r="BN65" s="440" t="e">
        <f>NA()</f>
        <v>#N/A</v>
      </c>
      <c r="BO65" s="440" t="e">
        <f>NA()</f>
        <v>#N/A</v>
      </c>
      <c r="BP65" s="440" t="e">
        <f>NA()</f>
        <v>#N/A</v>
      </c>
      <c r="BQ65" s="440"/>
      <c r="BR65" s="440"/>
      <c r="BS65" s="440" t="e">
        <f>NA()</f>
        <v>#N/A</v>
      </c>
      <c r="BT65" s="440" t="e">
        <f>NA()</f>
        <v>#N/A</v>
      </c>
      <c r="BU65" s="440" t="e">
        <f>NA()</f>
        <v>#N/A</v>
      </c>
      <c r="BV65" s="440" t="e">
        <f>NA()</f>
        <v>#N/A</v>
      </c>
      <c r="BW65" s="440" t="e">
        <f>NA()</f>
        <v>#N/A</v>
      </c>
      <c r="BX65" s="440" t="e">
        <f>NA()</f>
        <v>#N/A</v>
      </c>
      <c r="BY65" s="440"/>
      <c r="BZ65" s="440"/>
      <c r="CA65" s="440" t="e">
        <f>NA()</f>
        <v>#N/A</v>
      </c>
      <c r="CB65" s="440" t="e">
        <f>NA()</f>
        <v>#N/A</v>
      </c>
      <c r="CC65" s="440" t="e">
        <f>NA()</f>
        <v>#N/A</v>
      </c>
      <c r="CD65" s="440" t="e">
        <f>NA()</f>
        <v>#N/A</v>
      </c>
      <c r="CE65" s="440" t="e">
        <f>NA()</f>
        <v>#N/A</v>
      </c>
      <c r="CF65" s="440" t="e">
        <f>NA()</f>
        <v>#N/A</v>
      </c>
    </row>
    <row r="66" spans="1:84" ht="12.6" x14ac:dyDescent="0.45">
      <c r="A66" s="44"/>
      <c r="E66" s="440"/>
      <c r="F66" s="441">
        <v>6</v>
      </c>
      <c r="G66" s="444" t="str">
        <f>IF('GRR AIAG GR&amp;R'!H22="","",'GRR AIAG GR&amp;R'!H22)</f>
        <v/>
      </c>
      <c r="H66" s="444" t="str">
        <f>IF('GRR AIAG GR&amp;R'!H23="","",'GRR AIAG GR&amp;R'!H23)</f>
        <v/>
      </c>
      <c r="I66" s="444" t="str">
        <f>IF('GRR AIAG GR&amp;R'!H24="","",'GRR AIAG GR&amp;R'!H24)</f>
        <v/>
      </c>
      <c r="K66" s="447" t="str">
        <f t="shared" si="11"/>
        <v/>
      </c>
      <c r="L66" s="447" t="str">
        <f t="shared" si="12"/>
        <v/>
      </c>
      <c r="M66" s="448"/>
      <c r="N66" s="441">
        <v>6</v>
      </c>
      <c r="O66" s="438" t="e">
        <f>NA()</f>
        <v>#N/A</v>
      </c>
      <c r="P66" s="438" t="e">
        <f>NA()</f>
        <v>#N/A</v>
      </c>
      <c r="Q66" s="438" t="e">
        <f t="shared" si="31"/>
        <v>#N/A</v>
      </c>
      <c r="R66" s="438" t="e">
        <f>NA()</f>
        <v>#N/A</v>
      </c>
      <c r="S66" s="438" t="e">
        <f>NA()</f>
        <v>#N/A</v>
      </c>
      <c r="T66" s="438" t="e">
        <f t="shared" si="32"/>
        <v>#N/A</v>
      </c>
      <c r="U66" s="448"/>
      <c r="V66" s="441">
        <v>8</v>
      </c>
      <c r="W66" s="438" t="e">
        <f t="shared" si="30"/>
        <v>#N/A</v>
      </c>
      <c r="X66" s="438" t="e">
        <f t="shared" si="30"/>
        <v>#N/A</v>
      </c>
      <c r="Y66" s="438" t="e">
        <f t="shared" si="30"/>
        <v>#N/A</v>
      </c>
      <c r="Z66" s="438" t="e">
        <f t="shared" si="30"/>
        <v>#N/A</v>
      </c>
      <c r="AA66" s="438" t="e">
        <f t="shared" si="30"/>
        <v>#N/A</v>
      </c>
      <c r="AB66" s="438" t="e">
        <f t="shared" si="30"/>
        <v>#N/A</v>
      </c>
      <c r="AC66" s="440"/>
      <c r="AD66" s="440"/>
      <c r="AE66" s="440" t="e">
        <f>NA()</f>
        <v>#N/A</v>
      </c>
      <c r="AF66" s="440" t="e">
        <f>NA()</f>
        <v>#N/A</v>
      </c>
      <c r="AG66" s="440" t="e">
        <f>NA()</f>
        <v>#N/A</v>
      </c>
      <c r="AH66" s="440" t="e">
        <f>NA()</f>
        <v>#N/A</v>
      </c>
      <c r="AI66" s="440" t="e">
        <f>NA()</f>
        <v>#N/A</v>
      </c>
      <c r="AJ66" s="440" t="e">
        <f>NA()</f>
        <v>#N/A</v>
      </c>
      <c r="AK66" s="440"/>
      <c r="AL66" s="440"/>
      <c r="AM66" s="440" t="e">
        <f>NA()</f>
        <v>#N/A</v>
      </c>
      <c r="AN66" s="440" t="e">
        <f>NA()</f>
        <v>#N/A</v>
      </c>
      <c r="AO66" s="440" t="e">
        <f>NA()</f>
        <v>#N/A</v>
      </c>
      <c r="AP66" s="440" t="e">
        <f>NA()</f>
        <v>#N/A</v>
      </c>
      <c r="AQ66" s="440" t="e">
        <f>NA()</f>
        <v>#N/A</v>
      </c>
      <c r="AR66" s="440" t="e">
        <f>NA()</f>
        <v>#N/A</v>
      </c>
      <c r="AS66" s="440"/>
      <c r="AT66" s="440"/>
      <c r="AU66" s="440" t="e">
        <f>NA()</f>
        <v>#N/A</v>
      </c>
      <c r="AV66" s="440" t="e">
        <f>NA()</f>
        <v>#N/A</v>
      </c>
      <c r="AW66" s="440" t="e">
        <f>NA()</f>
        <v>#N/A</v>
      </c>
      <c r="AX66" s="440" t="e">
        <f>NA()</f>
        <v>#N/A</v>
      </c>
      <c r="AY66" s="440" t="e">
        <f>NA()</f>
        <v>#N/A</v>
      </c>
      <c r="AZ66" s="440" t="e">
        <f>NA()</f>
        <v>#N/A</v>
      </c>
      <c r="BA66" s="440"/>
      <c r="BB66" s="440"/>
      <c r="BC66" s="440" t="e">
        <f>NA()</f>
        <v>#N/A</v>
      </c>
      <c r="BD66" s="440" t="e">
        <f>NA()</f>
        <v>#N/A</v>
      </c>
      <c r="BE66" s="440" t="e">
        <f>NA()</f>
        <v>#N/A</v>
      </c>
      <c r="BF66" s="440" t="e">
        <f>NA()</f>
        <v>#N/A</v>
      </c>
      <c r="BG66" s="440" t="e">
        <f>NA()</f>
        <v>#N/A</v>
      </c>
      <c r="BH66" s="440" t="e">
        <f>NA()</f>
        <v>#N/A</v>
      </c>
      <c r="BI66" s="440"/>
      <c r="BJ66" s="440"/>
      <c r="BK66" s="440" t="e">
        <f>NA()</f>
        <v>#N/A</v>
      </c>
      <c r="BL66" s="440" t="e">
        <f>NA()</f>
        <v>#N/A</v>
      </c>
      <c r="BM66" s="440" t="e">
        <f>NA()</f>
        <v>#N/A</v>
      </c>
      <c r="BN66" s="440" t="e">
        <f>NA()</f>
        <v>#N/A</v>
      </c>
      <c r="BO66" s="440" t="e">
        <f>NA()</f>
        <v>#N/A</v>
      </c>
      <c r="BP66" s="440" t="e">
        <f>NA()</f>
        <v>#N/A</v>
      </c>
      <c r="BQ66" s="440"/>
      <c r="BR66" s="440"/>
      <c r="BS66" s="440" t="e">
        <f>NA()</f>
        <v>#N/A</v>
      </c>
      <c r="BT66" s="440" t="e">
        <f>NA()</f>
        <v>#N/A</v>
      </c>
      <c r="BU66" s="440" t="e">
        <f>NA()</f>
        <v>#N/A</v>
      </c>
      <c r="BV66" s="440" t="e">
        <f>NA()</f>
        <v>#N/A</v>
      </c>
      <c r="BW66" s="440" t="e">
        <f>NA()</f>
        <v>#N/A</v>
      </c>
      <c r="BX66" s="440" t="e">
        <f>NA()</f>
        <v>#N/A</v>
      </c>
      <c r="BY66" s="440"/>
      <c r="BZ66" s="440"/>
      <c r="CA66" s="440" t="e">
        <f>NA()</f>
        <v>#N/A</v>
      </c>
      <c r="CB66" s="440" t="e">
        <f>NA()</f>
        <v>#N/A</v>
      </c>
      <c r="CC66" s="440" t="e">
        <f>NA()</f>
        <v>#N/A</v>
      </c>
      <c r="CD66" s="440" t="e">
        <f>NA()</f>
        <v>#N/A</v>
      </c>
      <c r="CE66" s="440" t="e">
        <f>NA()</f>
        <v>#N/A</v>
      </c>
      <c r="CF66" s="440" t="e">
        <f>NA()</f>
        <v>#N/A</v>
      </c>
    </row>
    <row r="67" spans="1:84" ht="12.6" x14ac:dyDescent="0.45">
      <c r="A67" s="44"/>
      <c r="E67" s="440"/>
      <c r="F67" s="441">
        <v>7</v>
      </c>
      <c r="G67" s="444" t="str">
        <f>IF('GRR AIAG GR&amp;R'!I22="","",'GRR AIAG GR&amp;R'!I22)</f>
        <v/>
      </c>
      <c r="H67" s="444" t="str">
        <f>IF('GRR AIAG GR&amp;R'!I23="","",'GRR AIAG GR&amp;R'!I23)</f>
        <v/>
      </c>
      <c r="I67" s="444" t="str">
        <f>IF('GRR AIAG GR&amp;R'!I24="","",'GRR AIAG GR&amp;R'!I24)</f>
        <v/>
      </c>
      <c r="K67" s="447" t="str">
        <f t="shared" si="11"/>
        <v/>
      </c>
      <c r="L67" s="447" t="str">
        <f t="shared" si="12"/>
        <v/>
      </c>
      <c r="M67" s="448"/>
      <c r="N67" s="441">
        <v>7</v>
      </c>
      <c r="O67" s="438" t="e">
        <f>NA()</f>
        <v>#N/A</v>
      </c>
      <c r="P67" s="438" t="e">
        <f>NA()</f>
        <v>#N/A</v>
      </c>
      <c r="Q67" s="438" t="e">
        <f t="shared" si="31"/>
        <v>#N/A</v>
      </c>
      <c r="R67" s="438" t="e">
        <f>NA()</f>
        <v>#N/A</v>
      </c>
      <c r="S67" s="438" t="e">
        <f>NA()</f>
        <v>#N/A</v>
      </c>
      <c r="T67" s="438" t="e">
        <f t="shared" si="32"/>
        <v>#N/A</v>
      </c>
      <c r="U67" s="448"/>
      <c r="V67" s="441">
        <v>9</v>
      </c>
      <c r="W67" s="438" t="e">
        <f t="shared" si="30"/>
        <v>#N/A</v>
      </c>
      <c r="X67" s="438" t="e">
        <f t="shared" si="30"/>
        <v>#N/A</v>
      </c>
      <c r="Y67" s="438" t="e">
        <f t="shared" si="30"/>
        <v>#N/A</v>
      </c>
      <c r="Z67" s="438" t="e">
        <f t="shared" si="30"/>
        <v>#N/A</v>
      </c>
      <c r="AA67" s="438" t="e">
        <f t="shared" si="30"/>
        <v>#N/A</v>
      </c>
      <c r="AB67" s="438" t="e">
        <f t="shared" si="30"/>
        <v>#N/A</v>
      </c>
      <c r="AC67" s="440"/>
      <c r="AD67" s="440"/>
      <c r="AE67" s="440" t="e">
        <f>NA()</f>
        <v>#N/A</v>
      </c>
      <c r="AF67" s="440" t="e">
        <f>NA()</f>
        <v>#N/A</v>
      </c>
      <c r="AG67" s="440" t="e">
        <f>NA()</f>
        <v>#N/A</v>
      </c>
      <c r="AH67" s="440" t="e">
        <f>NA()</f>
        <v>#N/A</v>
      </c>
      <c r="AI67" s="440" t="e">
        <f>NA()</f>
        <v>#N/A</v>
      </c>
      <c r="AJ67" s="440" t="e">
        <f>NA()</f>
        <v>#N/A</v>
      </c>
      <c r="AK67" s="440"/>
      <c r="AL67" s="440"/>
      <c r="AM67" s="440" t="e">
        <f>NA()</f>
        <v>#N/A</v>
      </c>
      <c r="AN67" s="440" t="e">
        <f>NA()</f>
        <v>#N/A</v>
      </c>
      <c r="AO67" s="440" t="e">
        <f>NA()</f>
        <v>#N/A</v>
      </c>
      <c r="AP67" s="440" t="e">
        <f>NA()</f>
        <v>#N/A</v>
      </c>
      <c r="AQ67" s="440" t="e">
        <f>NA()</f>
        <v>#N/A</v>
      </c>
      <c r="AR67" s="440" t="e">
        <f>NA()</f>
        <v>#N/A</v>
      </c>
      <c r="AS67" s="440"/>
      <c r="AT67" s="440"/>
      <c r="AU67" s="440" t="e">
        <f>NA()</f>
        <v>#N/A</v>
      </c>
      <c r="AV67" s="440" t="e">
        <f>NA()</f>
        <v>#N/A</v>
      </c>
      <c r="AW67" s="440" t="e">
        <f>NA()</f>
        <v>#N/A</v>
      </c>
      <c r="AX67" s="440" t="e">
        <f>NA()</f>
        <v>#N/A</v>
      </c>
      <c r="AY67" s="440" t="e">
        <f>NA()</f>
        <v>#N/A</v>
      </c>
      <c r="AZ67" s="440" t="e">
        <f>NA()</f>
        <v>#N/A</v>
      </c>
      <c r="BA67" s="440"/>
      <c r="BB67" s="440"/>
      <c r="BC67" s="440" t="e">
        <f>NA()</f>
        <v>#N/A</v>
      </c>
      <c r="BD67" s="440" t="e">
        <f>NA()</f>
        <v>#N/A</v>
      </c>
      <c r="BE67" s="440" t="e">
        <f>NA()</f>
        <v>#N/A</v>
      </c>
      <c r="BF67" s="440" t="e">
        <f>NA()</f>
        <v>#N/A</v>
      </c>
      <c r="BG67" s="440" t="e">
        <f>NA()</f>
        <v>#N/A</v>
      </c>
      <c r="BH67" s="440" t="e">
        <f>NA()</f>
        <v>#N/A</v>
      </c>
      <c r="BI67" s="440"/>
      <c r="BJ67" s="440"/>
      <c r="BK67" s="440" t="e">
        <f>NA()</f>
        <v>#N/A</v>
      </c>
      <c r="BL67" s="440" t="e">
        <f>NA()</f>
        <v>#N/A</v>
      </c>
      <c r="BM67" s="440" t="e">
        <f>NA()</f>
        <v>#N/A</v>
      </c>
      <c r="BN67" s="440" t="e">
        <f>NA()</f>
        <v>#N/A</v>
      </c>
      <c r="BO67" s="440" t="e">
        <f>NA()</f>
        <v>#N/A</v>
      </c>
      <c r="BP67" s="440" t="e">
        <f>NA()</f>
        <v>#N/A</v>
      </c>
      <c r="BQ67" s="440"/>
      <c r="BR67" s="440"/>
      <c r="BS67" s="440" t="e">
        <f>NA()</f>
        <v>#N/A</v>
      </c>
      <c r="BT67" s="440" t="e">
        <f>NA()</f>
        <v>#N/A</v>
      </c>
      <c r="BU67" s="440" t="e">
        <f>NA()</f>
        <v>#N/A</v>
      </c>
      <c r="BV67" s="440" t="e">
        <f>NA()</f>
        <v>#N/A</v>
      </c>
      <c r="BW67" s="440" t="e">
        <f>NA()</f>
        <v>#N/A</v>
      </c>
      <c r="BX67" s="440" t="e">
        <f>NA()</f>
        <v>#N/A</v>
      </c>
      <c r="BY67" s="440"/>
      <c r="BZ67" s="440"/>
      <c r="CA67" s="440" t="e">
        <f>NA()</f>
        <v>#N/A</v>
      </c>
      <c r="CB67" s="440" t="e">
        <f>NA()</f>
        <v>#N/A</v>
      </c>
      <c r="CC67" s="440" t="e">
        <f>NA()</f>
        <v>#N/A</v>
      </c>
      <c r="CD67" s="440" t="e">
        <f>NA()</f>
        <v>#N/A</v>
      </c>
      <c r="CE67" s="440" t="e">
        <f>NA()</f>
        <v>#N/A</v>
      </c>
      <c r="CF67" s="440" t="e">
        <f>NA()</f>
        <v>#N/A</v>
      </c>
    </row>
    <row r="68" spans="1:84" ht="12.6" x14ac:dyDescent="0.45">
      <c r="A68" s="44"/>
      <c r="E68" s="440"/>
      <c r="F68" s="441">
        <v>8</v>
      </c>
      <c r="G68" s="444" t="str">
        <f>IF('GRR AIAG GR&amp;R'!J22="","",'GRR AIAG GR&amp;R'!J22)</f>
        <v/>
      </c>
      <c r="H68" s="444" t="str">
        <f>IF('GRR AIAG GR&amp;R'!J23="","",'GRR AIAG GR&amp;R'!J23)</f>
        <v/>
      </c>
      <c r="I68" s="444" t="str">
        <f>IF('GRR AIAG GR&amp;R'!J24="","",'GRR AIAG GR&amp;R'!J24)</f>
        <v/>
      </c>
      <c r="K68" s="447" t="str">
        <f t="shared" si="11"/>
        <v/>
      </c>
      <c r="L68" s="447" t="str">
        <f t="shared" si="12"/>
        <v/>
      </c>
      <c r="M68" s="448"/>
      <c r="N68" s="441">
        <v>8</v>
      </c>
      <c r="O68" s="438" t="e">
        <f>NA()</f>
        <v>#N/A</v>
      </c>
      <c r="P68" s="438" t="e">
        <f>NA()</f>
        <v>#N/A</v>
      </c>
      <c r="Q68" s="438" t="e">
        <f t="shared" si="31"/>
        <v>#N/A</v>
      </c>
      <c r="R68" s="438" t="e">
        <f>NA()</f>
        <v>#N/A</v>
      </c>
      <c r="S68" s="438" t="e">
        <f>NA()</f>
        <v>#N/A</v>
      </c>
      <c r="T68" s="438" t="e">
        <f t="shared" si="32"/>
        <v>#N/A</v>
      </c>
      <c r="U68" s="448"/>
      <c r="V68" s="440"/>
      <c r="W68" s="440" t="e">
        <f>NA()</f>
        <v>#N/A</v>
      </c>
      <c r="X68" s="440" t="e">
        <f>NA()</f>
        <v>#N/A</v>
      </c>
      <c r="Y68" s="440" t="e">
        <f>NA()</f>
        <v>#N/A</v>
      </c>
      <c r="Z68" s="440" t="e">
        <f>NA()</f>
        <v>#N/A</v>
      </c>
      <c r="AA68" s="440" t="e">
        <f>NA()</f>
        <v>#N/A</v>
      </c>
      <c r="AB68" s="440" t="e">
        <f>NA()</f>
        <v>#N/A</v>
      </c>
      <c r="AC68" s="440"/>
      <c r="AD68" s="440"/>
      <c r="AE68" s="440" t="e">
        <f>NA()</f>
        <v>#N/A</v>
      </c>
      <c r="AF68" s="440" t="e">
        <f>NA()</f>
        <v>#N/A</v>
      </c>
      <c r="AG68" s="440" t="e">
        <f>NA()</f>
        <v>#N/A</v>
      </c>
      <c r="AH68" s="440" t="e">
        <f>NA()</f>
        <v>#N/A</v>
      </c>
      <c r="AI68" s="440" t="e">
        <f>NA()</f>
        <v>#N/A</v>
      </c>
      <c r="AJ68" s="440" t="e">
        <f>NA()</f>
        <v>#N/A</v>
      </c>
      <c r="AK68" s="440"/>
      <c r="AL68" s="440"/>
      <c r="AM68" s="440" t="e">
        <f>NA()</f>
        <v>#N/A</v>
      </c>
      <c r="AN68" s="440" t="e">
        <f>NA()</f>
        <v>#N/A</v>
      </c>
      <c r="AO68" s="440" t="e">
        <f>NA()</f>
        <v>#N/A</v>
      </c>
      <c r="AP68" s="440" t="e">
        <f>NA()</f>
        <v>#N/A</v>
      </c>
      <c r="AQ68" s="440" t="e">
        <f>NA()</f>
        <v>#N/A</v>
      </c>
      <c r="AR68" s="440" t="e">
        <f>NA()</f>
        <v>#N/A</v>
      </c>
      <c r="AS68" s="440"/>
      <c r="AT68" s="440"/>
      <c r="AU68" s="440" t="e">
        <f>NA()</f>
        <v>#N/A</v>
      </c>
      <c r="AV68" s="440" t="e">
        <f>NA()</f>
        <v>#N/A</v>
      </c>
      <c r="AW68" s="440" t="e">
        <f>NA()</f>
        <v>#N/A</v>
      </c>
      <c r="AX68" s="440" t="e">
        <f>NA()</f>
        <v>#N/A</v>
      </c>
      <c r="AY68" s="440" t="e">
        <f>NA()</f>
        <v>#N/A</v>
      </c>
      <c r="AZ68" s="440" t="e">
        <f>NA()</f>
        <v>#N/A</v>
      </c>
      <c r="BA68" s="440"/>
      <c r="BB68" s="440"/>
      <c r="BC68" s="440" t="e">
        <f>NA()</f>
        <v>#N/A</v>
      </c>
      <c r="BD68" s="440" t="e">
        <f>NA()</f>
        <v>#N/A</v>
      </c>
      <c r="BE68" s="440" t="e">
        <f>NA()</f>
        <v>#N/A</v>
      </c>
      <c r="BF68" s="440" t="e">
        <f>NA()</f>
        <v>#N/A</v>
      </c>
      <c r="BG68" s="440" t="e">
        <f>NA()</f>
        <v>#N/A</v>
      </c>
      <c r="BH68" s="440" t="e">
        <f>NA()</f>
        <v>#N/A</v>
      </c>
      <c r="BI68" s="440"/>
      <c r="BJ68" s="440"/>
      <c r="BK68" s="440" t="e">
        <f>NA()</f>
        <v>#N/A</v>
      </c>
      <c r="BL68" s="440" t="e">
        <f>NA()</f>
        <v>#N/A</v>
      </c>
      <c r="BM68" s="440" t="e">
        <f>NA()</f>
        <v>#N/A</v>
      </c>
      <c r="BN68" s="440" t="e">
        <f>NA()</f>
        <v>#N/A</v>
      </c>
      <c r="BO68" s="440" t="e">
        <f>NA()</f>
        <v>#N/A</v>
      </c>
      <c r="BP68" s="440" t="e">
        <f>NA()</f>
        <v>#N/A</v>
      </c>
      <c r="BQ68" s="440"/>
      <c r="BR68" s="440"/>
      <c r="BS68" s="440" t="e">
        <f>NA()</f>
        <v>#N/A</v>
      </c>
      <c r="BT68" s="440" t="e">
        <f>NA()</f>
        <v>#N/A</v>
      </c>
      <c r="BU68" s="440" t="e">
        <f>NA()</f>
        <v>#N/A</v>
      </c>
      <c r="BV68" s="440" t="e">
        <f>NA()</f>
        <v>#N/A</v>
      </c>
      <c r="BW68" s="440" t="e">
        <f>NA()</f>
        <v>#N/A</v>
      </c>
      <c r="BX68" s="440" t="e">
        <f>NA()</f>
        <v>#N/A</v>
      </c>
      <c r="BY68" s="440"/>
      <c r="BZ68" s="440"/>
      <c r="CA68" s="440" t="e">
        <f>NA()</f>
        <v>#N/A</v>
      </c>
      <c r="CB68" s="440" t="e">
        <f>NA()</f>
        <v>#N/A</v>
      </c>
      <c r="CC68" s="440" t="e">
        <f>NA()</f>
        <v>#N/A</v>
      </c>
      <c r="CD68" s="440" t="e">
        <f>NA()</f>
        <v>#N/A</v>
      </c>
      <c r="CE68" s="440" t="e">
        <f>NA()</f>
        <v>#N/A</v>
      </c>
      <c r="CF68" s="440" t="e">
        <f>NA()</f>
        <v>#N/A</v>
      </c>
    </row>
    <row r="69" spans="1:84" ht="12.6" x14ac:dyDescent="0.45">
      <c r="A69" s="44"/>
      <c r="E69" s="440"/>
      <c r="F69" s="441">
        <v>9</v>
      </c>
      <c r="G69" s="444" t="str">
        <f>IF('GRR AIAG GR&amp;R'!K22="","",'GRR AIAG GR&amp;R'!K22)</f>
        <v/>
      </c>
      <c r="H69" s="444" t="str">
        <f>IF('GRR AIAG GR&amp;R'!K23="","",'GRR AIAG GR&amp;R'!K23)</f>
        <v/>
      </c>
      <c r="I69" s="444" t="str">
        <f>IF('GRR AIAG GR&amp;R'!K24="","",'GRR AIAG GR&amp;R'!K24)</f>
        <v/>
      </c>
      <c r="K69" s="447" t="str">
        <f t="shared" si="11"/>
        <v/>
      </c>
      <c r="L69" s="447" t="str">
        <f t="shared" si="12"/>
        <v/>
      </c>
      <c r="M69" s="448"/>
      <c r="N69" s="441">
        <v>9</v>
      </c>
      <c r="O69" s="438" t="e">
        <f>NA()</f>
        <v>#N/A</v>
      </c>
      <c r="P69" s="438" t="e">
        <f>NA()</f>
        <v>#N/A</v>
      </c>
      <c r="Q69" s="438" t="e">
        <f t="shared" si="31"/>
        <v>#N/A</v>
      </c>
      <c r="R69" s="438" t="e">
        <f>NA()</f>
        <v>#N/A</v>
      </c>
      <c r="S69" s="438" t="e">
        <f>NA()</f>
        <v>#N/A</v>
      </c>
      <c r="T69" s="438" t="e">
        <f t="shared" si="32"/>
        <v>#N/A</v>
      </c>
      <c r="U69" s="448"/>
      <c r="V69" s="440"/>
      <c r="W69" s="440" t="e">
        <f>NA()</f>
        <v>#N/A</v>
      </c>
      <c r="X69" s="440" t="e">
        <f>NA()</f>
        <v>#N/A</v>
      </c>
      <c r="Y69" s="440" t="e">
        <f>NA()</f>
        <v>#N/A</v>
      </c>
      <c r="Z69" s="440" t="e">
        <f>NA()</f>
        <v>#N/A</v>
      </c>
      <c r="AA69" s="440" t="e">
        <f>NA()</f>
        <v>#N/A</v>
      </c>
      <c r="AB69" s="440" t="e">
        <f>NA()</f>
        <v>#N/A</v>
      </c>
      <c r="AC69" s="440"/>
      <c r="AD69" s="440"/>
      <c r="AE69" s="440" t="e">
        <f>NA()</f>
        <v>#N/A</v>
      </c>
      <c r="AF69" s="440" t="e">
        <f>NA()</f>
        <v>#N/A</v>
      </c>
      <c r="AG69" s="440" t="e">
        <f>NA()</f>
        <v>#N/A</v>
      </c>
      <c r="AH69" s="440" t="e">
        <f>NA()</f>
        <v>#N/A</v>
      </c>
      <c r="AI69" s="440" t="e">
        <f>NA()</f>
        <v>#N/A</v>
      </c>
      <c r="AJ69" s="440" t="e">
        <f>NA()</f>
        <v>#N/A</v>
      </c>
      <c r="AK69" s="440"/>
      <c r="AL69" s="440"/>
      <c r="AM69" s="440" t="e">
        <f>NA()</f>
        <v>#N/A</v>
      </c>
      <c r="AN69" s="440" t="e">
        <f>NA()</f>
        <v>#N/A</v>
      </c>
      <c r="AO69" s="440" t="e">
        <f>NA()</f>
        <v>#N/A</v>
      </c>
      <c r="AP69" s="440" t="e">
        <f>NA()</f>
        <v>#N/A</v>
      </c>
      <c r="AQ69" s="440" t="e">
        <f>NA()</f>
        <v>#N/A</v>
      </c>
      <c r="AR69" s="440" t="e">
        <f>NA()</f>
        <v>#N/A</v>
      </c>
      <c r="AS69" s="440"/>
      <c r="AT69" s="440"/>
      <c r="AU69" s="440" t="e">
        <f>NA()</f>
        <v>#N/A</v>
      </c>
      <c r="AV69" s="440" t="e">
        <f>NA()</f>
        <v>#N/A</v>
      </c>
      <c r="AW69" s="440" t="e">
        <f>NA()</f>
        <v>#N/A</v>
      </c>
      <c r="AX69" s="440" t="e">
        <f>NA()</f>
        <v>#N/A</v>
      </c>
      <c r="AY69" s="440" t="e">
        <f>NA()</f>
        <v>#N/A</v>
      </c>
      <c r="AZ69" s="440" t="e">
        <f>NA()</f>
        <v>#N/A</v>
      </c>
      <c r="BA69" s="440"/>
      <c r="BB69" s="440"/>
      <c r="BC69" s="440" t="e">
        <f>NA()</f>
        <v>#N/A</v>
      </c>
      <c r="BD69" s="440" t="e">
        <f>NA()</f>
        <v>#N/A</v>
      </c>
      <c r="BE69" s="440" t="e">
        <f>NA()</f>
        <v>#N/A</v>
      </c>
      <c r="BF69" s="440" t="e">
        <f>NA()</f>
        <v>#N/A</v>
      </c>
      <c r="BG69" s="440" t="e">
        <f>NA()</f>
        <v>#N/A</v>
      </c>
      <c r="BH69" s="440" t="e">
        <f>NA()</f>
        <v>#N/A</v>
      </c>
      <c r="BI69" s="440"/>
      <c r="BJ69" s="440"/>
      <c r="BK69" s="440" t="e">
        <f>NA()</f>
        <v>#N/A</v>
      </c>
      <c r="BL69" s="440" t="e">
        <f>NA()</f>
        <v>#N/A</v>
      </c>
      <c r="BM69" s="440" t="e">
        <f>NA()</f>
        <v>#N/A</v>
      </c>
      <c r="BN69" s="440" t="e">
        <f>NA()</f>
        <v>#N/A</v>
      </c>
      <c r="BO69" s="440" t="e">
        <f>NA()</f>
        <v>#N/A</v>
      </c>
      <c r="BP69" s="440" t="e">
        <f>NA()</f>
        <v>#N/A</v>
      </c>
      <c r="BQ69" s="440"/>
      <c r="BR69" s="440"/>
      <c r="BS69" s="440" t="e">
        <f>NA()</f>
        <v>#N/A</v>
      </c>
      <c r="BT69" s="440" t="e">
        <f>NA()</f>
        <v>#N/A</v>
      </c>
      <c r="BU69" s="440" t="e">
        <f>NA()</f>
        <v>#N/A</v>
      </c>
      <c r="BV69" s="440" t="e">
        <f>NA()</f>
        <v>#N/A</v>
      </c>
      <c r="BW69" s="440" t="e">
        <f>NA()</f>
        <v>#N/A</v>
      </c>
      <c r="BX69" s="440" t="e">
        <f>NA()</f>
        <v>#N/A</v>
      </c>
      <c r="BY69" s="440"/>
      <c r="BZ69" s="440"/>
      <c r="CA69" s="440" t="e">
        <f>NA()</f>
        <v>#N/A</v>
      </c>
      <c r="CB69" s="440" t="e">
        <f>NA()</f>
        <v>#N/A</v>
      </c>
      <c r="CC69" s="440" t="e">
        <f>NA()</f>
        <v>#N/A</v>
      </c>
      <c r="CD69" s="440" t="e">
        <f>NA()</f>
        <v>#N/A</v>
      </c>
      <c r="CE69" s="440" t="e">
        <f>NA()</f>
        <v>#N/A</v>
      </c>
      <c r="CF69" s="440" t="e">
        <f>NA()</f>
        <v>#N/A</v>
      </c>
    </row>
    <row r="70" spans="1:84" ht="12.6" x14ac:dyDescent="0.45">
      <c r="A70" s="44"/>
      <c r="E70" s="440"/>
      <c r="F70" s="441">
        <v>10</v>
      </c>
      <c r="G70" s="444" t="str">
        <f>IF('GRR AIAG GR&amp;R'!L22="","",'GRR AIAG GR&amp;R'!L22)</f>
        <v/>
      </c>
      <c r="H70" s="444" t="str">
        <f>IF('GRR AIAG GR&amp;R'!L23="","",'GRR AIAG GR&amp;R'!L23)</f>
        <v/>
      </c>
      <c r="I70" s="444" t="str">
        <f>IF('GRR AIAG GR&amp;R'!L24="","",'GRR AIAG GR&amp;R'!L24)</f>
        <v/>
      </c>
      <c r="K70" s="449" t="str">
        <f t="shared" si="11"/>
        <v/>
      </c>
      <c r="L70" s="449" t="str">
        <f t="shared" si="12"/>
        <v/>
      </c>
      <c r="M70" s="448"/>
      <c r="N70" s="441">
        <v>10</v>
      </c>
      <c r="O70" s="438" t="e">
        <f>NA()</f>
        <v>#N/A</v>
      </c>
      <c r="P70" s="438" t="e">
        <f>NA()</f>
        <v>#N/A</v>
      </c>
      <c r="Q70" s="438" t="e">
        <f t="shared" si="31"/>
        <v>#N/A</v>
      </c>
      <c r="R70" s="438" t="e">
        <f>NA()</f>
        <v>#N/A</v>
      </c>
      <c r="S70" s="438" t="e">
        <f>NA()</f>
        <v>#N/A</v>
      </c>
      <c r="T70" s="438" t="e">
        <f t="shared" si="32"/>
        <v>#N/A</v>
      </c>
      <c r="U70" s="448"/>
      <c r="V70" s="440"/>
      <c r="W70" s="440" t="e">
        <f>NA()</f>
        <v>#N/A</v>
      </c>
      <c r="X70" s="440" t="e">
        <f>NA()</f>
        <v>#N/A</v>
      </c>
      <c r="Y70" s="440" t="e">
        <f>NA()</f>
        <v>#N/A</v>
      </c>
      <c r="Z70" s="440" t="e">
        <f>NA()</f>
        <v>#N/A</v>
      </c>
      <c r="AA70" s="440" t="e">
        <f>NA()</f>
        <v>#N/A</v>
      </c>
      <c r="AB70" s="440" t="e">
        <f>NA()</f>
        <v>#N/A</v>
      </c>
      <c r="AC70" s="440"/>
      <c r="AD70" s="440"/>
      <c r="AE70" s="440" t="e">
        <f>NA()</f>
        <v>#N/A</v>
      </c>
      <c r="AF70" s="440" t="e">
        <f>NA()</f>
        <v>#N/A</v>
      </c>
      <c r="AG70" s="440" t="e">
        <f>NA()</f>
        <v>#N/A</v>
      </c>
      <c r="AH70" s="440" t="e">
        <f>NA()</f>
        <v>#N/A</v>
      </c>
      <c r="AI70" s="440" t="e">
        <f>NA()</f>
        <v>#N/A</v>
      </c>
      <c r="AJ70" s="440" t="e">
        <f>NA()</f>
        <v>#N/A</v>
      </c>
      <c r="AK70" s="440"/>
      <c r="AL70" s="440"/>
      <c r="AM70" s="440" t="e">
        <f>NA()</f>
        <v>#N/A</v>
      </c>
      <c r="AN70" s="440" t="e">
        <f>NA()</f>
        <v>#N/A</v>
      </c>
      <c r="AO70" s="440" t="e">
        <f>NA()</f>
        <v>#N/A</v>
      </c>
      <c r="AP70" s="440" t="e">
        <f>NA()</f>
        <v>#N/A</v>
      </c>
      <c r="AQ70" s="440" t="e">
        <f>NA()</f>
        <v>#N/A</v>
      </c>
      <c r="AR70" s="440" t="e">
        <f>NA()</f>
        <v>#N/A</v>
      </c>
      <c r="AS70" s="440"/>
      <c r="AT70" s="440"/>
      <c r="AU70" s="440" t="e">
        <f>NA()</f>
        <v>#N/A</v>
      </c>
      <c r="AV70" s="440" t="e">
        <f>NA()</f>
        <v>#N/A</v>
      </c>
      <c r="AW70" s="440" t="e">
        <f>NA()</f>
        <v>#N/A</v>
      </c>
      <c r="AX70" s="440" t="e">
        <f>NA()</f>
        <v>#N/A</v>
      </c>
      <c r="AY70" s="440" t="e">
        <f>NA()</f>
        <v>#N/A</v>
      </c>
      <c r="AZ70" s="440" t="e">
        <f>NA()</f>
        <v>#N/A</v>
      </c>
      <c r="BA70" s="440"/>
      <c r="BB70" s="440"/>
      <c r="BC70" s="440" t="e">
        <f>NA()</f>
        <v>#N/A</v>
      </c>
      <c r="BD70" s="440" t="e">
        <f>NA()</f>
        <v>#N/A</v>
      </c>
      <c r="BE70" s="440" t="e">
        <f>NA()</f>
        <v>#N/A</v>
      </c>
      <c r="BF70" s="440" t="e">
        <f>NA()</f>
        <v>#N/A</v>
      </c>
      <c r="BG70" s="440" t="e">
        <f>NA()</f>
        <v>#N/A</v>
      </c>
      <c r="BH70" s="440" t="e">
        <f>NA()</f>
        <v>#N/A</v>
      </c>
      <c r="BI70" s="440"/>
      <c r="BJ70" s="440"/>
      <c r="BK70" s="440" t="e">
        <f>NA()</f>
        <v>#N/A</v>
      </c>
      <c r="BL70" s="440" t="e">
        <f>NA()</f>
        <v>#N/A</v>
      </c>
      <c r="BM70" s="440" t="e">
        <f>NA()</f>
        <v>#N/A</v>
      </c>
      <c r="BN70" s="440" t="e">
        <f>NA()</f>
        <v>#N/A</v>
      </c>
      <c r="BO70" s="440" t="e">
        <f>NA()</f>
        <v>#N/A</v>
      </c>
      <c r="BP70" s="440" t="e">
        <f>NA()</f>
        <v>#N/A</v>
      </c>
      <c r="BQ70" s="440"/>
      <c r="BR70" s="440"/>
      <c r="BS70" s="440" t="e">
        <f>NA()</f>
        <v>#N/A</v>
      </c>
      <c r="BT70" s="440" t="e">
        <f>NA()</f>
        <v>#N/A</v>
      </c>
      <c r="BU70" s="440" t="e">
        <f>NA()</f>
        <v>#N/A</v>
      </c>
      <c r="BV70" s="440" t="e">
        <f>NA()</f>
        <v>#N/A</v>
      </c>
      <c r="BW70" s="440" t="e">
        <f>NA()</f>
        <v>#N/A</v>
      </c>
      <c r="BX70" s="440" t="e">
        <f>NA()</f>
        <v>#N/A</v>
      </c>
      <c r="BY70" s="440"/>
      <c r="BZ70" s="440"/>
      <c r="CA70" s="440" t="e">
        <f>NA()</f>
        <v>#N/A</v>
      </c>
      <c r="CB70" s="440" t="e">
        <f>NA()</f>
        <v>#N/A</v>
      </c>
      <c r="CC70" s="440" t="e">
        <f>NA()</f>
        <v>#N/A</v>
      </c>
      <c r="CD70" s="440" t="e">
        <f>NA()</f>
        <v>#N/A</v>
      </c>
      <c r="CE70" s="440" t="e">
        <f>NA()</f>
        <v>#N/A</v>
      </c>
      <c r="CF70" s="440" t="e">
        <f>NA()</f>
        <v>#N/A</v>
      </c>
    </row>
    <row r="71" spans="1:84" x14ac:dyDescent="0.4">
      <c r="A71" s="44"/>
      <c r="K71" s="447">
        <f>AVERAGE(K41:K70)</f>
        <v>0.51769999999999994</v>
      </c>
      <c r="L71" s="447">
        <f>AVERAGE(L41:L70)</f>
        <v>4.7999999999999987E-3</v>
      </c>
      <c r="O71" s="445" t="str">
        <f>IF($AC$112=$O$38,O38,IF($AC$112=$W$38,W38,IF($AC$112=$AE$38,AE38,IF($AC$112=$AM$38,AM38,IF($AC$112=$AU$38,AU38,"")))))</f>
        <v/>
      </c>
      <c r="W71" s="438">
        <f>IF($AC$112=$BC$38,BC38,IF($AC$112=$BK$38,BK38,IF($AC$112=$BS$38,BS38,IF($AC$112=$CA$38,CA38,""))))</f>
        <v>5</v>
      </c>
      <c r="AR71" s="18" t="s">
        <v>453</v>
      </c>
      <c r="AS71" s="18" t="s">
        <v>454</v>
      </c>
      <c r="AT71" s="18" t="s">
        <v>455</v>
      </c>
      <c r="AU71" s="18" t="s">
        <v>456</v>
      </c>
      <c r="AV71" s="18" t="s">
        <v>457</v>
      </c>
      <c r="AW71" s="18" t="s">
        <v>458</v>
      </c>
      <c r="AX71" s="18" t="s">
        <v>459</v>
      </c>
      <c r="AY71" s="18" t="s">
        <v>460</v>
      </c>
      <c r="AZ71" s="18" t="s">
        <v>461</v>
      </c>
      <c r="BA71" s="18" t="s">
        <v>462</v>
      </c>
      <c r="BB71" s="18" t="s">
        <v>463</v>
      </c>
      <c r="BC71" s="18" t="s">
        <v>464</v>
      </c>
      <c r="BD71" s="18" t="s">
        <v>465</v>
      </c>
      <c r="BE71" s="18" t="s">
        <v>466</v>
      </c>
      <c r="BF71" s="18" t="s">
        <v>467</v>
      </c>
      <c r="BG71" s="18" t="s">
        <v>468</v>
      </c>
      <c r="BH71" s="18" t="s">
        <v>469</v>
      </c>
      <c r="BI71" s="18" t="s">
        <v>470</v>
      </c>
      <c r="BJ71" s="18" t="s">
        <v>471</v>
      </c>
      <c r="BK71" s="18" t="s">
        <v>472</v>
      </c>
      <c r="BL71" s="18" t="s">
        <v>473</v>
      </c>
      <c r="BM71" s="18" t="s">
        <v>474</v>
      </c>
      <c r="BN71" s="18" t="s">
        <v>475</v>
      </c>
      <c r="BO71" s="18" t="s">
        <v>476</v>
      </c>
      <c r="BP71" s="18" t="s">
        <v>477</v>
      </c>
      <c r="BQ71" s="18" t="s">
        <v>478</v>
      </c>
      <c r="BR71" s="18" t="s">
        <v>479</v>
      </c>
      <c r="BS71" s="18" t="s">
        <v>480</v>
      </c>
      <c r="BT71" s="18" t="s">
        <v>481</v>
      </c>
      <c r="BU71" s="18" t="s">
        <v>482</v>
      </c>
      <c r="BV71" s="18" t="s">
        <v>483</v>
      </c>
      <c r="BW71" s="18" t="s">
        <v>484</v>
      </c>
    </row>
    <row r="72" spans="1:84" x14ac:dyDescent="0.4">
      <c r="A72" s="44"/>
      <c r="O72" s="656" t="s">
        <v>485</v>
      </c>
      <c r="P72" s="656"/>
      <c r="Q72" s="656"/>
      <c r="R72" s="656"/>
      <c r="S72" s="656"/>
      <c r="T72" s="656"/>
      <c r="W72" s="656" t="s">
        <v>486</v>
      </c>
      <c r="X72" s="656"/>
      <c r="Y72" s="656"/>
      <c r="Z72" s="656"/>
      <c r="AA72" s="656"/>
      <c r="AB72" s="656"/>
      <c r="AD72" s="44"/>
      <c r="AF72" s="18" t="s">
        <v>60</v>
      </c>
      <c r="AI72" s="18" t="s">
        <v>61</v>
      </c>
      <c r="AL72" s="18" t="s">
        <v>62</v>
      </c>
      <c r="AR72" s="450" t="s">
        <v>487</v>
      </c>
      <c r="AS72" s="413">
        <f>IF(G41="",NA(),G41)</f>
        <v>0.52100000000000002</v>
      </c>
      <c r="AT72" s="413">
        <f>IF(H41="",NA(),H41)</f>
        <v>0.52100000000000002</v>
      </c>
      <c r="AU72" s="413" t="e">
        <f>IF(I41="",NA(),I41)</f>
        <v>#N/A</v>
      </c>
      <c r="AV72" s="413">
        <f>IF(G42="",NA(),G42)</f>
        <v>0.52200000000000002</v>
      </c>
      <c r="AW72" s="413">
        <f>IF(H42="",NA(),H42)</f>
        <v>0.52300000000000002</v>
      </c>
      <c r="AX72" s="413" t="e">
        <f>IF(I42="",NA(),I42)</f>
        <v>#N/A</v>
      </c>
      <c r="AY72" s="413">
        <f>IF(G43="",NA(),G43)</f>
        <v>0.52300000000000002</v>
      </c>
      <c r="AZ72" s="413">
        <f>IF(H43="",NA(),H43)</f>
        <v>0.52100000000000002</v>
      </c>
      <c r="BA72" s="413" t="e">
        <f>IF(I43="",NA(),I43)</f>
        <v>#N/A</v>
      </c>
      <c r="BB72" s="413">
        <f>IF(G44="",NA(),G44)</f>
        <v>0.52100000000000002</v>
      </c>
      <c r="BC72" s="413">
        <f>IF(H44="",NA(),H44)</f>
        <v>0.52200000000000002</v>
      </c>
      <c r="BD72" s="413" t="e">
        <f>IF(I44="",NA(),I44)</f>
        <v>#N/A</v>
      </c>
      <c r="BE72" s="413">
        <f>IF(G45="",NA(),G45)</f>
        <v>0.52500000000000002</v>
      </c>
      <c r="BF72" s="413">
        <f>IF(H45="",NA(),H45)</f>
        <v>0.52400000000000002</v>
      </c>
      <c r="BG72" s="413" t="e">
        <f>IF(I45="",NA(),I45)</f>
        <v>#N/A</v>
      </c>
      <c r="BH72" s="413" t="e">
        <f>IF(G46="",NA(),G46)</f>
        <v>#N/A</v>
      </c>
      <c r="BI72" s="413" t="e">
        <f>IF(H46="",NA(),H46)</f>
        <v>#N/A</v>
      </c>
      <c r="BJ72" s="413" t="e">
        <f>IF(I46="",NA(),I46)</f>
        <v>#N/A</v>
      </c>
      <c r="BK72" s="413" t="e">
        <f>IF(G47="",NA(),G47)</f>
        <v>#N/A</v>
      </c>
      <c r="BL72" s="413" t="e">
        <f>IF(H47="",NA(),H47)</f>
        <v>#N/A</v>
      </c>
      <c r="BM72" s="413" t="e">
        <f>IF(I47="",NA(),I47)</f>
        <v>#N/A</v>
      </c>
      <c r="BN72" s="413" t="e">
        <f>IF(G48="",NA(),G48)</f>
        <v>#N/A</v>
      </c>
      <c r="BO72" s="413" t="e">
        <f>IF(H48="",NA(),H48)</f>
        <v>#N/A</v>
      </c>
      <c r="BP72" s="413" t="e">
        <f>IF(I48="",NA(),I48)</f>
        <v>#N/A</v>
      </c>
      <c r="BQ72" s="413" t="e">
        <f>IF(G49="",NA(),G49)</f>
        <v>#N/A</v>
      </c>
      <c r="BR72" s="413" t="e">
        <f>IF(H49="",NA(),H49)</f>
        <v>#N/A</v>
      </c>
      <c r="BS72" s="413" t="e">
        <f>IF(I49="",NA(),I49)</f>
        <v>#N/A</v>
      </c>
      <c r="BT72" s="413" t="e">
        <f>IF(G50="",NA(),G50)</f>
        <v>#N/A</v>
      </c>
      <c r="BU72" s="413" t="e">
        <f>IF(H50="",NA(),H50)</f>
        <v>#N/A</v>
      </c>
      <c r="BV72" s="413" t="e">
        <f>IF(I50="",NA(),I50)</f>
        <v>#N/A</v>
      </c>
      <c r="BW72" s="413" t="e">
        <f>AVERAGE(AS72:BV72)</f>
        <v>#N/A</v>
      </c>
    </row>
    <row r="73" spans="1:84" x14ac:dyDescent="0.4">
      <c r="A73" s="44"/>
      <c r="O73" s="656" t="s">
        <v>135</v>
      </c>
      <c r="P73" s="656"/>
      <c r="Q73" s="656"/>
      <c r="R73" s="656" t="s">
        <v>139</v>
      </c>
      <c r="S73" s="656"/>
      <c r="T73" s="656"/>
      <c r="W73" s="656" t="s">
        <v>135</v>
      </c>
      <c r="X73" s="656"/>
      <c r="Y73" s="656"/>
      <c r="Z73" s="656" t="s">
        <v>139</v>
      </c>
      <c r="AA73" s="656"/>
      <c r="AB73" s="656"/>
      <c r="AD73" s="44"/>
      <c r="AF73" s="18">
        <v>1</v>
      </c>
      <c r="AG73" s="18">
        <v>2</v>
      </c>
      <c r="AH73" s="18">
        <v>3</v>
      </c>
      <c r="AI73" s="18">
        <v>1</v>
      </c>
      <c r="AJ73" s="18">
        <v>2</v>
      </c>
      <c r="AK73" s="18">
        <v>3</v>
      </c>
      <c r="AL73" s="18">
        <v>1</v>
      </c>
      <c r="AM73" s="18">
        <v>2</v>
      </c>
      <c r="AN73" s="18">
        <v>3</v>
      </c>
      <c r="AO73" s="18" t="s">
        <v>487</v>
      </c>
      <c r="AP73" s="18" t="s">
        <v>488</v>
      </c>
      <c r="AQ73" s="18" t="s">
        <v>489</v>
      </c>
      <c r="AR73" s="450" t="s">
        <v>488</v>
      </c>
      <c r="AS73" s="413">
        <f>IF(G51="",NA(),G51)</f>
        <v>0.498</v>
      </c>
      <c r="AT73" s="413">
        <f>IF(H51="",NA(),H51)</f>
        <v>0.45700000000000002</v>
      </c>
      <c r="AU73" s="413" t="e">
        <f>IF(I51="",NA(),I51)</f>
        <v>#N/A</v>
      </c>
      <c r="AV73" s="413">
        <f>IF(G52="",NA(),G52)</f>
        <v>0.52100000000000002</v>
      </c>
      <c r="AW73" s="413">
        <f>IF(H52="",NA(),H52)</f>
        <v>0.52200000000000002</v>
      </c>
      <c r="AX73" s="413" t="e">
        <f>IF(I52="",NA(),I52)</f>
        <v>#N/A</v>
      </c>
      <c r="AY73" s="413">
        <f>IF(G53="",NA(),G53)</f>
        <v>0.52200000000000002</v>
      </c>
      <c r="AZ73" s="413">
        <f>IF(H53="",NA(),H53)</f>
        <v>0.52200000000000002</v>
      </c>
      <c r="BA73" s="413" t="e">
        <f>IF(I53="",NA(),I53)</f>
        <v>#N/A</v>
      </c>
      <c r="BB73" s="413">
        <f>IF(G54="",NA(),G54)</f>
        <v>0.52400000000000002</v>
      </c>
      <c r="BC73" s="413">
        <f>IF(H54="",NA(),H54)</f>
        <v>0.52300000000000002</v>
      </c>
      <c r="BD73" s="413" t="e">
        <f>IF(I54="",NA(),I54)</f>
        <v>#N/A</v>
      </c>
      <c r="BE73" s="413">
        <f>IF(G55="",NA(),G55)</f>
        <v>0.52100000000000002</v>
      </c>
      <c r="BF73" s="413">
        <f>IF(H55="",NA(),H55)</f>
        <v>0.52100000000000002</v>
      </c>
      <c r="BG73" s="413" t="e">
        <f>IF(I55="",NA(),I55)</f>
        <v>#N/A</v>
      </c>
      <c r="BH73" s="413" t="e">
        <f>IF(G56="",NA(),G56)</f>
        <v>#N/A</v>
      </c>
      <c r="BI73" s="413" t="e">
        <f>IF(H56="",NA(),H56)</f>
        <v>#N/A</v>
      </c>
      <c r="BJ73" s="413" t="e">
        <f>IF(I56="",NA(),I56)</f>
        <v>#N/A</v>
      </c>
      <c r="BK73" s="413" t="e">
        <f>IF(G57="",NA(),G57)</f>
        <v>#N/A</v>
      </c>
      <c r="BL73" s="413" t="e">
        <f>IF(H57="",NA(),H57)</f>
        <v>#N/A</v>
      </c>
      <c r="BM73" s="413" t="e">
        <f>IF(I57="",NA(),I57)</f>
        <v>#N/A</v>
      </c>
      <c r="BN73" s="413" t="e">
        <f>IF(G58="",NA(),G58)</f>
        <v>#N/A</v>
      </c>
      <c r="BO73" s="413" t="e">
        <f>IF(H58="",NA(),H58)</f>
        <v>#N/A</v>
      </c>
      <c r="BP73" s="413" t="e">
        <f>IF(I58="",NA(),I58)</f>
        <v>#N/A</v>
      </c>
      <c r="BQ73" s="413" t="e">
        <f>IF(G59="",NA(),G59)</f>
        <v>#N/A</v>
      </c>
      <c r="BR73" s="413" t="e">
        <f>IF(H59="",NA(),H59)</f>
        <v>#N/A</v>
      </c>
      <c r="BS73" s="413" t="e">
        <f>IF(I59="",NA(),I59)</f>
        <v>#N/A</v>
      </c>
      <c r="BT73" s="413" t="e">
        <f>IF(G60="",NA(),G60)</f>
        <v>#N/A</v>
      </c>
      <c r="BU73" s="413" t="e">
        <f>IF(H60="",NA(),H60)</f>
        <v>#N/A</v>
      </c>
      <c r="BV73" s="413" t="e">
        <f>IF(I60="",NA(),I60)</f>
        <v>#N/A</v>
      </c>
      <c r="BW73" s="413" t="e">
        <f>AVERAGE(AS73:BV73)</f>
        <v>#N/A</v>
      </c>
    </row>
    <row r="74" spans="1:84" ht="12.6" x14ac:dyDescent="0.45">
      <c r="A74" s="44"/>
      <c r="F74" s="442"/>
      <c r="G74" s="442"/>
      <c r="H74" s="442"/>
      <c r="I74" s="442"/>
      <c r="N74" s="440">
        <f t="shared" ref="N74:N103" si="33">IF($AC$111=$O$38,N41,IF($AC$111=$W$38,V41,IF($AC$111=$AE$38,AD41,IF($AC$111=$AM$38,AL41,IF($AC$111=$AU$38,AT41,"")))))</f>
        <v>1</v>
      </c>
      <c r="O74" s="438" t="str">
        <f t="shared" ref="O74:T89" si="34">IF($AC$112=$O$38,O41,IF($AC$112=$W$38,W41,IF($AC$112=$AE$38,AE41,IF($AC$112=$AM$38,AM41,IF($AC$112=$AU$38,AU41,"")))))</f>
        <v/>
      </c>
      <c r="P74" s="438" t="str">
        <f t="shared" si="34"/>
        <v/>
      </c>
      <c r="Q74" s="438" t="str">
        <f t="shared" si="34"/>
        <v/>
      </c>
      <c r="R74" s="438" t="str">
        <f t="shared" si="34"/>
        <v/>
      </c>
      <c r="S74" s="438" t="str">
        <f t="shared" si="34"/>
        <v/>
      </c>
      <c r="T74" s="438" t="str">
        <f t="shared" si="34"/>
        <v/>
      </c>
      <c r="V74" s="438">
        <f t="shared" ref="V74:AB103" si="35">IF($AC$112=$BC$38,BB41,IF($AC$112=$BK$38,BJ41,IF($AC$112=$BS$38,BR41,IF($AC$112=$CA$38,BZ41,""))))</f>
        <v>1</v>
      </c>
      <c r="W74" s="438">
        <f t="shared" si="35"/>
        <v>0.52100000000000002</v>
      </c>
      <c r="X74" s="438" t="e">
        <f t="shared" si="35"/>
        <v>#N/A</v>
      </c>
      <c r="Y74" s="438" t="e">
        <f t="shared" si="35"/>
        <v>#N/A</v>
      </c>
      <c r="Z74" s="438">
        <f t="shared" si="35"/>
        <v>0</v>
      </c>
      <c r="AA74" s="438" t="e">
        <f t="shared" si="35"/>
        <v>#N/A</v>
      </c>
      <c r="AB74" s="438" t="e">
        <f t="shared" si="35"/>
        <v>#N/A</v>
      </c>
      <c r="AD74" s="44"/>
      <c r="AE74" s="450">
        <f t="shared" ref="AE74:AE83" si="36">IF(G41="",NA(),F41)</f>
        <v>1</v>
      </c>
      <c r="AF74" s="410">
        <f t="shared" ref="AF74:AH83" si="37">IF(G41="",NA(),G41)</f>
        <v>0.52100000000000002</v>
      </c>
      <c r="AG74" s="451">
        <f t="shared" si="37"/>
        <v>0.52100000000000002</v>
      </c>
      <c r="AH74" s="412" t="e">
        <f t="shared" si="37"/>
        <v>#N/A</v>
      </c>
      <c r="AI74" s="451">
        <f t="shared" ref="AI74:AK83" si="38">IF(G51="",NA(),G51)</f>
        <v>0.498</v>
      </c>
      <c r="AJ74" s="451">
        <f t="shared" si="38"/>
        <v>0.45700000000000002</v>
      </c>
      <c r="AK74" s="451" t="e">
        <f t="shared" si="38"/>
        <v>#N/A</v>
      </c>
      <c r="AL74" s="410" t="e">
        <f t="shared" ref="AL74:AN83" si="39">IF(G61="",NA(),G61)</f>
        <v>#N/A</v>
      </c>
      <c r="AM74" s="451" t="e">
        <f t="shared" si="39"/>
        <v>#N/A</v>
      </c>
      <c r="AN74" s="451" t="e">
        <f t="shared" si="39"/>
        <v>#N/A</v>
      </c>
      <c r="AO74" s="433">
        <f>IF('GRR AIAG GR&amp;R'!$F$7=3,AVERAGE(G41:I41,G51:I51,G61:I61),IF('GRR AIAG GR&amp;R'!$F$7=2,AVERAGE(G41:I41,G51:I51),AVERAGE(G41:I41)))</f>
        <v>0.49925000000000003</v>
      </c>
      <c r="AP74" s="433"/>
      <c r="AQ74" s="433"/>
      <c r="AR74" s="450" t="s">
        <v>489</v>
      </c>
      <c r="AS74" s="413" t="e">
        <f>IF(G61="",NA(),G61)</f>
        <v>#N/A</v>
      </c>
      <c r="AT74" s="413" t="e">
        <f>IF(H61="",NA(),H61)</f>
        <v>#N/A</v>
      </c>
      <c r="AU74" s="413" t="e">
        <f>IF(I61="",NA(),I61)</f>
        <v>#N/A</v>
      </c>
      <c r="AV74" s="413" t="e">
        <f>IF(G62="",NA(),G62)</f>
        <v>#N/A</v>
      </c>
      <c r="AW74" s="413" t="e">
        <f>IF(H62="",NA(),H62)</f>
        <v>#N/A</v>
      </c>
      <c r="AX74" s="413" t="e">
        <f>IF(I62="",NA(),I62)</f>
        <v>#N/A</v>
      </c>
      <c r="AY74" s="413" t="e">
        <f>IF(G63="",NA(),G63)</f>
        <v>#N/A</v>
      </c>
      <c r="AZ74" s="413" t="e">
        <f>IF(H63="",NA(),H63)</f>
        <v>#N/A</v>
      </c>
      <c r="BA74" s="413" t="e">
        <f>IF(I63="",NA(),I63)</f>
        <v>#N/A</v>
      </c>
      <c r="BB74" s="413" t="e">
        <f>IF(G64="",NA(),G64)</f>
        <v>#N/A</v>
      </c>
      <c r="BC74" s="413" t="e">
        <f>IF(H64="",NA(),H64)</f>
        <v>#N/A</v>
      </c>
      <c r="BD74" s="413" t="e">
        <f>IF(I64="",NA(),I64)</f>
        <v>#N/A</v>
      </c>
      <c r="BE74" s="413" t="e">
        <f>IF(G65="",NA(),G65)</f>
        <v>#N/A</v>
      </c>
      <c r="BF74" s="413" t="e">
        <f>IF(H65="",NA(),H65)</f>
        <v>#N/A</v>
      </c>
      <c r="BG74" s="413" t="e">
        <f>IF(I65="",NA(),I65)</f>
        <v>#N/A</v>
      </c>
      <c r="BH74" s="413" t="e">
        <f>IF(G66="",NA(),G66)</f>
        <v>#N/A</v>
      </c>
      <c r="BI74" s="413" t="e">
        <f>IF(H66="",NA(),H66)</f>
        <v>#N/A</v>
      </c>
      <c r="BJ74" s="413" t="e">
        <f>IF(I66="",NA(),I66)</f>
        <v>#N/A</v>
      </c>
      <c r="BK74" s="413" t="e">
        <f>IF(G67="",NA(),G67)</f>
        <v>#N/A</v>
      </c>
      <c r="BL74" s="413" t="e">
        <f>IF(H67="",NA(),H67)</f>
        <v>#N/A</v>
      </c>
      <c r="BM74" s="413" t="e">
        <f>IF(I67="",NA(),I67)</f>
        <v>#N/A</v>
      </c>
      <c r="BN74" s="413" t="e">
        <f>IF(G68="",NA(),G68)</f>
        <v>#N/A</v>
      </c>
      <c r="BO74" s="413" t="e">
        <f>IF(H68="",NA(),H68)</f>
        <v>#N/A</v>
      </c>
      <c r="BP74" s="413" t="e">
        <f>IF(I68="",NA(),I68)</f>
        <v>#N/A</v>
      </c>
      <c r="BQ74" s="413" t="e">
        <f>IF(G69="",NA(),G69)</f>
        <v>#N/A</v>
      </c>
      <c r="BR74" s="413" t="e">
        <f>IF(H69="",NA(),H69)</f>
        <v>#N/A</v>
      </c>
      <c r="BS74" s="413" t="e">
        <f>IF(I69="",NA(),I69)</f>
        <v>#N/A</v>
      </c>
      <c r="BT74" s="413" t="e">
        <f>IF(G70="",NA(),G70)</f>
        <v>#N/A</v>
      </c>
      <c r="BU74" s="413" t="e">
        <f>IF(H70="",NA(),H70)</f>
        <v>#N/A</v>
      </c>
      <c r="BV74" s="413" t="e">
        <f>IF(I70="",NA(),I70)</f>
        <v>#N/A</v>
      </c>
      <c r="BW74" s="413" t="e">
        <f>AVERAGE(AS74:BV74)</f>
        <v>#N/A</v>
      </c>
    </row>
    <row r="75" spans="1:84" ht="12.6" x14ac:dyDescent="0.45">
      <c r="J75" s="452">
        <f t="shared" ref="J75:J84" si="40">IF(G41="",NA(),1)</f>
        <v>1</v>
      </c>
      <c r="K75" s="453">
        <f t="shared" ref="K75:K104" si="41">IF(G41="",NA(),F41)</f>
        <v>1</v>
      </c>
      <c r="L75" s="453">
        <f t="shared" ref="L75:L104" si="42">IF(G41="",NA(),G41)</f>
        <v>0.52100000000000002</v>
      </c>
      <c r="N75" s="440">
        <f t="shared" si="33"/>
        <v>2</v>
      </c>
      <c r="O75" s="438" t="str">
        <f t="shared" si="34"/>
        <v/>
      </c>
      <c r="P75" s="438" t="str">
        <f t="shared" si="34"/>
        <v/>
      </c>
      <c r="Q75" s="438" t="str">
        <f t="shared" si="34"/>
        <v/>
      </c>
      <c r="R75" s="438" t="str">
        <f t="shared" si="34"/>
        <v/>
      </c>
      <c r="S75" s="438" t="str">
        <f t="shared" si="34"/>
        <v/>
      </c>
      <c r="T75" s="438" t="str">
        <f t="shared" si="34"/>
        <v/>
      </c>
      <c r="V75" s="438">
        <f t="shared" si="35"/>
        <v>2</v>
      </c>
      <c r="W75" s="438">
        <f t="shared" si="35"/>
        <v>0.52249999999999996</v>
      </c>
      <c r="X75" s="438" t="e">
        <f t="shared" si="35"/>
        <v>#N/A</v>
      </c>
      <c r="Y75" s="438" t="e">
        <f t="shared" si="35"/>
        <v>#N/A</v>
      </c>
      <c r="Z75" s="438">
        <f t="shared" si="35"/>
        <v>1.0000000000000009E-3</v>
      </c>
      <c r="AA75" s="438" t="e">
        <f t="shared" si="35"/>
        <v>#N/A</v>
      </c>
      <c r="AB75" s="438" t="e">
        <f t="shared" si="35"/>
        <v>#N/A</v>
      </c>
      <c r="AD75" s="44"/>
      <c r="AE75" s="450">
        <f t="shared" si="36"/>
        <v>2</v>
      </c>
      <c r="AF75" s="454">
        <f t="shared" si="37"/>
        <v>0.52200000000000002</v>
      </c>
      <c r="AG75" s="413">
        <f t="shared" si="37"/>
        <v>0.52300000000000002</v>
      </c>
      <c r="AH75" s="455" t="e">
        <f t="shared" si="37"/>
        <v>#N/A</v>
      </c>
      <c r="AI75" s="413">
        <f t="shared" si="38"/>
        <v>0.52100000000000002</v>
      </c>
      <c r="AJ75" s="413">
        <f t="shared" si="38"/>
        <v>0.52200000000000002</v>
      </c>
      <c r="AK75" s="413" t="e">
        <f t="shared" si="38"/>
        <v>#N/A</v>
      </c>
      <c r="AL75" s="454" t="e">
        <f t="shared" si="39"/>
        <v>#N/A</v>
      </c>
      <c r="AM75" s="413" t="e">
        <f t="shared" si="39"/>
        <v>#N/A</v>
      </c>
      <c r="AN75" s="413" t="e">
        <f t="shared" si="39"/>
        <v>#N/A</v>
      </c>
      <c r="AO75" s="433">
        <f>IF('GRR AIAG GR&amp;R'!$F$7=3,AVERAGE(G42:I42,G52:I52,G62:I62),IF('GRR AIAG GR&amp;R'!$F$7=2,AVERAGE(G42:I42,G52:I52),AVERAGE(G42:I42)))</f>
        <v>0.52200000000000002</v>
      </c>
      <c r="AP75" s="456"/>
      <c r="AQ75" s="456"/>
      <c r="AR75" s="44"/>
    </row>
    <row r="76" spans="1:84" ht="12.6" x14ac:dyDescent="0.45">
      <c r="J76" s="452">
        <f t="shared" si="40"/>
        <v>1</v>
      </c>
      <c r="K76" s="453">
        <f t="shared" si="41"/>
        <v>2</v>
      </c>
      <c r="L76" s="453">
        <f t="shared" si="42"/>
        <v>0.52200000000000002</v>
      </c>
      <c r="N76" s="440">
        <f t="shared" si="33"/>
        <v>3</v>
      </c>
      <c r="O76" s="438" t="str">
        <f t="shared" si="34"/>
        <v/>
      </c>
      <c r="P76" s="438" t="str">
        <f t="shared" si="34"/>
        <v/>
      </c>
      <c r="Q76" s="438" t="str">
        <f t="shared" si="34"/>
        <v/>
      </c>
      <c r="R76" s="438" t="str">
        <f t="shared" si="34"/>
        <v/>
      </c>
      <c r="S76" s="438" t="str">
        <f t="shared" si="34"/>
        <v/>
      </c>
      <c r="T76" s="438" t="str">
        <f t="shared" si="34"/>
        <v/>
      </c>
      <c r="V76" s="438">
        <f t="shared" si="35"/>
        <v>3</v>
      </c>
      <c r="W76" s="438">
        <f t="shared" si="35"/>
        <v>0.52200000000000002</v>
      </c>
      <c r="X76" s="438" t="e">
        <f t="shared" si="35"/>
        <v>#N/A</v>
      </c>
      <c r="Y76" s="438" t="e">
        <f t="shared" si="35"/>
        <v>#N/A</v>
      </c>
      <c r="Z76" s="438">
        <f t="shared" si="35"/>
        <v>2.0000000000000018E-3</v>
      </c>
      <c r="AA76" s="438" t="e">
        <f t="shared" si="35"/>
        <v>#N/A</v>
      </c>
      <c r="AB76" s="438" t="e">
        <f t="shared" si="35"/>
        <v>#N/A</v>
      </c>
      <c r="AD76" s="44"/>
      <c r="AE76" s="450">
        <f t="shared" si="36"/>
        <v>3</v>
      </c>
      <c r="AF76" s="454">
        <f t="shared" si="37"/>
        <v>0.52300000000000002</v>
      </c>
      <c r="AG76" s="413">
        <f t="shared" si="37"/>
        <v>0.52100000000000002</v>
      </c>
      <c r="AH76" s="455" t="e">
        <f t="shared" si="37"/>
        <v>#N/A</v>
      </c>
      <c r="AI76" s="413">
        <f t="shared" si="38"/>
        <v>0.52200000000000002</v>
      </c>
      <c r="AJ76" s="413">
        <f t="shared" si="38"/>
        <v>0.52200000000000002</v>
      </c>
      <c r="AK76" s="413" t="e">
        <f t="shared" si="38"/>
        <v>#N/A</v>
      </c>
      <c r="AL76" s="454" t="e">
        <f t="shared" si="39"/>
        <v>#N/A</v>
      </c>
      <c r="AM76" s="413" t="e">
        <f t="shared" si="39"/>
        <v>#N/A</v>
      </c>
      <c r="AN76" s="413" t="e">
        <f t="shared" si="39"/>
        <v>#N/A</v>
      </c>
      <c r="AO76" s="433">
        <f>IF('GRR AIAG GR&amp;R'!$F$7=3,AVERAGE(G43:I43,G53:I53,G63:I63),IF('GRR AIAG GR&amp;R'!$F$7=2,AVERAGE(G43:I43,G53:I53),AVERAGE(G43:I43)))</f>
        <v>0.52200000000000002</v>
      </c>
      <c r="AP76" s="456"/>
      <c r="AQ76" s="456"/>
      <c r="AR76" s="44"/>
    </row>
    <row r="77" spans="1:84" ht="12.6" x14ac:dyDescent="0.45">
      <c r="J77" s="452">
        <f t="shared" si="40"/>
        <v>1</v>
      </c>
      <c r="K77" s="453">
        <f t="shared" si="41"/>
        <v>3</v>
      </c>
      <c r="L77" s="453">
        <f t="shared" si="42"/>
        <v>0.52300000000000002</v>
      </c>
      <c r="N77" s="440">
        <f t="shared" si="33"/>
        <v>4</v>
      </c>
      <c r="O77" s="438" t="str">
        <f t="shared" si="34"/>
        <v/>
      </c>
      <c r="P77" s="438" t="str">
        <f t="shared" si="34"/>
        <v/>
      </c>
      <c r="Q77" s="438" t="str">
        <f t="shared" si="34"/>
        <v/>
      </c>
      <c r="R77" s="438" t="str">
        <f t="shared" si="34"/>
        <v/>
      </c>
      <c r="S77" s="438" t="str">
        <f t="shared" si="34"/>
        <v/>
      </c>
      <c r="T77" s="438" t="str">
        <f t="shared" si="34"/>
        <v/>
      </c>
      <c r="V77" s="438">
        <f t="shared" si="35"/>
        <v>4</v>
      </c>
      <c r="W77" s="438">
        <f t="shared" si="35"/>
        <v>0.52150000000000007</v>
      </c>
      <c r="X77" s="438" t="e">
        <f t="shared" si="35"/>
        <v>#N/A</v>
      </c>
      <c r="Y77" s="438" t="e">
        <f t="shared" si="35"/>
        <v>#N/A</v>
      </c>
      <c r="Z77" s="438">
        <f t="shared" si="35"/>
        <v>1.0000000000000009E-3</v>
      </c>
      <c r="AA77" s="438" t="e">
        <f t="shared" si="35"/>
        <v>#N/A</v>
      </c>
      <c r="AB77" s="438" t="e">
        <f t="shared" si="35"/>
        <v>#N/A</v>
      </c>
      <c r="AD77" s="44"/>
      <c r="AE77" s="450">
        <f t="shared" si="36"/>
        <v>4</v>
      </c>
      <c r="AF77" s="454">
        <f t="shared" si="37"/>
        <v>0.52100000000000002</v>
      </c>
      <c r="AG77" s="413">
        <f t="shared" si="37"/>
        <v>0.52200000000000002</v>
      </c>
      <c r="AH77" s="455" t="e">
        <f t="shared" si="37"/>
        <v>#N/A</v>
      </c>
      <c r="AI77" s="413">
        <f t="shared" si="38"/>
        <v>0.52400000000000002</v>
      </c>
      <c r="AJ77" s="413">
        <f t="shared" si="38"/>
        <v>0.52300000000000002</v>
      </c>
      <c r="AK77" s="413" t="e">
        <f t="shared" si="38"/>
        <v>#N/A</v>
      </c>
      <c r="AL77" s="454" t="e">
        <f t="shared" si="39"/>
        <v>#N/A</v>
      </c>
      <c r="AM77" s="413" t="e">
        <f t="shared" si="39"/>
        <v>#N/A</v>
      </c>
      <c r="AN77" s="413" t="e">
        <f t="shared" si="39"/>
        <v>#N/A</v>
      </c>
      <c r="AO77" s="433">
        <f>IF('GRR AIAG GR&amp;R'!$F$7=3,AVERAGE(G44:I44,G54:I54,G64:I64),IF('GRR AIAG GR&amp;R'!$F$7=2,AVERAGE(G44:I44,G54:I54),AVERAGE(G44:I44)))</f>
        <v>0.52250000000000008</v>
      </c>
      <c r="AP77" s="456"/>
      <c r="AQ77" s="456"/>
      <c r="AR77" s="44"/>
    </row>
    <row r="78" spans="1:84" ht="12.6" x14ac:dyDescent="0.45">
      <c r="J78" s="452">
        <f t="shared" si="40"/>
        <v>1</v>
      </c>
      <c r="K78" s="453">
        <f t="shared" si="41"/>
        <v>4</v>
      </c>
      <c r="L78" s="453">
        <f t="shared" si="42"/>
        <v>0.52100000000000002</v>
      </c>
      <c r="N78" s="440">
        <f t="shared" si="33"/>
        <v>5</v>
      </c>
      <c r="O78" s="438" t="str">
        <f t="shared" si="34"/>
        <v/>
      </c>
      <c r="P78" s="438" t="str">
        <f t="shared" si="34"/>
        <v/>
      </c>
      <c r="Q78" s="438" t="str">
        <f t="shared" si="34"/>
        <v/>
      </c>
      <c r="R78" s="438" t="str">
        <f t="shared" si="34"/>
        <v/>
      </c>
      <c r="S78" s="438" t="str">
        <f t="shared" si="34"/>
        <v/>
      </c>
      <c r="T78" s="438" t="str">
        <f t="shared" si="34"/>
        <v/>
      </c>
      <c r="V78" s="438">
        <f t="shared" si="35"/>
        <v>5</v>
      </c>
      <c r="W78" s="438">
        <f t="shared" si="35"/>
        <v>0.52449999999999997</v>
      </c>
      <c r="X78" s="438" t="e">
        <f t="shared" si="35"/>
        <v>#N/A</v>
      </c>
      <c r="Y78" s="438" t="e">
        <f t="shared" si="35"/>
        <v>#N/A</v>
      </c>
      <c r="Z78" s="438">
        <f t="shared" si="35"/>
        <v>1.0000000000000009E-3</v>
      </c>
      <c r="AA78" s="438" t="e">
        <f t="shared" si="35"/>
        <v>#N/A</v>
      </c>
      <c r="AB78" s="438" t="e">
        <f t="shared" si="35"/>
        <v>#N/A</v>
      </c>
      <c r="AD78" s="44"/>
      <c r="AE78" s="450">
        <f t="shared" si="36"/>
        <v>5</v>
      </c>
      <c r="AF78" s="454">
        <f t="shared" si="37"/>
        <v>0.52500000000000002</v>
      </c>
      <c r="AG78" s="413">
        <f t="shared" si="37"/>
        <v>0.52400000000000002</v>
      </c>
      <c r="AH78" s="455" t="e">
        <f t="shared" si="37"/>
        <v>#N/A</v>
      </c>
      <c r="AI78" s="413">
        <f t="shared" si="38"/>
        <v>0.52100000000000002</v>
      </c>
      <c r="AJ78" s="413">
        <f t="shared" si="38"/>
        <v>0.52100000000000002</v>
      </c>
      <c r="AK78" s="413" t="e">
        <f t="shared" si="38"/>
        <v>#N/A</v>
      </c>
      <c r="AL78" s="454" t="e">
        <f t="shared" si="39"/>
        <v>#N/A</v>
      </c>
      <c r="AM78" s="413" t="e">
        <f t="shared" si="39"/>
        <v>#N/A</v>
      </c>
      <c r="AN78" s="413" t="e">
        <f t="shared" si="39"/>
        <v>#N/A</v>
      </c>
      <c r="AO78" s="433">
        <f>IF('GRR AIAG GR&amp;R'!$F$7=3,AVERAGE(G45:I45,G55:I55,G65:I65),IF('GRR AIAG GR&amp;R'!$F$7=2,AVERAGE(G45:I45,G55:I55),AVERAGE(G45:I45)))</f>
        <v>0.52274999999999994</v>
      </c>
      <c r="AP78" s="456"/>
      <c r="AQ78" s="456"/>
      <c r="AR78" s="44"/>
    </row>
    <row r="79" spans="1:84" ht="12.6" x14ac:dyDescent="0.45">
      <c r="J79" s="452">
        <f t="shared" si="40"/>
        <v>1</v>
      </c>
      <c r="K79" s="453">
        <f t="shared" si="41"/>
        <v>5</v>
      </c>
      <c r="L79" s="453">
        <f t="shared" si="42"/>
        <v>0.52500000000000002</v>
      </c>
      <c r="N79" s="440">
        <f t="shared" si="33"/>
        <v>6</v>
      </c>
      <c r="O79" s="438" t="str">
        <f t="shared" si="34"/>
        <v/>
      </c>
      <c r="P79" s="438" t="str">
        <f t="shared" si="34"/>
        <v/>
      </c>
      <c r="Q79" s="438" t="str">
        <f t="shared" si="34"/>
        <v/>
      </c>
      <c r="R79" s="438" t="str">
        <f t="shared" si="34"/>
        <v/>
      </c>
      <c r="S79" s="438" t="str">
        <f t="shared" si="34"/>
        <v/>
      </c>
      <c r="T79" s="438" t="str">
        <f t="shared" si="34"/>
        <v/>
      </c>
      <c r="V79" s="438">
        <f t="shared" si="35"/>
        <v>1</v>
      </c>
      <c r="W79" s="438" t="e">
        <f t="shared" si="35"/>
        <v>#N/A</v>
      </c>
      <c r="X79" s="438">
        <f t="shared" si="35"/>
        <v>0.47750000000000004</v>
      </c>
      <c r="Y79" s="438" t="e">
        <f t="shared" si="35"/>
        <v>#N/A</v>
      </c>
      <c r="Z79" s="438" t="e">
        <f t="shared" si="35"/>
        <v>#N/A</v>
      </c>
      <c r="AA79" s="438">
        <f t="shared" si="35"/>
        <v>4.0999999999999981E-2</v>
      </c>
      <c r="AB79" s="438" t="e">
        <f t="shared" si="35"/>
        <v>#N/A</v>
      </c>
      <c r="AD79" s="44"/>
      <c r="AE79" s="450" t="e">
        <f t="shared" si="36"/>
        <v>#N/A</v>
      </c>
      <c r="AF79" s="454" t="e">
        <f t="shared" si="37"/>
        <v>#N/A</v>
      </c>
      <c r="AG79" s="413" t="e">
        <f t="shared" si="37"/>
        <v>#N/A</v>
      </c>
      <c r="AH79" s="455" t="e">
        <f t="shared" si="37"/>
        <v>#N/A</v>
      </c>
      <c r="AI79" s="413" t="e">
        <f t="shared" si="38"/>
        <v>#N/A</v>
      </c>
      <c r="AJ79" s="413" t="e">
        <f t="shared" si="38"/>
        <v>#N/A</v>
      </c>
      <c r="AK79" s="413" t="e">
        <f t="shared" si="38"/>
        <v>#N/A</v>
      </c>
      <c r="AL79" s="454" t="e">
        <f t="shared" si="39"/>
        <v>#N/A</v>
      </c>
      <c r="AM79" s="413" t="e">
        <f t="shared" si="39"/>
        <v>#N/A</v>
      </c>
      <c r="AN79" s="413" t="e">
        <f t="shared" si="39"/>
        <v>#N/A</v>
      </c>
      <c r="AO79" s="433" t="e">
        <f>IF('GRR AIAG GR&amp;R'!$F$7=3,AVERAGE(G46:I46,G56:I56,G66:I66),IF('GRR AIAG GR&amp;R'!$F$7=2,AVERAGE(G46:I46,G56:I56),AVERAGE(G46:I46)))</f>
        <v>#DIV/0!</v>
      </c>
      <c r="AP79" s="456"/>
      <c r="AQ79" s="456"/>
      <c r="AR79" s="44"/>
    </row>
    <row r="80" spans="1:84" ht="12.6" x14ac:dyDescent="0.45">
      <c r="J80" s="452" t="e">
        <f t="shared" si="40"/>
        <v>#N/A</v>
      </c>
      <c r="K80" s="453" t="e">
        <f t="shared" si="41"/>
        <v>#N/A</v>
      </c>
      <c r="L80" s="453" t="e">
        <f t="shared" si="42"/>
        <v>#N/A</v>
      </c>
      <c r="N80" s="440">
        <f t="shared" si="33"/>
        <v>7</v>
      </c>
      <c r="O80" s="438" t="str">
        <f t="shared" si="34"/>
        <v/>
      </c>
      <c r="P80" s="438" t="str">
        <f t="shared" si="34"/>
        <v/>
      </c>
      <c r="Q80" s="438" t="str">
        <f t="shared" si="34"/>
        <v/>
      </c>
      <c r="R80" s="438" t="str">
        <f t="shared" si="34"/>
        <v/>
      </c>
      <c r="S80" s="438" t="str">
        <f t="shared" si="34"/>
        <v/>
      </c>
      <c r="T80" s="438" t="str">
        <f t="shared" si="34"/>
        <v/>
      </c>
      <c r="V80" s="438">
        <f t="shared" si="35"/>
        <v>2</v>
      </c>
      <c r="W80" s="438" t="e">
        <f t="shared" si="35"/>
        <v>#N/A</v>
      </c>
      <c r="X80" s="438">
        <f t="shared" si="35"/>
        <v>0.52150000000000007</v>
      </c>
      <c r="Y80" s="438" t="e">
        <f t="shared" si="35"/>
        <v>#N/A</v>
      </c>
      <c r="Z80" s="438" t="e">
        <f t="shared" si="35"/>
        <v>#N/A</v>
      </c>
      <c r="AA80" s="438">
        <f t="shared" si="35"/>
        <v>1.0000000000000009E-3</v>
      </c>
      <c r="AB80" s="438" t="e">
        <f t="shared" si="35"/>
        <v>#N/A</v>
      </c>
      <c r="AD80" s="44"/>
      <c r="AE80" s="450" t="e">
        <f t="shared" si="36"/>
        <v>#N/A</v>
      </c>
      <c r="AF80" s="454" t="e">
        <f t="shared" si="37"/>
        <v>#N/A</v>
      </c>
      <c r="AG80" s="413" t="e">
        <f t="shared" si="37"/>
        <v>#N/A</v>
      </c>
      <c r="AH80" s="455" t="e">
        <f t="shared" si="37"/>
        <v>#N/A</v>
      </c>
      <c r="AI80" s="413" t="e">
        <f t="shared" si="38"/>
        <v>#N/A</v>
      </c>
      <c r="AJ80" s="413" t="e">
        <f t="shared" si="38"/>
        <v>#N/A</v>
      </c>
      <c r="AK80" s="413" t="e">
        <f t="shared" si="38"/>
        <v>#N/A</v>
      </c>
      <c r="AL80" s="454" t="e">
        <f t="shared" si="39"/>
        <v>#N/A</v>
      </c>
      <c r="AM80" s="413" t="e">
        <f t="shared" si="39"/>
        <v>#N/A</v>
      </c>
      <c r="AN80" s="413" t="e">
        <f t="shared" si="39"/>
        <v>#N/A</v>
      </c>
      <c r="AO80" s="433" t="e">
        <f>IF('GRR AIAG GR&amp;R'!$F$7=3,AVERAGE(G47:I47,G57:I57,G67:I67),IF('GRR AIAG GR&amp;R'!$F$7=2,AVERAGE(G47:I47,G57:I57),AVERAGE(G47:I47)))</f>
        <v>#DIV/0!</v>
      </c>
      <c r="AP80" s="456"/>
      <c r="AQ80" s="456"/>
      <c r="AR80" s="44"/>
    </row>
    <row r="81" spans="10:44" ht="12.6" x14ac:dyDescent="0.45">
      <c r="J81" s="452" t="e">
        <f t="shared" si="40"/>
        <v>#N/A</v>
      </c>
      <c r="K81" s="453" t="e">
        <f t="shared" si="41"/>
        <v>#N/A</v>
      </c>
      <c r="L81" s="453" t="e">
        <f t="shared" si="42"/>
        <v>#N/A</v>
      </c>
      <c r="N81" s="440">
        <f t="shared" si="33"/>
        <v>8</v>
      </c>
      <c r="O81" s="438" t="str">
        <f t="shared" si="34"/>
        <v/>
      </c>
      <c r="P81" s="438" t="str">
        <f t="shared" si="34"/>
        <v/>
      </c>
      <c r="Q81" s="438" t="str">
        <f t="shared" si="34"/>
        <v/>
      </c>
      <c r="R81" s="438" t="str">
        <f t="shared" si="34"/>
        <v/>
      </c>
      <c r="S81" s="438" t="str">
        <f t="shared" si="34"/>
        <v/>
      </c>
      <c r="T81" s="438" t="str">
        <f t="shared" si="34"/>
        <v/>
      </c>
      <c r="V81" s="438">
        <f t="shared" si="35"/>
        <v>3</v>
      </c>
      <c r="W81" s="438" t="e">
        <f t="shared" si="35"/>
        <v>#N/A</v>
      </c>
      <c r="X81" s="438">
        <f t="shared" si="35"/>
        <v>0.52200000000000002</v>
      </c>
      <c r="Y81" s="438" t="e">
        <f t="shared" si="35"/>
        <v>#N/A</v>
      </c>
      <c r="Z81" s="438" t="e">
        <f t="shared" si="35"/>
        <v>#N/A</v>
      </c>
      <c r="AA81" s="438">
        <f t="shared" si="35"/>
        <v>0</v>
      </c>
      <c r="AB81" s="438" t="e">
        <f t="shared" si="35"/>
        <v>#N/A</v>
      </c>
      <c r="AD81" s="44"/>
      <c r="AE81" s="450" t="e">
        <f t="shared" si="36"/>
        <v>#N/A</v>
      </c>
      <c r="AF81" s="454" t="e">
        <f t="shared" si="37"/>
        <v>#N/A</v>
      </c>
      <c r="AG81" s="413" t="e">
        <f t="shared" si="37"/>
        <v>#N/A</v>
      </c>
      <c r="AH81" s="455" t="e">
        <f t="shared" si="37"/>
        <v>#N/A</v>
      </c>
      <c r="AI81" s="413" t="e">
        <f t="shared" si="38"/>
        <v>#N/A</v>
      </c>
      <c r="AJ81" s="413" t="e">
        <f t="shared" si="38"/>
        <v>#N/A</v>
      </c>
      <c r="AK81" s="413" t="e">
        <f t="shared" si="38"/>
        <v>#N/A</v>
      </c>
      <c r="AL81" s="454" t="e">
        <f t="shared" si="39"/>
        <v>#N/A</v>
      </c>
      <c r="AM81" s="413" t="e">
        <f t="shared" si="39"/>
        <v>#N/A</v>
      </c>
      <c r="AN81" s="413" t="e">
        <f t="shared" si="39"/>
        <v>#N/A</v>
      </c>
      <c r="AO81" s="433" t="e">
        <f>IF('GRR AIAG GR&amp;R'!$F$7=3,AVERAGE(G48:I48,G58:I58,G68:I68),IF('GRR AIAG GR&amp;R'!$F$7=2,AVERAGE(G48:I48,G58:I58),AVERAGE(G48:I48)))</f>
        <v>#DIV/0!</v>
      </c>
      <c r="AP81" s="456"/>
      <c r="AQ81" s="456"/>
      <c r="AR81" s="44"/>
    </row>
    <row r="82" spans="10:44" ht="12.6" x14ac:dyDescent="0.45">
      <c r="J82" s="452" t="e">
        <f t="shared" si="40"/>
        <v>#N/A</v>
      </c>
      <c r="K82" s="453" t="e">
        <f t="shared" si="41"/>
        <v>#N/A</v>
      </c>
      <c r="L82" s="453" t="e">
        <f t="shared" si="42"/>
        <v>#N/A</v>
      </c>
      <c r="N82" s="440">
        <f t="shared" si="33"/>
        <v>9</v>
      </c>
      <c r="O82" s="438" t="str">
        <f t="shared" si="34"/>
        <v/>
      </c>
      <c r="P82" s="438" t="str">
        <f t="shared" si="34"/>
        <v/>
      </c>
      <c r="Q82" s="438" t="str">
        <f t="shared" si="34"/>
        <v/>
      </c>
      <c r="R82" s="438" t="str">
        <f t="shared" si="34"/>
        <v/>
      </c>
      <c r="S82" s="438" t="str">
        <f t="shared" si="34"/>
        <v/>
      </c>
      <c r="T82" s="438" t="str">
        <f t="shared" si="34"/>
        <v/>
      </c>
      <c r="V82" s="438">
        <f t="shared" si="35"/>
        <v>4</v>
      </c>
      <c r="W82" s="438" t="e">
        <f t="shared" si="35"/>
        <v>#N/A</v>
      </c>
      <c r="X82" s="438">
        <f t="shared" si="35"/>
        <v>0.52350000000000008</v>
      </c>
      <c r="Y82" s="438" t="e">
        <f t="shared" si="35"/>
        <v>#N/A</v>
      </c>
      <c r="Z82" s="438" t="e">
        <f t="shared" si="35"/>
        <v>#N/A</v>
      </c>
      <c r="AA82" s="438">
        <f t="shared" si="35"/>
        <v>1.0000000000000009E-3</v>
      </c>
      <c r="AB82" s="438" t="e">
        <f t="shared" si="35"/>
        <v>#N/A</v>
      </c>
      <c r="AD82" s="44"/>
      <c r="AE82" s="450" t="e">
        <f t="shared" si="36"/>
        <v>#N/A</v>
      </c>
      <c r="AF82" s="454" t="e">
        <f t="shared" si="37"/>
        <v>#N/A</v>
      </c>
      <c r="AG82" s="413" t="e">
        <f t="shared" si="37"/>
        <v>#N/A</v>
      </c>
      <c r="AH82" s="455" t="e">
        <f t="shared" si="37"/>
        <v>#N/A</v>
      </c>
      <c r="AI82" s="413" t="e">
        <f t="shared" si="38"/>
        <v>#N/A</v>
      </c>
      <c r="AJ82" s="413" t="e">
        <f t="shared" si="38"/>
        <v>#N/A</v>
      </c>
      <c r="AK82" s="413" t="e">
        <f t="shared" si="38"/>
        <v>#N/A</v>
      </c>
      <c r="AL82" s="454" t="e">
        <f t="shared" si="39"/>
        <v>#N/A</v>
      </c>
      <c r="AM82" s="413" t="e">
        <f t="shared" si="39"/>
        <v>#N/A</v>
      </c>
      <c r="AN82" s="413" t="e">
        <f t="shared" si="39"/>
        <v>#N/A</v>
      </c>
      <c r="AO82" s="433" t="e">
        <f>IF('GRR AIAG GR&amp;R'!$F$7=3,AVERAGE(G49:I49,G59:I59,G69:I69),IF('GRR AIAG GR&amp;R'!$F$7=2,AVERAGE(G49:I49,G59:I59),AVERAGE(G49:I49)))</f>
        <v>#DIV/0!</v>
      </c>
      <c r="AP82" s="456"/>
      <c r="AQ82" s="456"/>
      <c r="AR82" s="44"/>
    </row>
    <row r="83" spans="10:44" ht="12.6" x14ac:dyDescent="0.45">
      <c r="J83" s="452" t="e">
        <f t="shared" si="40"/>
        <v>#N/A</v>
      </c>
      <c r="K83" s="453" t="e">
        <f t="shared" si="41"/>
        <v>#N/A</v>
      </c>
      <c r="L83" s="453" t="e">
        <f t="shared" si="42"/>
        <v>#N/A</v>
      </c>
      <c r="N83" s="440">
        <f t="shared" si="33"/>
        <v>10</v>
      </c>
      <c r="O83" s="438" t="str">
        <f t="shared" si="34"/>
        <v/>
      </c>
      <c r="P83" s="438" t="str">
        <f t="shared" si="34"/>
        <v/>
      </c>
      <c r="Q83" s="438" t="str">
        <f t="shared" si="34"/>
        <v/>
      </c>
      <c r="R83" s="438" t="str">
        <f t="shared" si="34"/>
        <v/>
      </c>
      <c r="S83" s="438" t="str">
        <f t="shared" si="34"/>
        <v/>
      </c>
      <c r="T83" s="438" t="str">
        <f t="shared" si="34"/>
        <v/>
      </c>
      <c r="V83" s="438">
        <f t="shared" si="35"/>
        <v>5</v>
      </c>
      <c r="W83" s="438" t="e">
        <f t="shared" si="35"/>
        <v>#N/A</v>
      </c>
      <c r="X83" s="438">
        <f t="shared" si="35"/>
        <v>0.52100000000000002</v>
      </c>
      <c r="Y83" s="438" t="e">
        <f t="shared" si="35"/>
        <v>#N/A</v>
      </c>
      <c r="Z83" s="438" t="e">
        <f t="shared" si="35"/>
        <v>#N/A</v>
      </c>
      <c r="AA83" s="438">
        <f t="shared" si="35"/>
        <v>0</v>
      </c>
      <c r="AB83" s="438" t="e">
        <f t="shared" si="35"/>
        <v>#N/A</v>
      </c>
      <c r="AD83" s="44"/>
      <c r="AE83" s="450" t="e">
        <f t="shared" si="36"/>
        <v>#N/A</v>
      </c>
      <c r="AF83" s="457" t="e">
        <f t="shared" si="37"/>
        <v>#N/A</v>
      </c>
      <c r="AG83" s="458" t="e">
        <f t="shared" si="37"/>
        <v>#N/A</v>
      </c>
      <c r="AH83" s="459" t="e">
        <f t="shared" si="37"/>
        <v>#N/A</v>
      </c>
      <c r="AI83" s="458" t="e">
        <f t="shared" si="38"/>
        <v>#N/A</v>
      </c>
      <c r="AJ83" s="458" t="e">
        <f t="shared" si="38"/>
        <v>#N/A</v>
      </c>
      <c r="AK83" s="458" t="e">
        <f t="shared" si="38"/>
        <v>#N/A</v>
      </c>
      <c r="AL83" s="457" t="e">
        <f t="shared" si="39"/>
        <v>#N/A</v>
      </c>
      <c r="AM83" s="458" t="e">
        <f t="shared" si="39"/>
        <v>#N/A</v>
      </c>
      <c r="AN83" s="458" t="e">
        <f t="shared" si="39"/>
        <v>#N/A</v>
      </c>
      <c r="AO83" s="433" t="e">
        <f>IF('GRR AIAG GR&amp;R'!$F$7=3,AVERAGE(G50:I50,G60:I60,G70:I70),IF('GRR AIAG GR&amp;R'!$F$7=2,AVERAGE(G50:I50,G60:I60),AVERAGE(G50:I50)))</f>
        <v>#DIV/0!</v>
      </c>
      <c r="AP83" s="460"/>
      <c r="AQ83" s="460"/>
      <c r="AR83" s="44"/>
    </row>
    <row r="84" spans="10:44" ht="12.6" x14ac:dyDescent="0.45">
      <c r="J84" s="452" t="e">
        <f t="shared" si="40"/>
        <v>#N/A</v>
      </c>
      <c r="K84" s="453" t="e">
        <f t="shared" si="41"/>
        <v>#N/A</v>
      </c>
      <c r="L84" s="453" t="e">
        <f t="shared" si="42"/>
        <v>#N/A</v>
      </c>
      <c r="N84" s="440">
        <f t="shared" si="33"/>
        <v>1</v>
      </c>
      <c r="O84" s="438" t="str">
        <f t="shared" si="34"/>
        <v/>
      </c>
      <c r="P84" s="438" t="str">
        <f t="shared" si="34"/>
        <v/>
      </c>
      <c r="Q84" s="438" t="str">
        <f t="shared" si="34"/>
        <v/>
      </c>
      <c r="R84" s="438" t="str">
        <f t="shared" si="34"/>
        <v/>
      </c>
      <c r="S84" s="438" t="str">
        <f t="shared" si="34"/>
        <v/>
      </c>
      <c r="T84" s="438" t="str">
        <f t="shared" si="34"/>
        <v/>
      </c>
      <c r="V84" s="438">
        <f t="shared" si="35"/>
        <v>1</v>
      </c>
      <c r="W84" s="438" t="e">
        <f t="shared" si="35"/>
        <v>#N/A</v>
      </c>
      <c r="X84" s="438" t="e">
        <f t="shared" si="35"/>
        <v>#N/A</v>
      </c>
      <c r="Y84" s="438" t="e">
        <f t="shared" si="35"/>
        <v>#N/A</v>
      </c>
      <c r="Z84" s="438" t="e">
        <f t="shared" si="35"/>
        <v>#N/A</v>
      </c>
      <c r="AA84" s="438" t="e">
        <f t="shared" si="35"/>
        <v>#N/A</v>
      </c>
      <c r="AB84" s="438" t="e">
        <f t="shared" si="35"/>
        <v>#N/A</v>
      </c>
      <c r="AD84" s="44"/>
      <c r="AE84" s="44"/>
      <c r="AF84" s="410">
        <f>IF(G41="","",G41)</f>
        <v>0.52100000000000002</v>
      </c>
      <c r="AG84" s="451">
        <f>IF(H41="","",H41)</f>
        <v>0.52100000000000002</v>
      </c>
      <c r="AH84" s="412" t="str">
        <f>IF(I41="","",I41)</f>
        <v/>
      </c>
      <c r="AI84" s="451">
        <f>IF(G51="","",G51)</f>
        <v>0.498</v>
      </c>
      <c r="AJ84" s="451">
        <f>IF(H51="","",H51)</f>
        <v>0.45700000000000002</v>
      </c>
      <c r="AK84" s="451" t="str">
        <f>IF(I51="","",I51)</f>
        <v/>
      </c>
      <c r="AL84" s="410" t="str">
        <f>IF(G61="","",G61)</f>
        <v/>
      </c>
      <c r="AM84" s="451" t="str">
        <f>IF(H61="","",H61)</f>
        <v/>
      </c>
      <c r="AN84" s="451" t="str">
        <f>IF(I61="","",I61)</f>
        <v/>
      </c>
      <c r="AO84" s="433">
        <f>IF(AF84="",NA(),AVERAGE(AF84:AH84))</f>
        <v>0.52100000000000002</v>
      </c>
      <c r="AP84" s="433">
        <f>IF(AI84="",NA(),AVERAGE(AI84:AK84))</f>
        <v>0.47750000000000004</v>
      </c>
      <c r="AQ84" s="433" t="e">
        <f>IF(AL84="",NA(),AVERAGE(AL84:AN84))</f>
        <v>#N/A</v>
      </c>
    </row>
    <row r="85" spans="10:44" s="18" customFormat="1" ht="12.6" x14ac:dyDescent="0.45">
      <c r="J85" s="452">
        <f t="shared" ref="J85:J94" si="43">IF(G51="",NA(),2)</f>
        <v>2</v>
      </c>
      <c r="K85" s="453">
        <f t="shared" si="41"/>
        <v>1</v>
      </c>
      <c r="L85" s="453">
        <f t="shared" si="42"/>
        <v>0.498</v>
      </c>
      <c r="N85" s="440">
        <f t="shared" si="33"/>
        <v>2</v>
      </c>
      <c r="O85" s="438" t="str">
        <f t="shared" si="34"/>
        <v/>
      </c>
      <c r="P85" s="438" t="str">
        <f t="shared" si="34"/>
        <v/>
      </c>
      <c r="Q85" s="438" t="str">
        <f t="shared" si="34"/>
        <v/>
      </c>
      <c r="R85" s="438" t="str">
        <f t="shared" si="34"/>
        <v/>
      </c>
      <c r="S85" s="438" t="str">
        <f t="shared" si="34"/>
        <v/>
      </c>
      <c r="T85" s="438" t="str">
        <f t="shared" si="34"/>
        <v/>
      </c>
      <c r="V85" s="438">
        <f t="shared" si="35"/>
        <v>2</v>
      </c>
      <c r="W85" s="438" t="e">
        <f t="shared" si="35"/>
        <v>#N/A</v>
      </c>
      <c r="X85" s="438" t="e">
        <f t="shared" si="35"/>
        <v>#N/A</v>
      </c>
      <c r="Y85" s="438" t="e">
        <f t="shared" si="35"/>
        <v>#N/A</v>
      </c>
      <c r="Z85" s="438" t="e">
        <f t="shared" si="35"/>
        <v>#N/A</v>
      </c>
      <c r="AA85" s="438" t="e">
        <f t="shared" si="35"/>
        <v>#N/A</v>
      </c>
      <c r="AB85" s="438" t="e">
        <f t="shared" si="35"/>
        <v>#N/A</v>
      </c>
      <c r="AD85" s="44"/>
      <c r="AE85" s="44"/>
      <c r="AF85" s="454">
        <f t="shared" ref="AF85:AH93" si="44">IF(G42="","",G42)</f>
        <v>0.52200000000000002</v>
      </c>
      <c r="AG85" s="413">
        <f t="shared" si="44"/>
        <v>0.52300000000000002</v>
      </c>
      <c r="AH85" s="455" t="str">
        <f t="shared" si="44"/>
        <v/>
      </c>
      <c r="AI85" s="413">
        <f t="shared" ref="AI85:AK93" si="45">IF(G52="","",G52)</f>
        <v>0.52100000000000002</v>
      </c>
      <c r="AJ85" s="413">
        <f t="shared" si="45"/>
        <v>0.52200000000000002</v>
      </c>
      <c r="AK85" s="413" t="str">
        <f t="shared" si="45"/>
        <v/>
      </c>
      <c r="AL85" s="454" t="str">
        <f t="shared" ref="AL85:AN93" si="46">IF(G62="","",G62)</f>
        <v/>
      </c>
      <c r="AM85" s="413" t="str">
        <f t="shared" si="46"/>
        <v/>
      </c>
      <c r="AN85" s="413" t="str">
        <f t="shared" si="46"/>
        <v/>
      </c>
      <c r="AO85" s="433">
        <f t="shared" ref="AO85:AO93" si="47">IF(AF85="",NA(),AVERAGE(AF85:AH85))</f>
        <v>0.52249999999999996</v>
      </c>
      <c r="AP85" s="433">
        <f t="shared" ref="AP85:AP93" si="48">IF(AI85="",NA(),AVERAGE(AI85:AK85))</f>
        <v>0.52150000000000007</v>
      </c>
      <c r="AQ85" s="433" t="e">
        <f t="shared" ref="AQ85:AQ93" si="49">IF(AL85="",NA(),AVERAGE(AL85:AN85))</f>
        <v>#N/A</v>
      </c>
    </row>
    <row r="86" spans="10:44" s="18" customFormat="1" ht="12.6" x14ac:dyDescent="0.45">
      <c r="J86" s="452">
        <f t="shared" si="43"/>
        <v>2</v>
      </c>
      <c r="K86" s="453">
        <f t="shared" si="41"/>
        <v>2</v>
      </c>
      <c r="L86" s="453">
        <f t="shared" si="42"/>
        <v>0.52100000000000002</v>
      </c>
      <c r="N86" s="440">
        <f t="shared" si="33"/>
        <v>3</v>
      </c>
      <c r="O86" s="438" t="str">
        <f t="shared" si="34"/>
        <v/>
      </c>
      <c r="P86" s="438" t="str">
        <f t="shared" si="34"/>
        <v/>
      </c>
      <c r="Q86" s="438" t="str">
        <f t="shared" si="34"/>
        <v/>
      </c>
      <c r="R86" s="438" t="str">
        <f t="shared" si="34"/>
        <v/>
      </c>
      <c r="S86" s="438" t="str">
        <f t="shared" si="34"/>
        <v/>
      </c>
      <c r="T86" s="438" t="str">
        <f t="shared" si="34"/>
        <v/>
      </c>
      <c r="V86" s="438">
        <f t="shared" si="35"/>
        <v>3</v>
      </c>
      <c r="W86" s="438" t="e">
        <f t="shared" si="35"/>
        <v>#N/A</v>
      </c>
      <c r="X86" s="438" t="e">
        <f t="shared" si="35"/>
        <v>#N/A</v>
      </c>
      <c r="Y86" s="438" t="e">
        <f t="shared" si="35"/>
        <v>#N/A</v>
      </c>
      <c r="Z86" s="438" t="e">
        <f t="shared" si="35"/>
        <v>#N/A</v>
      </c>
      <c r="AA86" s="438" t="e">
        <f t="shared" si="35"/>
        <v>#N/A</v>
      </c>
      <c r="AB86" s="438" t="e">
        <f t="shared" si="35"/>
        <v>#N/A</v>
      </c>
      <c r="AD86" s="44"/>
      <c r="AE86" s="44"/>
      <c r="AF86" s="454">
        <f t="shared" si="44"/>
        <v>0.52300000000000002</v>
      </c>
      <c r="AG86" s="413">
        <f t="shared" si="44"/>
        <v>0.52100000000000002</v>
      </c>
      <c r="AH86" s="455" t="str">
        <f t="shared" si="44"/>
        <v/>
      </c>
      <c r="AI86" s="413">
        <f t="shared" si="45"/>
        <v>0.52200000000000002</v>
      </c>
      <c r="AJ86" s="413">
        <f t="shared" si="45"/>
        <v>0.52200000000000002</v>
      </c>
      <c r="AK86" s="413" t="str">
        <f t="shared" si="45"/>
        <v/>
      </c>
      <c r="AL86" s="454" t="str">
        <f t="shared" si="46"/>
        <v/>
      </c>
      <c r="AM86" s="413" t="str">
        <f t="shared" si="46"/>
        <v/>
      </c>
      <c r="AN86" s="413" t="str">
        <f t="shared" si="46"/>
        <v/>
      </c>
      <c r="AO86" s="433">
        <f t="shared" si="47"/>
        <v>0.52200000000000002</v>
      </c>
      <c r="AP86" s="433">
        <f t="shared" si="48"/>
        <v>0.52200000000000002</v>
      </c>
      <c r="AQ86" s="433" t="e">
        <f t="shared" si="49"/>
        <v>#N/A</v>
      </c>
    </row>
    <row r="87" spans="10:44" s="18" customFormat="1" ht="12.6" x14ac:dyDescent="0.45">
      <c r="J87" s="452">
        <f t="shared" si="43"/>
        <v>2</v>
      </c>
      <c r="K87" s="453">
        <f t="shared" si="41"/>
        <v>3</v>
      </c>
      <c r="L87" s="453">
        <f t="shared" si="42"/>
        <v>0.52200000000000002</v>
      </c>
      <c r="N87" s="440">
        <f t="shared" si="33"/>
        <v>4</v>
      </c>
      <c r="O87" s="438" t="str">
        <f t="shared" si="34"/>
        <v/>
      </c>
      <c r="P87" s="438" t="str">
        <f t="shared" si="34"/>
        <v/>
      </c>
      <c r="Q87" s="438" t="str">
        <f t="shared" si="34"/>
        <v/>
      </c>
      <c r="R87" s="438" t="str">
        <f t="shared" si="34"/>
        <v/>
      </c>
      <c r="S87" s="438" t="str">
        <f t="shared" si="34"/>
        <v/>
      </c>
      <c r="T87" s="438" t="str">
        <f t="shared" si="34"/>
        <v/>
      </c>
      <c r="V87" s="438">
        <f t="shared" si="35"/>
        <v>4</v>
      </c>
      <c r="W87" s="438" t="e">
        <f t="shared" si="35"/>
        <v>#N/A</v>
      </c>
      <c r="X87" s="438" t="e">
        <f t="shared" si="35"/>
        <v>#N/A</v>
      </c>
      <c r="Y87" s="438" t="e">
        <f t="shared" si="35"/>
        <v>#N/A</v>
      </c>
      <c r="Z87" s="438" t="e">
        <f t="shared" si="35"/>
        <v>#N/A</v>
      </c>
      <c r="AA87" s="438" t="e">
        <f t="shared" si="35"/>
        <v>#N/A</v>
      </c>
      <c r="AB87" s="438" t="e">
        <f t="shared" si="35"/>
        <v>#N/A</v>
      </c>
      <c r="AD87" s="44"/>
      <c r="AE87" s="44"/>
      <c r="AF87" s="454">
        <f t="shared" si="44"/>
        <v>0.52100000000000002</v>
      </c>
      <c r="AG87" s="413">
        <f t="shared" si="44"/>
        <v>0.52200000000000002</v>
      </c>
      <c r="AH87" s="455" t="str">
        <f t="shared" si="44"/>
        <v/>
      </c>
      <c r="AI87" s="413">
        <f t="shared" si="45"/>
        <v>0.52400000000000002</v>
      </c>
      <c r="AJ87" s="413">
        <f t="shared" si="45"/>
        <v>0.52300000000000002</v>
      </c>
      <c r="AK87" s="413" t="str">
        <f t="shared" si="45"/>
        <v/>
      </c>
      <c r="AL87" s="454" t="str">
        <f t="shared" si="46"/>
        <v/>
      </c>
      <c r="AM87" s="413" t="str">
        <f t="shared" si="46"/>
        <v/>
      </c>
      <c r="AN87" s="413" t="str">
        <f t="shared" si="46"/>
        <v/>
      </c>
      <c r="AO87" s="433">
        <f t="shared" si="47"/>
        <v>0.52150000000000007</v>
      </c>
      <c r="AP87" s="433">
        <f t="shared" si="48"/>
        <v>0.52350000000000008</v>
      </c>
      <c r="AQ87" s="433" t="e">
        <f t="shared" si="49"/>
        <v>#N/A</v>
      </c>
    </row>
    <row r="88" spans="10:44" s="18" customFormat="1" ht="12.6" x14ac:dyDescent="0.45">
      <c r="J88" s="452">
        <f t="shared" si="43"/>
        <v>2</v>
      </c>
      <c r="K88" s="453">
        <f t="shared" si="41"/>
        <v>4</v>
      </c>
      <c r="L88" s="453">
        <f t="shared" si="42"/>
        <v>0.52400000000000002</v>
      </c>
      <c r="N88" s="440">
        <f t="shared" si="33"/>
        <v>5</v>
      </c>
      <c r="O88" s="438" t="str">
        <f t="shared" si="34"/>
        <v/>
      </c>
      <c r="P88" s="438" t="str">
        <f t="shared" si="34"/>
        <v/>
      </c>
      <c r="Q88" s="438" t="str">
        <f t="shared" si="34"/>
        <v/>
      </c>
      <c r="R88" s="438" t="str">
        <f t="shared" si="34"/>
        <v/>
      </c>
      <c r="S88" s="438" t="str">
        <f t="shared" si="34"/>
        <v/>
      </c>
      <c r="T88" s="438" t="str">
        <f t="shared" si="34"/>
        <v/>
      </c>
      <c r="V88" s="438">
        <f t="shared" si="35"/>
        <v>5</v>
      </c>
      <c r="W88" s="438" t="e">
        <f t="shared" si="35"/>
        <v>#N/A</v>
      </c>
      <c r="X88" s="438" t="e">
        <f t="shared" si="35"/>
        <v>#N/A</v>
      </c>
      <c r="Y88" s="438" t="e">
        <f t="shared" si="35"/>
        <v>#N/A</v>
      </c>
      <c r="Z88" s="438" t="e">
        <f t="shared" si="35"/>
        <v>#N/A</v>
      </c>
      <c r="AA88" s="438" t="e">
        <f t="shared" si="35"/>
        <v>#N/A</v>
      </c>
      <c r="AB88" s="438" t="e">
        <f t="shared" si="35"/>
        <v>#N/A</v>
      </c>
      <c r="AD88" s="44"/>
      <c r="AE88" s="44"/>
      <c r="AF88" s="454">
        <f t="shared" si="44"/>
        <v>0.52500000000000002</v>
      </c>
      <c r="AG88" s="413">
        <f t="shared" si="44"/>
        <v>0.52400000000000002</v>
      </c>
      <c r="AH88" s="455" t="str">
        <f t="shared" si="44"/>
        <v/>
      </c>
      <c r="AI88" s="413">
        <f t="shared" si="45"/>
        <v>0.52100000000000002</v>
      </c>
      <c r="AJ88" s="413">
        <f t="shared" si="45"/>
        <v>0.52100000000000002</v>
      </c>
      <c r="AK88" s="413" t="str">
        <f t="shared" si="45"/>
        <v/>
      </c>
      <c r="AL88" s="454" t="str">
        <f t="shared" si="46"/>
        <v/>
      </c>
      <c r="AM88" s="413" t="str">
        <f t="shared" si="46"/>
        <v/>
      </c>
      <c r="AN88" s="413" t="str">
        <f t="shared" si="46"/>
        <v/>
      </c>
      <c r="AO88" s="433">
        <f t="shared" si="47"/>
        <v>0.52449999999999997</v>
      </c>
      <c r="AP88" s="433">
        <f t="shared" si="48"/>
        <v>0.52100000000000002</v>
      </c>
      <c r="AQ88" s="433" t="e">
        <f t="shared" si="49"/>
        <v>#N/A</v>
      </c>
    </row>
    <row r="89" spans="10:44" s="18" customFormat="1" ht="12.6" x14ac:dyDescent="0.45">
      <c r="J89" s="452">
        <f t="shared" si="43"/>
        <v>2</v>
      </c>
      <c r="K89" s="453">
        <f t="shared" si="41"/>
        <v>5</v>
      </c>
      <c r="L89" s="453">
        <f t="shared" si="42"/>
        <v>0.52100000000000002</v>
      </c>
      <c r="N89" s="440">
        <f t="shared" si="33"/>
        <v>6</v>
      </c>
      <c r="O89" s="438" t="str">
        <f t="shared" si="34"/>
        <v/>
      </c>
      <c r="P89" s="438" t="str">
        <f t="shared" si="34"/>
        <v/>
      </c>
      <c r="Q89" s="438" t="str">
        <f t="shared" si="34"/>
        <v/>
      </c>
      <c r="R89" s="438" t="str">
        <f t="shared" si="34"/>
        <v/>
      </c>
      <c r="S89" s="438" t="str">
        <f t="shared" si="34"/>
        <v/>
      </c>
      <c r="T89" s="438" t="str">
        <f t="shared" si="34"/>
        <v/>
      </c>
      <c r="V89" s="438">
        <f t="shared" si="35"/>
        <v>0</v>
      </c>
      <c r="W89" s="438" t="e">
        <f t="shared" si="35"/>
        <v>#N/A</v>
      </c>
      <c r="X89" s="438" t="e">
        <f t="shared" si="35"/>
        <v>#N/A</v>
      </c>
      <c r="Y89" s="438" t="e">
        <f t="shared" si="35"/>
        <v>#N/A</v>
      </c>
      <c r="Z89" s="438" t="e">
        <f t="shared" si="35"/>
        <v>#N/A</v>
      </c>
      <c r="AA89" s="438" t="e">
        <f t="shared" si="35"/>
        <v>#N/A</v>
      </c>
      <c r="AB89" s="438" t="e">
        <f t="shared" si="35"/>
        <v>#N/A</v>
      </c>
      <c r="AD89" s="44"/>
      <c r="AE89" s="44"/>
      <c r="AF89" s="454" t="str">
        <f t="shared" si="44"/>
        <v/>
      </c>
      <c r="AG89" s="413" t="str">
        <f t="shared" si="44"/>
        <v/>
      </c>
      <c r="AH89" s="455" t="str">
        <f t="shared" si="44"/>
        <v/>
      </c>
      <c r="AI89" s="413" t="str">
        <f t="shared" si="45"/>
        <v/>
      </c>
      <c r="AJ89" s="413" t="str">
        <f t="shared" si="45"/>
        <v/>
      </c>
      <c r="AK89" s="413" t="str">
        <f t="shared" si="45"/>
        <v/>
      </c>
      <c r="AL89" s="454" t="str">
        <f t="shared" si="46"/>
        <v/>
      </c>
      <c r="AM89" s="413" t="str">
        <f t="shared" si="46"/>
        <v/>
      </c>
      <c r="AN89" s="413" t="str">
        <f t="shared" si="46"/>
        <v/>
      </c>
      <c r="AO89" s="433" t="e">
        <f t="shared" si="47"/>
        <v>#N/A</v>
      </c>
      <c r="AP89" s="433" t="e">
        <f t="shared" si="48"/>
        <v>#N/A</v>
      </c>
      <c r="AQ89" s="433" t="e">
        <f t="shared" si="49"/>
        <v>#N/A</v>
      </c>
    </row>
    <row r="90" spans="10:44" s="279" customFormat="1" ht="12.6" x14ac:dyDescent="0.45">
      <c r="J90" s="452" t="e">
        <f t="shared" si="43"/>
        <v>#N/A</v>
      </c>
      <c r="K90" s="453" t="e">
        <f t="shared" si="41"/>
        <v>#N/A</v>
      </c>
      <c r="L90" s="453" t="e">
        <f t="shared" si="42"/>
        <v>#N/A</v>
      </c>
      <c r="M90" s="18"/>
      <c r="N90" s="440">
        <f t="shared" si="33"/>
        <v>7</v>
      </c>
      <c r="O90" s="438" t="str">
        <f t="shared" ref="O90:T103" si="50">IF($AC$112=$O$38,O57,IF($AC$112=$W$38,W57,IF($AC$112=$AE$38,AE57,IF($AC$112=$AM$38,AM57,IF($AC$112=$AU$38,AU57,"")))))</f>
        <v/>
      </c>
      <c r="P90" s="438" t="str">
        <f t="shared" si="50"/>
        <v/>
      </c>
      <c r="Q90" s="438" t="str">
        <f t="shared" si="50"/>
        <v/>
      </c>
      <c r="R90" s="438" t="str">
        <f t="shared" si="50"/>
        <v/>
      </c>
      <c r="S90" s="438" t="str">
        <f t="shared" si="50"/>
        <v/>
      </c>
      <c r="T90" s="438" t="str">
        <f t="shared" si="50"/>
        <v/>
      </c>
      <c r="V90" s="438">
        <f t="shared" si="35"/>
        <v>0</v>
      </c>
      <c r="W90" s="438" t="e">
        <f t="shared" si="35"/>
        <v>#N/A</v>
      </c>
      <c r="X90" s="438" t="e">
        <f t="shared" si="35"/>
        <v>#N/A</v>
      </c>
      <c r="Y90" s="438" t="e">
        <f t="shared" si="35"/>
        <v>#N/A</v>
      </c>
      <c r="Z90" s="438" t="e">
        <f t="shared" si="35"/>
        <v>#N/A</v>
      </c>
      <c r="AA90" s="438" t="e">
        <f t="shared" si="35"/>
        <v>#N/A</v>
      </c>
      <c r="AB90" s="438" t="e">
        <f t="shared" si="35"/>
        <v>#N/A</v>
      </c>
      <c r="AD90" s="44"/>
      <c r="AE90" s="44"/>
      <c r="AF90" s="454" t="str">
        <f t="shared" si="44"/>
        <v/>
      </c>
      <c r="AG90" s="413" t="str">
        <f t="shared" si="44"/>
        <v/>
      </c>
      <c r="AH90" s="455" t="str">
        <f t="shared" si="44"/>
        <v/>
      </c>
      <c r="AI90" s="413" t="str">
        <f t="shared" si="45"/>
        <v/>
      </c>
      <c r="AJ90" s="413" t="str">
        <f t="shared" si="45"/>
        <v/>
      </c>
      <c r="AK90" s="413" t="str">
        <f t="shared" si="45"/>
        <v/>
      </c>
      <c r="AL90" s="454" t="str">
        <f t="shared" si="46"/>
        <v/>
      </c>
      <c r="AM90" s="413" t="str">
        <f t="shared" si="46"/>
        <v/>
      </c>
      <c r="AN90" s="413" t="str">
        <f t="shared" si="46"/>
        <v/>
      </c>
      <c r="AO90" s="433" t="e">
        <f t="shared" si="47"/>
        <v>#N/A</v>
      </c>
      <c r="AP90" s="433" t="e">
        <f t="shared" si="48"/>
        <v>#N/A</v>
      </c>
      <c r="AQ90" s="433" t="e">
        <f t="shared" si="49"/>
        <v>#N/A</v>
      </c>
    </row>
    <row r="91" spans="10:44" ht="12.6" x14ac:dyDescent="0.45">
      <c r="J91" s="452" t="e">
        <f t="shared" si="43"/>
        <v>#N/A</v>
      </c>
      <c r="K91" s="453" t="e">
        <f t="shared" si="41"/>
        <v>#N/A</v>
      </c>
      <c r="L91" s="453" t="e">
        <f t="shared" si="42"/>
        <v>#N/A</v>
      </c>
      <c r="N91" s="440">
        <f t="shared" si="33"/>
        <v>8</v>
      </c>
      <c r="O91" s="438" t="str">
        <f t="shared" si="50"/>
        <v/>
      </c>
      <c r="P91" s="438" t="str">
        <f t="shared" si="50"/>
        <v/>
      </c>
      <c r="Q91" s="438" t="str">
        <f t="shared" si="50"/>
        <v/>
      </c>
      <c r="R91" s="438" t="str">
        <f t="shared" si="50"/>
        <v/>
      </c>
      <c r="S91" s="438" t="str">
        <f t="shared" si="50"/>
        <v/>
      </c>
      <c r="T91" s="438" t="str">
        <f t="shared" si="50"/>
        <v/>
      </c>
      <c r="V91" s="438">
        <f t="shared" si="35"/>
        <v>0</v>
      </c>
      <c r="W91" s="438" t="e">
        <f t="shared" si="35"/>
        <v>#N/A</v>
      </c>
      <c r="X91" s="438" t="e">
        <f t="shared" si="35"/>
        <v>#N/A</v>
      </c>
      <c r="Y91" s="438" t="e">
        <f t="shared" si="35"/>
        <v>#N/A</v>
      </c>
      <c r="Z91" s="438" t="e">
        <f t="shared" si="35"/>
        <v>#N/A</v>
      </c>
      <c r="AA91" s="438" t="e">
        <f t="shared" si="35"/>
        <v>#N/A</v>
      </c>
      <c r="AB91" s="438" t="e">
        <f t="shared" si="35"/>
        <v>#N/A</v>
      </c>
      <c r="AD91" s="44"/>
      <c r="AE91" s="44"/>
      <c r="AF91" s="454" t="str">
        <f t="shared" si="44"/>
        <v/>
      </c>
      <c r="AG91" s="413" t="str">
        <f t="shared" si="44"/>
        <v/>
      </c>
      <c r="AH91" s="455" t="str">
        <f t="shared" si="44"/>
        <v/>
      </c>
      <c r="AI91" s="413" t="str">
        <f t="shared" si="45"/>
        <v/>
      </c>
      <c r="AJ91" s="413" t="str">
        <f t="shared" si="45"/>
        <v/>
      </c>
      <c r="AK91" s="413" t="str">
        <f t="shared" si="45"/>
        <v/>
      </c>
      <c r="AL91" s="454" t="str">
        <f t="shared" si="46"/>
        <v/>
      </c>
      <c r="AM91" s="413" t="str">
        <f t="shared" si="46"/>
        <v/>
      </c>
      <c r="AN91" s="413" t="str">
        <f t="shared" si="46"/>
        <v/>
      </c>
      <c r="AO91" s="433" t="e">
        <f t="shared" si="47"/>
        <v>#N/A</v>
      </c>
      <c r="AP91" s="433" t="e">
        <f t="shared" si="48"/>
        <v>#N/A</v>
      </c>
      <c r="AQ91" s="433" t="e">
        <f t="shared" si="49"/>
        <v>#N/A</v>
      </c>
    </row>
    <row r="92" spans="10:44" ht="12.6" x14ac:dyDescent="0.45">
      <c r="J92" s="452" t="e">
        <f t="shared" si="43"/>
        <v>#N/A</v>
      </c>
      <c r="K92" s="453" t="e">
        <f t="shared" si="41"/>
        <v>#N/A</v>
      </c>
      <c r="L92" s="453" t="e">
        <f t="shared" si="42"/>
        <v>#N/A</v>
      </c>
      <c r="N92" s="440">
        <f t="shared" si="33"/>
        <v>9</v>
      </c>
      <c r="O92" s="438" t="str">
        <f t="shared" si="50"/>
        <v/>
      </c>
      <c r="P92" s="438" t="str">
        <f t="shared" si="50"/>
        <v/>
      </c>
      <c r="Q92" s="438" t="str">
        <f t="shared" si="50"/>
        <v/>
      </c>
      <c r="R92" s="438" t="str">
        <f t="shared" si="50"/>
        <v/>
      </c>
      <c r="S92" s="438" t="str">
        <f t="shared" si="50"/>
        <v/>
      </c>
      <c r="T92" s="438" t="str">
        <f t="shared" si="50"/>
        <v/>
      </c>
      <c r="V92" s="438">
        <f t="shared" si="35"/>
        <v>0</v>
      </c>
      <c r="W92" s="438" t="e">
        <f t="shared" si="35"/>
        <v>#N/A</v>
      </c>
      <c r="X92" s="438" t="e">
        <f t="shared" si="35"/>
        <v>#N/A</v>
      </c>
      <c r="Y92" s="438" t="e">
        <f t="shared" si="35"/>
        <v>#N/A</v>
      </c>
      <c r="Z92" s="438" t="e">
        <f t="shared" si="35"/>
        <v>#N/A</v>
      </c>
      <c r="AA92" s="438" t="e">
        <f t="shared" si="35"/>
        <v>#N/A</v>
      </c>
      <c r="AB92" s="438" t="e">
        <f t="shared" si="35"/>
        <v>#N/A</v>
      </c>
      <c r="AD92" s="44"/>
      <c r="AE92" s="44"/>
      <c r="AF92" s="454" t="str">
        <f t="shared" si="44"/>
        <v/>
      </c>
      <c r="AG92" s="413" t="str">
        <f t="shared" si="44"/>
        <v/>
      </c>
      <c r="AH92" s="455" t="str">
        <f t="shared" si="44"/>
        <v/>
      </c>
      <c r="AI92" s="413" t="str">
        <f t="shared" si="45"/>
        <v/>
      </c>
      <c r="AJ92" s="413" t="str">
        <f t="shared" si="45"/>
        <v/>
      </c>
      <c r="AK92" s="413" t="str">
        <f t="shared" si="45"/>
        <v/>
      </c>
      <c r="AL92" s="454" t="str">
        <f t="shared" si="46"/>
        <v/>
      </c>
      <c r="AM92" s="413" t="str">
        <f t="shared" si="46"/>
        <v/>
      </c>
      <c r="AN92" s="413" t="str">
        <f t="shared" si="46"/>
        <v/>
      </c>
      <c r="AO92" s="433" t="e">
        <f t="shared" si="47"/>
        <v>#N/A</v>
      </c>
      <c r="AP92" s="433" t="e">
        <f t="shared" si="48"/>
        <v>#N/A</v>
      </c>
      <c r="AQ92" s="433" t="e">
        <f t="shared" si="49"/>
        <v>#N/A</v>
      </c>
    </row>
    <row r="93" spans="10:44" ht="12.6" x14ac:dyDescent="0.45">
      <c r="J93" s="452" t="e">
        <f t="shared" si="43"/>
        <v>#N/A</v>
      </c>
      <c r="K93" s="453" t="e">
        <f t="shared" si="41"/>
        <v>#N/A</v>
      </c>
      <c r="L93" s="453" t="e">
        <f t="shared" si="42"/>
        <v>#N/A</v>
      </c>
      <c r="N93" s="440">
        <f t="shared" si="33"/>
        <v>10</v>
      </c>
      <c r="O93" s="438" t="str">
        <f t="shared" si="50"/>
        <v/>
      </c>
      <c r="P93" s="438" t="str">
        <f t="shared" si="50"/>
        <v/>
      </c>
      <c r="Q93" s="438" t="str">
        <f t="shared" si="50"/>
        <v/>
      </c>
      <c r="R93" s="438" t="str">
        <f t="shared" si="50"/>
        <v/>
      </c>
      <c r="S93" s="438" t="str">
        <f t="shared" si="50"/>
        <v/>
      </c>
      <c r="T93" s="438" t="str">
        <f t="shared" si="50"/>
        <v/>
      </c>
      <c r="V93" s="438">
        <f t="shared" si="35"/>
        <v>0</v>
      </c>
      <c r="W93" s="438" t="e">
        <f t="shared" si="35"/>
        <v>#N/A</v>
      </c>
      <c r="X93" s="438" t="e">
        <f t="shared" si="35"/>
        <v>#N/A</v>
      </c>
      <c r="Y93" s="438" t="e">
        <f t="shared" si="35"/>
        <v>#N/A</v>
      </c>
      <c r="Z93" s="438" t="e">
        <f t="shared" si="35"/>
        <v>#N/A</v>
      </c>
      <c r="AA93" s="438" t="e">
        <f t="shared" si="35"/>
        <v>#N/A</v>
      </c>
      <c r="AB93" s="438" t="e">
        <f t="shared" si="35"/>
        <v>#N/A</v>
      </c>
      <c r="AD93" s="44"/>
      <c r="AE93" s="44"/>
      <c r="AF93" s="457" t="str">
        <f t="shared" si="44"/>
        <v/>
      </c>
      <c r="AG93" s="458" t="str">
        <f t="shared" si="44"/>
        <v/>
      </c>
      <c r="AH93" s="459" t="str">
        <f t="shared" si="44"/>
        <v/>
      </c>
      <c r="AI93" s="458" t="str">
        <f t="shared" si="45"/>
        <v/>
      </c>
      <c r="AJ93" s="458" t="str">
        <f t="shared" si="45"/>
        <v/>
      </c>
      <c r="AK93" s="458" t="str">
        <f t="shared" si="45"/>
        <v/>
      </c>
      <c r="AL93" s="457" t="str">
        <f t="shared" si="46"/>
        <v/>
      </c>
      <c r="AM93" s="458" t="str">
        <f t="shared" si="46"/>
        <v/>
      </c>
      <c r="AN93" s="458" t="str">
        <f t="shared" si="46"/>
        <v/>
      </c>
      <c r="AO93" s="433" t="e">
        <f t="shared" si="47"/>
        <v>#N/A</v>
      </c>
      <c r="AP93" s="433" t="e">
        <f t="shared" si="48"/>
        <v>#N/A</v>
      </c>
      <c r="AQ93" s="433" t="e">
        <f t="shared" si="49"/>
        <v>#N/A</v>
      </c>
    </row>
    <row r="94" spans="10:44" ht="12.6" x14ac:dyDescent="0.45">
      <c r="J94" s="452" t="e">
        <f t="shared" si="43"/>
        <v>#N/A</v>
      </c>
      <c r="K94" s="453" t="e">
        <f t="shared" si="41"/>
        <v>#N/A</v>
      </c>
      <c r="L94" s="453" t="e">
        <f t="shared" si="42"/>
        <v>#N/A</v>
      </c>
      <c r="N94" s="440">
        <f t="shared" si="33"/>
        <v>1</v>
      </c>
      <c r="O94" s="438" t="str">
        <f t="shared" si="50"/>
        <v/>
      </c>
      <c r="P94" s="438" t="str">
        <f t="shared" si="50"/>
        <v/>
      </c>
      <c r="Q94" s="438" t="str">
        <f t="shared" si="50"/>
        <v/>
      </c>
      <c r="R94" s="438" t="str">
        <f t="shared" si="50"/>
        <v/>
      </c>
      <c r="S94" s="438" t="str">
        <f t="shared" si="50"/>
        <v/>
      </c>
      <c r="T94" s="438" t="str">
        <f t="shared" si="50"/>
        <v/>
      </c>
      <c r="V94" s="438">
        <f t="shared" si="35"/>
        <v>0</v>
      </c>
      <c r="W94" s="438" t="e">
        <f t="shared" si="35"/>
        <v>#N/A</v>
      </c>
      <c r="X94" s="438" t="e">
        <f t="shared" si="35"/>
        <v>#N/A</v>
      </c>
      <c r="Y94" s="438" t="e">
        <f t="shared" si="35"/>
        <v>#N/A</v>
      </c>
      <c r="Z94" s="438" t="e">
        <f t="shared" si="35"/>
        <v>#N/A</v>
      </c>
      <c r="AA94" s="438" t="e">
        <f t="shared" si="35"/>
        <v>#N/A</v>
      </c>
      <c r="AB94" s="438" t="e">
        <f t="shared" si="35"/>
        <v>#N/A</v>
      </c>
      <c r="AD94" s="44"/>
      <c r="AE94" s="44"/>
    </row>
    <row r="95" spans="10:44" ht="12.6" x14ac:dyDescent="0.45">
      <c r="J95" s="452" t="e">
        <f t="shared" ref="J95:J104" si="51">IF(G61="",NA(),3)</f>
        <v>#N/A</v>
      </c>
      <c r="K95" s="453" t="e">
        <f t="shared" si="41"/>
        <v>#N/A</v>
      </c>
      <c r="L95" s="453" t="e">
        <f t="shared" si="42"/>
        <v>#N/A</v>
      </c>
      <c r="N95" s="440">
        <f t="shared" si="33"/>
        <v>2</v>
      </c>
      <c r="O95" s="438" t="str">
        <f t="shared" si="50"/>
        <v/>
      </c>
      <c r="P95" s="438" t="str">
        <f t="shared" si="50"/>
        <v/>
      </c>
      <c r="Q95" s="438" t="str">
        <f t="shared" si="50"/>
        <v/>
      </c>
      <c r="R95" s="438" t="str">
        <f t="shared" si="50"/>
        <v/>
      </c>
      <c r="S95" s="438" t="str">
        <f t="shared" si="50"/>
        <v/>
      </c>
      <c r="T95" s="438" t="str">
        <f t="shared" si="50"/>
        <v/>
      </c>
      <c r="V95" s="438">
        <f t="shared" si="35"/>
        <v>0</v>
      </c>
      <c r="W95" s="438" t="e">
        <f t="shared" si="35"/>
        <v>#N/A</v>
      </c>
      <c r="X95" s="438" t="e">
        <f t="shared" si="35"/>
        <v>#N/A</v>
      </c>
      <c r="Y95" s="438" t="e">
        <f t="shared" si="35"/>
        <v>#N/A</v>
      </c>
      <c r="Z95" s="438" t="e">
        <f t="shared" si="35"/>
        <v>#N/A</v>
      </c>
      <c r="AA95" s="438" t="e">
        <f t="shared" si="35"/>
        <v>#N/A</v>
      </c>
      <c r="AB95" s="438" t="e">
        <f t="shared" si="35"/>
        <v>#N/A</v>
      </c>
      <c r="AD95" s="44"/>
      <c r="AE95" s="44"/>
    </row>
    <row r="96" spans="10:44" ht="12.6" x14ac:dyDescent="0.45">
      <c r="J96" s="452" t="e">
        <f t="shared" si="51"/>
        <v>#N/A</v>
      </c>
      <c r="K96" s="453" t="e">
        <f t="shared" si="41"/>
        <v>#N/A</v>
      </c>
      <c r="L96" s="453" t="e">
        <f t="shared" si="42"/>
        <v>#N/A</v>
      </c>
      <c r="N96" s="440">
        <f t="shared" si="33"/>
        <v>3</v>
      </c>
      <c r="O96" s="438" t="str">
        <f t="shared" si="50"/>
        <v/>
      </c>
      <c r="P96" s="438" t="str">
        <f t="shared" si="50"/>
        <v/>
      </c>
      <c r="Q96" s="438" t="str">
        <f t="shared" si="50"/>
        <v/>
      </c>
      <c r="R96" s="438" t="str">
        <f t="shared" si="50"/>
        <v/>
      </c>
      <c r="S96" s="438" t="str">
        <f t="shared" si="50"/>
        <v/>
      </c>
      <c r="T96" s="438" t="str">
        <f t="shared" si="50"/>
        <v/>
      </c>
      <c r="V96" s="438">
        <f t="shared" si="35"/>
        <v>0</v>
      </c>
      <c r="W96" s="438" t="e">
        <f t="shared" si="35"/>
        <v>#N/A</v>
      </c>
      <c r="X96" s="438" t="e">
        <f t="shared" si="35"/>
        <v>#N/A</v>
      </c>
      <c r="Y96" s="438" t="e">
        <f t="shared" si="35"/>
        <v>#N/A</v>
      </c>
      <c r="Z96" s="438" t="e">
        <f t="shared" si="35"/>
        <v>#N/A</v>
      </c>
      <c r="AA96" s="438" t="e">
        <f t="shared" si="35"/>
        <v>#N/A</v>
      </c>
      <c r="AB96" s="438" t="e">
        <f t="shared" si="35"/>
        <v>#N/A</v>
      </c>
      <c r="AD96" s="44"/>
      <c r="AE96" s="44"/>
    </row>
    <row r="97" spans="10:47" ht="12.6" x14ac:dyDescent="0.45">
      <c r="J97" s="452" t="e">
        <f t="shared" si="51"/>
        <v>#N/A</v>
      </c>
      <c r="K97" s="453" t="e">
        <f t="shared" si="41"/>
        <v>#N/A</v>
      </c>
      <c r="L97" s="453" t="e">
        <f t="shared" si="42"/>
        <v>#N/A</v>
      </c>
      <c r="N97" s="440">
        <f t="shared" si="33"/>
        <v>4</v>
      </c>
      <c r="O97" s="438" t="str">
        <f t="shared" si="50"/>
        <v/>
      </c>
      <c r="P97" s="438" t="str">
        <f t="shared" si="50"/>
        <v/>
      </c>
      <c r="Q97" s="438" t="str">
        <f t="shared" si="50"/>
        <v/>
      </c>
      <c r="R97" s="438" t="str">
        <f t="shared" si="50"/>
        <v/>
      </c>
      <c r="S97" s="438" t="str">
        <f t="shared" si="50"/>
        <v/>
      </c>
      <c r="T97" s="438" t="str">
        <f t="shared" si="50"/>
        <v/>
      </c>
      <c r="V97" s="438">
        <f t="shared" si="35"/>
        <v>0</v>
      </c>
      <c r="W97" s="438" t="e">
        <f t="shared" si="35"/>
        <v>#N/A</v>
      </c>
      <c r="X97" s="438" t="e">
        <f t="shared" si="35"/>
        <v>#N/A</v>
      </c>
      <c r="Y97" s="438" t="e">
        <f t="shared" si="35"/>
        <v>#N/A</v>
      </c>
      <c r="Z97" s="438" t="e">
        <f t="shared" si="35"/>
        <v>#N/A</v>
      </c>
      <c r="AA97" s="438" t="e">
        <f t="shared" si="35"/>
        <v>#N/A</v>
      </c>
      <c r="AB97" s="438" t="e">
        <f t="shared" si="35"/>
        <v>#N/A</v>
      </c>
      <c r="AD97" s="44"/>
      <c r="AE97" s="44"/>
    </row>
    <row r="98" spans="10:47" ht="12.6" x14ac:dyDescent="0.45">
      <c r="J98" s="452" t="e">
        <f t="shared" si="51"/>
        <v>#N/A</v>
      </c>
      <c r="K98" s="453" t="e">
        <f t="shared" si="41"/>
        <v>#N/A</v>
      </c>
      <c r="L98" s="453" t="e">
        <f t="shared" si="42"/>
        <v>#N/A</v>
      </c>
      <c r="N98" s="440">
        <f t="shared" si="33"/>
        <v>5</v>
      </c>
      <c r="O98" s="438" t="str">
        <f t="shared" si="50"/>
        <v/>
      </c>
      <c r="P98" s="438" t="str">
        <f t="shared" si="50"/>
        <v/>
      </c>
      <c r="Q98" s="438" t="str">
        <f t="shared" si="50"/>
        <v/>
      </c>
      <c r="R98" s="438" t="str">
        <f t="shared" si="50"/>
        <v/>
      </c>
      <c r="S98" s="438" t="str">
        <f t="shared" si="50"/>
        <v/>
      </c>
      <c r="T98" s="438" t="str">
        <f t="shared" si="50"/>
        <v/>
      </c>
      <c r="V98" s="438">
        <f t="shared" si="35"/>
        <v>0</v>
      </c>
      <c r="W98" s="438" t="e">
        <f t="shared" si="35"/>
        <v>#N/A</v>
      </c>
      <c r="X98" s="438" t="e">
        <f t="shared" si="35"/>
        <v>#N/A</v>
      </c>
      <c r="Y98" s="438" t="e">
        <f t="shared" si="35"/>
        <v>#N/A</v>
      </c>
      <c r="Z98" s="438" t="e">
        <f t="shared" si="35"/>
        <v>#N/A</v>
      </c>
      <c r="AA98" s="438" t="e">
        <f t="shared" si="35"/>
        <v>#N/A</v>
      </c>
      <c r="AB98" s="438" t="e">
        <f t="shared" si="35"/>
        <v>#N/A</v>
      </c>
      <c r="AD98" s="44"/>
      <c r="AE98" s="44"/>
    </row>
    <row r="99" spans="10:47" ht="12.6" x14ac:dyDescent="0.45">
      <c r="J99" s="452" t="e">
        <f t="shared" si="51"/>
        <v>#N/A</v>
      </c>
      <c r="K99" s="453" t="e">
        <f t="shared" si="41"/>
        <v>#N/A</v>
      </c>
      <c r="L99" s="453" t="e">
        <f t="shared" si="42"/>
        <v>#N/A</v>
      </c>
      <c r="N99" s="440">
        <f t="shared" si="33"/>
        <v>6</v>
      </c>
      <c r="O99" s="438" t="str">
        <f t="shared" si="50"/>
        <v/>
      </c>
      <c r="P99" s="438" t="str">
        <f t="shared" si="50"/>
        <v/>
      </c>
      <c r="Q99" s="438" t="str">
        <f t="shared" si="50"/>
        <v/>
      </c>
      <c r="R99" s="438" t="str">
        <f t="shared" si="50"/>
        <v/>
      </c>
      <c r="S99" s="438" t="str">
        <f t="shared" si="50"/>
        <v/>
      </c>
      <c r="T99" s="438" t="str">
        <f t="shared" si="50"/>
        <v/>
      </c>
      <c r="V99" s="438">
        <f t="shared" si="35"/>
        <v>0</v>
      </c>
      <c r="W99" s="438" t="e">
        <f t="shared" si="35"/>
        <v>#N/A</v>
      </c>
      <c r="X99" s="438" t="e">
        <f t="shared" si="35"/>
        <v>#N/A</v>
      </c>
      <c r="Y99" s="438" t="e">
        <f t="shared" si="35"/>
        <v>#N/A</v>
      </c>
      <c r="Z99" s="438" t="e">
        <f t="shared" si="35"/>
        <v>#N/A</v>
      </c>
      <c r="AA99" s="438" t="e">
        <f t="shared" si="35"/>
        <v>#N/A</v>
      </c>
      <c r="AB99" s="438" t="e">
        <f t="shared" si="35"/>
        <v>#N/A</v>
      </c>
      <c r="AD99" s="44"/>
      <c r="AE99" s="44"/>
    </row>
    <row r="100" spans="10:47" ht="12.6" x14ac:dyDescent="0.45">
      <c r="J100" s="452" t="e">
        <f t="shared" si="51"/>
        <v>#N/A</v>
      </c>
      <c r="K100" s="453" t="e">
        <f t="shared" si="41"/>
        <v>#N/A</v>
      </c>
      <c r="L100" s="453" t="e">
        <f t="shared" si="42"/>
        <v>#N/A</v>
      </c>
      <c r="N100" s="440">
        <f t="shared" si="33"/>
        <v>7</v>
      </c>
      <c r="O100" s="438" t="str">
        <f t="shared" si="50"/>
        <v/>
      </c>
      <c r="P100" s="438" t="str">
        <f t="shared" si="50"/>
        <v/>
      </c>
      <c r="Q100" s="438" t="str">
        <f t="shared" si="50"/>
        <v/>
      </c>
      <c r="R100" s="438" t="str">
        <f t="shared" si="50"/>
        <v/>
      </c>
      <c r="S100" s="438" t="str">
        <f t="shared" si="50"/>
        <v/>
      </c>
      <c r="T100" s="438" t="str">
        <f t="shared" si="50"/>
        <v/>
      </c>
      <c r="V100" s="438">
        <f t="shared" si="35"/>
        <v>0</v>
      </c>
      <c r="W100" s="438" t="e">
        <f t="shared" si="35"/>
        <v>#N/A</v>
      </c>
      <c r="X100" s="438" t="e">
        <f t="shared" si="35"/>
        <v>#N/A</v>
      </c>
      <c r="Y100" s="438" t="e">
        <f t="shared" si="35"/>
        <v>#N/A</v>
      </c>
      <c r="Z100" s="438" t="e">
        <f t="shared" si="35"/>
        <v>#N/A</v>
      </c>
      <c r="AA100" s="438" t="e">
        <f t="shared" si="35"/>
        <v>#N/A</v>
      </c>
      <c r="AB100" s="438" t="e">
        <f t="shared" si="35"/>
        <v>#N/A</v>
      </c>
      <c r="AD100" s="44"/>
      <c r="AE100" s="44"/>
    </row>
    <row r="101" spans="10:47" ht="12.6" x14ac:dyDescent="0.45">
      <c r="J101" s="452" t="e">
        <f t="shared" si="51"/>
        <v>#N/A</v>
      </c>
      <c r="K101" s="453" t="e">
        <f t="shared" si="41"/>
        <v>#N/A</v>
      </c>
      <c r="L101" s="453" t="e">
        <f t="shared" si="42"/>
        <v>#N/A</v>
      </c>
      <c r="N101" s="440">
        <f t="shared" si="33"/>
        <v>8</v>
      </c>
      <c r="O101" s="438" t="str">
        <f t="shared" si="50"/>
        <v/>
      </c>
      <c r="P101" s="438" t="str">
        <f t="shared" si="50"/>
        <v/>
      </c>
      <c r="Q101" s="438" t="str">
        <f t="shared" si="50"/>
        <v/>
      </c>
      <c r="R101" s="438" t="str">
        <f t="shared" si="50"/>
        <v/>
      </c>
      <c r="S101" s="438" t="str">
        <f t="shared" si="50"/>
        <v/>
      </c>
      <c r="T101" s="438" t="str">
        <f t="shared" si="50"/>
        <v/>
      </c>
      <c r="V101" s="438">
        <f t="shared" si="35"/>
        <v>0</v>
      </c>
      <c r="W101" s="438" t="e">
        <f t="shared" si="35"/>
        <v>#N/A</v>
      </c>
      <c r="X101" s="438" t="e">
        <f t="shared" si="35"/>
        <v>#N/A</v>
      </c>
      <c r="Y101" s="438" t="e">
        <f t="shared" si="35"/>
        <v>#N/A</v>
      </c>
      <c r="Z101" s="438" t="e">
        <f t="shared" si="35"/>
        <v>#N/A</v>
      </c>
      <c r="AA101" s="438" t="e">
        <f t="shared" si="35"/>
        <v>#N/A</v>
      </c>
      <c r="AB101" s="438" t="e">
        <f t="shared" si="35"/>
        <v>#N/A</v>
      </c>
      <c r="AD101" s="44"/>
      <c r="AE101" s="44"/>
    </row>
    <row r="102" spans="10:47" s="18" customFormat="1" ht="12.6" x14ac:dyDescent="0.45">
      <c r="J102" s="452" t="e">
        <f t="shared" si="51"/>
        <v>#N/A</v>
      </c>
      <c r="K102" s="453" t="e">
        <f t="shared" si="41"/>
        <v>#N/A</v>
      </c>
      <c r="L102" s="453" t="e">
        <f t="shared" si="42"/>
        <v>#N/A</v>
      </c>
      <c r="N102" s="440">
        <f t="shared" si="33"/>
        <v>9</v>
      </c>
      <c r="O102" s="438" t="str">
        <f t="shared" si="50"/>
        <v/>
      </c>
      <c r="P102" s="438" t="str">
        <f t="shared" si="50"/>
        <v/>
      </c>
      <c r="Q102" s="438" t="str">
        <f t="shared" si="50"/>
        <v/>
      </c>
      <c r="R102" s="438" t="str">
        <f t="shared" si="50"/>
        <v/>
      </c>
      <c r="S102" s="438" t="str">
        <f t="shared" si="50"/>
        <v/>
      </c>
      <c r="T102" s="438" t="str">
        <f t="shared" si="50"/>
        <v/>
      </c>
      <c r="V102" s="438">
        <f t="shared" si="35"/>
        <v>0</v>
      </c>
      <c r="W102" s="438" t="e">
        <f t="shared" si="35"/>
        <v>#N/A</v>
      </c>
      <c r="X102" s="438" t="e">
        <f t="shared" si="35"/>
        <v>#N/A</v>
      </c>
      <c r="Y102" s="438" t="e">
        <f t="shared" si="35"/>
        <v>#N/A</v>
      </c>
      <c r="Z102" s="438" t="e">
        <f t="shared" si="35"/>
        <v>#N/A</v>
      </c>
      <c r="AA102" s="438" t="e">
        <f t="shared" si="35"/>
        <v>#N/A</v>
      </c>
      <c r="AB102" s="438" t="e">
        <f t="shared" si="35"/>
        <v>#N/A</v>
      </c>
      <c r="AE102" s="44"/>
    </row>
    <row r="103" spans="10:47" ht="12.6" x14ac:dyDescent="0.45">
      <c r="J103" s="452" t="e">
        <f t="shared" si="51"/>
        <v>#N/A</v>
      </c>
      <c r="K103" s="453" t="e">
        <f t="shared" si="41"/>
        <v>#N/A</v>
      </c>
      <c r="L103" s="453" t="e">
        <f t="shared" si="42"/>
        <v>#N/A</v>
      </c>
      <c r="N103" s="440">
        <f t="shared" si="33"/>
        <v>10</v>
      </c>
      <c r="O103" s="438" t="str">
        <f t="shared" si="50"/>
        <v/>
      </c>
      <c r="P103" s="438" t="str">
        <f t="shared" si="50"/>
        <v/>
      </c>
      <c r="Q103" s="438" t="str">
        <f t="shared" si="50"/>
        <v/>
      </c>
      <c r="R103" s="438" t="str">
        <f t="shared" si="50"/>
        <v/>
      </c>
      <c r="S103" s="438" t="str">
        <f t="shared" si="50"/>
        <v/>
      </c>
      <c r="T103" s="438" t="str">
        <f t="shared" si="50"/>
        <v/>
      </c>
      <c r="V103" s="438">
        <f t="shared" si="35"/>
        <v>0</v>
      </c>
      <c r="W103" s="438" t="e">
        <f t="shared" si="35"/>
        <v>#N/A</v>
      </c>
      <c r="X103" s="438" t="e">
        <f t="shared" si="35"/>
        <v>#N/A</v>
      </c>
      <c r="Y103" s="438" t="e">
        <f t="shared" si="35"/>
        <v>#N/A</v>
      </c>
      <c r="Z103" s="438" t="e">
        <f t="shared" si="35"/>
        <v>#N/A</v>
      </c>
      <c r="AA103" s="438" t="e">
        <f t="shared" si="35"/>
        <v>#N/A</v>
      </c>
      <c r="AB103" s="438" t="e">
        <f t="shared" si="35"/>
        <v>#N/A</v>
      </c>
    </row>
    <row r="104" spans="10:47" ht="12.6" x14ac:dyDescent="0.45">
      <c r="J104" s="452" t="e">
        <f t="shared" si="51"/>
        <v>#N/A</v>
      </c>
      <c r="K104" s="453" t="e">
        <f t="shared" si="41"/>
        <v>#N/A</v>
      </c>
      <c r="L104" s="453" t="e">
        <f t="shared" si="42"/>
        <v>#N/A</v>
      </c>
    </row>
    <row r="105" spans="10:47" ht="12.6" x14ac:dyDescent="0.45">
      <c r="J105" s="452">
        <f t="shared" ref="J105:J114" si="52">IF(G41="",NA(),1)</f>
        <v>1</v>
      </c>
      <c r="K105" s="461">
        <f t="shared" ref="K105:K134" si="53">IF(G41="",NA(),F41)</f>
        <v>1</v>
      </c>
      <c r="L105" s="453">
        <f t="shared" ref="L105:L134" si="54">IF(H41="",NA(),H41)</f>
        <v>0.52100000000000002</v>
      </c>
      <c r="O105" s="656" t="s">
        <v>490</v>
      </c>
      <c r="P105" s="656"/>
      <c r="Q105" s="656"/>
      <c r="R105" s="656"/>
      <c r="S105" s="656"/>
      <c r="T105" s="656"/>
      <c r="AQ105" s="450">
        <f t="shared" ref="AQ105:AQ114" si="55">IF(G41="",NA(),1)</f>
        <v>1</v>
      </c>
      <c r="AR105" s="450">
        <f t="shared" ref="AR105:AR134" si="56">IF(G41="",NA(),F41)</f>
        <v>1</v>
      </c>
      <c r="AS105" s="413">
        <f t="shared" ref="AS105:AU134" si="57">IF(G41="",NA(),G41)</f>
        <v>0.52100000000000002</v>
      </c>
      <c r="AT105" s="413">
        <f t="shared" si="57"/>
        <v>0.52100000000000002</v>
      </c>
      <c r="AU105" s="413" t="e">
        <f t="shared" si="57"/>
        <v>#N/A</v>
      </c>
    </row>
    <row r="106" spans="10:47" ht="12.6" x14ac:dyDescent="0.45">
      <c r="J106" s="452">
        <f t="shared" si="52"/>
        <v>1</v>
      </c>
      <c r="K106" s="461">
        <f t="shared" si="53"/>
        <v>2</v>
      </c>
      <c r="L106" s="453">
        <f t="shared" si="54"/>
        <v>0.52300000000000002</v>
      </c>
      <c r="O106" s="462" t="s">
        <v>443</v>
      </c>
      <c r="P106" s="462" t="s">
        <v>449</v>
      </c>
      <c r="Q106" s="462" t="s">
        <v>452</v>
      </c>
      <c r="R106" s="462" t="s">
        <v>443</v>
      </c>
      <c r="S106" s="462" t="s">
        <v>449</v>
      </c>
      <c r="T106" s="462" t="s">
        <v>452</v>
      </c>
      <c r="AQ106" s="450">
        <f t="shared" si="55"/>
        <v>1</v>
      </c>
      <c r="AR106" s="450">
        <f t="shared" si="56"/>
        <v>2</v>
      </c>
      <c r="AS106" s="413">
        <f t="shared" si="57"/>
        <v>0.52200000000000002</v>
      </c>
      <c r="AT106" s="413">
        <f t="shared" si="57"/>
        <v>0.52300000000000002</v>
      </c>
      <c r="AU106" s="413" t="e">
        <f t="shared" si="57"/>
        <v>#N/A</v>
      </c>
    </row>
    <row r="107" spans="10:47" ht="12.6" x14ac:dyDescent="0.45">
      <c r="J107" s="452">
        <f t="shared" si="52"/>
        <v>1</v>
      </c>
      <c r="K107" s="461">
        <f t="shared" si="53"/>
        <v>3</v>
      </c>
      <c r="L107" s="453">
        <f t="shared" si="54"/>
        <v>0.52100000000000002</v>
      </c>
      <c r="O107" s="656" t="s">
        <v>135</v>
      </c>
      <c r="P107" s="656"/>
      <c r="Q107" s="656"/>
      <c r="R107" s="656" t="s">
        <v>139</v>
      </c>
      <c r="S107" s="656"/>
      <c r="T107" s="656"/>
      <c r="V107" s="438" t="s">
        <v>135</v>
      </c>
      <c r="W107" s="438" t="s">
        <v>135</v>
      </c>
      <c r="X107" s="438" t="s">
        <v>491</v>
      </c>
      <c r="Y107" s="438" t="s">
        <v>492</v>
      </c>
      <c r="Z107" s="438" t="s">
        <v>493</v>
      </c>
      <c r="AB107" s="658" t="s">
        <v>143</v>
      </c>
      <c r="AC107" s="659"/>
      <c r="AD107" s="660"/>
      <c r="AQ107" s="450">
        <f t="shared" si="55"/>
        <v>1</v>
      </c>
      <c r="AR107" s="450">
        <f t="shared" si="56"/>
        <v>3</v>
      </c>
      <c r="AS107" s="413">
        <f t="shared" si="57"/>
        <v>0.52300000000000002</v>
      </c>
      <c r="AT107" s="413">
        <f t="shared" si="57"/>
        <v>0.52100000000000002</v>
      </c>
      <c r="AU107" s="413" t="e">
        <f t="shared" si="57"/>
        <v>#N/A</v>
      </c>
    </row>
    <row r="108" spans="10:47" ht="12.6" x14ac:dyDescent="0.45">
      <c r="J108" s="452">
        <f t="shared" si="52"/>
        <v>1</v>
      </c>
      <c r="K108" s="461">
        <f t="shared" si="53"/>
        <v>4</v>
      </c>
      <c r="L108" s="453">
        <f t="shared" si="54"/>
        <v>0.52200000000000002</v>
      </c>
      <c r="N108" s="440">
        <f t="shared" ref="N108:N137" si="58">IF($AC$111&gt;17,N74,V74)</f>
        <v>1</v>
      </c>
      <c r="O108" s="438">
        <f t="shared" ref="O108:T123" si="59">IF($AC$112&gt;5,O74,W74)</f>
        <v>0.52100000000000002</v>
      </c>
      <c r="P108" s="438" t="e">
        <f t="shared" si="59"/>
        <v>#N/A</v>
      </c>
      <c r="Q108" s="438" t="e">
        <f t="shared" si="59"/>
        <v>#N/A</v>
      </c>
      <c r="R108" s="438">
        <f t="shared" si="59"/>
        <v>0</v>
      </c>
      <c r="S108" s="438" t="e">
        <f t="shared" si="59"/>
        <v>#N/A</v>
      </c>
      <c r="T108" s="438" t="e">
        <f t="shared" si="59"/>
        <v>#N/A</v>
      </c>
      <c r="V108" s="438">
        <f>$K$71</f>
        <v>0.51769999999999994</v>
      </c>
      <c r="W108" s="438">
        <f>$L$71</f>
        <v>4.7999999999999987E-3</v>
      </c>
      <c r="X108" s="438">
        <f>IF('GRR AIAG GR&amp;R'!$F$7=3,'GRR Calculations'!V108+('GRR Calculations'!$AC$110*'GRR Calculations'!W108),IF('GRR AIAG GR&amp;R'!$F$7=2,'GRR Calculations'!V108+('GRR Calculations'!$AC$109*'GRR Calculations'!W108)))</f>
        <v>0.52672399999999997</v>
      </c>
      <c r="Y108" s="438">
        <f>IF('GRR AIAG GR&amp;R'!$F$7=3,'GRR Calculations'!V108-('GRR Calculations'!$AC$110*'GRR Calculations'!W108),IF('GRR AIAG GR&amp;R'!$F$7=2,'GRR Calculations'!V108-('GRR Calculations'!$AC$109*'GRR Calculations'!W108)))</f>
        <v>0.50867599999999991</v>
      </c>
      <c r="Z108" s="438">
        <f>IF('GRR AIAG GR&amp;R'!$F$7=3,('GRR Calculations'!$AD$110*'GRR Calculations'!W108),IF('GRR AIAG GR&amp;R'!$F$7=2,('GRR Calculations'!$AD$109*'GRR Calculations'!W108)))</f>
        <v>1.5695999999999995E-2</v>
      </c>
      <c r="AB108" s="463" t="s">
        <v>144</v>
      </c>
      <c r="AC108" s="463" t="s">
        <v>130</v>
      </c>
      <c r="AD108" s="463" t="s">
        <v>132</v>
      </c>
      <c r="AQ108" s="450">
        <f t="shared" si="55"/>
        <v>1</v>
      </c>
      <c r="AR108" s="450">
        <f t="shared" si="56"/>
        <v>4</v>
      </c>
      <c r="AS108" s="413">
        <f t="shared" si="57"/>
        <v>0.52100000000000002</v>
      </c>
      <c r="AT108" s="413">
        <f t="shared" si="57"/>
        <v>0.52200000000000002</v>
      </c>
      <c r="AU108" s="413" t="e">
        <f t="shared" si="57"/>
        <v>#N/A</v>
      </c>
    </row>
    <row r="109" spans="10:47" ht="12.6" x14ac:dyDescent="0.45">
      <c r="J109" s="452">
        <f t="shared" si="52"/>
        <v>1</v>
      </c>
      <c r="K109" s="461">
        <f t="shared" si="53"/>
        <v>5</v>
      </c>
      <c r="L109" s="453">
        <f t="shared" si="54"/>
        <v>0.52400000000000002</v>
      </c>
      <c r="N109" s="440">
        <f t="shared" si="58"/>
        <v>2</v>
      </c>
      <c r="O109" s="438">
        <f t="shared" si="59"/>
        <v>0.52249999999999996</v>
      </c>
      <c r="P109" s="438" t="e">
        <f t="shared" si="59"/>
        <v>#N/A</v>
      </c>
      <c r="Q109" s="438" t="e">
        <f t="shared" si="59"/>
        <v>#N/A</v>
      </c>
      <c r="R109" s="438">
        <f t="shared" si="59"/>
        <v>1.0000000000000009E-3</v>
      </c>
      <c r="S109" s="438" t="e">
        <f t="shared" si="59"/>
        <v>#N/A</v>
      </c>
      <c r="T109" s="438" t="e">
        <f t="shared" si="59"/>
        <v>#N/A</v>
      </c>
      <c r="V109" s="438">
        <f t="shared" ref="V109:V137" si="60">$K$71</f>
        <v>0.51769999999999994</v>
      </c>
      <c r="W109" s="438">
        <f t="shared" ref="W109:W137" si="61">$L$71</f>
        <v>4.7999999999999987E-3</v>
      </c>
      <c r="X109" s="438">
        <f>IF('GRR AIAG GR&amp;R'!$F$7=3,'GRR Calculations'!V109+('GRR Calculations'!$AC$110*'GRR Calculations'!W109),IF('GRR AIAG GR&amp;R'!$F$7=2,'GRR Calculations'!V109+('GRR Calculations'!$AC$109*'GRR Calculations'!W109)))</f>
        <v>0.52672399999999997</v>
      </c>
      <c r="Y109" s="438">
        <f>IF('GRR AIAG GR&amp;R'!$F$7=3,'GRR Calculations'!V109-('GRR Calculations'!$AC$110*'GRR Calculations'!W109),IF('GRR AIAG GR&amp;R'!$F$7=2,'GRR Calculations'!V109-('GRR Calculations'!$AC$109*'GRR Calculations'!W109)))</f>
        <v>0.50867599999999991</v>
      </c>
      <c r="Z109" s="438">
        <f>IF('GRR AIAG GR&amp;R'!$F$7=3,('GRR Calculations'!$AD$110*'GRR Calculations'!W109),IF('GRR AIAG GR&amp;R'!$F$7=2,('GRR Calculations'!$AD$109*'GRR Calculations'!W109)))</f>
        <v>1.5695999999999995E-2</v>
      </c>
      <c r="AB109" s="463">
        <v>2</v>
      </c>
      <c r="AC109" s="463">
        <v>1.88</v>
      </c>
      <c r="AD109" s="463">
        <v>3.27</v>
      </c>
      <c r="AQ109" s="450">
        <f t="shared" si="55"/>
        <v>1</v>
      </c>
      <c r="AR109" s="450">
        <f t="shared" si="56"/>
        <v>5</v>
      </c>
      <c r="AS109" s="413">
        <f t="shared" si="57"/>
        <v>0.52500000000000002</v>
      </c>
      <c r="AT109" s="413">
        <f t="shared" si="57"/>
        <v>0.52400000000000002</v>
      </c>
      <c r="AU109" s="413" t="e">
        <f t="shared" si="57"/>
        <v>#N/A</v>
      </c>
    </row>
    <row r="110" spans="10:47" ht="12.6" x14ac:dyDescent="0.45">
      <c r="J110" s="452" t="e">
        <f t="shared" si="52"/>
        <v>#N/A</v>
      </c>
      <c r="K110" s="461" t="e">
        <f t="shared" si="53"/>
        <v>#N/A</v>
      </c>
      <c r="L110" s="453" t="e">
        <f t="shared" si="54"/>
        <v>#N/A</v>
      </c>
      <c r="N110" s="440">
        <f t="shared" si="58"/>
        <v>3</v>
      </c>
      <c r="O110" s="438">
        <f t="shared" si="59"/>
        <v>0.52200000000000002</v>
      </c>
      <c r="P110" s="438" t="e">
        <f t="shared" si="59"/>
        <v>#N/A</v>
      </c>
      <c r="Q110" s="438" t="e">
        <f t="shared" si="59"/>
        <v>#N/A</v>
      </c>
      <c r="R110" s="438">
        <f t="shared" si="59"/>
        <v>2.0000000000000018E-3</v>
      </c>
      <c r="S110" s="438" t="e">
        <f t="shared" si="59"/>
        <v>#N/A</v>
      </c>
      <c r="T110" s="438" t="e">
        <f t="shared" si="59"/>
        <v>#N/A</v>
      </c>
      <c r="V110" s="438">
        <f t="shared" si="60"/>
        <v>0.51769999999999994</v>
      </c>
      <c r="W110" s="438">
        <f t="shared" si="61"/>
        <v>4.7999999999999987E-3</v>
      </c>
      <c r="X110" s="438">
        <f>IF('GRR AIAG GR&amp;R'!$F$7=3,'GRR Calculations'!V110+('GRR Calculations'!$AC$110*'GRR Calculations'!W110),IF('GRR AIAG GR&amp;R'!$F$7=2,'GRR Calculations'!V110+('GRR Calculations'!$AC$109*'GRR Calculations'!W110)))</f>
        <v>0.52672399999999997</v>
      </c>
      <c r="Y110" s="438">
        <f>IF('GRR AIAG GR&amp;R'!$F$7=3,'GRR Calculations'!V110-('GRR Calculations'!$AC$110*'GRR Calculations'!W110),IF('GRR AIAG GR&amp;R'!$F$7=2,'GRR Calculations'!V110-('GRR Calculations'!$AC$109*'GRR Calculations'!W110)))</f>
        <v>0.50867599999999991</v>
      </c>
      <c r="Z110" s="438">
        <f>IF('GRR AIAG GR&amp;R'!$F$7=3,('GRR Calculations'!$AD$110*'GRR Calculations'!W110),IF('GRR AIAG GR&amp;R'!$F$7=2,('GRR Calculations'!$AD$109*'GRR Calculations'!W110)))</f>
        <v>1.5695999999999995E-2</v>
      </c>
      <c r="AB110" s="463">
        <v>3</v>
      </c>
      <c r="AC110" s="463">
        <v>1.0229999999999999</v>
      </c>
      <c r="AD110" s="463">
        <v>2.5750000000000002</v>
      </c>
      <c r="AQ110" s="450" t="e">
        <f t="shared" si="55"/>
        <v>#N/A</v>
      </c>
      <c r="AR110" s="450" t="e">
        <f t="shared" si="56"/>
        <v>#N/A</v>
      </c>
      <c r="AS110" s="413" t="e">
        <f t="shared" si="57"/>
        <v>#N/A</v>
      </c>
      <c r="AT110" s="413" t="e">
        <f t="shared" si="57"/>
        <v>#N/A</v>
      </c>
      <c r="AU110" s="413" t="e">
        <f t="shared" si="57"/>
        <v>#N/A</v>
      </c>
    </row>
    <row r="111" spans="10:47" ht="12.6" x14ac:dyDescent="0.45">
      <c r="J111" s="452" t="e">
        <f t="shared" si="52"/>
        <v>#N/A</v>
      </c>
      <c r="K111" s="461" t="e">
        <f t="shared" si="53"/>
        <v>#N/A</v>
      </c>
      <c r="L111" s="453" t="e">
        <f t="shared" si="54"/>
        <v>#N/A</v>
      </c>
      <c r="N111" s="440">
        <f t="shared" si="58"/>
        <v>4</v>
      </c>
      <c r="O111" s="438">
        <f t="shared" si="59"/>
        <v>0.52150000000000007</v>
      </c>
      <c r="P111" s="438" t="e">
        <f t="shared" si="59"/>
        <v>#N/A</v>
      </c>
      <c r="Q111" s="438" t="e">
        <f t="shared" si="59"/>
        <v>#N/A</v>
      </c>
      <c r="R111" s="438">
        <f t="shared" si="59"/>
        <v>1.0000000000000009E-3</v>
      </c>
      <c r="S111" s="438" t="e">
        <f t="shared" si="59"/>
        <v>#N/A</v>
      </c>
      <c r="T111" s="438" t="e">
        <f t="shared" si="59"/>
        <v>#N/A</v>
      </c>
      <c r="V111" s="438">
        <f t="shared" si="60"/>
        <v>0.51769999999999994</v>
      </c>
      <c r="W111" s="438">
        <f t="shared" si="61"/>
        <v>4.7999999999999987E-3</v>
      </c>
      <c r="X111" s="438">
        <f>IF('GRR AIAG GR&amp;R'!$F$7=3,'GRR Calculations'!V111+('GRR Calculations'!$AC$110*'GRR Calculations'!W111),IF('GRR AIAG GR&amp;R'!$F$7=2,'GRR Calculations'!V111+('GRR Calculations'!$AC$109*'GRR Calculations'!W111)))</f>
        <v>0.52672399999999997</v>
      </c>
      <c r="Y111" s="438">
        <f>IF('GRR AIAG GR&amp;R'!$F$7=3,'GRR Calculations'!V111-('GRR Calculations'!$AC$110*'GRR Calculations'!W111),IF('GRR AIAG GR&amp;R'!$F$7=2,'GRR Calculations'!V111-('GRR Calculations'!$AC$109*'GRR Calculations'!W111)))</f>
        <v>0.50867599999999991</v>
      </c>
      <c r="Z111" s="438">
        <f>IF('GRR AIAG GR&amp;R'!$F$7=3,('GRR Calculations'!$AD$110*'GRR Calculations'!W111),IF('GRR AIAG GR&amp;R'!$F$7=2,('GRR Calculations'!$AD$109*'GRR Calculations'!W111)))</f>
        <v>1.5695999999999995E-2</v>
      </c>
      <c r="AB111" s="464" t="s">
        <v>494</v>
      </c>
      <c r="AC111" s="438">
        <f>'GRR AIAG GR&amp;R'!F7*'GRR AIAG GR&amp;R'!F8</f>
        <v>10</v>
      </c>
      <c r="AQ111" s="450" t="e">
        <f t="shared" si="55"/>
        <v>#N/A</v>
      </c>
      <c r="AR111" s="450" t="e">
        <f t="shared" si="56"/>
        <v>#N/A</v>
      </c>
      <c r="AS111" s="413" t="e">
        <f t="shared" si="57"/>
        <v>#N/A</v>
      </c>
      <c r="AT111" s="413" t="e">
        <f t="shared" si="57"/>
        <v>#N/A</v>
      </c>
      <c r="AU111" s="413" t="e">
        <f t="shared" si="57"/>
        <v>#N/A</v>
      </c>
    </row>
    <row r="112" spans="10:47" ht="12.6" x14ac:dyDescent="0.45">
      <c r="J112" s="452" t="e">
        <f t="shared" si="52"/>
        <v>#N/A</v>
      </c>
      <c r="K112" s="461" t="e">
        <f t="shared" si="53"/>
        <v>#N/A</v>
      </c>
      <c r="L112" s="453" t="e">
        <f t="shared" si="54"/>
        <v>#N/A</v>
      </c>
      <c r="N112" s="440">
        <f t="shared" si="58"/>
        <v>5</v>
      </c>
      <c r="O112" s="438">
        <f t="shared" si="59"/>
        <v>0.52449999999999997</v>
      </c>
      <c r="P112" s="438" t="e">
        <f t="shared" si="59"/>
        <v>#N/A</v>
      </c>
      <c r="Q112" s="438" t="e">
        <f t="shared" si="59"/>
        <v>#N/A</v>
      </c>
      <c r="R112" s="438">
        <f t="shared" si="59"/>
        <v>1.0000000000000009E-3</v>
      </c>
      <c r="S112" s="438" t="e">
        <f t="shared" si="59"/>
        <v>#N/A</v>
      </c>
      <c r="T112" s="438" t="e">
        <f t="shared" si="59"/>
        <v>#N/A</v>
      </c>
      <c r="V112" s="438">
        <f t="shared" si="60"/>
        <v>0.51769999999999994</v>
      </c>
      <c r="W112" s="438">
        <f t="shared" si="61"/>
        <v>4.7999999999999987E-3</v>
      </c>
      <c r="X112" s="438">
        <f>IF('GRR AIAG GR&amp;R'!$F$7=3,'GRR Calculations'!V112+('GRR Calculations'!$AC$110*'GRR Calculations'!W112),IF('GRR AIAG GR&amp;R'!$F$7=2,'GRR Calculations'!V112+('GRR Calculations'!$AC$109*'GRR Calculations'!W112)))</f>
        <v>0.52672399999999997</v>
      </c>
      <c r="Y112" s="438">
        <f>IF('GRR AIAG GR&amp;R'!$F$7=3,'GRR Calculations'!V112-('GRR Calculations'!$AC$110*'GRR Calculations'!W112),IF('GRR AIAG GR&amp;R'!$F$7=2,'GRR Calculations'!V112-('GRR Calculations'!$AC$109*'GRR Calculations'!W112)))</f>
        <v>0.50867599999999991</v>
      </c>
      <c r="Z112" s="438">
        <f>IF('GRR AIAG GR&amp;R'!$F$7=3,('GRR Calculations'!$AD$110*'GRR Calculations'!W112),IF('GRR AIAG GR&amp;R'!$F$7=2,('GRR Calculations'!$AD$109*'GRR Calculations'!W112)))</f>
        <v>1.5695999999999995E-2</v>
      </c>
      <c r="AB112" s="464" t="s">
        <v>495</v>
      </c>
      <c r="AC112" s="438">
        <f>'GRR AIAG GR&amp;R'!F8</f>
        <v>5</v>
      </c>
      <c r="AQ112" s="450" t="e">
        <f t="shared" si="55"/>
        <v>#N/A</v>
      </c>
      <c r="AR112" s="450" t="e">
        <f t="shared" si="56"/>
        <v>#N/A</v>
      </c>
      <c r="AS112" s="413" t="e">
        <f t="shared" si="57"/>
        <v>#N/A</v>
      </c>
      <c r="AT112" s="413" t="e">
        <f t="shared" si="57"/>
        <v>#N/A</v>
      </c>
      <c r="AU112" s="413" t="e">
        <f t="shared" si="57"/>
        <v>#N/A</v>
      </c>
    </row>
    <row r="113" spans="10:47" ht="12.6" x14ac:dyDescent="0.45">
      <c r="J113" s="452" t="e">
        <f t="shared" si="52"/>
        <v>#N/A</v>
      </c>
      <c r="K113" s="461" t="e">
        <f t="shared" si="53"/>
        <v>#N/A</v>
      </c>
      <c r="L113" s="453" t="e">
        <f t="shared" si="54"/>
        <v>#N/A</v>
      </c>
      <c r="N113" s="440">
        <f t="shared" si="58"/>
        <v>1</v>
      </c>
      <c r="O113" s="438" t="e">
        <f t="shared" si="59"/>
        <v>#N/A</v>
      </c>
      <c r="P113" s="438">
        <f t="shared" si="59"/>
        <v>0.47750000000000004</v>
      </c>
      <c r="Q113" s="438" t="e">
        <f t="shared" si="59"/>
        <v>#N/A</v>
      </c>
      <c r="R113" s="438" t="e">
        <f t="shared" si="59"/>
        <v>#N/A</v>
      </c>
      <c r="S113" s="438">
        <f t="shared" si="59"/>
        <v>4.0999999999999981E-2</v>
      </c>
      <c r="T113" s="438" t="e">
        <f t="shared" si="59"/>
        <v>#N/A</v>
      </c>
      <c r="V113" s="438">
        <f t="shared" si="60"/>
        <v>0.51769999999999994</v>
      </c>
      <c r="W113" s="438">
        <f t="shared" si="61"/>
        <v>4.7999999999999987E-3</v>
      </c>
      <c r="X113" s="438">
        <f>IF('GRR AIAG GR&amp;R'!$F$7=3,'GRR Calculations'!V113+('GRR Calculations'!$AC$110*'GRR Calculations'!W113),IF('GRR AIAG GR&amp;R'!$F$7=2,'GRR Calculations'!V113+('GRR Calculations'!$AC$109*'GRR Calculations'!W113)))</f>
        <v>0.52672399999999997</v>
      </c>
      <c r="Y113" s="438">
        <f>IF('GRR AIAG GR&amp;R'!$F$7=3,'GRR Calculations'!V113-('GRR Calculations'!$AC$110*'GRR Calculations'!W113),IF('GRR AIAG GR&amp;R'!$F$7=2,'GRR Calculations'!V113-('GRR Calculations'!$AC$109*'GRR Calculations'!W113)))</f>
        <v>0.50867599999999991</v>
      </c>
      <c r="Z113" s="438">
        <f>IF('GRR AIAG GR&amp;R'!$F$7=3,('GRR Calculations'!$AD$110*'GRR Calculations'!W113),IF('GRR AIAG GR&amp;R'!$F$7=2,('GRR Calculations'!$AD$109*'GRR Calculations'!W113)))</f>
        <v>1.5695999999999995E-2</v>
      </c>
      <c r="AQ113" s="450" t="e">
        <f t="shared" si="55"/>
        <v>#N/A</v>
      </c>
      <c r="AR113" s="450" t="e">
        <f t="shared" si="56"/>
        <v>#N/A</v>
      </c>
      <c r="AS113" s="413" t="e">
        <f t="shared" si="57"/>
        <v>#N/A</v>
      </c>
      <c r="AT113" s="413" t="e">
        <f t="shared" si="57"/>
        <v>#N/A</v>
      </c>
      <c r="AU113" s="413" t="e">
        <f t="shared" si="57"/>
        <v>#N/A</v>
      </c>
    </row>
    <row r="114" spans="10:47" ht="12.6" x14ac:dyDescent="0.45">
      <c r="J114" s="452" t="e">
        <f t="shared" si="52"/>
        <v>#N/A</v>
      </c>
      <c r="K114" s="461" t="e">
        <f t="shared" si="53"/>
        <v>#N/A</v>
      </c>
      <c r="L114" s="453" t="e">
        <f t="shared" si="54"/>
        <v>#N/A</v>
      </c>
      <c r="N114" s="440">
        <f t="shared" si="58"/>
        <v>2</v>
      </c>
      <c r="O114" s="438" t="e">
        <f t="shared" si="59"/>
        <v>#N/A</v>
      </c>
      <c r="P114" s="438">
        <f t="shared" si="59"/>
        <v>0.52150000000000007</v>
      </c>
      <c r="Q114" s="438" t="e">
        <f t="shared" si="59"/>
        <v>#N/A</v>
      </c>
      <c r="R114" s="438" t="e">
        <f t="shared" si="59"/>
        <v>#N/A</v>
      </c>
      <c r="S114" s="438">
        <f t="shared" si="59"/>
        <v>1.0000000000000009E-3</v>
      </c>
      <c r="T114" s="438" t="e">
        <f t="shared" si="59"/>
        <v>#N/A</v>
      </c>
      <c r="V114" s="438">
        <f t="shared" si="60"/>
        <v>0.51769999999999994</v>
      </c>
      <c r="W114" s="438">
        <f t="shared" si="61"/>
        <v>4.7999999999999987E-3</v>
      </c>
      <c r="X114" s="438">
        <f>IF('GRR AIAG GR&amp;R'!$F$7=3,'GRR Calculations'!V114+('GRR Calculations'!$AC$110*'GRR Calculations'!W114),IF('GRR AIAG GR&amp;R'!$F$7=2,'GRR Calculations'!V114+('GRR Calculations'!$AC$109*'GRR Calculations'!W114)))</f>
        <v>0.52672399999999997</v>
      </c>
      <c r="Y114" s="438">
        <f>IF('GRR AIAG GR&amp;R'!$F$7=3,'GRR Calculations'!V114-('GRR Calculations'!$AC$110*'GRR Calculations'!W114),IF('GRR AIAG GR&amp;R'!$F$7=2,'GRR Calculations'!V114-('GRR Calculations'!$AC$109*'GRR Calculations'!W114)))</f>
        <v>0.50867599999999991</v>
      </c>
      <c r="Z114" s="438">
        <f>IF('GRR AIAG GR&amp;R'!$F$7=3,('GRR Calculations'!$AD$110*'GRR Calculations'!W114),IF('GRR AIAG GR&amp;R'!$F$7=2,('GRR Calculations'!$AD$109*'GRR Calculations'!W114)))</f>
        <v>1.5695999999999995E-2</v>
      </c>
      <c r="AQ114" s="450" t="e">
        <f t="shared" si="55"/>
        <v>#N/A</v>
      </c>
      <c r="AR114" s="450" t="e">
        <f t="shared" si="56"/>
        <v>#N/A</v>
      </c>
      <c r="AS114" s="413" t="e">
        <f t="shared" si="57"/>
        <v>#N/A</v>
      </c>
      <c r="AT114" s="413" t="e">
        <f t="shared" si="57"/>
        <v>#N/A</v>
      </c>
      <c r="AU114" s="413" t="e">
        <f t="shared" si="57"/>
        <v>#N/A</v>
      </c>
    </row>
    <row r="115" spans="10:47" ht="12.6" x14ac:dyDescent="0.45">
      <c r="J115" s="452">
        <f t="shared" ref="J115:J124" si="62">IF(G51="",NA(),2)</f>
        <v>2</v>
      </c>
      <c r="K115" s="461">
        <f t="shared" si="53"/>
        <v>1</v>
      </c>
      <c r="L115" s="453">
        <f t="shared" si="54"/>
        <v>0.45700000000000002</v>
      </c>
      <c r="N115" s="440">
        <f t="shared" si="58"/>
        <v>3</v>
      </c>
      <c r="O115" s="438" t="e">
        <f t="shared" si="59"/>
        <v>#N/A</v>
      </c>
      <c r="P115" s="438">
        <f t="shared" si="59"/>
        <v>0.52200000000000002</v>
      </c>
      <c r="Q115" s="438" t="e">
        <f t="shared" si="59"/>
        <v>#N/A</v>
      </c>
      <c r="R115" s="438" t="e">
        <f t="shared" si="59"/>
        <v>#N/A</v>
      </c>
      <c r="S115" s="438">
        <f t="shared" si="59"/>
        <v>0</v>
      </c>
      <c r="T115" s="438" t="e">
        <f t="shared" si="59"/>
        <v>#N/A</v>
      </c>
      <c r="V115" s="438">
        <f t="shared" si="60"/>
        <v>0.51769999999999994</v>
      </c>
      <c r="W115" s="438">
        <f t="shared" si="61"/>
        <v>4.7999999999999987E-3</v>
      </c>
      <c r="X115" s="438">
        <f>IF('GRR AIAG GR&amp;R'!$F$7=3,'GRR Calculations'!V115+('GRR Calculations'!$AC$110*'GRR Calculations'!W115),IF('GRR AIAG GR&amp;R'!$F$7=2,'GRR Calculations'!V115+('GRR Calculations'!$AC$109*'GRR Calculations'!W115)))</f>
        <v>0.52672399999999997</v>
      </c>
      <c r="Y115" s="438">
        <f>IF('GRR AIAG GR&amp;R'!$F$7=3,'GRR Calculations'!V115-('GRR Calculations'!$AC$110*'GRR Calculations'!W115),IF('GRR AIAG GR&amp;R'!$F$7=2,'GRR Calculations'!V115-('GRR Calculations'!$AC$109*'GRR Calculations'!W115)))</f>
        <v>0.50867599999999991</v>
      </c>
      <c r="Z115" s="438">
        <f>IF('GRR AIAG GR&amp;R'!$F$7=3,('GRR Calculations'!$AD$110*'GRR Calculations'!W115),IF('GRR AIAG GR&amp;R'!$F$7=2,('GRR Calculations'!$AD$109*'GRR Calculations'!W115)))</f>
        <v>1.5695999999999995E-2</v>
      </c>
      <c r="AQ115" s="450">
        <f t="shared" ref="AQ115:AQ124" si="63">IF(G51="",NA(),2)</f>
        <v>2</v>
      </c>
      <c r="AR115" s="450">
        <f t="shared" si="56"/>
        <v>1</v>
      </c>
      <c r="AS115" s="413">
        <f t="shared" si="57"/>
        <v>0.498</v>
      </c>
      <c r="AT115" s="413">
        <f t="shared" si="57"/>
        <v>0.45700000000000002</v>
      </c>
      <c r="AU115" s="413" t="e">
        <f t="shared" si="57"/>
        <v>#N/A</v>
      </c>
    </row>
    <row r="116" spans="10:47" ht="12.6" x14ac:dyDescent="0.45">
      <c r="J116" s="452">
        <f t="shared" si="62"/>
        <v>2</v>
      </c>
      <c r="K116" s="461">
        <f t="shared" si="53"/>
        <v>2</v>
      </c>
      <c r="L116" s="453">
        <f t="shared" si="54"/>
        <v>0.52200000000000002</v>
      </c>
      <c r="N116" s="440">
        <f t="shared" si="58"/>
        <v>4</v>
      </c>
      <c r="O116" s="438" t="e">
        <f t="shared" si="59"/>
        <v>#N/A</v>
      </c>
      <c r="P116" s="438">
        <f t="shared" si="59"/>
        <v>0.52350000000000008</v>
      </c>
      <c r="Q116" s="438" t="e">
        <f t="shared" si="59"/>
        <v>#N/A</v>
      </c>
      <c r="R116" s="438" t="e">
        <f t="shared" si="59"/>
        <v>#N/A</v>
      </c>
      <c r="S116" s="438">
        <f t="shared" si="59"/>
        <v>1.0000000000000009E-3</v>
      </c>
      <c r="T116" s="438" t="e">
        <f t="shared" si="59"/>
        <v>#N/A</v>
      </c>
      <c r="V116" s="438">
        <f t="shared" si="60"/>
        <v>0.51769999999999994</v>
      </c>
      <c r="W116" s="438">
        <f t="shared" si="61"/>
        <v>4.7999999999999987E-3</v>
      </c>
      <c r="X116" s="438">
        <f>IF('GRR AIAG GR&amp;R'!$F$7=3,'GRR Calculations'!V116+('GRR Calculations'!$AC$110*'GRR Calculations'!W116),IF('GRR AIAG GR&amp;R'!$F$7=2,'GRR Calculations'!V116+('GRR Calculations'!$AC$109*'GRR Calculations'!W116)))</f>
        <v>0.52672399999999997</v>
      </c>
      <c r="Y116" s="438">
        <f>IF('GRR AIAG GR&amp;R'!$F$7=3,'GRR Calculations'!V116-('GRR Calculations'!$AC$110*'GRR Calculations'!W116),IF('GRR AIAG GR&amp;R'!$F$7=2,'GRR Calculations'!V116-('GRR Calculations'!$AC$109*'GRR Calculations'!W116)))</f>
        <v>0.50867599999999991</v>
      </c>
      <c r="Z116" s="438">
        <f>IF('GRR AIAG GR&amp;R'!$F$7=3,('GRR Calculations'!$AD$110*'GRR Calculations'!W116),IF('GRR AIAG GR&amp;R'!$F$7=2,('GRR Calculations'!$AD$109*'GRR Calculations'!W116)))</f>
        <v>1.5695999999999995E-2</v>
      </c>
      <c r="AQ116" s="450">
        <f t="shared" si="63"/>
        <v>2</v>
      </c>
      <c r="AR116" s="450">
        <f t="shared" si="56"/>
        <v>2</v>
      </c>
      <c r="AS116" s="413">
        <f t="shared" si="57"/>
        <v>0.52100000000000002</v>
      </c>
      <c r="AT116" s="413">
        <f t="shared" si="57"/>
        <v>0.52200000000000002</v>
      </c>
      <c r="AU116" s="413" t="e">
        <f t="shared" si="57"/>
        <v>#N/A</v>
      </c>
    </row>
    <row r="117" spans="10:47" ht="12.6" x14ac:dyDescent="0.45">
      <c r="J117" s="452">
        <f t="shared" si="62"/>
        <v>2</v>
      </c>
      <c r="K117" s="461">
        <f t="shared" si="53"/>
        <v>3</v>
      </c>
      <c r="L117" s="453">
        <f t="shared" si="54"/>
        <v>0.52200000000000002</v>
      </c>
      <c r="N117" s="440">
        <f t="shared" si="58"/>
        <v>5</v>
      </c>
      <c r="O117" s="438" t="e">
        <f t="shared" si="59"/>
        <v>#N/A</v>
      </c>
      <c r="P117" s="438">
        <f t="shared" si="59"/>
        <v>0.52100000000000002</v>
      </c>
      <c r="Q117" s="438" t="e">
        <f t="shared" si="59"/>
        <v>#N/A</v>
      </c>
      <c r="R117" s="438" t="e">
        <f t="shared" si="59"/>
        <v>#N/A</v>
      </c>
      <c r="S117" s="438">
        <f t="shared" si="59"/>
        <v>0</v>
      </c>
      <c r="T117" s="438" t="e">
        <f t="shared" si="59"/>
        <v>#N/A</v>
      </c>
      <c r="V117" s="438">
        <f t="shared" si="60"/>
        <v>0.51769999999999994</v>
      </c>
      <c r="W117" s="438">
        <f t="shared" si="61"/>
        <v>4.7999999999999987E-3</v>
      </c>
      <c r="X117" s="438">
        <f>IF('GRR AIAG GR&amp;R'!$F$7=3,'GRR Calculations'!V117+('GRR Calculations'!$AC$110*'GRR Calculations'!W117),IF('GRR AIAG GR&amp;R'!$F$7=2,'GRR Calculations'!V117+('GRR Calculations'!$AC$109*'GRR Calculations'!W117)))</f>
        <v>0.52672399999999997</v>
      </c>
      <c r="Y117" s="438">
        <f>IF('GRR AIAG GR&amp;R'!$F$7=3,'GRR Calculations'!V117-('GRR Calculations'!$AC$110*'GRR Calculations'!W117),IF('GRR AIAG GR&amp;R'!$F$7=2,'GRR Calculations'!V117-('GRR Calculations'!$AC$109*'GRR Calculations'!W117)))</f>
        <v>0.50867599999999991</v>
      </c>
      <c r="Z117" s="438">
        <f>IF('GRR AIAG GR&amp;R'!$F$7=3,('GRR Calculations'!$AD$110*'GRR Calculations'!W117),IF('GRR AIAG GR&amp;R'!$F$7=2,('GRR Calculations'!$AD$109*'GRR Calculations'!W117)))</f>
        <v>1.5695999999999995E-2</v>
      </c>
      <c r="AQ117" s="450">
        <f t="shared" si="63"/>
        <v>2</v>
      </c>
      <c r="AR117" s="450">
        <f t="shared" si="56"/>
        <v>3</v>
      </c>
      <c r="AS117" s="413">
        <f t="shared" si="57"/>
        <v>0.52200000000000002</v>
      </c>
      <c r="AT117" s="413">
        <f t="shared" si="57"/>
        <v>0.52200000000000002</v>
      </c>
      <c r="AU117" s="413" t="e">
        <f t="shared" si="57"/>
        <v>#N/A</v>
      </c>
    </row>
    <row r="118" spans="10:47" ht="12.6" x14ac:dyDescent="0.45">
      <c r="J118" s="452">
        <f t="shared" si="62"/>
        <v>2</v>
      </c>
      <c r="K118" s="461">
        <f t="shared" si="53"/>
        <v>4</v>
      </c>
      <c r="L118" s="453">
        <f t="shared" si="54"/>
        <v>0.52300000000000002</v>
      </c>
      <c r="N118" s="440">
        <f t="shared" si="58"/>
        <v>1</v>
      </c>
      <c r="O118" s="438" t="e">
        <f t="shared" si="59"/>
        <v>#N/A</v>
      </c>
      <c r="P118" s="438" t="e">
        <f t="shared" si="59"/>
        <v>#N/A</v>
      </c>
      <c r="Q118" s="438" t="e">
        <f t="shared" si="59"/>
        <v>#N/A</v>
      </c>
      <c r="R118" s="438" t="e">
        <f t="shared" si="59"/>
        <v>#N/A</v>
      </c>
      <c r="S118" s="438" t="e">
        <f t="shared" si="59"/>
        <v>#N/A</v>
      </c>
      <c r="T118" s="438" t="e">
        <f t="shared" si="59"/>
        <v>#N/A</v>
      </c>
      <c r="V118" s="438">
        <f t="shared" si="60"/>
        <v>0.51769999999999994</v>
      </c>
      <c r="W118" s="438">
        <f t="shared" si="61"/>
        <v>4.7999999999999987E-3</v>
      </c>
      <c r="X118" s="438">
        <f>IF('GRR AIAG GR&amp;R'!$F$7=3,'GRR Calculations'!V118+('GRR Calculations'!$AC$110*'GRR Calculations'!W118),IF('GRR AIAG GR&amp;R'!$F$7=2,'GRR Calculations'!V118+('GRR Calculations'!$AC$109*'GRR Calculations'!W118)))</f>
        <v>0.52672399999999997</v>
      </c>
      <c r="Y118" s="438">
        <f>IF('GRR AIAG GR&amp;R'!$F$7=3,'GRR Calculations'!V118-('GRR Calculations'!$AC$110*'GRR Calculations'!W118),IF('GRR AIAG GR&amp;R'!$F$7=2,'GRR Calculations'!V118-('GRR Calculations'!$AC$109*'GRR Calculations'!W118)))</f>
        <v>0.50867599999999991</v>
      </c>
      <c r="Z118" s="438">
        <f>IF('GRR AIAG GR&amp;R'!$F$7=3,('GRR Calculations'!$AD$110*'GRR Calculations'!W118),IF('GRR AIAG GR&amp;R'!$F$7=2,('GRR Calculations'!$AD$109*'GRR Calculations'!W118)))</f>
        <v>1.5695999999999995E-2</v>
      </c>
      <c r="AQ118" s="450">
        <f t="shared" si="63"/>
        <v>2</v>
      </c>
      <c r="AR118" s="450">
        <f t="shared" si="56"/>
        <v>4</v>
      </c>
      <c r="AS118" s="413">
        <f t="shared" si="57"/>
        <v>0.52400000000000002</v>
      </c>
      <c r="AT118" s="413">
        <f t="shared" si="57"/>
        <v>0.52300000000000002</v>
      </c>
      <c r="AU118" s="413" t="e">
        <f t="shared" si="57"/>
        <v>#N/A</v>
      </c>
    </row>
    <row r="119" spans="10:47" ht="12.6" x14ac:dyDescent="0.45">
      <c r="J119" s="452">
        <f t="shared" si="62"/>
        <v>2</v>
      </c>
      <c r="K119" s="461">
        <f t="shared" si="53"/>
        <v>5</v>
      </c>
      <c r="L119" s="453">
        <f t="shared" si="54"/>
        <v>0.52100000000000002</v>
      </c>
      <c r="N119" s="440">
        <f t="shared" si="58"/>
        <v>2</v>
      </c>
      <c r="O119" s="438" t="e">
        <f t="shared" si="59"/>
        <v>#N/A</v>
      </c>
      <c r="P119" s="438" t="e">
        <f t="shared" si="59"/>
        <v>#N/A</v>
      </c>
      <c r="Q119" s="438" t="e">
        <f t="shared" si="59"/>
        <v>#N/A</v>
      </c>
      <c r="R119" s="438" t="e">
        <f t="shared" si="59"/>
        <v>#N/A</v>
      </c>
      <c r="S119" s="438" t="e">
        <f t="shared" si="59"/>
        <v>#N/A</v>
      </c>
      <c r="T119" s="438" t="e">
        <f t="shared" si="59"/>
        <v>#N/A</v>
      </c>
      <c r="V119" s="438">
        <f t="shared" si="60"/>
        <v>0.51769999999999994</v>
      </c>
      <c r="W119" s="438">
        <f t="shared" si="61"/>
        <v>4.7999999999999987E-3</v>
      </c>
      <c r="X119" s="438">
        <f>IF('GRR AIAG GR&amp;R'!$F$7=3,'GRR Calculations'!V119+('GRR Calculations'!$AC$110*'GRR Calculations'!W119),IF('GRR AIAG GR&amp;R'!$F$7=2,'GRR Calculations'!V119+('GRR Calculations'!$AC$109*'GRR Calculations'!W119)))</f>
        <v>0.52672399999999997</v>
      </c>
      <c r="Y119" s="438">
        <f>IF('GRR AIAG GR&amp;R'!$F$7=3,'GRR Calculations'!V119-('GRR Calculations'!$AC$110*'GRR Calculations'!W119),IF('GRR AIAG GR&amp;R'!$F$7=2,'GRR Calculations'!V119-('GRR Calculations'!$AC$109*'GRR Calculations'!W119)))</f>
        <v>0.50867599999999991</v>
      </c>
      <c r="Z119" s="438">
        <f>IF('GRR AIAG GR&amp;R'!$F$7=3,('GRR Calculations'!$AD$110*'GRR Calculations'!W119),IF('GRR AIAG GR&amp;R'!$F$7=2,('GRR Calculations'!$AD$109*'GRR Calculations'!W119)))</f>
        <v>1.5695999999999995E-2</v>
      </c>
      <c r="AQ119" s="450">
        <f t="shared" si="63"/>
        <v>2</v>
      </c>
      <c r="AR119" s="450">
        <f t="shared" si="56"/>
        <v>5</v>
      </c>
      <c r="AS119" s="413">
        <f t="shared" si="57"/>
        <v>0.52100000000000002</v>
      </c>
      <c r="AT119" s="413">
        <f t="shared" si="57"/>
        <v>0.52100000000000002</v>
      </c>
      <c r="AU119" s="413" t="e">
        <f t="shared" si="57"/>
        <v>#N/A</v>
      </c>
    </row>
    <row r="120" spans="10:47" ht="12.6" x14ac:dyDescent="0.45">
      <c r="J120" s="452" t="e">
        <f t="shared" si="62"/>
        <v>#N/A</v>
      </c>
      <c r="K120" s="461" t="e">
        <f t="shared" si="53"/>
        <v>#N/A</v>
      </c>
      <c r="L120" s="453" t="e">
        <f t="shared" si="54"/>
        <v>#N/A</v>
      </c>
      <c r="N120" s="440">
        <f t="shared" si="58"/>
        <v>3</v>
      </c>
      <c r="O120" s="438" t="e">
        <f t="shared" si="59"/>
        <v>#N/A</v>
      </c>
      <c r="P120" s="438" t="e">
        <f t="shared" si="59"/>
        <v>#N/A</v>
      </c>
      <c r="Q120" s="438" t="e">
        <f t="shared" si="59"/>
        <v>#N/A</v>
      </c>
      <c r="R120" s="438" t="e">
        <f t="shared" si="59"/>
        <v>#N/A</v>
      </c>
      <c r="S120" s="438" t="e">
        <f t="shared" si="59"/>
        <v>#N/A</v>
      </c>
      <c r="T120" s="438" t="e">
        <f t="shared" si="59"/>
        <v>#N/A</v>
      </c>
      <c r="V120" s="438">
        <f t="shared" si="60"/>
        <v>0.51769999999999994</v>
      </c>
      <c r="W120" s="438">
        <f t="shared" si="61"/>
        <v>4.7999999999999987E-3</v>
      </c>
      <c r="X120" s="438">
        <f>IF('GRR AIAG GR&amp;R'!$F$7=3,'GRR Calculations'!V120+('GRR Calculations'!$AC$110*'GRR Calculations'!W120),IF('GRR AIAG GR&amp;R'!$F$7=2,'GRR Calculations'!V120+('GRR Calculations'!$AC$109*'GRR Calculations'!W120)))</f>
        <v>0.52672399999999997</v>
      </c>
      <c r="Y120" s="438">
        <f>IF('GRR AIAG GR&amp;R'!$F$7=3,'GRR Calculations'!V120-('GRR Calculations'!$AC$110*'GRR Calculations'!W120),IF('GRR AIAG GR&amp;R'!$F$7=2,'GRR Calculations'!V120-('GRR Calculations'!$AC$109*'GRR Calculations'!W120)))</f>
        <v>0.50867599999999991</v>
      </c>
      <c r="Z120" s="438">
        <f>IF('GRR AIAG GR&amp;R'!$F$7=3,('GRR Calculations'!$AD$110*'GRR Calculations'!W120),IF('GRR AIAG GR&amp;R'!$F$7=2,('GRR Calculations'!$AD$109*'GRR Calculations'!W120)))</f>
        <v>1.5695999999999995E-2</v>
      </c>
      <c r="AQ120" s="450" t="e">
        <f t="shared" si="63"/>
        <v>#N/A</v>
      </c>
      <c r="AR120" s="450" t="e">
        <f t="shared" si="56"/>
        <v>#N/A</v>
      </c>
      <c r="AS120" s="413" t="e">
        <f t="shared" si="57"/>
        <v>#N/A</v>
      </c>
      <c r="AT120" s="413" t="e">
        <f t="shared" si="57"/>
        <v>#N/A</v>
      </c>
      <c r="AU120" s="413" t="e">
        <f t="shared" si="57"/>
        <v>#N/A</v>
      </c>
    </row>
    <row r="121" spans="10:47" ht="12.6" x14ac:dyDescent="0.45">
      <c r="J121" s="452" t="e">
        <f t="shared" si="62"/>
        <v>#N/A</v>
      </c>
      <c r="K121" s="461" t="e">
        <f t="shared" si="53"/>
        <v>#N/A</v>
      </c>
      <c r="L121" s="453" t="e">
        <f t="shared" si="54"/>
        <v>#N/A</v>
      </c>
      <c r="N121" s="440">
        <f t="shared" si="58"/>
        <v>4</v>
      </c>
      <c r="O121" s="438" t="e">
        <f t="shared" si="59"/>
        <v>#N/A</v>
      </c>
      <c r="P121" s="438" t="e">
        <f t="shared" si="59"/>
        <v>#N/A</v>
      </c>
      <c r="Q121" s="438" t="e">
        <f t="shared" si="59"/>
        <v>#N/A</v>
      </c>
      <c r="R121" s="438" t="e">
        <f t="shared" si="59"/>
        <v>#N/A</v>
      </c>
      <c r="S121" s="438" t="e">
        <f t="shared" si="59"/>
        <v>#N/A</v>
      </c>
      <c r="T121" s="438" t="e">
        <f t="shared" si="59"/>
        <v>#N/A</v>
      </c>
      <c r="V121" s="438">
        <f t="shared" si="60"/>
        <v>0.51769999999999994</v>
      </c>
      <c r="W121" s="438">
        <f t="shared" si="61"/>
        <v>4.7999999999999987E-3</v>
      </c>
      <c r="X121" s="438">
        <f>IF('GRR AIAG GR&amp;R'!$F$7=3,'GRR Calculations'!V121+('GRR Calculations'!$AC$110*'GRR Calculations'!W121),IF('GRR AIAG GR&amp;R'!$F$7=2,'GRR Calculations'!V121+('GRR Calculations'!$AC$109*'GRR Calculations'!W121)))</f>
        <v>0.52672399999999997</v>
      </c>
      <c r="Y121" s="438">
        <f>IF('GRR AIAG GR&amp;R'!$F$7=3,'GRR Calculations'!V121-('GRR Calculations'!$AC$110*'GRR Calculations'!W121),IF('GRR AIAG GR&amp;R'!$F$7=2,'GRR Calculations'!V121-('GRR Calculations'!$AC$109*'GRR Calculations'!W121)))</f>
        <v>0.50867599999999991</v>
      </c>
      <c r="Z121" s="438">
        <f>IF('GRR AIAG GR&amp;R'!$F$7=3,('GRR Calculations'!$AD$110*'GRR Calculations'!W121),IF('GRR AIAG GR&amp;R'!$F$7=2,('GRR Calculations'!$AD$109*'GRR Calculations'!W121)))</f>
        <v>1.5695999999999995E-2</v>
      </c>
      <c r="AQ121" s="450" t="e">
        <f t="shared" si="63"/>
        <v>#N/A</v>
      </c>
      <c r="AR121" s="450" t="e">
        <f t="shared" si="56"/>
        <v>#N/A</v>
      </c>
      <c r="AS121" s="413" t="e">
        <f t="shared" si="57"/>
        <v>#N/A</v>
      </c>
      <c r="AT121" s="413" t="e">
        <f t="shared" si="57"/>
        <v>#N/A</v>
      </c>
      <c r="AU121" s="413" t="e">
        <f t="shared" si="57"/>
        <v>#N/A</v>
      </c>
    </row>
    <row r="122" spans="10:47" ht="12.6" x14ac:dyDescent="0.45">
      <c r="J122" s="452" t="e">
        <f t="shared" si="62"/>
        <v>#N/A</v>
      </c>
      <c r="K122" s="461" t="e">
        <f t="shared" si="53"/>
        <v>#N/A</v>
      </c>
      <c r="L122" s="453" t="e">
        <f t="shared" si="54"/>
        <v>#N/A</v>
      </c>
      <c r="N122" s="440">
        <f t="shared" si="58"/>
        <v>5</v>
      </c>
      <c r="O122" s="438" t="e">
        <f t="shared" si="59"/>
        <v>#N/A</v>
      </c>
      <c r="P122" s="438" t="e">
        <f t="shared" si="59"/>
        <v>#N/A</v>
      </c>
      <c r="Q122" s="438" t="e">
        <f t="shared" si="59"/>
        <v>#N/A</v>
      </c>
      <c r="R122" s="438" t="e">
        <f t="shared" si="59"/>
        <v>#N/A</v>
      </c>
      <c r="S122" s="438" t="e">
        <f t="shared" si="59"/>
        <v>#N/A</v>
      </c>
      <c r="T122" s="438" t="e">
        <f t="shared" si="59"/>
        <v>#N/A</v>
      </c>
      <c r="V122" s="438">
        <f t="shared" si="60"/>
        <v>0.51769999999999994</v>
      </c>
      <c r="W122" s="438">
        <f t="shared" si="61"/>
        <v>4.7999999999999987E-3</v>
      </c>
      <c r="X122" s="438">
        <f>IF('GRR AIAG GR&amp;R'!$F$7=3,'GRR Calculations'!V122+('GRR Calculations'!$AC$110*'GRR Calculations'!W122),IF('GRR AIAG GR&amp;R'!$F$7=2,'GRR Calculations'!V122+('GRR Calculations'!$AC$109*'GRR Calculations'!W122)))</f>
        <v>0.52672399999999997</v>
      </c>
      <c r="Y122" s="438">
        <f>IF('GRR AIAG GR&amp;R'!$F$7=3,'GRR Calculations'!V122-('GRR Calculations'!$AC$110*'GRR Calculations'!W122),IF('GRR AIAG GR&amp;R'!$F$7=2,'GRR Calculations'!V122-('GRR Calculations'!$AC$109*'GRR Calculations'!W122)))</f>
        <v>0.50867599999999991</v>
      </c>
      <c r="Z122" s="438">
        <f>IF('GRR AIAG GR&amp;R'!$F$7=3,('GRR Calculations'!$AD$110*'GRR Calculations'!W122),IF('GRR AIAG GR&amp;R'!$F$7=2,('GRR Calculations'!$AD$109*'GRR Calculations'!W122)))</f>
        <v>1.5695999999999995E-2</v>
      </c>
      <c r="AQ122" s="450" t="e">
        <f t="shared" si="63"/>
        <v>#N/A</v>
      </c>
      <c r="AR122" s="450" t="e">
        <f t="shared" si="56"/>
        <v>#N/A</v>
      </c>
      <c r="AS122" s="413" t="e">
        <f t="shared" si="57"/>
        <v>#N/A</v>
      </c>
      <c r="AT122" s="413" t="e">
        <f t="shared" si="57"/>
        <v>#N/A</v>
      </c>
      <c r="AU122" s="413" t="e">
        <f t="shared" si="57"/>
        <v>#N/A</v>
      </c>
    </row>
    <row r="123" spans="10:47" ht="12.6" x14ac:dyDescent="0.45">
      <c r="J123" s="452" t="e">
        <f t="shared" si="62"/>
        <v>#N/A</v>
      </c>
      <c r="K123" s="461" t="e">
        <f t="shared" si="53"/>
        <v>#N/A</v>
      </c>
      <c r="L123" s="453" t="e">
        <f t="shared" si="54"/>
        <v>#N/A</v>
      </c>
      <c r="N123" s="440">
        <f t="shared" si="58"/>
        <v>0</v>
      </c>
      <c r="O123" s="438" t="e">
        <f t="shared" si="59"/>
        <v>#N/A</v>
      </c>
      <c r="P123" s="438" t="e">
        <f t="shared" si="59"/>
        <v>#N/A</v>
      </c>
      <c r="Q123" s="438" t="e">
        <f t="shared" si="59"/>
        <v>#N/A</v>
      </c>
      <c r="R123" s="438" t="e">
        <f t="shared" si="59"/>
        <v>#N/A</v>
      </c>
      <c r="S123" s="438" t="e">
        <f t="shared" si="59"/>
        <v>#N/A</v>
      </c>
      <c r="T123" s="438" t="e">
        <f t="shared" si="59"/>
        <v>#N/A</v>
      </c>
      <c r="V123" s="438">
        <f t="shared" si="60"/>
        <v>0.51769999999999994</v>
      </c>
      <c r="W123" s="438">
        <f t="shared" si="61"/>
        <v>4.7999999999999987E-3</v>
      </c>
      <c r="X123" s="438">
        <f>IF('GRR AIAG GR&amp;R'!$F$7=3,'GRR Calculations'!V123+('GRR Calculations'!$AC$110*'GRR Calculations'!W123),IF('GRR AIAG GR&amp;R'!$F$7=2,'GRR Calculations'!V123+('GRR Calculations'!$AC$109*'GRR Calculations'!W123)))</f>
        <v>0.52672399999999997</v>
      </c>
      <c r="Y123" s="438">
        <f>IF('GRR AIAG GR&amp;R'!$F$7=3,'GRR Calculations'!V123-('GRR Calculations'!$AC$110*'GRR Calculations'!W123),IF('GRR AIAG GR&amp;R'!$F$7=2,'GRR Calculations'!V123-('GRR Calculations'!$AC$109*'GRR Calculations'!W123)))</f>
        <v>0.50867599999999991</v>
      </c>
      <c r="Z123" s="438">
        <f>IF('GRR AIAG GR&amp;R'!$F$7=3,('GRR Calculations'!$AD$110*'GRR Calculations'!W123),IF('GRR AIAG GR&amp;R'!$F$7=2,('GRR Calculations'!$AD$109*'GRR Calculations'!W123)))</f>
        <v>1.5695999999999995E-2</v>
      </c>
      <c r="AQ123" s="450" t="e">
        <f t="shared" si="63"/>
        <v>#N/A</v>
      </c>
      <c r="AR123" s="450" t="e">
        <f t="shared" si="56"/>
        <v>#N/A</v>
      </c>
      <c r="AS123" s="413" t="e">
        <f t="shared" si="57"/>
        <v>#N/A</v>
      </c>
      <c r="AT123" s="413" t="e">
        <f t="shared" si="57"/>
        <v>#N/A</v>
      </c>
      <c r="AU123" s="413" t="e">
        <f t="shared" si="57"/>
        <v>#N/A</v>
      </c>
    </row>
    <row r="124" spans="10:47" ht="12.6" x14ac:dyDescent="0.45">
      <c r="J124" s="452" t="e">
        <f t="shared" si="62"/>
        <v>#N/A</v>
      </c>
      <c r="K124" s="461" t="e">
        <f t="shared" si="53"/>
        <v>#N/A</v>
      </c>
      <c r="L124" s="453" t="e">
        <f t="shared" si="54"/>
        <v>#N/A</v>
      </c>
      <c r="N124" s="440">
        <f t="shared" si="58"/>
        <v>0</v>
      </c>
      <c r="O124" s="438" t="e">
        <f t="shared" ref="O124:T137" si="64">IF($AC$112&gt;5,O90,W90)</f>
        <v>#N/A</v>
      </c>
      <c r="P124" s="438" t="e">
        <f t="shared" si="64"/>
        <v>#N/A</v>
      </c>
      <c r="Q124" s="438" t="e">
        <f t="shared" si="64"/>
        <v>#N/A</v>
      </c>
      <c r="R124" s="438" t="e">
        <f t="shared" si="64"/>
        <v>#N/A</v>
      </c>
      <c r="S124" s="438" t="e">
        <f t="shared" si="64"/>
        <v>#N/A</v>
      </c>
      <c r="T124" s="438" t="e">
        <f t="shared" si="64"/>
        <v>#N/A</v>
      </c>
      <c r="V124" s="438">
        <f t="shared" si="60"/>
        <v>0.51769999999999994</v>
      </c>
      <c r="W124" s="438">
        <f t="shared" si="61"/>
        <v>4.7999999999999987E-3</v>
      </c>
      <c r="X124" s="438">
        <f>IF('GRR AIAG GR&amp;R'!$F$7=3,'GRR Calculations'!V124+('GRR Calculations'!$AC$110*'GRR Calculations'!W124),IF('GRR AIAG GR&amp;R'!$F$7=2,'GRR Calculations'!V124+('GRR Calculations'!$AC$109*'GRR Calculations'!W124)))</f>
        <v>0.52672399999999997</v>
      </c>
      <c r="Y124" s="438">
        <f>IF('GRR AIAG GR&amp;R'!$F$7=3,'GRR Calculations'!V124-('GRR Calculations'!$AC$110*'GRR Calculations'!W124),IF('GRR AIAG GR&amp;R'!$F$7=2,'GRR Calculations'!V124-('GRR Calculations'!$AC$109*'GRR Calculations'!W124)))</f>
        <v>0.50867599999999991</v>
      </c>
      <c r="Z124" s="438">
        <f>IF('GRR AIAG GR&amp;R'!$F$7=3,('GRR Calculations'!$AD$110*'GRR Calculations'!W124),IF('GRR AIAG GR&amp;R'!$F$7=2,('GRR Calculations'!$AD$109*'GRR Calculations'!W124)))</f>
        <v>1.5695999999999995E-2</v>
      </c>
      <c r="AQ124" s="450" t="e">
        <f t="shared" si="63"/>
        <v>#N/A</v>
      </c>
      <c r="AR124" s="450" t="e">
        <f t="shared" si="56"/>
        <v>#N/A</v>
      </c>
      <c r="AS124" s="413" t="e">
        <f t="shared" si="57"/>
        <v>#N/A</v>
      </c>
      <c r="AT124" s="413" t="e">
        <f t="shared" si="57"/>
        <v>#N/A</v>
      </c>
      <c r="AU124" s="413" t="e">
        <f t="shared" si="57"/>
        <v>#N/A</v>
      </c>
    </row>
    <row r="125" spans="10:47" ht="12.6" x14ac:dyDescent="0.45">
      <c r="J125" s="452" t="e">
        <f t="shared" ref="J125:J134" si="65">IF(G61="",NA(),3)</f>
        <v>#N/A</v>
      </c>
      <c r="K125" s="461" t="e">
        <f t="shared" si="53"/>
        <v>#N/A</v>
      </c>
      <c r="L125" s="453" t="e">
        <f t="shared" si="54"/>
        <v>#N/A</v>
      </c>
      <c r="N125" s="440">
        <f t="shared" si="58"/>
        <v>0</v>
      </c>
      <c r="O125" s="438" t="e">
        <f t="shared" si="64"/>
        <v>#N/A</v>
      </c>
      <c r="P125" s="438" t="e">
        <f t="shared" si="64"/>
        <v>#N/A</v>
      </c>
      <c r="Q125" s="438" t="e">
        <f t="shared" si="64"/>
        <v>#N/A</v>
      </c>
      <c r="R125" s="438" t="e">
        <f t="shared" si="64"/>
        <v>#N/A</v>
      </c>
      <c r="S125" s="438" t="e">
        <f t="shared" si="64"/>
        <v>#N/A</v>
      </c>
      <c r="T125" s="438" t="e">
        <f t="shared" si="64"/>
        <v>#N/A</v>
      </c>
      <c r="V125" s="438">
        <f t="shared" si="60"/>
        <v>0.51769999999999994</v>
      </c>
      <c r="W125" s="438">
        <f t="shared" si="61"/>
        <v>4.7999999999999987E-3</v>
      </c>
      <c r="X125" s="438">
        <f>IF('GRR AIAG GR&amp;R'!$F$7=3,'GRR Calculations'!V125+('GRR Calculations'!$AC$110*'GRR Calculations'!W125),IF('GRR AIAG GR&amp;R'!$F$7=2,'GRR Calculations'!V125+('GRR Calculations'!$AC$109*'GRR Calculations'!W125)))</f>
        <v>0.52672399999999997</v>
      </c>
      <c r="Y125" s="438">
        <f>IF('GRR AIAG GR&amp;R'!$F$7=3,'GRR Calculations'!V125-('GRR Calculations'!$AC$110*'GRR Calculations'!W125),IF('GRR AIAG GR&amp;R'!$F$7=2,'GRR Calculations'!V125-('GRR Calculations'!$AC$109*'GRR Calculations'!W125)))</f>
        <v>0.50867599999999991</v>
      </c>
      <c r="Z125" s="438">
        <f>IF('GRR AIAG GR&amp;R'!$F$7=3,('GRR Calculations'!$AD$110*'GRR Calculations'!W125),IF('GRR AIAG GR&amp;R'!$F$7=2,('GRR Calculations'!$AD$109*'GRR Calculations'!W125)))</f>
        <v>1.5695999999999995E-2</v>
      </c>
      <c r="AQ125" s="450" t="e">
        <f t="shared" ref="AQ125:AQ134" si="66">IF(G61="",NA(),3)</f>
        <v>#N/A</v>
      </c>
      <c r="AR125" s="450" t="e">
        <f t="shared" si="56"/>
        <v>#N/A</v>
      </c>
      <c r="AS125" s="413" t="e">
        <f t="shared" si="57"/>
        <v>#N/A</v>
      </c>
      <c r="AT125" s="413" t="e">
        <f t="shared" si="57"/>
        <v>#N/A</v>
      </c>
      <c r="AU125" s="413" t="e">
        <f t="shared" si="57"/>
        <v>#N/A</v>
      </c>
    </row>
    <row r="126" spans="10:47" ht="12.6" x14ac:dyDescent="0.45">
      <c r="J126" s="452" t="e">
        <f t="shared" si="65"/>
        <v>#N/A</v>
      </c>
      <c r="K126" s="461" t="e">
        <f t="shared" si="53"/>
        <v>#N/A</v>
      </c>
      <c r="L126" s="453" t="e">
        <f t="shared" si="54"/>
        <v>#N/A</v>
      </c>
      <c r="N126" s="440">
        <f t="shared" si="58"/>
        <v>0</v>
      </c>
      <c r="O126" s="438" t="e">
        <f t="shared" si="64"/>
        <v>#N/A</v>
      </c>
      <c r="P126" s="438" t="e">
        <f t="shared" si="64"/>
        <v>#N/A</v>
      </c>
      <c r="Q126" s="438" t="e">
        <f t="shared" si="64"/>
        <v>#N/A</v>
      </c>
      <c r="R126" s="438" t="e">
        <f t="shared" si="64"/>
        <v>#N/A</v>
      </c>
      <c r="S126" s="438" t="e">
        <f t="shared" si="64"/>
        <v>#N/A</v>
      </c>
      <c r="T126" s="438" t="e">
        <f t="shared" si="64"/>
        <v>#N/A</v>
      </c>
      <c r="V126" s="438">
        <f t="shared" si="60"/>
        <v>0.51769999999999994</v>
      </c>
      <c r="W126" s="438">
        <f t="shared" si="61"/>
        <v>4.7999999999999987E-3</v>
      </c>
      <c r="X126" s="438">
        <f>IF('GRR AIAG GR&amp;R'!$F$7=3,'GRR Calculations'!V126+('GRR Calculations'!$AC$110*'GRR Calculations'!W126),IF('GRR AIAG GR&amp;R'!$F$7=2,'GRR Calculations'!V126+('GRR Calculations'!$AC$109*'GRR Calculations'!W126)))</f>
        <v>0.52672399999999997</v>
      </c>
      <c r="Y126" s="438">
        <f>IF('GRR AIAG GR&amp;R'!$F$7=3,'GRR Calculations'!V126-('GRR Calculations'!$AC$110*'GRR Calculations'!W126),IF('GRR AIAG GR&amp;R'!$F$7=2,'GRR Calculations'!V126-('GRR Calculations'!$AC$109*'GRR Calculations'!W126)))</f>
        <v>0.50867599999999991</v>
      </c>
      <c r="Z126" s="438">
        <f>IF('GRR AIAG GR&amp;R'!$F$7=3,('GRR Calculations'!$AD$110*'GRR Calculations'!W126),IF('GRR AIAG GR&amp;R'!$F$7=2,('GRR Calculations'!$AD$109*'GRR Calculations'!W126)))</f>
        <v>1.5695999999999995E-2</v>
      </c>
      <c r="AQ126" s="450" t="e">
        <f t="shared" si="66"/>
        <v>#N/A</v>
      </c>
      <c r="AR126" s="450" t="e">
        <f t="shared" si="56"/>
        <v>#N/A</v>
      </c>
      <c r="AS126" s="413" t="e">
        <f t="shared" si="57"/>
        <v>#N/A</v>
      </c>
      <c r="AT126" s="413" t="e">
        <f t="shared" si="57"/>
        <v>#N/A</v>
      </c>
      <c r="AU126" s="413" t="e">
        <f t="shared" si="57"/>
        <v>#N/A</v>
      </c>
    </row>
    <row r="127" spans="10:47" ht="12.6" x14ac:dyDescent="0.45">
      <c r="J127" s="452" t="e">
        <f t="shared" si="65"/>
        <v>#N/A</v>
      </c>
      <c r="K127" s="461" t="e">
        <f t="shared" si="53"/>
        <v>#N/A</v>
      </c>
      <c r="L127" s="453" t="e">
        <f t="shared" si="54"/>
        <v>#N/A</v>
      </c>
      <c r="N127" s="440">
        <f t="shared" si="58"/>
        <v>0</v>
      </c>
      <c r="O127" s="438" t="e">
        <f t="shared" si="64"/>
        <v>#N/A</v>
      </c>
      <c r="P127" s="438" t="e">
        <f t="shared" si="64"/>
        <v>#N/A</v>
      </c>
      <c r="Q127" s="438" t="e">
        <f t="shared" si="64"/>
        <v>#N/A</v>
      </c>
      <c r="R127" s="438" t="e">
        <f t="shared" si="64"/>
        <v>#N/A</v>
      </c>
      <c r="S127" s="438" t="e">
        <f t="shared" si="64"/>
        <v>#N/A</v>
      </c>
      <c r="T127" s="438" t="e">
        <f t="shared" si="64"/>
        <v>#N/A</v>
      </c>
      <c r="V127" s="438">
        <f t="shared" si="60"/>
        <v>0.51769999999999994</v>
      </c>
      <c r="W127" s="438">
        <f t="shared" si="61"/>
        <v>4.7999999999999987E-3</v>
      </c>
      <c r="X127" s="438">
        <f>IF('GRR AIAG GR&amp;R'!$F$7=3,'GRR Calculations'!V127+('GRR Calculations'!$AC$110*'GRR Calculations'!W127),IF('GRR AIAG GR&amp;R'!$F$7=2,'GRR Calculations'!V127+('GRR Calculations'!$AC$109*'GRR Calculations'!W127)))</f>
        <v>0.52672399999999997</v>
      </c>
      <c r="Y127" s="438">
        <f>IF('GRR AIAG GR&amp;R'!$F$7=3,'GRR Calculations'!V127-('GRR Calculations'!$AC$110*'GRR Calculations'!W127),IF('GRR AIAG GR&amp;R'!$F$7=2,'GRR Calculations'!V127-('GRR Calculations'!$AC$109*'GRR Calculations'!W127)))</f>
        <v>0.50867599999999991</v>
      </c>
      <c r="Z127" s="438">
        <f>IF('GRR AIAG GR&amp;R'!$F$7=3,('GRR Calculations'!$AD$110*'GRR Calculations'!W127),IF('GRR AIAG GR&amp;R'!$F$7=2,('GRR Calculations'!$AD$109*'GRR Calculations'!W127)))</f>
        <v>1.5695999999999995E-2</v>
      </c>
      <c r="AQ127" s="450" t="e">
        <f t="shared" si="66"/>
        <v>#N/A</v>
      </c>
      <c r="AR127" s="450" t="e">
        <f t="shared" si="56"/>
        <v>#N/A</v>
      </c>
      <c r="AS127" s="413" t="e">
        <f t="shared" si="57"/>
        <v>#N/A</v>
      </c>
      <c r="AT127" s="413" t="e">
        <f t="shared" si="57"/>
        <v>#N/A</v>
      </c>
      <c r="AU127" s="413" t="e">
        <f t="shared" si="57"/>
        <v>#N/A</v>
      </c>
    </row>
    <row r="128" spans="10:47" ht="12.6" x14ac:dyDescent="0.45">
      <c r="J128" s="452" t="e">
        <f t="shared" si="65"/>
        <v>#N/A</v>
      </c>
      <c r="K128" s="461" t="e">
        <f t="shared" si="53"/>
        <v>#N/A</v>
      </c>
      <c r="L128" s="453" t="e">
        <f t="shared" si="54"/>
        <v>#N/A</v>
      </c>
      <c r="N128" s="440">
        <f t="shared" si="58"/>
        <v>0</v>
      </c>
      <c r="O128" s="438" t="e">
        <f t="shared" si="64"/>
        <v>#N/A</v>
      </c>
      <c r="P128" s="438" t="e">
        <f t="shared" si="64"/>
        <v>#N/A</v>
      </c>
      <c r="Q128" s="438" t="e">
        <f t="shared" si="64"/>
        <v>#N/A</v>
      </c>
      <c r="R128" s="438" t="e">
        <f t="shared" si="64"/>
        <v>#N/A</v>
      </c>
      <c r="S128" s="438" t="e">
        <f t="shared" si="64"/>
        <v>#N/A</v>
      </c>
      <c r="T128" s="438" t="e">
        <f t="shared" si="64"/>
        <v>#N/A</v>
      </c>
      <c r="V128" s="438">
        <f t="shared" si="60"/>
        <v>0.51769999999999994</v>
      </c>
      <c r="W128" s="438">
        <f t="shared" si="61"/>
        <v>4.7999999999999987E-3</v>
      </c>
      <c r="X128" s="438">
        <f>IF('GRR AIAG GR&amp;R'!$F$7=3,'GRR Calculations'!V128+('GRR Calculations'!$AC$110*'GRR Calculations'!W128),IF('GRR AIAG GR&amp;R'!$F$7=2,'GRR Calculations'!V128+('GRR Calculations'!$AC$109*'GRR Calculations'!W128)))</f>
        <v>0.52672399999999997</v>
      </c>
      <c r="Y128" s="438">
        <f>IF('GRR AIAG GR&amp;R'!$F$7=3,'GRR Calculations'!V128-('GRR Calculations'!$AC$110*'GRR Calculations'!W128),IF('GRR AIAG GR&amp;R'!$F$7=2,'GRR Calculations'!V128-('GRR Calculations'!$AC$109*'GRR Calculations'!W128)))</f>
        <v>0.50867599999999991</v>
      </c>
      <c r="Z128" s="438">
        <f>IF('GRR AIAG GR&amp;R'!$F$7=3,('GRR Calculations'!$AD$110*'GRR Calculations'!W128),IF('GRR AIAG GR&amp;R'!$F$7=2,('GRR Calculations'!$AD$109*'GRR Calculations'!W128)))</f>
        <v>1.5695999999999995E-2</v>
      </c>
      <c r="AQ128" s="450" t="e">
        <f t="shared" si="66"/>
        <v>#N/A</v>
      </c>
      <c r="AR128" s="450" t="e">
        <f t="shared" si="56"/>
        <v>#N/A</v>
      </c>
      <c r="AS128" s="413" t="e">
        <f t="shared" si="57"/>
        <v>#N/A</v>
      </c>
      <c r="AT128" s="413" t="e">
        <f t="shared" si="57"/>
        <v>#N/A</v>
      </c>
      <c r="AU128" s="413" t="e">
        <f t="shared" si="57"/>
        <v>#N/A</v>
      </c>
    </row>
    <row r="129" spans="10:47" ht="12.6" x14ac:dyDescent="0.45">
      <c r="J129" s="452" t="e">
        <f t="shared" si="65"/>
        <v>#N/A</v>
      </c>
      <c r="K129" s="461" t="e">
        <f t="shared" si="53"/>
        <v>#N/A</v>
      </c>
      <c r="L129" s="453" t="e">
        <f t="shared" si="54"/>
        <v>#N/A</v>
      </c>
      <c r="N129" s="440">
        <f t="shared" si="58"/>
        <v>0</v>
      </c>
      <c r="O129" s="438" t="e">
        <f t="shared" si="64"/>
        <v>#N/A</v>
      </c>
      <c r="P129" s="438" t="e">
        <f t="shared" si="64"/>
        <v>#N/A</v>
      </c>
      <c r="Q129" s="438" t="e">
        <f t="shared" si="64"/>
        <v>#N/A</v>
      </c>
      <c r="R129" s="438" t="e">
        <f t="shared" si="64"/>
        <v>#N/A</v>
      </c>
      <c r="S129" s="438" t="e">
        <f t="shared" si="64"/>
        <v>#N/A</v>
      </c>
      <c r="T129" s="438" t="e">
        <f t="shared" si="64"/>
        <v>#N/A</v>
      </c>
      <c r="V129" s="438">
        <f t="shared" si="60"/>
        <v>0.51769999999999994</v>
      </c>
      <c r="W129" s="438">
        <f t="shared" si="61"/>
        <v>4.7999999999999987E-3</v>
      </c>
      <c r="X129" s="438">
        <f>IF('GRR AIAG GR&amp;R'!$F$7=3,'GRR Calculations'!V129+('GRR Calculations'!$AC$110*'GRR Calculations'!W129),IF('GRR AIAG GR&amp;R'!$F$7=2,'GRR Calculations'!V129+('GRR Calculations'!$AC$109*'GRR Calculations'!W129)))</f>
        <v>0.52672399999999997</v>
      </c>
      <c r="Y129" s="438">
        <f>IF('GRR AIAG GR&amp;R'!$F$7=3,'GRR Calculations'!V129-('GRR Calculations'!$AC$110*'GRR Calculations'!W129),IF('GRR AIAG GR&amp;R'!$F$7=2,'GRR Calculations'!V129-('GRR Calculations'!$AC$109*'GRR Calculations'!W129)))</f>
        <v>0.50867599999999991</v>
      </c>
      <c r="Z129" s="438">
        <f>IF('GRR AIAG GR&amp;R'!$F$7=3,('GRR Calculations'!$AD$110*'GRR Calculations'!W129),IF('GRR AIAG GR&amp;R'!$F$7=2,('GRR Calculations'!$AD$109*'GRR Calculations'!W129)))</f>
        <v>1.5695999999999995E-2</v>
      </c>
      <c r="AQ129" s="450" t="e">
        <f t="shared" si="66"/>
        <v>#N/A</v>
      </c>
      <c r="AR129" s="450" t="e">
        <f t="shared" si="56"/>
        <v>#N/A</v>
      </c>
      <c r="AS129" s="413" t="e">
        <f t="shared" si="57"/>
        <v>#N/A</v>
      </c>
      <c r="AT129" s="413" t="e">
        <f t="shared" si="57"/>
        <v>#N/A</v>
      </c>
      <c r="AU129" s="413" t="e">
        <f t="shared" si="57"/>
        <v>#N/A</v>
      </c>
    </row>
    <row r="130" spans="10:47" ht="12.6" x14ac:dyDescent="0.45">
      <c r="J130" s="452" t="e">
        <f t="shared" si="65"/>
        <v>#N/A</v>
      </c>
      <c r="K130" s="461" t="e">
        <f t="shared" si="53"/>
        <v>#N/A</v>
      </c>
      <c r="L130" s="453" t="e">
        <f t="shared" si="54"/>
        <v>#N/A</v>
      </c>
      <c r="N130" s="440">
        <f t="shared" si="58"/>
        <v>0</v>
      </c>
      <c r="O130" s="438" t="e">
        <f t="shared" si="64"/>
        <v>#N/A</v>
      </c>
      <c r="P130" s="438" t="e">
        <f t="shared" si="64"/>
        <v>#N/A</v>
      </c>
      <c r="Q130" s="438" t="e">
        <f t="shared" si="64"/>
        <v>#N/A</v>
      </c>
      <c r="R130" s="438" t="e">
        <f t="shared" si="64"/>
        <v>#N/A</v>
      </c>
      <c r="S130" s="438" t="e">
        <f t="shared" si="64"/>
        <v>#N/A</v>
      </c>
      <c r="T130" s="438" t="e">
        <f t="shared" si="64"/>
        <v>#N/A</v>
      </c>
      <c r="V130" s="438">
        <f t="shared" si="60"/>
        <v>0.51769999999999994</v>
      </c>
      <c r="W130" s="438">
        <f t="shared" si="61"/>
        <v>4.7999999999999987E-3</v>
      </c>
      <c r="X130" s="438">
        <f>IF('GRR AIAG GR&amp;R'!$F$7=3,'GRR Calculations'!V130+('GRR Calculations'!$AC$110*'GRR Calculations'!W130),IF('GRR AIAG GR&amp;R'!$F$7=2,'GRR Calculations'!V130+('GRR Calculations'!$AC$109*'GRR Calculations'!W130)))</f>
        <v>0.52672399999999997</v>
      </c>
      <c r="Y130" s="438">
        <f>IF('GRR AIAG GR&amp;R'!$F$7=3,'GRR Calculations'!V130-('GRR Calculations'!$AC$110*'GRR Calculations'!W130),IF('GRR AIAG GR&amp;R'!$F$7=2,'GRR Calculations'!V130-('GRR Calculations'!$AC$109*'GRR Calculations'!W130)))</f>
        <v>0.50867599999999991</v>
      </c>
      <c r="Z130" s="438">
        <f>IF('GRR AIAG GR&amp;R'!$F$7=3,('GRR Calculations'!$AD$110*'GRR Calculations'!W130),IF('GRR AIAG GR&amp;R'!$F$7=2,('GRR Calculations'!$AD$109*'GRR Calculations'!W130)))</f>
        <v>1.5695999999999995E-2</v>
      </c>
      <c r="AQ130" s="450" t="e">
        <f t="shared" si="66"/>
        <v>#N/A</v>
      </c>
      <c r="AR130" s="450" t="e">
        <f t="shared" si="56"/>
        <v>#N/A</v>
      </c>
      <c r="AS130" s="413" t="e">
        <f t="shared" si="57"/>
        <v>#N/A</v>
      </c>
      <c r="AT130" s="413" t="e">
        <f t="shared" si="57"/>
        <v>#N/A</v>
      </c>
      <c r="AU130" s="413" t="e">
        <f t="shared" si="57"/>
        <v>#N/A</v>
      </c>
    </row>
    <row r="131" spans="10:47" ht="12.6" x14ac:dyDescent="0.45">
      <c r="J131" s="452" t="e">
        <f t="shared" si="65"/>
        <v>#N/A</v>
      </c>
      <c r="K131" s="461" t="e">
        <f t="shared" si="53"/>
        <v>#N/A</v>
      </c>
      <c r="L131" s="453" t="e">
        <f t="shared" si="54"/>
        <v>#N/A</v>
      </c>
      <c r="N131" s="440">
        <f t="shared" si="58"/>
        <v>0</v>
      </c>
      <c r="O131" s="438" t="e">
        <f t="shared" si="64"/>
        <v>#N/A</v>
      </c>
      <c r="P131" s="438" t="e">
        <f t="shared" si="64"/>
        <v>#N/A</v>
      </c>
      <c r="Q131" s="438" t="e">
        <f t="shared" si="64"/>
        <v>#N/A</v>
      </c>
      <c r="R131" s="438" t="e">
        <f t="shared" si="64"/>
        <v>#N/A</v>
      </c>
      <c r="S131" s="438" t="e">
        <f t="shared" si="64"/>
        <v>#N/A</v>
      </c>
      <c r="T131" s="438" t="e">
        <f t="shared" si="64"/>
        <v>#N/A</v>
      </c>
      <c r="V131" s="438">
        <f t="shared" si="60"/>
        <v>0.51769999999999994</v>
      </c>
      <c r="W131" s="438">
        <f t="shared" si="61"/>
        <v>4.7999999999999987E-3</v>
      </c>
      <c r="X131" s="438">
        <f>IF('GRR AIAG GR&amp;R'!$F$7=3,'GRR Calculations'!V131+('GRR Calculations'!$AC$110*'GRR Calculations'!W131),IF('GRR AIAG GR&amp;R'!$F$7=2,'GRR Calculations'!V131+('GRR Calculations'!$AC$109*'GRR Calculations'!W131)))</f>
        <v>0.52672399999999997</v>
      </c>
      <c r="Y131" s="438">
        <f>IF('GRR AIAG GR&amp;R'!$F$7=3,'GRR Calculations'!V131-('GRR Calculations'!$AC$110*'GRR Calculations'!W131),IF('GRR AIAG GR&amp;R'!$F$7=2,'GRR Calculations'!V131-('GRR Calculations'!$AC$109*'GRR Calculations'!W131)))</f>
        <v>0.50867599999999991</v>
      </c>
      <c r="Z131" s="438">
        <f>IF('GRR AIAG GR&amp;R'!$F$7=3,('GRR Calculations'!$AD$110*'GRR Calculations'!W131),IF('GRR AIAG GR&amp;R'!$F$7=2,('GRR Calculations'!$AD$109*'GRR Calculations'!W131)))</f>
        <v>1.5695999999999995E-2</v>
      </c>
      <c r="AQ131" s="450" t="e">
        <f t="shared" si="66"/>
        <v>#N/A</v>
      </c>
      <c r="AR131" s="450" t="e">
        <f t="shared" si="56"/>
        <v>#N/A</v>
      </c>
      <c r="AS131" s="413" t="e">
        <f t="shared" si="57"/>
        <v>#N/A</v>
      </c>
      <c r="AT131" s="413" t="e">
        <f t="shared" si="57"/>
        <v>#N/A</v>
      </c>
      <c r="AU131" s="413" t="e">
        <f t="shared" si="57"/>
        <v>#N/A</v>
      </c>
    </row>
    <row r="132" spans="10:47" ht="12.6" x14ac:dyDescent="0.45">
      <c r="J132" s="452" t="e">
        <f t="shared" si="65"/>
        <v>#N/A</v>
      </c>
      <c r="K132" s="461" t="e">
        <f t="shared" si="53"/>
        <v>#N/A</v>
      </c>
      <c r="L132" s="453" t="e">
        <f t="shared" si="54"/>
        <v>#N/A</v>
      </c>
      <c r="N132" s="440">
        <f t="shared" si="58"/>
        <v>0</v>
      </c>
      <c r="O132" s="438" t="e">
        <f t="shared" si="64"/>
        <v>#N/A</v>
      </c>
      <c r="P132" s="438" t="e">
        <f t="shared" si="64"/>
        <v>#N/A</v>
      </c>
      <c r="Q132" s="438" t="e">
        <f t="shared" si="64"/>
        <v>#N/A</v>
      </c>
      <c r="R132" s="438" t="e">
        <f t="shared" si="64"/>
        <v>#N/A</v>
      </c>
      <c r="S132" s="438" t="e">
        <f t="shared" si="64"/>
        <v>#N/A</v>
      </c>
      <c r="T132" s="438" t="e">
        <f t="shared" si="64"/>
        <v>#N/A</v>
      </c>
      <c r="V132" s="438">
        <f t="shared" si="60"/>
        <v>0.51769999999999994</v>
      </c>
      <c r="W132" s="438">
        <f t="shared" si="61"/>
        <v>4.7999999999999987E-3</v>
      </c>
      <c r="X132" s="438">
        <f>IF('GRR AIAG GR&amp;R'!$F$7=3,'GRR Calculations'!V132+('GRR Calculations'!$AC$110*'GRR Calculations'!W132),IF('GRR AIAG GR&amp;R'!$F$7=2,'GRR Calculations'!V132+('GRR Calculations'!$AC$109*'GRR Calculations'!W132)))</f>
        <v>0.52672399999999997</v>
      </c>
      <c r="Y132" s="438">
        <f>IF('GRR AIAG GR&amp;R'!$F$7=3,'GRR Calculations'!V132-('GRR Calculations'!$AC$110*'GRR Calculations'!W132),IF('GRR AIAG GR&amp;R'!$F$7=2,'GRR Calculations'!V132-('GRR Calculations'!$AC$109*'GRR Calculations'!W132)))</f>
        <v>0.50867599999999991</v>
      </c>
      <c r="Z132" s="438">
        <f>IF('GRR AIAG GR&amp;R'!$F$7=3,('GRR Calculations'!$AD$110*'GRR Calculations'!W132),IF('GRR AIAG GR&amp;R'!$F$7=2,('GRR Calculations'!$AD$109*'GRR Calculations'!W132)))</f>
        <v>1.5695999999999995E-2</v>
      </c>
      <c r="AQ132" s="450" t="e">
        <f t="shared" si="66"/>
        <v>#N/A</v>
      </c>
      <c r="AR132" s="450" t="e">
        <f t="shared" si="56"/>
        <v>#N/A</v>
      </c>
      <c r="AS132" s="413" t="e">
        <f t="shared" si="57"/>
        <v>#N/A</v>
      </c>
      <c r="AT132" s="413" t="e">
        <f t="shared" si="57"/>
        <v>#N/A</v>
      </c>
      <c r="AU132" s="413" t="e">
        <f t="shared" si="57"/>
        <v>#N/A</v>
      </c>
    </row>
    <row r="133" spans="10:47" ht="12.6" x14ac:dyDescent="0.45">
      <c r="J133" s="452" t="e">
        <f t="shared" si="65"/>
        <v>#N/A</v>
      </c>
      <c r="K133" s="461" t="e">
        <f t="shared" si="53"/>
        <v>#N/A</v>
      </c>
      <c r="L133" s="453" t="e">
        <f t="shared" si="54"/>
        <v>#N/A</v>
      </c>
      <c r="N133" s="440">
        <f t="shared" si="58"/>
        <v>0</v>
      </c>
      <c r="O133" s="438" t="e">
        <f t="shared" si="64"/>
        <v>#N/A</v>
      </c>
      <c r="P133" s="438" t="e">
        <f t="shared" si="64"/>
        <v>#N/A</v>
      </c>
      <c r="Q133" s="438" t="e">
        <f t="shared" si="64"/>
        <v>#N/A</v>
      </c>
      <c r="R133" s="438" t="e">
        <f t="shared" si="64"/>
        <v>#N/A</v>
      </c>
      <c r="S133" s="438" t="e">
        <f t="shared" si="64"/>
        <v>#N/A</v>
      </c>
      <c r="T133" s="438" t="e">
        <f t="shared" si="64"/>
        <v>#N/A</v>
      </c>
      <c r="V133" s="438">
        <f t="shared" si="60"/>
        <v>0.51769999999999994</v>
      </c>
      <c r="W133" s="438">
        <f t="shared" si="61"/>
        <v>4.7999999999999987E-3</v>
      </c>
      <c r="X133" s="438">
        <f>IF('GRR AIAG GR&amp;R'!$F$7=3,'GRR Calculations'!V133+('GRR Calculations'!$AC$110*'GRR Calculations'!W133),IF('GRR AIAG GR&amp;R'!$F$7=2,'GRR Calculations'!V133+('GRR Calculations'!$AC$109*'GRR Calculations'!W133)))</f>
        <v>0.52672399999999997</v>
      </c>
      <c r="Y133" s="438">
        <f>IF('GRR AIAG GR&amp;R'!$F$7=3,'GRR Calculations'!V133-('GRR Calculations'!$AC$110*'GRR Calculations'!W133),IF('GRR AIAG GR&amp;R'!$F$7=2,'GRR Calculations'!V133-('GRR Calculations'!$AC$109*'GRR Calculations'!W133)))</f>
        <v>0.50867599999999991</v>
      </c>
      <c r="Z133" s="438">
        <f>IF('GRR AIAG GR&amp;R'!$F$7=3,('GRR Calculations'!$AD$110*'GRR Calculations'!W133),IF('GRR AIAG GR&amp;R'!$F$7=2,('GRR Calculations'!$AD$109*'GRR Calculations'!W133)))</f>
        <v>1.5695999999999995E-2</v>
      </c>
      <c r="AQ133" s="450" t="e">
        <f t="shared" si="66"/>
        <v>#N/A</v>
      </c>
      <c r="AR133" s="450" t="e">
        <f t="shared" si="56"/>
        <v>#N/A</v>
      </c>
      <c r="AS133" s="413" t="e">
        <f t="shared" si="57"/>
        <v>#N/A</v>
      </c>
      <c r="AT133" s="413" t="e">
        <f t="shared" si="57"/>
        <v>#N/A</v>
      </c>
      <c r="AU133" s="413" t="e">
        <f t="shared" si="57"/>
        <v>#N/A</v>
      </c>
    </row>
    <row r="134" spans="10:47" ht="12.6" x14ac:dyDescent="0.45">
      <c r="J134" s="452" t="e">
        <f t="shared" si="65"/>
        <v>#N/A</v>
      </c>
      <c r="K134" s="461" t="e">
        <f t="shared" si="53"/>
        <v>#N/A</v>
      </c>
      <c r="L134" s="453" t="e">
        <f t="shared" si="54"/>
        <v>#N/A</v>
      </c>
      <c r="N134" s="440">
        <f t="shared" si="58"/>
        <v>0</v>
      </c>
      <c r="O134" s="438" t="e">
        <f t="shared" si="64"/>
        <v>#N/A</v>
      </c>
      <c r="P134" s="438" t="e">
        <f t="shared" si="64"/>
        <v>#N/A</v>
      </c>
      <c r="Q134" s="438" t="e">
        <f t="shared" si="64"/>
        <v>#N/A</v>
      </c>
      <c r="R134" s="438" t="e">
        <f t="shared" si="64"/>
        <v>#N/A</v>
      </c>
      <c r="S134" s="438" t="e">
        <f t="shared" si="64"/>
        <v>#N/A</v>
      </c>
      <c r="T134" s="438" t="e">
        <f t="shared" si="64"/>
        <v>#N/A</v>
      </c>
      <c r="V134" s="438">
        <f t="shared" si="60"/>
        <v>0.51769999999999994</v>
      </c>
      <c r="W134" s="438">
        <f t="shared" si="61"/>
        <v>4.7999999999999987E-3</v>
      </c>
      <c r="X134" s="438">
        <f>IF('GRR AIAG GR&amp;R'!$F$7=3,'GRR Calculations'!V134+('GRR Calculations'!$AC$110*'GRR Calculations'!W134),IF('GRR AIAG GR&amp;R'!$F$7=2,'GRR Calculations'!V134+('GRR Calculations'!$AC$109*'GRR Calculations'!W134)))</f>
        <v>0.52672399999999997</v>
      </c>
      <c r="Y134" s="438">
        <f>IF('GRR AIAG GR&amp;R'!$F$7=3,'GRR Calculations'!V134-('GRR Calculations'!$AC$110*'GRR Calculations'!W134),IF('GRR AIAG GR&amp;R'!$F$7=2,'GRR Calculations'!V134-('GRR Calculations'!$AC$109*'GRR Calculations'!W134)))</f>
        <v>0.50867599999999991</v>
      </c>
      <c r="Z134" s="438">
        <f>IF('GRR AIAG GR&amp;R'!$F$7=3,('GRR Calculations'!$AD$110*'GRR Calculations'!W134),IF('GRR AIAG GR&amp;R'!$F$7=2,('GRR Calculations'!$AD$109*'GRR Calculations'!W134)))</f>
        <v>1.5695999999999995E-2</v>
      </c>
      <c r="AQ134" s="450" t="e">
        <f t="shared" si="66"/>
        <v>#N/A</v>
      </c>
      <c r="AR134" s="450" t="e">
        <f t="shared" si="56"/>
        <v>#N/A</v>
      </c>
      <c r="AS134" s="413" t="e">
        <f t="shared" si="57"/>
        <v>#N/A</v>
      </c>
      <c r="AT134" s="413" t="e">
        <f t="shared" si="57"/>
        <v>#N/A</v>
      </c>
      <c r="AU134" s="413" t="e">
        <f t="shared" si="57"/>
        <v>#N/A</v>
      </c>
    </row>
    <row r="135" spans="10:47" ht="12.6" x14ac:dyDescent="0.45">
      <c r="J135" s="452">
        <f t="shared" ref="J135:J144" si="67">IF(G41="",NA(),1)</f>
        <v>1</v>
      </c>
      <c r="K135" s="465">
        <f t="shared" ref="K135:K164" si="68">IF(G41="",NA(),F41)</f>
        <v>1</v>
      </c>
      <c r="L135" s="453" t="e">
        <f t="shared" ref="L135:L164" si="69">IF(I41="",NA(),I41)</f>
        <v>#N/A</v>
      </c>
      <c r="N135" s="440">
        <f t="shared" si="58"/>
        <v>0</v>
      </c>
      <c r="O135" s="438" t="e">
        <f t="shared" si="64"/>
        <v>#N/A</v>
      </c>
      <c r="P135" s="438" t="e">
        <f t="shared" si="64"/>
        <v>#N/A</v>
      </c>
      <c r="Q135" s="438" t="e">
        <f t="shared" si="64"/>
        <v>#N/A</v>
      </c>
      <c r="R135" s="438" t="e">
        <f t="shared" si="64"/>
        <v>#N/A</v>
      </c>
      <c r="S135" s="438" t="e">
        <f t="shared" si="64"/>
        <v>#N/A</v>
      </c>
      <c r="T135" s="438" t="e">
        <f t="shared" si="64"/>
        <v>#N/A</v>
      </c>
      <c r="V135" s="438">
        <f t="shared" si="60"/>
        <v>0.51769999999999994</v>
      </c>
      <c r="W135" s="438">
        <f t="shared" si="61"/>
        <v>4.7999999999999987E-3</v>
      </c>
      <c r="X135" s="438">
        <f>IF('GRR AIAG GR&amp;R'!$F$7=3,'GRR Calculations'!V135+('GRR Calculations'!$AC$110*'GRR Calculations'!W135),IF('GRR AIAG GR&amp;R'!$F$7=2,'GRR Calculations'!V135+('GRR Calculations'!$AC$109*'GRR Calculations'!W135)))</f>
        <v>0.52672399999999997</v>
      </c>
      <c r="Y135" s="438">
        <f>IF('GRR AIAG GR&amp;R'!$F$7=3,'GRR Calculations'!V135-('GRR Calculations'!$AC$110*'GRR Calculations'!W135),IF('GRR AIAG GR&amp;R'!$F$7=2,'GRR Calculations'!V135-('GRR Calculations'!$AC$109*'GRR Calculations'!W135)))</f>
        <v>0.50867599999999991</v>
      </c>
      <c r="Z135" s="438">
        <f>IF('GRR AIAG GR&amp;R'!$F$7=3,('GRR Calculations'!$AD$110*'GRR Calculations'!W135),IF('GRR AIAG GR&amp;R'!$F$7=2,('GRR Calculations'!$AD$109*'GRR Calculations'!W135)))</f>
        <v>1.5695999999999995E-2</v>
      </c>
    </row>
    <row r="136" spans="10:47" ht="12.6" x14ac:dyDescent="0.45">
      <c r="J136" s="452">
        <f t="shared" si="67"/>
        <v>1</v>
      </c>
      <c r="K136" s="465">
        <f t="shared" si="68"/>
        <v>2</v>
      </c>
      <c r="L136" s="453" t="e">
        <f t="shared" si="69"/>
        <v>#N/A</v>
      </c>
      <c r="N136" s="440">
        <f t="shared" si="58"/>
        <v>0</v>
      </c>
      <c r="O136" s="438" t="e">
        <f t="shared" si="64"/>
        <v>#N/A</v>
      </c>
      <c r="P136" s="438" t="e">
        <f t="shared" si="64"/>
        <v>#N/A</v>
      </c>
      <c r="Q136" s="438" t="e">
        <f t="shared" si="64"/>
        <v>#N/A</v>
      </c>
      <c r="R136" s="438" t="e">
        <f t="shared" si="64"/>
        <v>#N/A</v>
      </c>
      <c r="S136" s="438" t="e">
        <f t="shared" si="64"/>
        <v>#N/A</v>
      </c>
      <c r="T136" s="438" t="e">
        <f t="shared" si="64"/>
        <v>#N/A</v>
      </c>
      <c r="V136" s="438">
        <f t="shared" si="60"/>
        <v>0.51769999999999994</v>
      </c>
      <c r="W136" s="438">
        <f t="shared" si="61"/>
        <v>4.7999999999999987E-3</v>
      </c>
      <c r="X136" s="438">
        <f>IF('GRR AIAG GR&amp;R'!$F$7=3,'GRR Calculations'!V136+('GRR Calculations'!$AC$110*'GRR Calculations'!W136),IF('GRR AIAG GR&amp;R'!$F$7=2,'GRR Calculations'!V136+('GRR Calculations'!$AC$109*'GRR Calculations'!W136)))</f>
        <v>0.52672399999999997</v>
      </c>
      <c r="Y136" s="438">
        <f>IF('GRR AIAG GR&amp;R'!$F$7=3,'GRR Calculations'!V136-('GRR Calculations'!$AC$110*'GRR Calculations'!W136),IF('GRR AIAG GR&amp;R'!$F$7=2,'GRR Calculations'!V136-('GRR Calculations'!$AC$109*'GRR Calculations'!W136)))</f>
        <v>0.50867599999999991</v>
      </c>
      <c r="Z136" s="438">
        <f>IF('GRR AIAG GR&amp;R'!$F$7=3,('GRR Calculations'!$AD$110*'GRR Calculations'!W136),IF('GRR AIAG GR&amp;R'!$F$7=2,('GRR Calculations'!$AD$109*'GRR Calculations'!W136)))</f>
        <v>1.5695999999999995E-2</v>
      </c>
    </row>
    <row r="137" spans="10:47" ht="12.6" x14ac:dyDescent="0.45">
      <c r="J137" s="452">
        <f t="shared" si="67"/>
        <v>1</v>
      </c>
      <c r="K137" s="465">
        <f t="shared" si="68"/>
        <v>3</v>
      </c>
      <c r="L137" s="453" t="e">
        <f t="shared" si="69"/>
        <v>#N/A</v>
      </c>
      <c r="N137" s="440">
        <f t="shared" si="58"/>
        <v>0</v>
      </c>
      <c r="O137" s="438" t="e">
        <f t="shared" si="64"/>
        <v>#N/A</v>
      </c>
      <c r="P137" s="438" t="e">
        <f t="shared" si="64"/>
        <v>#N/A</v>
      </c>
      <c r="Q137" s="438" t="e">
        <f t="shared" si="64"/>
        <v>#N/A</v>
      </c>
      <c r="R137" s="438" t="e">
        <f t="shared" si="64"/>
        <v>#N/A</v>
      </c>
      <c r="S137" s="438" t="e">
        <f t="shared" si="64"/>
        <v>#N/A</v>
      </c>
      <c r="T137" s="438" t="e">
        <f t="shared" si="64"/>
        <v>#N/A</v>
      </c>
      <c r="V137" s="438">
        <f t="shared" si="60"/>
        <v>0.51769999999999994</v>
      </c>
      <c r="W137" s="438">
        <f t="shared" si="61"/>
        <v>4.7999999999999987E-3</v>
      </c>
      <c r="X137" s="438">
        <f>IF('GRR AIAG GR&amp;R'!$F$7=3,'GRR Calculations'!V137+('GRR Calculations'!$AC$110*'GRR Calculations'!W137),IF('GRR AIAG GR&amp;R'!$F$7=2,'GRR Calculations'!V137+('GRR Calculations'!$AC$109*'GRR Calculations'!W137)))</f>
        <v>0.52672399999999997</v>
      </c>
      <c r="Y137" s="438">
        <f>IF('GRR AIAG GR&amp;R'!$F$7=3,'GRR Calculations'!V137-('GRR Calculations'!$AC$110*'GRR Calculations'!W137),IF('GRR AIAG GR&amp;R'!$F$7=2,'GRR Calculations'!V137-('GRR Calculations'!$AC$109*'GRR Calculations'!W137)))</f>
        <v>0.50867599999999991</v>
      </c>
      <c r="Z137" s="438">
        <f>IF('GRR AIAG GR&amp;R'!$F$7=3,('GRR Calculations'!$AD$110*'GRR Calculations'!W137),IF('GRR AIAG GR&amp;R'!$F$7=2,('GRR Calculations'!$AD$109*'GRR Calculations'!W137)))</f>
        <v>1.5695999999999995E-2</v>
      </c>
    </row>
    <row r="138" spans="10:47" ht="12.6" x14ac:dyDescent="0.45">
      <c r="J138" s="452">
        <f t="shared" si="67"/>
        <v>1</v>
      </c>
      <c r="K138" s="465">
        <f t="shared" si="68"/>
        <v>4</v>
      </c>
      <c r="L138" s="453" t="e">
        <f t="shared" si="69"/>
        <v>#N/A</v>
      </c>
    </row>
    <row r="139" spans="10:47" ht="12.6" x14ac:dyDescent="0.45">
      <c r="J139" s="452">
        <f t="shared" si="67"/>
        <v>1</v>
      </c>
      <c r="K139" s="465">
        <f t="shared" si="68"/>
        <v>5</v>
      </c>
      <c r="L139" s="453" t="e">
        <f t="shared" si="69"/>
        <v>#N/A</v>
      </c>
    </row>
    <row r="140" spans="10:47" ht="12.6" x14ac:dyDescent="0.45">
      <c r="J140" s="452" t="e">
        <f t="shared" si="67"/>
        <v>#N/A</v>
      </c>
      <c r="K140" s="465" t="e">
        <f t="shared" si="68"/>
        <v>#N/A</v>
      </c>
      <c r="L140" s="453" t="e">
        <f t="shared" si="69"/>
        <v>#N/A</v>
      </c>
    </row>
    <row r="141" spans="10:47" ht="12.6" x14ac:dyDescent="0.45">
      <c r="J141" s="452" t="e">
        <f t="shared" si="67"/>
        <v>#N/A</v>
      </c>
      <c r="K141" s="465" t="e">
        <f t="shared" si="68"/>
        <v>#N/A</v>
      </c>
      <c r="L141" s="453" t="e">
        <f t="shared" si="69"/>
        <v>#N/A</v>
      </c>
    </row>
    <row r="142" spans="10:47" ht="12.6" x14ac:dyDescent="0.45">
      <c r="J142" s="452" t="e">
        <f t="shared" si="67"/>
        <v>#N/A</v>
      </c>
      <c r="K142" s="465" t="e">
        <f t="shared" si="68"/>
        <v>#N/A</v>
      </c>
      <c r="L142" s="453" t="e">
        <f t="shared" si="69"/>
        <v>#N/A</v>
      </c>
    </row>
    <row r="143" spans="10:47" ht="12.6" x14ac:dyDescent="0.45">
      <c r="J143" s="452" t="e">
        <f t="shared" si="67"/>
        <v>#N/A</v>
      </c>
      <c r="K143" s="465" t="e">
        <f t="shared" si="68"/>
        <v>#N/A</v>
      </c>
      <c r="L143" s="453" t="e">
        <f t="shared" si="69"/>
        <v>#N/A</v>
      </c>
    </row>
    <row r="144" spans="10:47" ht="12.6" x14ac:dyDescent="0.45">
      <c r="J144" s="452" t="e">
        <f t="shared" si="67"/>
        <v>#N/A</v>
      </c>
      <c r="K144" s="465" t="e">
        <f t="shared" si="68"/>
        <v>#N/A</v>
      </c>
      <c r="L144" s="453" t="e">
        <f t="shared" si="69"/>
        <v>#N/A</v>
      </c>
    </row>
    <row r="145" spans="10:12" ht="12.6" x14ac:dyDescent="0.45">
      <c r="J145" s="452">
        <f t="shared" ref="J145:J154" si="70">IF(G51="",NA(),2)</f>
        <v>2</v>
      </c>
      <c r="K145" s="465">
        <f t="shared" si="68"/>
        <v>1</v>
      </c>
      <c r="L145" s="453" t="e">
        <f t="shared" si="69"/>
        <v>#N/A</v>
      </c>
    </row>
    <row r="146" spans="10:12" ht="12.6" x14ac:dyDescent="0.45">
      <c r="J146" s="452">
        <f t="shared" si="70"/>
        <v>2</v>
      </c>
      <c r="K146" s="465">
        <f t="shared" si="68"/>
        <v>2</v>
      </c>
      <c r="L146" s="453" t="e">
        <f t="shared" si="69"/>
        <v>#N/A</v>
      </c>
    </row>
    <row r="147" spans="10:12" ht="12.6" x14ac:dyDescent="0.45">
      <c r="J147" s="452">
        <f t="shared" si="70"/>
        <v>2</v>
      </c>
      <c r="K147" s="465">
        <f t="shared" si="68"/>
        <v>3</v>
      </c>
      <c r="L147" s="453" t="e">
        <f t="shared" si="69"/>
        <v>#N/A</v>
      </c>
    </row>
    <row r="148" spans="10:12" ht="12.6" x14ac:dyDescent="0.45">
      <c r="J148" s="452">
        <f t="shared" si="70"/>
        <v>2</v>
      </c>
      <c r="K148" s="465">
        <f t="shared" si="68"/>
        <v>4</v>
      </c>
      <c r="L148" s="453" t="e">
        <f t="shared" si="69"/>
        <v>#N/A</v>
      </c>
    </row>
    <row r="149" spans="10:12" ht="12.6" x14ac:dyDescent="0.45">
      <c r="J149" s="452">
        <f t="shared" si="70"/>
        <v>2</v>
      </c>
      <c r="K149" s="465">
        <f t="shared" si="68"/>
        <v>5</v>
      </c>
      <c r="L149" s="453" t="e">
        <f t="shared" si="69"/>
        <v>#N/A</v>
      </c>
    </row>
    <row r="150" spans="10:12" ht="12.6" x14ac:dyDescent="0.45">
      <c r="J150" s="452" t="e">
        <f t="shared" si="70"/>
        <v>#N/A</v>
      </c>
      <c r="K150" s="465" t="e">
        <f t="shared" si="68"/>
        <v>#N/A</v>
      </c>
      <c r="L150" s="453" t="e">
        <f t="shared" si="69"/>
        <v>#N/A</v>
      </c>
    </row>
    <row r="151" spans="10:12" ht="12.6" x14ac:dyDescent="0.45">
      <c r="J151" s="452" t="e">
        <f t="shared" si="70"/>
        <v>#N/A</v>
      </c>
      <c r="K151" s="465" t="e">
        <f t="shared" si="68"/>
        <v>#N/A</v>
      </c>
      <c r="L151" s="453" t="e">
        <f t="shared" si="69"/>
        <v>#N/A</v>
      </c>
    </row>
    <row r="152" spans="10:12" ht="12.6" x14ac:dyDescent="0.45">
      <c r="J152" s="452" t="e">
        <f t="shared" si="70"/>
        <v>#N/A</v>
      </c>
      <c r="K152" s="465" t="e">
        <f t="shared" si="68"/>
        <v>#N/A</v>
      </c>
      <c r="L152" s="453" t="e">
        <f t="shared" si="69"/>
        <v>#N/A</v>
      </c>
    </row>
    <row r="153" spans="10:12" ht="12.6" x14ac:dyDescent="0.45">
      <c r="J153" s="452" t="e">
        <f t="shared" si="70"/>
        <v>#N/A</v>
      </c>
      <c r="K153" s="465" t="e">
        <f t="shared" si="68"/>
        <v>#N/A</v>
      </c>
      <c r="L153" s="453" t="e">
        <f t="shared" si="69"/>
        <v>#N/A</v>
      </c>
    </row>
    <row r="154" spans="10:12" ht="12.6" x14ac:dyDescent="0.45">
      <c r="J154" s="452" t="e">
        <f t="shared" si="70"/>
        <v>#N/A</v>
      </c>
      <c r="K154" s="465" t="e">
        <f t="shared" si="68"/>
        <v>#N/A</v>
      </c>
      <c r="L154" s="453" t="e">
        <f t="shared" si="69"/>
        <v>#N/A</v>
      </c>
    </row>
    <row r="155" spans="10:12" ht="12.6" x14ac:dyDescent="0.45">
      <c r="J155" s="452" t="e">
        <f t="shared" ref="J155:J164" si="71">IF(G61="",NA(),3)</f>
        <v>#N/A</v>
      </c>
      <c r="K155" s="465" t="e">
        <f t="shared" si="68"/>
        <v>#N/A</v>
      </c>
      <c r="L155" s="453" t="e">
        <f t="shared" si="69"/>
        <v>#N/A</v>
      </c>
    </row>
    <row r="156" spans="10:12" ht="12.6" x14ac:dyDescent="0.45">
      <c r="J156" s="452" t="e">
        <f t="shared" si="71"/>
        <v>#N/A</v>
      </c>
      <c r="K156" s="465" t="e">
        <f t="shared" si="68"/>
        <v>#N/A</v>
      </c>
      <c r="L156" s="453" t="e">
        <f t="shared" si="69"/>
        <v>#N/A</v>
      </c>
    </row>
    <row r="157" spans="10:12" ht="12.6" x14ac:dyDescent="0.45">
      <c r="J157" s="452" t="e">
        <f t="shared" si="71"/>
        <v>#N/A</v>
      </c>
      <c r="K157" s="465" t="e">
        <f t="shared" si="68"/>
        <v>#N/A</v>
      </c>
      <c r="L157" s="453" t="e">
        <f t="shared" si="69"/>
        <v>#N/A</v>
      </c>
    </row>
    <row r="158" spans="10:12" ht="12.6" x14ac:dyDescent="0.45">
      <c r="J158" s="452" t="e">
        <f t="shared" si="71"/>
        <v>#N/A</v>
      </c>
      <c r="K158" s="465" t="e">
        <f t="shared" si="68"/>
        <v>#N/A</v>
      </c>
      <c r="L158" s="453" t="e">
        <f t="shared" si="69"/>
        <v>#N/A</v>
      </c>
    </row>
    <row r="159" spans="10:12" ht="12.6" x14ac:dyDescent="0.45">
      <c r="J159" s="452" t="e">
        <f t="shared" si="71"/>
        <v>#N/A</v>
      </c>
      <c r="K159" s="465" t="e">
        <f t="shared" si="68"/>
        <v>#N/A</v>
      </c>
      <c r="L159" s="453" t="e">
        <f t="shared" si="69"/>
        <v>#N/A</v>
      </c>
    </row>
    <row r="160" spans="10:12" ht="12.6" x14ac:dyDescent="0.45">
      <c r="J160" s="452" t="e">
        <f t="shared" si="71"/>
        <v>#N/A</v>
      </c>
      <c r="K160" s="465" t="e">
        <f t="shared" si="68"/>
        <v>#N/A</v>
      </c>
      <c r="L160" s="453" t="e">
        <f t="shared" si="69"/>
        <v>#N/A</v>
      </c>
    </row>
    <row r="161" spans="10:12" ht="12.6" x14ac:dyDescent="0.45">
      <c r="J161" s="452" t="e">
        <f t="shared" si="71"/>
        <v>#N/A</v>
      </c>
      <c r="K161" s="465" t="e">
        <f t="shared" si="68"/>
        <v>#N/A</v>
      </c>
      <c r="L161" s="453" t="e">
        <f t="shared" si="69"/>
        <v>#N/A</v>
      </c>
    </row>
    <row r="162" spans="10:12" ht="12.6" x14ac:dyDescent="0.45">
      <c r="J162" s="452" t="e">
        <f t="shared" si="71"/>
        <v>#N/A</v>
      </c>
      <c r="K162" s="465" t="e">
        <f t="shared" si="68"/>
        <v>#N/A</v>
      </c>
      <c r="L162" s="453" t="e">
        <f t="shared" si="69"/>
        <v>#N/A</v>
      </c>
    </row>
    <row r="163" spans="10:12" ht="12.6" x14ac:dyDescent="0.45">
      <c r="J163" s="452" t="e">
        <f t="shared" si="71"/>
        <v>#N/A</v>
      </c>
      <c r="K163" s="465" t="e">
        <f t="shared" si="68"/>
        <v>#N/A</v>
      </c>
      <c r="L163" s="453" t="e">
        <f t="shared" si="69"/>
        <v>#N/A</v>
      </c>
    </row>
    <row r="164" spans="10:12" ht="12.6" x14ac:dyDescent="0.45">
      <c r="J164" s="452" t="e">
        <f t="shared" si="71"/>
        <v>#N/A</v>
      </c>
      <c r="K164" s="465" t="e">
        <f t="shared" si="68"/>
        <v>#N/A</v>
      </c>
      <c r="L164" s="453" t="e">
        <f t="shared" si="69"/>
        <v>#N/A</v>
      </c>
    </row>
  </sheetData>
  <mergeCells count="37">
    <mergeCell ref="O107:Q107"/>
    <mergeCell ref="R107:T107"/>
    <mergeCell ref="AB107:AD107"/>
    <mergeCell ref="BN40:BP40"/>
    <mergeCell ref="BS40:BU40"/>
    <mergeCell ref="O73:Q73"/>
    <mergeCell ref="R73:T73"/>
    <mergeCell ref="W73:Y73"/>
    <mergeCell ref="Z73:AB73"/>
    <mergeCell ref="O105:T105"/>
    <mergeCell ref="BV40:BX40"/>
    <mergeCell ref="CA40:CC40"/>
    <mergeCell ref="CD40:CF40"/>
    <mergeCell ref="O72:T72"/>
    <mergeCell ref="W72:AB72"/>
    <mergeCell ref="AP40:AR40"/>
    <mergeCell ref="AU40:AW40"/>
    <mergeCell ref="AX40:AZ40"/>
    <mergeCell ref="BC40:BE40"/>
    <mergeCell ref="BF40:BH40"/>
    <mergeCell ref="BK40:BM40"/>
    <mergeCell ref="BK39:BP39"/>
    <mergeCell ref="BS39:BX39"/>
    <mergeCell ref="CA39:CF39"/>
    <mergeCell ref="O40:Q40"/>
    <mergeCell ref="R40:T40"/>
    <mergeCell ref="W40:Y40"/>
    <mergeCell ref="Z40:AB40"/>
    <mergeCell ref="AE40:AG40"/>
    <mergeCell ref="AH40:AJ40"/>
    <mergeCell ref="AM40:AO40"/>
    <mergeCell ref="O39:T39"/>
    <mergeCell ref="W39:AB39"/>
    <mergeCell ref="AE39:AJ39"/>
    <mergeCell ref="AM39:AR39"/>
    <mergeCell ref="AU39:AZ39"/>
    <mergeCell ref="BC39:BH39"/>
  </mergeCells>
  <printOptions horizontalCentered="1" verticalCentered="1"/>
  <pageMargins left="0" right="0" top="0" bottom="0" header="0.5" footer="0.5"/>
  <pageSetup scale="63" orientation="landscape"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501"/>
  <sheetViews>
    <sheetView zoomScale="70" zoomScaleNormal="70" zoomScalePageLayoutView="80" workbookViewId="0">
      <selection activeCell="R1" sqref="R1:T1"/>
    </sheetView>
  </sheetViews>
  <sheetFormatPr defaultColWidth="8.83984375" defaultRowHeight="14.4" x14ac:dyDescent="0.55000000000000004"/>
  <cols>
    <col min="1" max="1" width="19.15625" customWidth="1"/>
    <col min="21" max="22" width="8.83984375" hidden="1" customWidth="1"/>
    <col min="23" max="23" width="10" hidden="1" customWidth="1"/>
    <col min="24" max="24" width="8.83984375" hidden="1" customWidth="1"/>
    <col min="25" max="25" width="15.26171875" hidden="1" customWidth="1"/>
    <col min="32" max="32" width="16.26171875" customWidth="1"/>
    <col min="35" max="35" width="15.83984375" customWidth="1"/>
    <col min="36" max="36" width="20.68359375" customWidth="1"/>
  </cols>
  <sheetData>
    <row r="1" spans="1:25" ht="20.399999999999999" x14ac:dyDescent="0.75">
      <c r="A1" s="136" t="s">
        <v>0</v>
      </c>
      <c r="R1" s="598" t="s">
        <v>20</v>
      </c>
      <c r="S1" s="598"/>
      <c r="T1" s="598"/>
      <c r="U1" s="1" t="s">
        <v>1</v>
      </c>
      <c r="V1" s="1" t="s">
        <v>2</v>
      </c>
      <c r="W1" s="1" t="s">
        <v>3</v>
      </c>
      <c r="X1" s="1" t="s">
        <v>6</v>
      </c>
      <c r="Y1" s="1" t="s">
        <v>8</v>
      </c>
    </row>
    <row r="2" spans="1:25" x14ac:dyDescent="0.55000000000000004">
      <c r="A2" s="2">
        <v>101.1038754493262</v>
      </c>
      <c r="U2" s="3">
        <f>MIN(A2:A501)</f>
        <v>93.023152706797575</v>
      </c>
      <c r="V2" s="1" t="str">
        <f>IF(D5&lt;V3,D5,"")</f>
        <v/>
      </c>
      <c r="W2" s="1"/>
      <c r="X2" s="1" t="str">
        <f>IF(V2&lt;&gt;"",MAX(W3:W12),"")</f>
        <v/>
      </c>
      <c r="Y2" s="1"/>
    </row>
    <row r="3" spans="1:25" x14ac:dyDescent="0.55000000000000004">
      <c r="A3" s="2">
        <v>100.28933474327752</v>
      </c>
      <c r="U3" s="3">
        <f t="shared" ref="U3:U11" si="0">U2+($U$12-$U$2)*0.1</f>
        <v>94.238120113961315</v>
      </c>
      <c r="V3" s="4">
        <f t="shared" ref="V3:V12" si="1">AVERAGE(U2:U3)</f>
        <v>93.630636410379452</v>
      </c>
      <c r="W3" s="1">
        <f>FREQUENCY($A$2:$A$501,U2:U3)</f>
        <v>1</v>
      </c>
      <c r="X3" s="1" t="str">
        <f t="shared" ref="X3:X12" si="2">IF($D$5&gt;$V3,"",IF($D$5&gt;$V2,MAX($W$3:$W$12),""))</f>
        <v/>
      </c>
      <c r="Y3" s="1" t="str">
        <f t="shared" ref="Y3:Y12" si="3">IF($D$6&gt;$V3,"",IF($D$6&gt;$V2,MAX($W$3:$W$12),""))</f>
        <v/>
      </c>
    </row>
    <row r="4" spans="1:25" ht="18.3" x14ac:dyDescent="0.7">
      <c r="A4" s="2">
        <v>99.039507807269729</v>
      </c>
      <c r="C4" s="136" t="s">
        <v>4</v>
      </c>
      <c r="D4" s="138"/>
      <c r="F4" s="545"/>
      <c r="G4" s="546"/>
      <c r="H4" s="546"/>
      <c r="I4" s="546"/>
      <c r="J4" s="546"/>
      <c r="K4" s="546"/>
      <c r="L4" s="546"/>
      <c r="M4" s="546"/>
      <c r="N4" s="546"/>
      <c r="O4" s="546"/>
      <c r="P4" s="546"/>
      <c r="Q4" s="547"/>
      <c r="U4" s="3">
        <f t="shared" si="0"/>
        <v>95.453087521125056</v>
      </c>
      <c r="V4" s="4">
        <f t="shared" si="1"/>
        <v>94.845603817543179</v>
      </c>
      <c r="W4" s="1">
        <f>FREQUENCY($A$2:$A$501,U3:U4)-W3</f>
        <v>0</v>
      </c>
      <c r="X4" s="1" t="str">
        <f t="shared" si="2"/>
        <v/>
      </c>
      <c r="Y4" s="1" t="str">
        <f t="shared" si="3"/>
        <v/>
      </c>
    </row>
    <row r="5" spans="1:25" x14ac:dyDescent="0.55000000000000004">
      <c r="A5" s="2">
        <v>102.74702636060779</v>
      </c>
      <c r="C5" t="s">
        <v>6</v>
      </c>
      <c r="D5" s="5">
        <v>97</v>
      </c>
      <c r="F5" s="548"/>
      <c r="Q5" s="549"/>
      <c r="U5" s="3">
        <f t="shared" si="0"/>
        <v>96.668054928288797</v>
      </c>
      <c r="V5" s="4">
        <f t="shared" si="1"/>
        <v>96.060571224706933</v>
      </c>
      <c r="W5" s="1">
        <f>FREQUENCY($A$2:$A$501,U4:U5)-SUM($W$3:W4)</f>
        <v>9</v>
      </c>
      <c r="X5" s="1" t="str">
        <f t="shared" si="2"/>
        <v/>
      </c>
      <c r="Y5" s="1" t="str">
        <f t="shared" si="3"/>
        <v/>
      </c>
    </row>
    <row r="6" spans="1:25" x14ac:dyDescent="0.55000000000000004">
      <c r="A6" s="2">
        <v>99.200399232285392</v>
      </c>
      <c r="C6" t="s">
        <v>8</v>
      </c>
      <c r="D6" s="5">
        <v>103</v>
      </c>
      <c r="F6" s="548"/>
      <c r="Q6" s="549"/>
      <c r="U6" s="3">
        <f t="shared" si="0"/>
        <v>97.883022335452537</v>
      </c>
      <c r="V6" s="4">
        <f t="shared" si="1"/>
        <v>97.27553863187066</v>
      </c>
      <c r="W6" s="1">
        <f>FREQUENCY($A$2:$A$501,U5:U6)-SUM($W$3:W5)</f>
        <v>16</v>
      </c>
      <c r="X6" s="1">
        <f t="shared" si="2"/>
        <v>122</v>
      </c>
      <c r="Y6" s="1" t="str">
        <f t="shared" si="3"/>
        <v/>
      </c>
    </row>
    <row r="7" spans="1:25" x14ac:dyDescent="0.55000000000000004">
      <c r="A7" s="2">
        <v>99.323149518507805</v>
      </c>
      <c r="F7" s="548"/>
      <c r="Q7" s="549"/>
      <c r="U7" s="3">
        <f t="shared" si="0"/>
        <v>99.097989742616278</v>
      </c>
      <c r="V7" s="4">
        <f t="shared" si="1"/>
        <v>98.490506039034415</v>
      </c>
      <c r="W7" s="1">
        <f>FREQUENCY($A$2:$A$501,U6:U7)-SUM($W$3:W6)</f>
        <v>46</v>
      </c>
      <c r="X7" s="1" t="str">
        <f t="shared" si="2"/>
        <v/>
      </c>
      <c r="Y7" s="1" t="str">
        <f t="shared" si="3"/>
        <v/>
      </c>
    </row>
    <row r="8" spans="1:25" x14ac:dyDescent="0.55000000000000004">
      <c r="A8" s="2">
        <v>100.89453172024315</v>
      </c>
      <c r="F8" s="548"/>
      <c r="Q8" s="549"/>
      <c r="U8" s="3">
        <f t="shared" si="0"/>
        <v>100.31295714978002</v>
      </c>
      <c r="V8" s="4">
        <f t="shared" si="1"/>
        <v>99.705473446198141</v>
      </c>
      <c r="W8" s="1">
        <f>FREQUENCY($A$2:$A$501,U7:U8)-SUM($W$3:W7)</f>
        <v>88</v>
      </c>
      <c r="X8" s="1" t="str">
        <f t="shared" si="2"/>
        <v/>
      </c>
      <c r="Y8" s="1" t="str">
        <f t="shared" si="3"/>
        <v/>
      </c>
    </row>
    <row r="9" spans="1:25" x14ac:dyDescent="0.55000000000000004">
      <c r="A9" s="2">
        <v>98.375250007577108</v>
      </c>
      <c r="F9" s="548"/>
      <c r="Q9" s="549"/>
      <c r="U9" s="3">
        <f t="shared" si="0"/>
        <v>101.52792455694376</v>
      </c>
      <c r="V9" s="4">
        <f t="shared" si="1"/>
        <v>100.9204408533619</v>
      </c>
      <c r="W9" s="1">
        <f>FREQUENCY($A$2:$A$501,U8:U9)-SUM($W$3:W8)</f>
        <v>122</v>
      </c>
      <c r="X9" s="1" t="str">
        <f t="shared" si="2"/>
        <v/>
      </c>
      <c r="Y9" s="1" t="str">
        <f t="shared" si="3"/>
        <v/>
      </c>
    </row>
    <row r="10" spans="1:25" x14ac:dyDescent="0.55000000000000004">
      <c r="A10" s="2">
        <v>103.65872363899832</v>
      </c>
      <c r="F10" s="548"/>
      <c r="Q10" s="549"/>
      <c r="U10" s="3">
        <f t="shared" si="0"/>
        <v>102.7428919641075</v>
      </c>
      <c r="V10" s="4">
        <f t="shared" si="1"/>
        <v>102.13540826052562</v>
      </c>
      <c r="W10" s="1">
        <f>FREQUENCY($A$2:$A$501,U9:U10)-SUM($W$3:W9)</f>
        <v>109</v>
      </c>
      <c r="X10" s="1" t="str">
        <f t="shared" si="2"/>
        <v/>
      </c>
      <c r="Y10" s="1" t="str">
        <f t="shared" si="3"/>
        <v/>
      </c>
    </row>
    <row r="11" spans="1:25" x14ac:dyDescent="0.55000000000000004">
      <c r="A11" s="2">
        <v>98.095619487563198</v>
      </c>
      <c r="F11" s="548"/>
      <c r="Q11" s="549"/>
      <c r="U11" s="3">
        <f t="shared" si="0"/>
        <v>103.95785937127124</v>
      </c>
      <c r="V11" s="4">
        <f t="shared" si="1"/>
        <v>103.35037566768938</v>
      </c>
      <c r="W11" s="1">
        <f>FREQUENCY($A$2:$A$501,U10:U11)-SUM($W$3:W10)</f>
        <v>74</v>
      </c>
      <c r="X11" s="1" t="str">
        <f t="shared" si="2"/>
        <v/>
      </c>
      <c r="Y11" s="1">
        <f t="shared" si="3"/>
        <v>122</v>
      </c>
    </row>
    <row r="12" spans="1:25" x14ac:dyDescent="0.55000000000000004">
      <c r="A12" s="2">
        <v>97.708552843349722</v>
      </c>
      <c r="F12" s="548"/>
      <c r="Q12" s="549"/>
      <c r="U12" s="3">
        <f>MAX(A2:A501)</f>
        <v>105.17282677843495</v>
      </c>
      <c r="V12" s="4">
        <f t="shared" si="1"/>
        <v>104.5653430748531</v>
      </c>
      <c r="W12" s="1">
        <f>FREQUENCY($A$2:$A$501,U11:U12)-SUM($W$3:W11)</f>
        <v>27</v>
      </c>
      <c r="X12" s="1" t="str">
        <f t="shared" si="2"/>
        <v/>
      </c>
      <c r="Y12" s="1" t="str">
        <f t="shared" si="3"/>
        <v/>
      </c>
    </row>
    <row r="13" spans="1:25" x14ac:dyDescent="0.55000000000000004">
      <c r="A13" s="2">
        <v>99.764705119207704</v>
      </c>
      <c r="F13" s="548"/>
      <c r="Q13" s="549"/>
      <c r="U13" s="4"/>
      <c r="V13" s="4" t="str">
        <f>IF(D6&gt;V12,D6,"")</f>
        <v/>
      </c>
      <c r="W13" s="1"/>
      <c r="X13" s="1"/>
      <c r="Y13" s="1" t="str">
        <f>IF(V13&lt;&gt;"",MAX(W3:W13),"")</f>
        <v/>
      </c>
    </row>
    <row r="14" spans="1:25" x14ac:dyDescent="0.55000000000000004">
      <c r="A14" s="2">
        <v>101.67435303057881</v>
      </c>
      <c r="F14" s="548"/>
      <c r="Q14" s="549"/>
    </row>
    <row r="15" spans="1:25" x14ac:dyDescent="0.55000000000000004">
      <c r="A15" s="2">
        <v>98.767372177530817</v>
      </c>
      <c r="F15" s="548"/>
      <c r="Q15" s="549"/>
    </row>
    <row r="16" spans="1:25" x14ac:dyDescent="0.55000000000000004">
      <c r="A16" s="2">
        <v>100.97760101832682</v>
      </c>
      <c r="F16" s="548"/>
      <c r="Q16" s="549"/>
    </row>
    <row r="17" spans="1:17" x14ac:dyDescent="0.55000000000000004">
      <c r="A17" s="2">
        <v>99.366403612716056</v>
      </c>
      <c r="F17" s="548"/>
      <c r="Q17" s="549"/>
    </row>
    <row r="18" spans="1:17" x14ac:dyDescent="0.55000000000000004">
      <c r="A18" s="2">
        <v>97.15454625845291</v>
      </c>
      <c r="F18" s="548"/>
      <c r="Q18" s="549"/>
    </row>
    <row r="19" spans="1:17" x14ac:dyDescent="0.55000000000000004">
      <c r="A19" s="2">
        <v>99.136314892094958</v>
      </c>
      <c r="F19" s="548"/>
      <c r="Q19" s="549"/>
    </row>
    <row r="20" spans="1:17" x14ac:dyDescent="0.55000000000000004">
      <c r="A20" s="2">
        <v>98.068425103459063</v>
      </c>
      <c r="F20" s="548"/>
      <c r="Q20" s="549"/>
    </row>
    <row r="21" spans="1:17" x14ac:dyDescent="0.55000000000000004">
      <c r="A21" s="2">
        <v>100.49007457009881</v>
      </c>
      <c r="F21" s="548"/>
      <c r="Q21" s="549"/>
    </row>
    <row r="22" spans="1:17" x14ac:dyDescent="0.55000000000000004">
      <c r="A22" s="2">
        <v>99.183646402170623</v>
      </c>
      <c r="F22" s="548"/>
      <c r="Q22" s="549"/>
    </row>
    <row r="23" spans="1:17" x14ac:dyDescent="0.55000000000000004">
      <c r="A23" s="2">
        <v>102.37371803561915</v>
      </c>
      <c r="F23" s="550"/>
      <c r="G23" s="551"/>
      <c r="H23" s="551"/>
      <c r="I23" s="551"/>
      <c r="J23" s="551"/>
      <c r="K23" s="551"/>
      <c r="L23" s="551"/>
      <c r="M23" s="551"/>
      <c r="N23" s="551"/>
      <c r="O23" s="551"/>
      <c r="P23" s="551"/>
      <c r="Q23" s="552"/>
    </row>
    <row r="24" spans="1:17" ht="18.3" x14ac:dyDescent="0.7">
      <c r="A24" s="2">
        <v>100.37739099702374</v>
      </c>
      <c r="F24" s="661" t="s">
        <v>594</v>
      </c>
      <c r="G24" s="662"/>
      <c r="H24" s="662"/>
      <c r="I24" s="662"/>
      <c r="J24" s="662"/>
      <c r="K24" s="662"/>
      <c r="L24" s="662"/>
      <c r="M24" s="662"/>
      <c r="N24" s="662"/>
      <c r="O24" s="662"/>
      <c r="P24" s="662"/>
      <c r="Q24" s="663"/>
    </row>
    <row r="25" spans="1:17" x14ac:dyDescent="0.55000000000000004">
      <c r="A25" s="2">
        <v>99.258036350877148</v>
      </c>
      <c r="F25" s="553"/>
      <c r="G25" s="554" t="s">
        <v>5</v>
      </c>
      <c r="H25" s="555">
        <f>AVERAGE(A2:A501)</f>
        <v>99.964983414850735</v>
      </c>
      <c r="I25" s="556"/>
      <c r="J25" s="554" t="s">
        <v>9</v>
      </c>
      <c r="K25" s="554"/>
      <c r="L25" s="557">
        <f>(D6-D5)/(6*H26)</f>
        <v>0.50181506045652435</v>
      </c>
      <c r="M25" s="556"/>
      <c r="N25" s="554" t="s">
        <v>14</v>
      </c>
      <c r="O25" s="554"/>
      <c r="P25" s="557">
        <f>L28*3</f>
        <v>1.4878733315759136</v>
      </c>
      <c r="Q25" s="558"/>
    </row>
    <row r="26" spans="1:17" x14ac:dyDescent="0.55000000000000004">
      <c r="A26" s="2">
        <v>98.650107730227248</v>
      </c>
      <c r="F26" s="553"/>
      <c r="G26" s="554" t="s">
        <v>7</v>
      </c>
      <c r="H26" s="555">
        <f>STDEV(A2:A501)</f>
        <v>1.992766018401787</v>
      </c>
      <c r="I26" s="556"/>
      <c r="J26" s="554" t="s">
        <v>10</v>
      </c>
      <c r="K26" s="554"/>
      <c r="L26" s="557">
        <f>(H25-D5)/(3*H26)</f>
        <v>0.49595777719197121</v>
      </c>
      <c r="M26" s="556"/>
      <c r="N26" s="554" t="s">
        <v>16</v>
      </c>
      <c r="O26" s="554"/>
      <c r="P26" s="559">
        <f>NORMSDIST(P25)</f>
        <v>0.93160784904463445</v>
      </c>
      <c r="Q26" s="558"/>
    </row>
    <row r="27" spans="1:17" x14ac:dyDescent="0.55000000000000004">
      <c r="A27" s="2">
        <v>99.365000142466272</v>
      </c>
      <c r="F27" s="553"/>
      <c r="G27" s="554" t="s">
        <v>6</v>
      </c>
      <c r="H27" s="555">
        <f>D5</f>
        <v>97</v>
      </c>
      <c r="I27" s="556"/>
      <c r="J27" s="554" t="s">
        <v>11</v>
      </c>
      <c r="K27" s="554"/>
      <c r="L27" s="557">
        <f>(D6-H25)/(3*H26)</f>
        <v>0.50767234372107739</v>
      </c>
      <c r="M27" s="556"/>
      <c r="N27" s="554" t="s">
        <v>15</v>
      </c>
      <c r="O27" s="554"/>
      <c r="P27" s="560">
        <f>L29*3</f>
        <v>-1.2126668424086384E-2</v>
      </c>
      <c r="Q27" s="558"/>
    </row>
    <row r="28" spans="1:17" x14ac:dyDescent="0.55000000000000004">
      <c r="A28" s="2">
        <v>101.07011334822523</v>
      </c>
      <c r="F28" s="553"/>
      <c r="G28" s="554" t="s">
        <v>8</v>
      </c>
      <c r="H28" s="555">
        <f>D6</f>
        <v>103</v>
      </c>
      <c r="I28" s="556"/>
      <c r="J28" s="554" t="s">
        <v>12</v>
      </c>
      <c r="K28" s="554"/>
      <c r="L28" s="557">
        <f>MIN(L26:L27)</f>
        <v>0.49595777719197121</v>
      </c>
      <c r="M28" s="556"/>
      <c r="N28" s="554" t="s">
        <v>17</v>
      </c>
      <c r="O28" s="554"/>
      <c r="P28" s="559">
        <f>NORMSDIST(P27)</f>
        <v>0.49516227781492933</v>
      </c>
      <c r="Q28" s="558"/>
    </row>
    <row r="29" spans="1:17" x14ac:dyDescent="0.55000000000000004">
      <c r="A29" s="2">
        <v>100.09091589481773</v>
      </c>
      <c r="F29" s="553"/>
      <c r="G29" s="556"/>
      <c r="H29" s="556"/>
      <c r="I29" s="556"/>
      <c r="J29" s="554" t="s">
        <v>13</v>
      </c>
      <c r="K29" s="554"/>
      <c r="L29" s="555">
        <f>L28-0.5</f>
        <v>-4.0422228080287947E-3</v>
      </c>
      <c r="M29" s="556"/>
      <c r="N29" s="556"/>
      <c r="O29" s="556"/>
      <c r="P29" s="556"/>
      <c r="Q29" s="558"/>
    </row>
    <row r="30" spans="1:17" x14ac:dyDescent="0.55000000000000004">
      <c r="A30" s="2">
        <v>98.555470580412205</v>
      </c>
      <c r="F30" s="561"/>
      <c r="G30" s="562"/>
      <c r="H30" s="562"/>
      <c r="I30" s="562"/>
      <c r="J30" s="551"/>
      <c r="K30" s="551"/>
      <c r="L30" s="551"/>
      <c r="M30" s="551"/>
      <c r="N30" s="551"/>
      <c r="O30" s="551"/>
      <c r="P30" s="551"/>
      <c r="Q30" s="552"/>
    </row>
    <row r="31" spans="1:17" ht="18.3" x14ac:dyDescent="0.7">
      <c r="A31" s="2">
        <v>101.72286840416137</v>
      </c>
      <c r="F31" s="141"/>
    </row>
    <row r="32" spans="1:17" x14ac:dyDescent="0.55000000000000004">
      <c r="A32" s="2">
        <v>100.10060570359249</v>
      </c>
    </row>
    <row r="33" spans="1:1" x14ac:dyDescent="0.55000000000000004">
      <c r="A33" s="2">
        <v>100.31458147357468</v>
      </c>
    </row>
    <row r="34" spans="1:1" x14ac:dyDescent="0.55000000000000004">
      <c r="A34" s="2">
        <v>101.86863417451964</v>
      </c>
    </row>
    <row r="35" spans="1:1" x14ac:dyDescent="0.55000000000000004">
      <c r="A35" s="2">
        <v>99.706870510275053</v>
      </c>
    </row>
    <row r="36" spans="1:1" x14ac:dyDescent="0.55000000000000004">
      <c r="A36" s="2">
        <v>101.47876373842402</v>
      </c>
    </row>
    <row r="37" spans="1:1" x14ac:dyDescent="0.55000000000000004">
      <c r="A37" s="2">
        <v>97.453358886868202</v>
      </c>
    </row>
    <row r="38" spans="1:1" x14ac:dyDescent="0.55000000000000004">
      <c r="A38" s="2">
        <v>99.274781145970266</v>
      </c>
    </row>
    <row r="39" spans="1:1" x14ac:dyDescent="0.55000000000000004">
      <c r="A39" s="2">
        <v>99.656179575506769</v>
      </c>
    </row>
    <row r="40" spans="1:1" x14ac:dyDescent="0.55000000000000004">
      <c r="A40" s="2">
        <v>99.248122564750176</v>
      </c>
    </row>
    <row r="41" spans="1:1" x14ac:dyDescent="0.55000000000000004">
      <c r="A41" s="2">
        <v>103.51990821387191</v>
      </c>
    </row>
    <row r="42" spans="1:1" x14ac:dyDescent="0.55000000000000004">
      <c r="A42" s="2">
        <v>98.531593432319141</v>
      </c>
    </row>
    <row r="43" spans="1:1" x14ac:dyDescent="0.55000000000000004">
      <c r="A43" s="2">
        <v>95.10429495985494</v>
      </c>
    </row>
    <row r="44" spans="1:1" x14ac:dyDescent="0.55000000000000004">
      <c r="A44" s="2">
        <v>101.44299743933459</v>
      </c>
    </row>
    <row r="45" spans="1:1" x14ac:dyDescent="0.55000000000000004">
      <c r="A45" s="2">
        <v>100.33136619632275</v>
      </c>
    </row>
    <row r="46" spans="1:1" x14ac:dyDescent="0.55000000000000004">
      <c r="A46" s="2">
        <v>96.692486175418935</v>
      </c>
    </row>
    <row r="47" spans="1:1" x14ac:dyDescent="0.55000000000000004">
      <c r="A47" s="2">
        <v>100.10641549526861</v>
      </c>
    </row>
    <row r="48" spans="1:1" x14ac:dyDescent="0.55000000000000004">
      <c r="A48" s="2">
        <v>97.955245114563297</v>
      </c>
    </row>
    <row r="49" spans="1:1" x14ac:dyDescent="0.55000000000000004">
      <c r="A49" s="2">
        <v>101.03819025917014</v>
      </c>
    </row>
    <row r="50" spans="1:1" x14ac:dyDescent="0.55000000000000004">
      <c r="A50" s="2">
        <v>100.27394264652554</v>
      </c>
    </row>
    <row r="51" spans="1:1" x14ac:dyDescent="0.55000000000000004">
      <c r="A51" s="2">
        <v>98.019037616138306</v>
      </c>
    </row>
    <row r="52" spans="1:1" x14ac:dyDescent="0.55000000000000004">
      <c r="A52" s="2">
        <v>101.47970597001461</v>
      </c>
    </row>
    <row r="53" spans="1:1" x14ac:dyDescent="0.55000000000000004">
      <c r="A53" s="2">
        <v>98.825134537562889</v>
      </c>
    </row>
    <row r="54" spans="1:1" x14ac:dyDescent="0.55000000000000004">
      <c r="A54" s="2">
        <v>97.718258820560209</v>
      </c>
    </row>
    <row r="55" spans="1:1" x14ac:dyDescent="0.55000000000000004">
      <c r="A55" s="2">
        <v>99.725868380947745</v>
      </c>
    </row>
    <row r="56" spans="1:1" x14ac:dyDescent="0.55000000000000004">
      <c r="A56" s="2">
        <v>99.583852918956822</v>
      </c>
    </row>
    <row r="57" spans="1:1" x14ac:dyDescent="0.55000000000000004">
      <c r="A57" s="2">
        <v>101.81826372470161</v>
      </c>
    </row>
    <row r="58" spans="1:1" x14ac:dyDescent="0.55000000000000004">
      <c r="A58" s="2">
        <v>93.023152706797575</v>
      </c>
    </row>
    <row r="59" spans="1:1" x14ac:dyDescent="0.55000000000000004">
      <c r="A59" s="2">
        <v>100.04557376237472</v>
      </c>
    </row>
    <row r="60" spans="1:1" x14ac:dyDescent="0.55000000000000004">
      <c r="A60" s="2">
        <v>99.64288294650612</v>
      </c>
    </row>
    <row r="61" spans="1:1" x14ac:dyDescent="0.55000000000000004">
      <c r="A61" s="2">
        <v>101.24061098319227</v>
      </c>
    </row>
    <row r="62" spans="1:1" x14ac:dyDescent="0.55000000000000004">
      <c r="A62" s="2">
        <v>100.63802389260918</v>
      </c>
    </row>
    <row r="63" spans="1:1" x14ac:dyDescent="0.55000000000000004">
      <c r="A63" s="2">
        <v>94.693281470826889</v>
      </c>
    </row>
    <row r="64" spans="1:1" x14ac:dyDescent="0.55000000000000004">
      <c r="A64" s="2">
        <v>103.64262262615705</v>
      </c>
    </row>
    <row r="65" spans="1:1" x14ac:dyDescent="0.55000000000000004">
      <c r="A65" s="2">
        <v>100.76524760553697</v>
      </c>
    </row>
    <row r="66" spans="1:1" x14ac:dyDescent="0.55000000000000004">
      <c r="A66" s="2">
        <v>98.587949083118019</v>
      </c>
    </row>
    <row r="67" spans="1:1" x14ac:dyDescent="0.55000000000000004">
      <c r="A67" s="2">
        <v>101.1756963171056</v>
      </c>
    </row>
    <row r="68" spans="1:1" x14ac:dyDescent="0.55000000000000004">
      <c r="A68" s="2">
        <v>102.56863142745897</v>
      </c>
    </row>
    <row r="69" spans="1:1" x14ac:dyDescent="0.55000000000000004">
      <c r="A69" s="2">
        <v>102.30490326095784</v>
      </c>
    </row>
    <row r="70" spans="1:1" x14ac:dyDescent="0.55000000000000004">
      <c r="A70" s="2">
        <v>100.93283826619883</v>
      </c>
    </row>
    <row r="71" spans="1:1" x14ac:dyDescent="0.55000000000000004">
      <c r="A71" s="2">
        <v>103.81952636132846</v>
      </c>
    </row>
    <row r="72" spans="1:1" x14ac:dyDescent="0.55000000000000004">
      <c r="A72" s="2">
        <v>99.891913997367183</v>
      </c>
    </row>
    <row r="73" spans="1:1" x14ac:dyDescent="0.55000000000000004">
      <c r="A73" s="2">
        <v>98.023975410003857</v>
      </c>
    </row>
    <row r="74" spans="1:1" x14ac:dyDescent="0.55000000000000004">
      <c r="A74" s="2">
        <v>102.69152862163443</v>
      </c>
    </row>
    <row r="75" spans="1:1" x14ac:dyDescent="0.55000000000000004">
      <c r="A75" s="2">
        <v>100.15440316041361</v>
      </c>
    </row>
    <row r="76" spans="1:1" x14ac:dyDescent="0.55000000000000004">
      <c r="A76" s="2">
        <v>98.843936085625359</v>
      </c>
    </row>
    <row r="77" spans="1:1" x14ac:dyDescent="0.55000000000000004">
      <c r="A77" s="2">
        <v>100.33755804864619</v>
      </c>
    </row>
    <row r="78" spans="1:1" x14ac:dyDescent="0.55000000000000004">
      <c r="A78" s="2">
        <v>102.69595034460008</v>
      </c>
    </row>
    <row r="79" spans="1:1" x14ac:dyDescent="0.55000000000000004">
      <c r="A79" s="2">
        <v>98.675422015162724</v>
      </c>
    </row>
    <row r="80" spans="1:1" x14ac:dyDescent="0.55000000000000004">
      <c r="A80" s="2">
        <v>98.057491315560455</v>
      </c>
    </row>
    <row r="81" spans="1:1" x14ac:dyDescent="0.55000000000000004">
      <c r="A81" s="2">
        <v>98.84785558563614</v>
      </c>
    </row>
    <row r="82" spans="1:1" x14ac:dyDescent="0.55000000000000004">
      <c r="A82" s="2">
        <v>101.42911652734601</v>
      </c>
    </row>
    <row r="83" spans="1:1" x14ac:dyDescent="0.55000000000000004">
      <c r="A83" s="2">
        <v>101.7724491712503</v>
      </c>
    </row>
    <row r="84" spans="1:1" x14ac:dyDescent="0.55000000000000004">
      <c r="A84" s="2">
        <v>94.441389939888978</v>
      </c>
    </row>
    <row r="85" spans="1:1" x14ac:dyDescent="0.55000000000000004">
      <c r="A85" s="2">
        <v>101.06330750064154</v>
      </c>
    </row>
    <row r="86" spans="1:1" x14ac:dyDescent="0.55000000000000004">
      <c r="A86" s="2">
        <v>98.216096344953826</v>
      </c>
    </row>
    <row r="87" spans="1:1" x14ac:dyDescent="0.55000000000000004">
      <c r="A87" s="2">
        <v>101.05341609817643</v>
      </c>
    </row>
    <row r="88" spans="1:1" x14ac:dyDescent="0.55000000000000004">
      <c r="A88" s="2">
        <v>100.12843595602041</v>
      </c>
    </row>
    <row r="89" spans="1:1" x14ac:dyDescent="0.55000000000000004">
      <c r="A89" s="2">
        <v>100.81142229451309</v>
      </c>
    </row>
    <row r="90" spans="1:1" x14ac:dyDescent="0.55000000000000004">
      <c r="A90" s="2">
        <v>99.172083022948371</v>
      </c>
    </row>
    <row r="91" spans="1:1" x14ac:dyDescent="0.55000000000000004">
      <c r="A91" s="2">
        <v>101.58057813197887</v>
      </c>
    </row>
    <row r="92" spans="1:1" x14ac:dyDescent="0.55000000000000004">
      <c r="A92" s="2">
        <v>97.069530945614815</v>
      </c>
    </row>
    <row r="93" spans="1:1" x14ac:dyDescent="0.55000000000000004">
      <c r="A93" s="2">
        <v>99.925737557786306</v>
      </c>
    </row>
    <row r="94" spans="1:1" x14ac:dyDescent="0.55000000000000004">
      <c r="A94" s="2">
        <v>99.907599167601973</v>
      </c>
    </row>
    <row r="95" spans="1:1" x14ac:dyDescent="0.55000000000000004">
      <c r="A95" s="2">
        <v>98.827297082415427</v>
      </c>
    </row>
    <row r="96" spans="1:1" x14ac:dyDescent="0.55000000000000004">
      <c r="A96" s="2">
        <v>101.05209743413511</v>
      </c>
    </row>
    <row r="97" spans="1:1" x14ac:dyDescent="0.55000000000000004">
      <c r="A97" s="2">
        <v>100.10387391465633</v>
      </c>
    </row>
    <row r="98" spans="1:1" x14ac:dyDescent="0.55000000000000004">
      <c r="A98" s="2">
        <v>101.4256688631605</v>
      </c>
    </row>
    <row r="99" spans="1:1" x14ac:dyDescent="0.55000000000000004">
      <c r="A99" s="2">
        <v>102.13490327517304</v>
      </c>
    </row>
    <row r="100" spans="1:1" x14ac:dyDescent="0.55000000000000004">
      <c r="A100" s="2">
        <v>101.84427748436049</v>
      </c>
    </row>
    <row r="101" spans="1:1" x14ac:dyDescent="0.55000000000000004">
      <c r="A101" s="2">
        <v>98.418152866870628</v>
      </c>
    </row>
    <row r="102" spans="1:1" x14ac:dyDescent="0.55000000000000004">
      <c r="A102" s="2">
        <v>97.803780423443825</v>
      </c>
    </row>
    <row r="103" spans="1:1" x14ac:dyDescent="0.55000000000000004">
      <c r="A103" s="2">
        <v>100.32301183476737</v>
      </c>
    </row>
    <row r="104" spans="1:1" x14ac:dyDescent="0.55000000000000004">
      <c r="A104" s="2">
        <v>96.503480656703118</v>
      </c>
    </row>
    <row r="105" spans="1:1" x14ac:dyDescent="0.55000000000000004">
      <c r="A105" s="2">
        <v>103.82856431411011</v>
      </c>
    </row>
    <row r="106" spans="1:1" x14ac:dyDescent="0.55000000000000004">
      <c r="A106" s="2">
        <v>98.466820206979079</v>
      </c>
    </row>
    <row r="107" spans="1:1" x14ac:dyDescent="0.55000000000000004">
      <c r="A107" s="2">
        <v>103.24726924188043</v>
      </c>
    </row>
    <row r="108" spans="1:1" x14ac:dyDescent="0.55000000000000004">
      <c r="A108" s="2">
        <v>99.78110577640436</v>
      </c>
    </row>
    <row r="109" spans="1:1" x14ac:dyDescent="0.55000000000000004">
      <c r="A109" s="2">
        <v>100.32422691412501</v>
      </c>
    </row>
    <row r="110" spans="1:1" x14ac:dyDescent="0.55000000000000004">
      <c r="A110" s="2">
        <v>96.618338927382496</v>
      </c>
    </row>
    <row r="111" spans="1:1" x14ac:dyDescent="0.55000000000000004">
      <c r="A111" s="2">
        <v>101.27032797629445</v>
      </c>
    </row>
    <row r="112" spans="1:1" x14ac:dyDescent="0.55000000000000004">
      <c r="A112" s="2">
        <v>98.843460183555635</v>
      </c>
    </row>
    <row r="113" spans="1:1" x14ac:dyDescent="0.55000000000000004">
      <c r="A113" s="2">
        <v>102.77149871169303</v>
      </c>
    </row>
    <row r="114" spans="1:1" x14ac:dyDescent="0.55000000000000004">
      <c r="A114" s="2">
        <v>99.682969090138101</v>
      </c>
    </row>
    <row r="115" spans="1:1" x14ac:dyDescent="0.55000000000000004">
      <c r="A115" s="2">
        <v>97.903319662794729</v>
      </c>
    </row>
    <row r="116" spans="1:1" x14ac:dyDescent="0.55000000000000004">
      <c r="A116" s="2">
        <v>98.267771329249044</v>
      </c>
    </row>
    <row r="117" spans="1:1" x14ac:dyDescent="0.55000000000000004">
      <c r="A117" s="2">
        <v>102.67253857069227</v>
      </c>
    </row>
    <row r="118" spans="1:1" x14ac:dyDescent="0.55000000000000004">
      <c r="A118" s="2">
        <v>96.308552549434339</v>
      </c>
    </row>
    <row r="119" spans="1:1" x14ac:dyDescent="0.55000000000000004">
      <c r="A119" s="2">
        <v>99.534041327639443</v>
      </c>
    </row>
    <row r="120" spans="1:1" x14ac:dyDescent="0.55000000000000004">
      <c r="A120" s="2">
        <v>100.07386370143006</v>
      </c>
    </row>
    <row r="121" spans="1:1" x14ac:dyDescent="0.55000000000000004">
      <c r="A121" s="2">
        <v>100.28155859873313</v>
      </c>
    </row>
    <row r="122" spans="1:1" x14ac:dyDescent="0.55000000000000004">
      <c r="A122" s="2">
        <v>97.267926948597932</v>
      </c>
    </row>
    <row r="123" spans="1:1" x14ac:dyDescent="0.55000000000000004">
      <c r="A123" s="2">
        <v>98.453586294637205</v>
      </c>
    </row>
    <row r="124" spans="1:1" x14ac:dyDescent="0.55000000000000004">
      <c r="A124" s="2">
        <v>99.52366658673229</v>
      </c>
    </row>
    <row r="125" spans="1:1" x14ac:dyDescent="0.55000000000000004">
      <c r="A125" s="2">
        <v>104.0594294628076</v>
      </c>
    </row>
    <row r="126" spans="1:1" x14ac:dyDescent="0.55000000000000004">
      <c r="A126" s="2">
        <v>101.66745110176178</v>
      </c>
    </row>
    <row r="127" spans="1:1" x14ac:dyDescent="0.55000000000000004">
      <c r="A127" s="2">
        <v>101.29961055367987</v>
      </c>
    </row>
    <row r="128" spans="1:1" x14ac:dyDescent="0.55000000000000004">
      <c r="A128" s="2">
        <v>101.02378743743905</v>
      </c>
    </row>
    <row r="129" spans="1:1" x14ac:dyDescent="0.55000000000000004">
      <c r="A129" s="2">
        <v>97.953848828886478</v>
      </c>
    </row>
    <row r="130" spans="1:1" x14ac:dyDescent="0.55000000000000004">
      <c r="A130" s="2">
        <v>99.726798618536307</v>
      </c>
    </row>
    <row r="131" spans="1:1" x14ac:dyDescent="0.55000000000000004">
      <c r="A131" s="2">
        <v>101.13698831280975</v>
      </c>
    </row>
    <row r="132" spans="1:1" x14ac:dyDescent="0.55000000000000004">
      <c r="A132" s="2">
        <v>102.96301222277908</v>
      </c>
    </row>
    <row r="133" spans="1:1" x14ac:dyDescent="0.55000000000000004">
      <c r="A133" s="2">
        <v>99.690282386112372</v>
      </c>
    </row>
    <row r="134" spans="1:1" x14ac:dyDescent="0.55000000000000004">
      <c r="A134" s="2">
        <v>100.47226668707894</v>
      </c>
    </row>
    <row r="135" spans="1:1" x14ac:dyDescent="0.55000000000000004">
      <c r="A135" s="2">
        <v>102.55834258450648</v>
      </c>
    </row>
    <row r="136" spans="1:1" x14ac:dyDescent="0.55000000000000004">
      <c r="A136" s="2">
        <v>96.669151577979534</v>
      </c>
    </row>
    <row r="137" spans="1:1" x14ac:dyDescent="0.55000000000000004">
      <c r="A137" s="2">
        <v>100.88830353784063</v>
      </c>
    </row>
    <row r="138" spans="1:1" x14ac:dyDescent="0.55000000000000004">
      <c r="A138" s="2">
        <v>101.03776550211865</v>
      </c>
    </row>
    <row r="139" spans="1:1" x14ac:dyDescent="0.55000000000000004">
      <c r="A139" s="2">
        <v>102.32900940494517</v>
      </c>
    </row>
    <row r="140" spans="1:1" x14ac:dyDescent="0.55000000000000004">
      <c r="A140" s="2">
        <v>101.65004912190446</v>
      </c>
    </row>
    <row r="141" spans="1:1" x14ac:dyDescent="0.55000000000000004">
      <c r="A141" s="2">
        <v>99.52834949135115</v>
      </c>
    </row>
    <row r="142" spans="1:1" x14ac:dyDescent="0.55000000000000004">
      <c r="A142" s="2">
        <v>101.27566130035015</v>
      </c>
    </row>
    <row r="143" spans="1:1" x14ac:dyDescent="0.55000000000000004">
      <c r="A143" s="2">
        <v>100.59602374831566</v>
      </c>
    </row>
    <row r="144" spans="1:1" x14ac:dyDescent="0.55000000000000004">
      <c r="A144" s="2">
        <v>100.00648952891382</v>
      </c>
    </row>
    <row r="145" spans="1:1" x14ac:dyDescent="0.55000000000000004">
      <c r="A145" s="2">
        <v>99.102367575285683</v>
      </c>
    </row>
    <row r="146" spans="1:1" x14ac:dyDescent="0.55000000000000004">
      <c r="A146" s="2">
        <v>96.940939689115382</v>
      </c>
    </row>
    <row r="147" spans="1:1" x14ac:dyDescent="0.55000000000000004">
      <c r="A147" s="2">
        <v>101.13158863514882</v>
      </c>
    </row>
    <row r="148" spans="1:1" x14ac:dyDescent="0.55000000000000004">
      <c r="A148" s="2">
        <v>101.6543115666359</v>
      </c>
    </row>
    <row r="149" spans="1:1" x14ac:dyDescent="0.55000000000000004">
      <c r="A149" s="2">
        <v>102.38588861711462</v>
      </c>
    </row>
    <row r="150" spans="1:1" x14ac:dyDescent="0.55000000000000004">
      <c r="A150" s="2">
        <v>100.13114693512001</v>
      </c>
    </row>
    <row r="151" spans="1:1" x14ac:dyDescent="0.55000000000000004">
      <c r="A151" s="2">
        <v>98.750087231594577</v>
      </c>
    </row>
    <row r="152" spans="1:1" x14ac:dyDescent="0.55000000000000004">
      <c r="A152" s="2">
        <v>94.95262217283549</v>
      </c>
    </row>
    <row r="153" spans="1:1" x14ac:dyDescent="0.55000000000000004">
      <c r="A153" s="2">
        <v>98.063127764323283</v>
      </c>
    </row>
    <row r="154" spans="1:1" x14ac:dyDescent="0.55000000000000004">
      <c r="A154" s="2">
        <v>100.13701046556615</v>
      </c>
    </row>
    <row r="155" spans="1:1" x14ac:dyDescent="0.55000000000000004">
      <c r="A155" s="2">
        <v>101.99280934429316</v>
      </c>
    </row>
    <row r="156" spans="1:1" x14ac:dyDescent="0.55000000000000004">
      <c r="A156" s="2">
        <v>101.07122004649034</v>
      </c>
    </row>
    <row r="157" spans="1:1" x14ac:dyDescent="0.55000000000000004">
      <c r="A157" s="2">
        <v>99.67967872844973</v>
      </c>
    </row>
    <row r="158" spans="1:1" x14ac:dyDescent="0.55000000000000004">
      <c r="A158" s="2">
        <v>99.633427987896653</v>
      </c>
    </row>
    <row r="159" spans="1:1" x14ac:dyDescent="0.55000000000000004">
      <c r="A159" s="2">
        <v>95.728485681591479</v>
      </c>
    </row>
    <row r="160" spans="1:1" x14ac:dyDescent="0.55000000000000004">
      <c r="A160" s="2">
        <v>101.68592861587874</v>
      </c>
    </row>
    <row r="161" spans="1:1" x14ac:dyDescent="0.55000000000000004">
      <c r="A161" s="2">
        <v>97.894532835688494</v>
      </c>
    </row>
    <row r="162" spans="1:1" x14ac:dyDescent="0.55000000000000004">
      <c r="A162" s="2">
        <v>100.39034775085972</v>
      </c>
    </row>
    <row r="163" spans="1:1" x14ac:dyDescent="0.55000000000000004">
      <c r="A163" s="2">
        <v>101.06885383922612</v>
      </c>
    </row>
    <row r="164" spans="1:1" x14ac:dyDescent="0.55000000000000004">
      <c r="A164" s="2">
        <v>98.755000724197345</v>
      </c>
    </row>
    <row r="165" spans="1:1" x14ac:dyDescent="0.55000000000000004">
      <c r="A165" s="2">
        <v>98.418929440039875</v>
      </c>
    </row>
    <row r="166" spans="1:1" x14ac:dyDescent="0.55000000000000004">
      <c r="A166" s="2">
        <v>97.51060862004104</v>
      </c>
    </row>
    <row r="167" spans="1:1" x14ac:dyDescent="0.55000000000000004">
      <c r="A167" s="2">
        <v>97.080131441422026</v>
      </c>
    </row>
    <row r="168" spans="1:1" x14ac:dyDescent="0.55000000000000004">
      <c r="A168" s="2">
        <v>99.154401132434089</v>
      </c>
    </row>
    <row r="169" spans="1:1" x14ac:dyDescent="0.55000000000000004">
      <c r="A169" s="2">
        <v>100.07100201211983</v>
      </c>
    </row>
    <row r="170" spans="1:1" x14ac:dyDescent="0.55000000000000004">
      <c r="A170" s="2">
        <v>101.79898927842852</v>
      </c>
    </row>
    <row r="171" spans="1:1" x14ac:dyDescent="0.55000000000000004">
      <c r="A171" s="2">
        <v>100.03441811236459</v>
      </c>
    </row>
    <row r="172" spans="1:1" x14ac:dyDescent="0.55000000000000004">
      <c r="A172" s="2">
        <v>101.58331177578401</v>
      </c>
    </row>
    <row r="173" spans="1:1" x14ac:dyDescent="0.55000000000000004">
      <c r="A173" s="2">
        <v>100.34461624175974</v>
      </c>
    </row>
    <row r="174" spans="1:1" x14ac:dyDescent="0.55000000000000004">
      <c r="A174" s="2">
        <v>96.556615233402709</v>
      </c>
    </row>
    <row r="175" spans="1:1" x14ac:dyDescent="0.55000000000000004">
      <c r="A175" s="2">
        <v>100.35069870704685</v>
      </c>
    </row>
    <row r="176" spans="1:1" x14ac:dyDescent="0.55000000000000004">
      <c r="A176" s="2">
        <v>101.03186866972602</v>
      </c>
    </row>
    <row r="177" spans="1:1" x14ac:dyDescent="0.55000000000000004">
      <c r="A177" s="2">
        <v>102.6509908214704</v>
      </c>
    </row>
    <row r="178" spans="1:1" x14ac:dyDescent="0.55000000000000004">
      <c r="A178" s="2">
        <v>103.66055758686998</v>
      </c>
    </row>
    <row r="179" spans="1:1" x14ac:dyDescent="0.55000000000000004">
      <c r="A179" s="2">
        <v>100.18028401799485</v>
      </c>
    </row>
    <row r="180" spans="1:1" x14ac:dyDescent="0.55000000000000004">
      <c r="A180" s="2">
        <v>101.4464515647462</v>
      </c>
    </row>
    <row r="181" spans="1:1" x14ac:dyDescent="0.55000000000000004">
      <c r="A181" s="2">
        <v>105.17282677843495</v>
      </c>
    </row>
    <row r="182" spans="1:1" x14ac:dyDescent="0.55000000000000004">
      <c r="A182" s="2">
        <v>104.79793098199849</v>
      </c>
    </row>
    <row r="183" spans="1:1" x14ac:dyDescent="0.55000000000000004">
      <c r="A183" s="2">
        <v>101.97103580751957</v>
      </c>
    </row>
    <row r="184" spans="1:1" x14ac:dyDescent="0.55000000000000004">
      <c r="A184" s="2">
        <v>100.87312557686099</v>
      </c>
    </row>
    <row r="185" spans="1:1" x14ac:dyDescent="0.55000000000000004">
      <c r="A185" s="2">
        <v>100.85181135026572</v>
      </c>
    </row>
    <row r="186" spans="1:1" x14ac:dyDescent="0.55000000000000004">
      <c r="A186" s="2">
        <v>97.61262733981124</v>
      </c>
    </row>
    <row r="187" spans="1:1" x14ac:dyDescent="0.55000000000000004">
      <c r="A187" s="2">
        <v>95.159304626308895</v>
      </c>
    </row>
    <row r="188" spans="1:1" x14ac:dyDescent="0.55000000000000004">
      <c r="A188" s="2">
        <v>99.305018324565125</v>
      </c>
    </row>
    <row r="189" spans="1:1" x14ac:dyDescent="0.55000000000000004">
      <c r="A189" s="2">
        <v>99.578989824077993</v>
      </c>
    </row>
    <row r="190" spans="1:1" x14ac:dyDescent="0.55000000000000004">
      <c r="A190" s="2">
        <v>96.311532170975724</v>
      </c>
    </row>
    <row r="191" spans="1:1" x14ac:dyDescent="0.55000000000000004">
      <c r="A191" s="2">
        <v>99.358320858826673</v>
      </c>
    </row>
    <row r="192" spans="1:1" x14ac:dyDescent="0.55000000000000004">
      <c r="A192" s="2">
        <v>104.97201252019691</v>
      </c>
    </row>
    <row r="193" spans="1:1" x14ac:dyDescent="0.55000000000000004">
      <c r="A193" s="2">
        <v>105.067793320006</v>
      </c>
    </row>
    <row r="194" spans="1:1" x14ac:dyDescent="0.55000000000000004">
      <c r="A194" s="2">
        <v>99.907790002746339</v>
      </c>
    </row>
    <row r="195" spans="1:1" x14ac:dyDescent="0.55000000000000004">
      <c r="A195" s="2">
        <v>99.74998696505854</v>
      </c>
    </row>
    <row r="196" spans="1:1" x14ac:dyDescent="0.55000000000000004">
      <c r="A196" s="2">
        <v>100.93248926847373</v>
      </c>
    </row>
    <row r="197" spans="1:1" x14ac:dyDescent="0.55000000000000004">
      <c r="A197" s="2">
        <v>97.195922884950065</v>
      </c>
    </row>
    <row r="198" spans="1:1" x14ac:dyDescent="0.55000000000000004">
      <c r="A198" s="2">
        <v>99.336575533059332</v>
      </c>
    </row>
    <row r="199" spans="1:1" x14ac:dyDescent="0.55000000000000004">
      <c r="A199" s="2">
        <v>98.132800172135177</v>
      </c>
    </row>
    <row r="200" spans="1:1" x14ac:dyDescent="0.55000000000000004">
      <c r="A200" s="2">
        <v>97.593513971078252</v>
      </c>
    </row>
    <row r="201" spans="1:1" x14ac:dyDescent="0.55000000000000004">
      <c r="A201" s="2">
        <v>102.46013796446843</v>
      </c>
    </row>
    <row r="202" spans="1:1" x14ac:dyDescent="0.55000000000000004">
      <c r="A202" s="2">
        <v>100.8192763167667</v>
      </c>
    </row>
    <row r="203" spans="1:1" x14ac:dyDescent="0.55000000000000004">
      <c r="A203" s="2">
        <v>99.535693334842037</v>
      </c>
    </row>
    <row r="204" spans="1:1" x14ac:dyDescent="0.55000000000000004">
      <c r="A204" s="2">
        <v>96.649804743017427</v>
      </c>
    </row>
    <row r="205" spans="1:1" x14ac:dyDescent="0.55000000000000004">
      <c r="A205" s="2">
        <v>100.13629728876722</v>
      </c>
    </row>
    <row r="206" spans="1:1" x14ac:dyDescent="0.55000000000000004">
      <c r="A206" s="2">
        <v>100.75307306611992</v>
      </c>
    </row>
    <row r="207" spans="1:1" x14ac:dyDescent="0.55000000000000004">
      <c r="A207" s="2">
        <v>100.46295261365017</v>
      </c>
    </row>
    <row r="208" spans="1:1" x14ac:dyDescent="0.55000000000000004">
      <c r="A208" s="2">
        <v>97.898999177293192</v>
      </c>
    </row>
    <row r="209" spans="1:1" x14ac:dyDescent="0.55000000000000004">
      <c r="A209" s="2">
        <v>96.872304696005614</v>
      </c>
    </row>
    <row r="210" spans="1:1" x14ac:dyDescent="0.55000000000000004">
      <c r="A210" s="2">
        <v>100.65610695564109</v>
      </c>
    </row>
    <row r="211" spans="1:1" x14ac:dyDescent="0.55000000000000004">
      <c r="A211" s="2">
        <v>99.456112427215857</v>
      </c>
    </row>
    <row r="212" spans="1:1" x14ac:dyDescent="0.55000000000000004">
      <c r="A212" s="2">
        <v>101.87968780444899</v>
      </c>
    </row>
    <row r="213" spans="1:1" x14ac:dyDescent="0.55000000000000004">
      <c r="A213" s="2">
        <v>100.83751615482674</v>
      </c>
    </row>
    <row r="214" spans="1:1" x14ac:dyDescent="0.55000000000000004">
      <c r="A214" s="2">
        <v>102.28687948535088</v>
      </c>
    </row>
    <row r="215" spans="1:1" x14ac:dyDescent="0.55000000000000004">
      <c r="A215" s="2">
        <v>98.303077417317013</v>
      </c>
    </row>
    <row r="216" spans="1:1" x14ac:dyDescent="0.55000000000000004">
      <c r="A216" s="2">
        <v>98.409713654507897</v>
      </c>
    </row>
    <row r="217" spans="1:1" x14ac:dyDescent="0.55000000000000004">
      <c r="A217" s="2">
        <v>102.47881901511386</v>
      </c>
    </row>
    <row r="218" spans="1:1" x14ac:dyDescent="0.55000000000000004">
      <c r="A218" s="2">
        <v>101.16701413126533</v>
      </c>
    </row>
    <row r="219" spans="1:1" x14ac:dyDescent="0.55000000000000004">
      <c r="A219" s="2">
        <v>101.68881579328527</v>
      </c>
    </row>
    <row r="220" spans="1:1" x14ac:dyDescent="0.55000000000000004">
      <c r="A220" s="2">
        <v>101.80020776953326</v>
      </c>
    </row>
    <row r="221" spans="1:1" x14ac:dyDescent="0.55000000000000004">
      <c r="A221" s="2">
        <v>99.94474631830974</v>
      </c>
    </row>
    <row r="222" spans="1:1" x14ac:dyDescent="0.55000000000000004">
      <c r="A222" s="2">
        <v>99.136472314112865</v>
      </c>
    </row>
    <row r="223" spans="1:1" x14ac:dyDescent="0.55000000000000004">
      <c r="A223" s="2">
        <v>100.72200313578922</v>
      </c>
    </row>
    <row r="224" spans="1:1" x14ac:dyDescent="0.55000000000000004">
      <c r="A224" s="2">
        <v>99.276980098110016</v>
      </c>
    </row>
    <row r="225" spans="1:1" x14ac:dyDescent="0.55000000000000004">
      <c r="A225" s="2">
        <v>101.56261003961163</v>
      </c>
    </row>
    <row r="226" spans="1:1" x14ac:dyDescent="0.55000000000000004">
      <c r="A226" s="2">
        <v>99.49108074177218</v>
      </c>
    </row>
    <row r="227" spans="1:1" x14ac:dyDescent="0.55000000000000004">
      <c r="A227" s="2">
        <v>97.716083905281167</v>
      </c>
    </row>
    <row r="228" spans="1:1" x14ac:dyDescent="0.55000000000000004">
      <c r="A228" s="2">
        <v>99.759469955703409</v>
      </c>
    </row>
    <row r="229" spans="1:1" x14ac:dyDescent="0.55000000000000004">
      <c r="A229" s="2">
        <v>101.38208807561863</v>
      </c>
    </row>
    <row r="230" spans="1:1" x14ac:dyDescent="0.55000000000000004">
      <c r="A230" s="2">
        <v>98.413444657730423</v>
      </c>
    </row>
    <row r="231" spans="1:1" x14ac:dyDescent="0.55000000000000004">
      <c r="A231" s="2">
        <v>98.373126439019103</v>
      </c>
    </row>
    <row r="232" spans="1:1" x14ac:dyDescent="0.55000000000000004">
      <c r="A232" s="2">
        <v>99.059652924754474</v>
      </c>
    </row>
    <row r="233" spans="1:1" x14ac:dyDescent="0.55000000000000004">
      <c r="A233" s="2">
        <v>102.72046342135631</v>
      </c>
    </row>
    <row r="234" spans="1:1" x14ac:dyDescent="0.55000000000000004">
      <c r="A234" s="2">
        <v>99.064479306390453</v>
      </c>
    </row>
    <row r="235" spans="1:1" x14ac:dyDescent="0.55000000000000004">
      <c r="A235" s="2">
        <v>98.153969325258899</v>
      </c>
    </row>
    <row r="236" spans="1:1" x14ac:dyDescent="0.55000000000000004">
      <c r="A236" s="2">
        <v>103.83974094521685</v>
      </c>
    </row>
    <row r="237" spans="1:1" x14ac:dyDescent="0.55000000000000004">
      <c r="A237" s="2">
        <v>100.52470285495663</v>
      </c>
    </row>
    <row r="238" spans="1:1" x14ac:dyDescent="0.55000000000000004">
      <c r="A238" s="2">
        <v>102.40761836363623</v>
      </c>
    </row>
    <row r="239" spans="1:1" x14ac:dyDescent="0.55000000000000004">
      <c r="A239" s="2">
        <v>100.64834355990808</v>
      </c>
    </row>
    <row r="240" spans="1:1" x14ac:dyDescent="0.55000000000000004">
      <c r="A240" s="2">
        <v>101.86949978721769</v>
      </c>
    </row>
    <row r="241" spans="1:1" x14ac:dyDescent="0.55000000000000004">
      <c r="A241" s="2">
        <v>97.327103230768316</v>
      </c>
    </row>
    <row r="242" spans="1:1" x14ac:dyDescent="0.55000000000000004">
      <c r="A242" s="2">
        <v>101.79548944077288</v>
      </c>
    </row>
    <row r="243" spans="1:1" x14ac:dyDescent="0.55000000000000004">
      <c r="A243" s="2">
        <v>95.524292864384336</v>
      </c>
    </row>
    <row r="244" spans="1:1" x14ac:dyDescent="0.55000000000000004">
      <c r="A244" s="2">
        <v>100.01868791776059</v>
      </c>
    </row>
    <row r="245" spans="1:1" x14ac:dyDescent="0.55000000000000004">
      <c r="A245" s="2">
        <v>99.145310796876785</v>
      </c>
    </row>
    <row r="246" spans="1:1" x14ac:dyDescent="0.55000000000000004">
      <c r="A246" s="2">
        <v>100.52170544234093</v>
      </c>
    </row>
    <row r="247" spans="1:1" x14ac:dyDescent="0.55000000000000004">
      <c r="A247" s="2">
        <v>100.99374651866923</v>
      </c>
    </row>
    <row r="248" spans="1:1" x14ac:dyDescent="0.55000000000000004">
      <c r="A248" s="2">
        <v>100.0902073444949</v>
      </c>
    </row>
    <row r="249" spans="1:1" x14ac:dyDescent="0.55000000000000004">
      <c r="A249" s="2">
        <v>99.36315070191182</v>
      </c>
    </row>
    <row r="250" spans="1:1" x14ac:dyDescent="0.55000000000000004">
      <c r="A250" s="2">
        <v>98.968032324113963</v>
      </c>
    </row>
    <row r="251" spans="1:1" x14ac:dyDescent="0.55000000000000004">
      <c r="A251" s="2">
        <v>98.589593366280582</v>
      </c>
    </row>
    <row r="252" spans="1:1" x14ac:dyDescent="0.55000000000000004">
      <c r="A252" s="2">
        <v>101.32708159173026</v>
      </c>
    </row>
    <row r="253" spans="1:1" x14ac:dyDescent="0.55000000000000004">
      <c r="A253" s="2">
        <v>100.2552128414155</v>
      </c>
    </row>
    <row r="254" spans="1:1" x14ac:dyDescent="0.55000000000000004">
      <c r="A254" s="2">
        <v>97.801257175538638</v>
      </c>
    </row>
    <row r="255" spans="1:1" x14ac:dyDescent="0.55000000000000004">
      <c r="A255" s="2">
        <v>101.33734576165639</v>
      </c>
    </row>
    <row r="256" spans="1:1" x14ac:dyDescent="0.55000000000000004">
      <c r="A256" s="2">
        <v>98.562026891415854</v>
      </c>
    </row>
    <row r="257" spans="1:1" x14ac:dyDescent="0.55000000000000004">
      <c r="A257" s="2">
        <v>101.37727169566173</v>
      </c>
    </row>
    <row r="258" spans="1:1" x14ac:dyDescent="0.55000000000000004">
      <c r="A258" s="2">
        <v>102.29745712598233</v>
      </c>
    </row>
    <row r="259" spans="1:1" x14ac:dyDescent="0.55000000000000004">
      <c r="A259" s="2">
        <v>98.053059238251663</v>
      </c>
    </row>
    <row r="260" spans="1:1" x14ac:dyDescent="0.55000000000000004">
      <c r="A260" s="2">
        <v>99.887972481784445</v>
      </c>
    </row>
    <row r="261" spans="1:1" x14ac:dyDescent="0.55000000000000004">
      <c r="A261" s="2">
        <v>101.64281236748674</v>
      </c>
    </row>
    <row r="262" spans="1:1" x14ac:dyDescent="0.55000000000000004">
      <c r="A262" s="2">
        <v>100.02120201351846</v>
      </c>
    </row>
    <row r="263" spans="1:1" x14ac:dyDescent="0.55000000000000004">
      <c r="A263" s="2">
        <v>103.42350035223504</v>
      </c>
    </row>
    <row r="264" spans="1:1" x14ac:dyDescent="0.55000000000000004">
      <c r="A264" s="2">
        <v>96.925550199450981</v>
      </c>
    </row>
    <row r="265" spans="1:1" x14ac:dyDescent="0.55000000000000004">
      <c r="A265" s="2">
        <v>102.30042433354451</v>
      </c>
    </row>
    <row r="266" spans="1:1" x14ac:dyDescent="0.55000000000000004">
      <c r="A266" s="2">
        <v>101.15045313616959</v>
      </c>
    </row>
    <row r="267" spans="1:1" x14ac:dyDescent="0.55000000000000004">
      <c r="A267" s="2">
        <v>97.628930021668936</v>
      </c>
    </row>
    <row r="268" spans="1:1" x14ac:dyDescent="0.55000000000000004">
      <c r="A268" s="2">
        <v>102.75225961233937</v>
      </c>
    </row>
    <row r="269" spans="1:1" x14ac:dyDescent="0.55000000000000004">
      <c r="A269" s="2">
        <v>99.868497375205223</v>
      </c>
    </row>
    <row r="270" spans="1:1" x14ac:dyDescent="0.55000000000000004">
      <c r="A270" s="2">
        <v>98.740741613794199</v>
      </c>
    </row>
    <row r="271" spans="1:1" x14ac:dyDescent="0.55000000000000004">
      <c r="A271" s="2">
        <v>102.0896623291939</v>
      </c>
    </row>
    <row r="272" spans="1:1" x14ac:dyDescent="0.55000000000000004">
      <c r="A272" s="2">
        <v>103.44348706382817</v>
      </c>
    </row>
    <row r="273" spans="1:1" x14ac:dyDescent="0.55000000000000004">
      <c r="A273" s="2">
        <v>99.14250226026715</v>
      </c>
    </row>
    <row r="274" spans="1:1" x14ac:dyDescent="0.55000000000000004">
      <c r="A274" s="2">
        <v>98.761785278761636</v>
      </c>
    </row>
    <row r="275" spans="1:1" x14ac:dyDescent="0.55000000000000004">
      <c r="A275" s="2">
        <v>98.88134948451119</v>
      </c>
    </row>
    <row r="276" spans="1:1" x14ac:dyDescent="0.55000000000000004">
      <c r="A276" s="2">
        <v>99.060890578087722</v>
      </c>
    </row>
    <row r="277" spans="1:1" x14ac:dyDescent="0.55000000000000004">
      <c r="A277" s="2">
        <v>103.4300872292104</v>
      </c>
    </row>
    <row r="278" spans="1:1" x14ac:dyDescent="0.55000000000000004">
      <c r="A278" s="2">
        <v>97.574924217637204</v>
      </c>
    </row>
    <row r="279" spans="1:1" x14ac:dyDescent="0.55000000000000004">
      <c r="A279" s="2">
        <v>97.514574010926651</v>
      </c>
    </row>
    <row r="280" spans="1:1" x14ac:dyDescent="0.55000000000000004">
      <c r="A280" s="2">
        <v>98.27311265719166</v>
      </c>
    </row>
    <row r="281" spans="1:1" x14ac:dyDescent="0.55000000000000004">
      <c r="A281" s="2">
        <v>96.228847905038933</v>
      </c>
    </row>
    <row r="282" spans="1:1" x14ac:dyDescent="0.55000000000000004">
      <c r="A282" s="2">
        <v>102.90773756133441</v>
      </c>
    </row>
    <row r="283" spans="1:1" x14ac:dyDescent="0.55000000000000004">
      <c r="A283" s="2">
        <v>101.92982907503951</v>
      </c>
    </row>
    <row r="284" spans="1:1" x14ac:dyDescent="0.55000000000000004">
      <c r="A284" s="2">
        <v>97.218789707177123</v>
      </c>
    </row>
    <row r="285" spans="1:1" x14ac:dyDescent="0.55000000000000004">
      <c r="A285" s="2">
        <v>101.23845465321646</v>
      </c>
    </row>
    <row r="286" spans="1:1" x14ac:dyDescent="0.55000000000000004">
      <c r="A286" s="2">
        <v>101.25291959582519</v>
      </c>
    </row>
    <row r="287" spans="1:1" x14ac:dyDescent="0.55000000000000004">
      <c r="A287" s="2">
        <v>95.383785058456226</v>
      </c>
    </row>
    <row r="288" spans="1:1" x14ac:dyDescent="0.55000000000000004">
      <c r="A288" s="2">
        <v>100.1011906825842</v>
      </c>
    </row>
    <row r="289" spans="1:1" x14ac:dyDescent="0.55000000000000004">
      <c r="A289" s="2">
        <v>100.88838769937884</v>
      </c>
    </row>
    <row r="290" spans="1:1" x14ac:dyDescent="0.55000000000000004">
      <c r="A290" s="2">
        <v>101.2280889527366</v>
      </c>
    </row>
    <row r="291" spans="1:1" x14ac:dyDescent="0.55000000000000004">
      <c r="A291" s="2">
        <v>103.19226150555632</v>
      </c>
    </row>
    <row r="292" spans="1:1" x14ac:dyDescent="0.55000000000000004">
      <c r="A292" s="2">
        <v>98.582507609957204</v>
      </c>
    </row>
    <row r="293" spans="1:1" x14ac:dyDescent="0.55000000000000004">
      <c r="A293" s="2">
        <v>98.507245853276416</v>
      </c>
    </row>
    <row r="294" spans="1:1" x14ac:dyDescent="0.55000000000000004">
      <c r="A294" s="2">
        <v>96.985632043475746</v>
      </c>
    </row>
    <row r="295" spans="1:1" x14ac:dyDescent="0.55000000000000004">
      <c r="A295" s="2">
        <v>97.279068061389992</v>
      </c>
    </row>
    <row r="296" spans="1:1" x14ac:dyDescent="0.55000000000000004">
      <c r="A296" s="2">
        <v>104.83546244086332</v>
      </c>
    </row>
    <row r="297" spans="1:1" x14ac:dyDescent="0.55000000000000004">
      <c r="A297" s="2">
        <v>98.968542760790655</v>
      </c>
    </row>
    <row r="298" spans="1:1" x14ac:dyDescent="0.55000000000000004">
      <c r="A298" s="2">
        <v>99.457200261971977</v>
      </c>
    </row>
    <row r="299" spans="1:1" x14ac:dyDescent="0.55000000000000004">
      <c r="A299" s="2">
        <v>99.553742893826723</v>
      </c>
    </row>
    <row r="300" spans="1:1" x14ac:dyDescent="0.55000000000000004">
      <c r="A300" s="2">
        <v>100.98954579816788</v>
      </c>
    </row>
    <row r="301" spans="1:1" x14ac:dyDescent="0.55000000000000004">
      <c r="A301" s="2">
        <v>100.07643938575949</v>
      </c>
    </row>
    <row r="302" spans="1:1" x14ac:dyDescent="0.55000000000000004">
      <c r="A302" s="2">
        <v>101.77694260442016</v>
      </c>
    </row>
    <row r="303" spans="1:1" x14ac:dyDescent="0.55000000000000004">
      <c r="A303" s="2">
        <v>99.712840087837236</v>
      </c>
    </row>
    <row r="304" spans="1:1" x14ac:dyDescent="0.55000000000000004">
      <c r="A304" s="2">
        <v>99.885717350249521</v>
      </c>
    </row>
    <row r="305" spans="1:1" x14ac:dyDescent="0.55000000000000004">
      <c r="A305" s="2">
        <v>97.201138368178633</v>
      </c>
    </row>
    <row r="306" spans="1:1" x14ac:dyDescent="0.55000000000000004">
      <c r="A306" s="2">
        <v>98.188860089551923</v>
      </c>
    </row>
    <row r="307" spans="1:1" x14ac:dyDescent="0.55000000000000004">
      <c r="A307" s="2">
        <v>99.303318286067224</v>
      </c>
    </row>
    <row r="308" spans="1:1" x14ac:dyDescent="0.55000000000000004">
      <c r="A308" s="2">
        <v>99.040623865930101</v>
      </c>
    </row>
    <row r="309" spans="1:1" x14ac:dyDescent="0.55000000000000004">
      <c r="A309" s="2">
        <v>102.24765110465536</v>
      </c>
    </row>
    <row r="310" spans="1:1" x14ac:dyDescent="0.55000000000000004">
      <c r="A310" s="2">
        <v>101.97376200033543</v>
      </c>
    </row>
    <row r="311" spans="1:1" x14ac:dyDescent="0.55000000000000004">
      <c r="A311" s="2">
        <v>101.56329206989633</v>
      </c>
    </row>
    <row r="312" spans="1:1" x14ac:dyDescent="0.55000000000000004">
      <c r="A312" s="2">
        <v>101.11398752786297</v>
      </c>
    </row>
    <row r="313" spans="1:1" x14ac:dyDescent="0.55000000000000004">
      <c r="A313" s="2">
        <v>100.57041690705758</v>
      </c>
    </row>
    <row r="314" spans="1:1" x14ac:dyDescent="0.55000000000000004">
      <c r="A314" s="2">
        <v>100.08160828819355</v>
      </c>
    </row>
    <row r="315" spans="1:1" x14ac:dyDescent="0.55000000000000004">
      <c r="A315" s="2">
        <v>99.288955799717883</v>
      </c>
    </row>
    <row r="316" spans="1:1" x14ac:dyDescent="0.55000000000000004">
      <c r="A316" s="2">
        <v>100.72835297156126</v>
      </c>
    </row>
    <row r="317" spans="1:1" x14ac:dyDescent="0.55000000000000004">
      <c r="A317" s="2">
        <v>99.365795560482994</v>
      </c>
    </row>
    <row r="318" spans="1:1" x14ac:dyDescent="0.55000000000000004">
      <c r="A318" s="2">
        <v>101.61681748376027</v>
      </c>
    </row>
    <row r="319" spans="1:1" x14ac:dyDescent="0.55000000000000004">
      <c r="A319" s="2">
        <v>97.509427797131863</v>
      </c>
    </row>
    <row r="320" spans="1:1" x14ac:dyDescent="0.55000000000000004">
      <c r="A320" s="2">
        <v>101.77186293300664</v>
      </c>
    </row>
    <row r="321" spans="1:1" x14ac:dyDescent="0.55000000000000004">
      <c r="A321" s="2">
        <v>104.16770815962418</v>
      </c>
    </row>
    <row r="322" spans="1:1" x14ac:dyDescent="0.55000000000000004">
      <c r="A322" s="2">
        <v>101.52078053749165</v>
      </c>
    </row>
    <row r="323" spans="1:1" x14ac:dyDescent="0.55000000000000004">
      <c r="A323" s="2">
        <v>102.67484518791342</v>
      </c>
    </row>
    <row r="324" spans="1:1" x14ac:dyDescent="0.55000000000000004">
      <c r="A324" s="2">
        <v>100.19962237055631</v>
      </c>
    </row>
    <row r="325" spans="1:1" x14ac:dyDescent="0.55000000000000004">
      <c r="A325" s="2">
        <v>97.633310481563157</v>
      </c>
    </row>
    <row r="326" spans="1:1" x14ac:dyDescent="0.55000000000000004">
      <c r="A326" s="2">
        <v>99.017003061004274</v>
      </c>
    </row>
    <row r="327" spans="1:1" x14ac:dyDescent="0.55000000000000004">
      <c r="A327" s="2">
        <v>100.12382022421163</v>
      </c>
    </row>
    <row r="328" spans="1:1" x14ac:dyDescent="0.55000000000000004">
      <c r="A328" s="2">
        <v>103.48400111368811</v>
      </c>
    </row>
    <row r="329" spans="1:1" x14ac:dyDescent="0.55000000000000004">
      <c r="A329" s="2">
        <v>98.964871076357412</v>
      </c>
    </row>
    <row r="330" spans="1:1" x14ac:dyDescent="0.55000000000000004">
      <c r="A330" s="2">
        <v>98.458841026420245</v>
      </c>
    </row>
    <row r="331" spans="1:1" x14ac:dyDescent="0.55000000000000004">
      <c r="A331" s="2">
        <v>98.47908302595097</v>
      </c>
    </row>
    <row r="332" spans="1:1" x14ac:dyDescent="0.55000000000000004">
      <c r="A332" s="2">
        <v>100.44647952294464</v>
      </c>
    </row>
    <row r="333" spans="1:1" x14ac:dyDescent="0.55000000000000004">
      <c r="A333" s="2">
        <v>97.215934812573281</v>
      </c>
    </row>
    <row r="334" spans="1:1" x14ac:dyDescent="0.55000000000000004">
      <c r="A334" s="2">
        <v>102.5034643375667</v>
      </c>
    </row>
    <row r="335" spans="1:1" x14ac:dyDescent="0.55000000000000004">
      <c r="A335" s="2">
        <v>98.668509211456183</v>
      </c>
    </row>
    <row r="336" spans="1:1" x14ac:dyDescent="0.55000000000000004">
      <c r="A336" s="2">
        <v>100.58582863978714</v>
      </c>
    </row>
    <row r="337" spans="1:1" x14ac:dyDescent="0.55000000000000004">
      <c r="A337" s="2">
        <v>98.744074092173619</v>
      </c>
    </row>
    <row r="338" spans="1:1" x14ac:dyDescent="0.55000000000000004">
      <c r="A338" s="2">
        <v>102.40282035456592</v>
      </c>
    </row>
    <row r="339" spans="1:1" x14ac:dyDescent="0.55000000000000004">
      <c r="A339" s="2">
        <v>97.82326973782726</v>
      </c>
    </row>
    <row r="340" spans="1:1" x14ac:dyDescent="0.55000000000000004">
      <c r="A340" s="2">
        <v>102.55643886409003</v>
      </c>
    </row>
    <row r="341" spans="1:1" x14ac:dyDescent="0.55000000000000004">
      <c r="A341" s="2">
        <v>99.06103472355386</v>
      </c>
    </row>
    <row r="342" spans="1:1" x14ac:dyDescent="0.55000000000000004">
      <c r="A342" s="2">
        <v>100.63662835917148</v>
      </c>
    </row>
    <row r="343" spans="1:1" x14ac:dyDescent="0.55000000000000004">
      <c r="A343" s="2">
        <v>100.49101893529512</v>
      </c>
    </row>
    <row r="344" spans="1:1" x14ac:dyDescent="0.55000000000000004">
      <c r="A344" s="2">
        <v>102.00311633331037</v>
      </c>
    </row>
    <row r="345" spans="1:1" x14ac:dyDescent="0.55000000000000004">
      <c r="A345" s="2">
        <v>100.44355177511308</v>
      </c>
    </row>
    <row r="346" spans="1:1" x14ac:dyDescent="0.55000000000000004">
      <c r="A346" s="2">
        <v>96.497447549181658</v>
      </c>
    </row>
    <row r="347" spans="1:1" x14ac:dyDescent="0.55000000000000004">
      <c r="A347" s="2">
        <v>96.392986102582313</v>
      </c>
    </row>
    <row r="348" spans="1:1" x14ac:dyDescent="0.55000000000000004">
      <c r="A348" s="2">
        <v>99.098447562478384</v>
      </c>
    </row>
    <row r="349" spans="1:1" x14ac:dyDescent="0.55000000000000004">
      <c r="A349" s="2">
        <v>99.85484424440665</v>
      </c>
    </row>
    <row r="350" spans="1:1" x14ac:dyDescent="0.55000000000000004">
      <c r="A350" s="2">
        <v>99.242859161967402</v>
      </c>
    </row>
    <row r="351" spans="1:1" x14ac:dyDescent="0.55000000000000004">
      <c r="A351" s="2">
        <v>99.018369937217415</v>
      </c>
    </row>
    <row r="352" spans="1:1" x14ac:dyDescent="0.55000000000000004">
      <c r="A352" s="2">
        <v>97.506442334029359</v>
      </c>
    </row>
    <row r="353" spans="1:1" x14ac:dyDescent="0.55000000000000004">
      <c r="A353" s="2">
        <v>103.7471329040288</v>
      </c>
    </row>
    <row r="354" spans="1:1" x14ac:dyDescent="0.55000000000000004">
      <c r="A354" s="2">
        <v>100.52178287750016</v>
      </c>
    </row>
    <row r="355" spans="1:1" x14ac:dyDescent="0.55000000000000004">
      <c r="A355" s="2">
        <v>101.50791680167318</v>
      </c>
    </row>
    <row r="356" spans="1:1" x14ac:dyDescent="0.55000000000000004">
      <c r="A356" s="2">
        <v>100.89375661036185</v>
      </c>
    </row>
    <row r="357" spans="1:1" x14ac:dyDescent="0.55000000000000004">
      <c r="A357" s="2">
        <v>102.63269256519821</v>
      </c>
    </row>
    <row r="358" spans="1:1" x14ac:dyDescent="0.55000000000000004">
      <c r="A358" s="2">
        <v>96.073578023385551</v>
      </c>
    </row>
    <row r="359" spans="1:1" x14ac:dyDescent="0.55000000000000004">
      <c r="A359" s="2">
        <v>103.9468370820136</v>
      </c>
    </row>
    <row r="360" spans="1:1" x14ac:dyDescent="0.55000000000000004">
      <c r="A360" s="2">
        <v>101.40921684354994</v>
      </c>
    </row>
    <row r="361" spans="1:1" x14ac:dyDescent="0.55000000000000004">
      <c r="A361" s="2">
        <v>96.856531325766781</v>
      </c>
    </row>
    <row r="362" spans="1:1" x14ac:dyDescent="0.55000000000000004">
      <c r="A362" s="2">
        <v>97.972999026991033</v>
      </c>
    </row>
    <row r="363" spans="1:1" x14ac:dyDescent="0.55000000000000004">
      <c r="A363" s="2">
        <v>101.31161235917695</v>
      </c>
    </row>
    <row r="364" spans="1:1" x14ac:dyDescent="0.55000000000000004">
      <c r="A364" s="2">
        <v>100.28863273548944</v>
      </c>
    </row>
    <row r="365" spans="1:1" x14ac:dyDescent="0.55000000000000004">
      <c r="A365" s="2">
        <v>99.597751620735821</v>
      </c>
    </row>
    <row r="366" spans="1:1" x14ac:dyDescent="0.55000000000000004">
      <c r="A366" s="2">
        <v>99.520047271186442</v>
      </c>
    </row>
    <row r="367" spans="1:1" x14ac:dyDescent="0.55000000000000004">
      <c r="A367" s="2">
        <v>101.85627664123781</v>
      </c>
    </row>
    <row r="368" spans="1:1" x14ac:dyDescent="0.55000000000000004">
      <c r="A368" s="2">
        <v>97.65805055649669</v>
      </c>
    </row>
    <row r="369" spans="1:1" x14ac:dyDescent="0.55000000000000004">
      <c r="A369" s="2">
        <v>100.84322545787664</v>
      </c>
    </row>
    <row r="370" spans="1:1" x14ac:dyDescent="0.55000000000000004">
      <c r="A370" s="2">
        <v>97.990065397832353</v>
      </c>
    </row>
    <row r="371" spans="1:1" x14ac:dyDescent="0.55000000000000004">
      <c r="A371" s="2">
        <v>96.406329878702934</v>
      </c>
    </row>
    <row r="372" spans="1:1" x14ac:dyDescent="0.55000000000000004">
      <c r="A372" s="2">
        <v>101.25414834629537</v>
      </c>
    </row>
    <row r="373" spans="1:1" x14ac:dyDescent="0.55000000000000004">
      <c r="A373" s="2">
        <v>102.44489911440937</v>
      </c>
    </row>
    <row r="374" spans="1:1" x14ac:dyDescent="0.55000000000000004">
      <c r="A374" s="2">
        <v>98.746004085843083</v>
      </c>
    </row>
    <row r="375" spans="1:1" x14ac:dyDescent="0.55000000000000004">
      <c r="A375" s="2">
        <v>98.391311043286592</v>
      </c>
    </row>
    <row r="376" spans="1:1" x14ac:dyDescent="0.55000000000000004">
      <c r="A376" s="2">
        <v>101.43889977847466</v>
      </c>
    </row>
    <row r="377" spans="1:1" x14ac:dyDescent="0.55000000000000004">
      <c r="A377" s="2">
        <v>101.09840567183561</v>
      </c>
    </row>
    <row r="378" spans="1:1" x14ac:dyDescent="0.55000000000000004">
      <c r="A378" s="2">
        <v>97.918446861586062</v>
      </c>
    </row>
    <row r="379" spans="1:1" x14ac:dyDescent="0.55000000000000004">
      <c r="A379" s="2">
        <v>96.414589022738994</v>
      </c>
    </row>
    <row r="380" spans="1:1" x14ac:dyDescent="0.55000000000000004">
      <c r="A380" s="2">
        <v>101.68644984924224</v>
      </c>
    </row>
    <row r="381" spans="1:1" x14ac:dyDescent="0.55000000000000004">
      <c r="A381" s="2">
        <v>99.193787237594876</v>
      </c>
    </row>
    <row r="382" spans="1:1" x14ac:dyDescent="0.55000000000000004">
      <c r="A382" s="2">
        <v>99.234511836490228</v>
      </c>
    </row>
    <row r="383" spans="1:1" x14ac:dyDescent="0.55000000000000004">
      <c r="A383" s="2">
        <v>98.785738488135266</v>
      </c>
    </row>
    <row r="384" spans="1:1" x14ac:dyDescent="0.55000000000000004">
      <c r="A384" s="2">
        <v>102.93528477342419</v>
      </c>
    </row>
    <row r="385" spans="1:1" x14ac:dyDescent="0.55000000000000004">
      <c r="A385" s="2">
        <v>102.52985841579316</v>
      </c>
    </row>
    <row r="386" spans="1:1" x14ac:dyDescent="0.55000000000000004">
      <c r="A386" s="2">
        <v>98.909887858882769</v>
      </c>
    </row>
    <row r="387" spans="1:1" x14ac:dyDescent="0.55000000000000004">
      <c r="A387" s="2">
        <v>100.19837382648247</v>
      </c>
    </row>
    <row r="388" spans="1:1" x14ac:dyDescent="0.55000000000000004">
      <c r="A388" s="2">
        <v>96.294369046243631</v>
      </c>
    </row>
    <row r="389" spans="1:1" x14ac:dyDescent="0.55000000000000004">
      <c r="A389" s="2">
        <v>101.81943777594601</v>
      </c>
    </row>
    <row r="390" spans="1:1" x14ac:dyDescent="0.55000000000000004">
      <c r="A390" s="2">
        <v>103.36133373196958</v>
      </c>
    </row>
    <row r="391" spans="1:1" x14ac:dyDescent="0.55000000000000004">
      <c r="A391" s="2">
        <v>96.995714907942428</v>
      </c>
    </row>
    <row r="392" spans="1:1" x14ac:dyDescent="0.55000000000000004">
      <c r="A392" s="2">
        <v>99.317068507688518</v>
      </c>
    </row>
    <row r="393" spans="1:1" x14ac:dyDescent="0.55000000000000004">
      <c r="A393" s="2">
        <v>99.515358393117609</v>
      </c>
    </row>
    <row r="394" spans="1:1" x14ac:dyDescent="0.55000000000000004">
      <c r="A394" s="2">
        <v>99.896934286684314</v>
      </c>
    </row>
    <row r="395" spans="1:1" x14ac:dyDescent="0.55000000000000004">
      <c r="A395" s="2">
        <v>103.10889474053371</v>
      </c>
    </row>
    <row r="396" spans="1:1" x14ac:dyDescent="0.55000000000000004">
      <c r="A396" s="2">
        <v>100.78492176524094</v>
      </c>
    </row>
    <row r="397" spans="1:1" x14ac:dyDescent="0.55000000000000004">
      <c r="A397" s="2">
        <v>99.993991734916037</v>
      </c>
    </row>
    <row r="398" spans="1:1" x14ac:dyDescent="0.55000000000000004">
      <c r="A398" s="2">
        <v>97.886225590188417</v>
      </c>
    </row>
    <row r="399" spans="1:1" x14ac:dyDescent="0.55000000000000004">
      <c r="A399" s="2">
        <v>102.27743698400187</v>
      </c>
    </row>
    <row r="400" spans="1:1" x14ac:dyDescent="0.55000000000000004">
      <c r="A400" s="2">
        <v>101.71350442089697</v>
      </c>
    </row>
    <row r="401" spans="1:1" x14ac:dyDescent="0.55000000000000004">
      <c r="A401" s="2">
        <v>98.027700502042563</v>
      </c>
    </row>
    <row r="402" spans="1:1" x14ac:dyDescent="0.55000000000000004">
      <c r="A402" s="2">
        <v>101.2064615490842</v>
      </c>
    </row>
    <row r="403" spans="1:1" x14ac:dyDescent="0.55000000000000004">
      <c r="A403" s="2">
        <v>98.27276265631474</v>
      </c>
    </row>
    <row r="404" spans="1:1" x14ac:dyDescent="0.55000000000000004">
      <c r="A404" s="2">
        <v>100.60348170507163</v>
      </c>
    </row>
    <row r="405" spans="1:1" x14ac:dyDescent="0.55000000000000004">
      <c r="A405" s="2">
        <v>101.43193237084988</v>
      </c>
    </row>
    <row r="406" spans="1:1" x14ac:dyDescent="0.55000000000000004">
      <c r="A406" s="2">
        <v>99.281371178955894</v>
      </c>
    </row>
    <row r="407" spans="1:1" x14ac:dyDescent="0.55000000000000004">
      <c r="A407" s="2">
        <v>101.11807452814024</v>
      </c>
    </row>
    <row r="408" spans="1:1" x14ac:dyDescent="0.55000000000000004">
      <c r="A408" s="2">
        <v>99.690962209275014</v>
      </c>
    </row>
    <row r="409" spans="1:1" x14ac:dyDescent="0.55000000000000004">
      <c r="A409" s="2">
        <v>100.71321181738917</v>
      </c>
    </row>
    <row r="410" spans="1:1" x14ac:dyDescent="0.55000000000000004">
      <c r="A410" s="2">
        <v>101.38936138570294</v>
      </c>
    </row>
    <row r="411" spans="1:1" x14ac:dyDescent="0.55000000000000004">
      <c r="A411" s="2">
        <v>97.649984767394827</v>
      </c>
    </row>
    <row r="412" spans="1:1" x14ac:dyDescent="0.55000000000000004">
      <c r="A412" s="2">
        <v>95.354342951100776</v>
      </c>
    </row>
    <row r="413" spans="1:1" x14ac:dyDescent="0.55000000000000004">
      <c r="A413" s="2">
        <v>101.86948118844407</v>
      </c>
    </row>
    <row r="414" spans="1:1" x14ac:dyDescent="0.55000000000000004">
      <c r="A414" s="2">
        <v>100.52421823870745</v>
      </c>
    </row>
    <row r="415" spans="1:1" x14ac:dyDescent="0.55000000000000004">
      <c r="A415" s="2">
        <v>102.54768539364522</v>
      </c>
    </row>
    <row r="416" spans="1:1" x14ac:dyDescent="0.55000000000000004">
      <c r="A416" s="2">
        <v>102.3089709306789</v>
      </c>
    </row>
    <row r="417" spans="1:1" x14ac:dyDescent="0.55000000000000004">
      <c r="A417" s="2">
        <v>99.324237120263234</v>
      </c>
    </row>
    <row r="418" spans="1:1" x14ac:dyDescent="0.55000000000000004">
      <c r="A418" s="2">
        <v>99.794998174167048</v>
      </c>
    </row>
    <row r="419" spans="1:1" x14ac:dyDescent="0.55000000000000004">
      <c r="A419" s="2">
        <v>96.054150298419131</v>
      </c>
    </row>
    <row r="420" spans="1:1" x14ac:dyDescent="0.55000000000000004">
      <c r="A420" s="2">
        <v>102.24423920436688</v>
      </c>
    </row>
    <row r="421" spans="1:1" x14ac:dyDescent="0.55000000000000004">
      <c r="A421" s="2">
        <v>102.51451939780614</v>
      </c>
    </row>
    <row r="422" spans="1:1" x14ac:dyDescent="0.55000000000000004">
      <c r="A422" s="2">
        <v>102.91888720587988</v>
      </c>
    </row>
    <row r="423" spans="1:1" x14ac:dyDescent="0.55000000000000004">
      <c r="A423" s="2">
        <v>99.228336997674873</v>
      </c>
    </row>
    <row r="424" spans="1:1" x14ac:dyDescent="0.55000000000000004">
      <c r="A424" s="2">
        <v>100.17602095141885</v>
      </c>
    </row>
    <row r="425" spans="1:1" x14ac:dyDescent="0.55000000000000004">
      <c r="A425" s="2">
        <v>100.55816760668824</v>
      </c>
    </row>
    <row r="426" spans="1:1" x14ac:dyDescent="0.55000000000000004">
      <c r="A426" s="2">
        <v>98.480084311747348</v>
      </c>
    </row>
    <row r="427" spans="1:1" x14ac:dyDescent="0.55000000000000004">
      <c r="A427" s="2">
        <v>99.207981488412457</v>
      </c>
    </row>
    <row r="428" spans="1:1" x14ac:dyDescent="0.55000000000000004">
      <c r="A428" s="2">
        <v>97.68595500518353</v>
      </c>
    </row>
    <row r="429" spans="1:1" x14ac:dyDescent="0.55000000000000004">
      <c r="A429" s="2">
        <v>97.643571265943351</v>
      </c>
    </row>
    <row r="430" spans="1:1" x14ac:dyDescent="0.55000000000000004">
      <c r="A430" s="2">
        <v>101.71120950833203</v>
      </c>
    </row>
    <row r="431" spans="1:1" x14ac:dyDescent="0.55000000000000004">
      <c r="A431" s="2">
        <v>100.99820433237456</v>
      </c>
    </row>
    <row r="432" spans="1:1" x14ac:dyDescent="0.55000000000000004">
      <c r="A432" s="2">
        <v>99.60146779081505</v>
      </c>
    </row>
    <row r="433" spans="1:1" x14ac:dyDescent="0.55000000000000004">
      <c r="A433" s="2">
        <v>101.37078790948712</v>
      </c>
    </row>
    <row r="434" spans="1:1" x14ac:dyDescent="0.55000000000000004">
      <c r="A434" s="2">
        <v>98.726623924908964</v>
      </c>
    </row>
    <row r="435" spans="1:1" x14ac:dyDescent="0.55000000000000004">
      <c r="A435" s="2">
        <v>99.947759192004185</v>
      </c>
    </row>
    <row r="436" spans="1:1" x14ac:dyDescent="0.55000000000000004">
      <c r="A436" s="2">
        <v>100.41891002155018</v>
      </c>
    </row>
    <row r="437" spans="1:1" x14ac:dyDescent="0.55000000000000004">
      <c r="A437" s="2">
        <v>99.56112912902546</v>
      </c>
    </row>
    <row r="438" spans="1:1" x14ac:dyDescent="0.55000000000000004">
      <c r="A438" s="2">
        <v>99.029324018478945</v>
      </c>
    </row>
    <row r="439" spans="1:1" x14ac:dyDescent="0.55000000000000004">
      <c r="A439" s="2">
        <v>99.462938311003995</v>
      </c>
    </row>
    <row r="440" spans="1:1" x14ac:dyDescent="0.55000000000000004">
      <c r="A440" s="2">
        <v>99.390856570795137</v>
      </c>
    </row>
    <row r="441" spans="1:1" x14ac:dyDescent="0.55000000000000004">
      <c r="A441" s="2">
        <v>103.5756354673907</v>
      </c>
    </row>
    <row r="442" spans="1:1" x14ac:dyDescent="0.55000000000000004">
      <c r="A442" s="2">
        <v>100.79803317365072</v>
      </c>
    </row>
    <row r="443" spans="1:1" x14ac:dyDescent="0.55000000000000004">
      <c r="A443" s="2">
        <v>99.065919709509373</v>
      </c>
    </row>
    <row r="444" spans="1:1" x14ac:dyDescent="0.55000000000000004">
      <c r="A444" s="2">
        <v>99.069217085263872</v>
      </c>
    </row>
    <row r="445" spans="1:1" x14ac:dyDescent="0.55000000000000004">
      <c r="A445" s="2">
        <v>97.75656093356956</v>
      </c>
    </row>
    <row r="446" spans="1:1" x14ac:dyDescent="0.55000000000000004">
      <c r="A446" s="2">
        <v>103.04134981145712</v>
      </c>
    </row>
    <row r="447" spans="1:1" x14ac:dyDescent="0.55000000000000004">
      <c r="A447" s="2">
        <v>98.374557347268166</v>
      </c>
    </row>
    <row r="448" spans="1:1" x14ac:dyDescent="0.55000000000000004">
      <c r="A448" s="2">
        <v>99.02272216329176</v>
      </c>
    </row>
    <row r="449" spans="1:1" x14ac:dyDescent="0.55000000000000004">
      <c r="A449" s="2">
        <v>97.795001027316076</v>
      </c>
    </row>
    <row r="450" spans="1:1" x14ac:dyDescent="0.55000000000000004">
      <c r="A450" s="2">
        <v>100.5396740936506</v>
      </c>
    </row>
    <row r="451" spans="1:1" x14ac:dyDescent="0.55000000000000004">
      <c r="A451" s="2">
        <v>94.566524064588961</v>
      </c>
    </row>
    <row r="452" spans="1:1" x14ac:dyDescent="0.55000000000000004">
      <c r="A452" s="2">
        <v>99.543736987829732</v>
      </c>
    </row>
    <row r="453" spans="1:1" x14ac:dyDescent="0.55000000000000004">
      <c r="A453" s="2">
        <v>99.928887749553553</v>
      </c>
    </row>
    <row r="454" spans="1:1" x14ac:dyDescent="0.55000000000000004">
      <c r="A454" s="2">
        <v>101.561217247917</v>
      </c>
    </row>
    <row r="455" spans="1:1" x14ac:dyDescent="0.55000000000000004">
      <c r="A455" s="2">
        <v>100.57443058518265</v>
      </c>
    </row>
    <row r="456" spans="1:1" x14ac:dyDescent="0.55000000000000004">
      <c r="A456" s="2">
        <v>102.49876154276362</v>
      </c>
    </row>
    <row r="457" spans="1:1" x14ac:dyDescent="0.55000000000000004">
      <c r="A457" s="2">
        <v>96.676716290956122</v>
      </c>
    </row>
    <row r="458" spans="1:1" x14ac:dyDescent="0.55000000000000004">
      <c r="A458" s="2">
        <v>100.01751545436215</v>
      </c>
    </row>
    <row r="459" spans="1:1" x14ac:dyDescent="0.55000000000000004">
      <c r="A459" s="2">
        <v>100.40511108791534</v>
      </c>
    </row>
    <row r="460" spans="1:1" x14ac:dyDescent="0.55000000000000004">
      <c r="A460" s="2">
        <v>98.500463017242893</v>
      </c>
    </row>
    <row r="461" spans="1:1" x14ac:dyDescent="0.55000000000000004">
      <c r="A461" s="2">
        <v>97.248810416632168</v>
      </c>
    </row>
    <row r="462" spans="1:1" x14ac:dyDescent="0.55000000000000004">
      <c r="A462" s="2">
        <v>98.529209322683371</v>
      </c>
    </row>
    <row r="463" spans="1:1" x14ac:dyDescent="0.55000000000000004">
      <c r="A463" s="2">
        <v>99.807161049556726</v>
      </c>
    </row>
    <row r="464" spans="1:1" x14ac:dyDescent="0.55000000000000004">
      <c r="A464" s="2">
        <v>100.26668718971433</v>
      </c>
    </row>
    <row r="465" spans="1:1" x14ac:dyDescent="0.55000000000000004">
      <c r="A465" s="2">
        <v>101.42187330105067</v>
      </c>
    </row>
    <row r="466" spans="1:1" x14ac:dyDescent="0.55000000000000004">
      <c r="A466" s="2">
        <v>99.79274823779366</v>
      </c>
    </row>
    <row r="467" spans="1:1" x14ac:dyDescent="0.55000000000000004">
      <c r="A467" s="2">
        <v>97.238673338938511</v>
      </c>
    </row>
    <row r="468" spans="1:1" x14ac:dyDescent="0.55000000000000004">
      <c r="A468" s="2">
        <v>102.06643996177583</v>
      </c>
    </row>
    <row r="469" spans="1:1" x14ac:dyDescent="0.55000000000000004">
      <c r="A469" s="2">
        <v>101.30208990701988</v>
      </c>
    </row>
    <row r="470" spans="1:1" x14ac:dyDescent="0.55000000000000004">
      <c r="A470" s="2">
        <v>101.8365221598428</v>
      </c>
    </row>
    <row r="471" spans="1:1" x14ac:dyDescent="0.55000000000000004">
      <c r="A471" s="2">
        <v>97.4100454131395</v>
      </c>
    </row>
    <row r="472" spans="1:1" x14ac:dyDescent="0.55000000000000004">
      <c r="A472" s="2">
        <v>100.49115350409085</v>
      </c>
    </row>
    <row r="473" spans="1:1" x14ac:dyDescent="0.55000000000000004">
      <c r="A473" s="2">
        <v>99.223512035572682</v>
      </c>
    </row>
    <row r="474" spans="1:1" x14ac:dyDescent="0.55000000000000004">
      <c r="A474" s="2">
        <v>102.00295107290006</v>
      </c>
    </row>
    <row r="475" spans="1:1" x14ac:dyDescent="0.55000000000000004">
      <c r="A475" s="2">
        <v>100.12026280685896</v>
      </c>
    </row>
    <row r="476" spans="1:1" x14ac:dyDescent="0.55000000000000004">
      <c r="A476" s="2">
        <v>102.71977411380405</v>
      </c>
    </row>
    <row r="477" spans="1:1" x14ac:dyDescent="0.55000000000000004">
      <c r="A477" s="2">
        <v>101.06220351695887</v>
      </c>
    </row>
    <row r="478" spans="1:1" x14ac:dyDescent="0.55000000000000004">
      <c r="A478" s="2">
        <v>95.176093231149181</v>
      </c>
    </row>
    <row r="479" spans="1:1" x14ac:dyDescent="0.55000000000000004">
      <c r="A479" s="2">
        <v>101.14664077495819</v>
      </c>
    </row>
    <row r="480" spans="1:1" x14ac:dyDescent="0.55000000000000004">
      <c r="A480" s="2">
        <v>98.266506716330767</v>
      </c>
    </row>
    <row r="481" spans="1:1" x14ac:dyDescent="0.55000000000000004">
      <c r="A481" s="2">
        <v>99.66502253633594</v>
      </c>
    </row>
    <row r="482" spans="1:1" x14ac:dyDescent="0.55000000000000004">
      <c r="A482" s="2">
        <v>99.931241957047391</v>
      </c>
    </row>
    <row r="483" spans="1:1" x14ac:dyDescent="0.55000000000000004">
      <c r="A483" s="2">
        <v>98.460634312989313</v>
      </c>
    </row>
    <row r="484" spans="1:1" x14ac:dyDescent="0.55000000000000004">
      <c r="A484" s="2">
        <v>98.469497102990843</v>
      </c>
    </row>
    <row r="485" spans="1:1" x14ac:dyDescent="0.55000000000000004">
      <c r="A485" s="2">
        <v>97.160180708882976</v>
      </c>
    </row>
    <row r="486" spans="1:1" x14ac:dyDescent="0.55000000000000004">
      <c r="A486" s="2">
        <v>99.581403593890485</v>
      </c>
    </row>
    <row r="487" spans="1:1" x14ac:dyDescent="0.55000000000000004">
      <c r="A487" s="2">
        <v>98.95510664825261</v>
      </c>
    </row>
    <row r="488" spans="1:1" x14ac:dyDescent="0.55000000000000004">
      <c r="A488" s="2">
        <v>96.714267774297852</v>
      </c>
    </row>
    <row r="489" spans="1:1" x14ac:dyDescent="0.55000000000000004">
      <c r="A489" s="2">
        <v>99.510809672888428</v>
      </c>
    </row>
    <row r="490" spans="1:1" x14ac:dyDescent="0.55000000000000004">
      <c r="A490" s="2">
        <v>103.44436940005485</v>
      </c>
    </row>
    <row r="491" spans="1:1" x14ac:dyDescent="0.55000000000000004">
      <c r="A491" s="2">
        <v>100.23855910695211</v>
      </c>
    </row>
    <row r="492" spans="1:1" x14ac:dyDescent="0.55000000000000004">
      <c r="A492" s="2">
        <v>98.788493643049094</v>
      </c>
    </row>
    <row r="493" spans="1:1" x14ac:dyDescent="0.55000000000000004">
      <c r="A493" s="2">
        <v>100.72855695506752</v>
      </c>
    </row>
    <row r="494" spans="1:1" x14ac:dyDescent="0.55000000000000004">
      <c r="A494" s="2">
        <v>99.680610100761029</v>
      </c>
    </row>
    <row r="495" spans="1:1" x14ac:dyDescent="0.55000000000000004">
      <c r="A495" s="2">
        <v>100.50723319986483</v>
      </c>
    </row>
    <row r="496" spans="1:1" x14ac:dyDescent="0.55000000000000004">
      <c r="A496" s="2">
        <v>101.27826806846195</v>
      </c>
    </row>
    <row r="497" spans="1:1" x14ac:dyDescent="0.55000000000000004">
      <c r="A497" s="2">
        <v>104.20342217549319</v>
      </c>
    </row>
    <row r="498" spans="1:1" x14ac:dyDescent="0.55000000000000004">
      <c r="A498" s="2">
        <v>98.116908489592774</v>
      </c>
    </row>
    <row r="499" spans="1:1" x14ac:dyDescent="0.55000000000000004">
      <c r="A499" s="2">
        <v>102.16507524248168</v>
      </c>
    </row>
    <row r="500" spans="1:1" x14ac:dyDescent="0.55000000000000004">
      <c r="A500" s="2">
        <v>98.421532855112488</v>
      </c>
    </row>
    <row r="501" spans="1:1" x14ac:dyDescent="0.55000000000000004">
      <c r="A501" s="2">
        <v>100.04335005632409</v>
      </c>
    </row>
  </sheetData>
  <mergeCells count="2">
    <mergeCell ref="R1:T1"/>
    <mergeCell ref="F24:Q24"/>
  </mergeCells>
  <hyperlinks>
    <hyperlink ref="R1" location="Menu!A1" display="Return to menu" xr:uid="{00000000-0004-0000-0C00-000000000000}"/>
  </hyperlinks>
  <printOptions horizontalCentered="1" verticalCentered="1"/>
  <pageMargins left="0.70000000000000007" right="0.70000000000000007" top="0.75000000000000011" bottom="0.75000000000000011" header="0.30000000000000004" footer="0.30000000000000004"/>
  <pageSetup orientation="landscape"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P104"/>
  <sheetViews>
    <sheetView zoomScale="90" workbookViewId="0">
      <selection activeCell="P1" sqref="P1"/>
    </sheetView>
  </sheetViews>
  <sheetFormatPr defaultRowHeight="12.3" x14ac:dyDescent="0.4"/>
  <cols>
    <col min="1" max="1" width="11.89453125" style="18" customWidth="1"/>
    <col min="2" max="2" width="9.1015625" style="18"/>
    <col min="3" max="3" width="6.734375" style="18" customWidth="1"/>
    <col min="4" max="4" width="6.62890625" style="18" customWidth="1"/>
    <col min="5" max="5" width="7.62890625" style="18" customWidth="1"/>
    <col min="6" max="6" width="8" style="18" customWidth="1"/>
    <col min="7" max="8" width="5.734375" style="18" customWidth="1"/>
    <col min="9" max="9" width="6.26171875" style="18" customWidth="1"/>
    <col min="10" max="15" width="9.1015625" style="18"/>
    <col min="16" max="16" width="20.734375" style="18" bestFit="1" customWidth="1"/>
    <col min="17" max="256" width="9.1015625" style="18"/>
    <col min="257" max="257" width="11.89453125" style="18" customWidth="1"/>
    <col min="258" max="258" width="9.1015625" style="18"/>
    <col min="259" max="259" width="6.734375" style="18" customWidth="1"/>
    <col min="260" max="260" width="6.62890625" style="18" customWidth="1"/>
    <col min="261" max="261" width="7.62890625" style="18" customWidth="1"/>
    <col min="262" max="262" width="8" style="18" customWidth="1"/>
    <col min="263" max="264" width="5.734375" style="18" customWidth="1"/>
    <col min="265" max="265" width="6.26171875" style="18" customWidth="1"/>
    <col min="266" max="512" width="9.1015625" style="18"/>
    <col min="513" max="513" width="11.89453125" style="18" customWidth="1"/>
    <col min="514" max="514" width="9.1015625" style="18"/>
    <col min="515" max="515" width="6.734375" style="18" customWidth="1"/>
    <col min="516" max="516" width="6.62890625" style="18" customWidth="1"/>
    <col min="517" max="517" width="7.62890625" style="18" customWidth="1"/>
    <col min="518" max="518" width="8" style="18" customWidth="1"/>
    <col min="519" max="520" width="5.734375" style="18" customWidth="1"/>
    <col min="521" max="521" width="6.26171875" style="18" customWidth="1"/>
    <col min="522" max="768" width="9.1015625" style="18"/>
    <col min="769" max="769" width="11.89453125" style="18" customWidth="1"/>
    <col min="770" max="770" width="9.1015625" style="18"/>
    <col min="771" max="771" width="6.734375" style="18" customWidth="1"/>
    <col min="772" max="772" width="6.62890625" style="18" customWidth="1"/>
    <col min="773" max="773" width="7.62890625" style="18" customWidth="1"/>
    <col min="774" max="774" width="8" style="18" customWidth="1"/>
    <col min="775" max="776" width="5.734375" style="18" customWidth="1"/>
    <col min="777" max="777" width="6.26171875" style="18" customWidth="1"/>
    <col min="778" max="1024" width="9.1015625" style="18"/>
    <col min="1025" max="1025" width="11.89453125" style="18" customWidth="1"/>
    <col min="1026" max="1026" width="9.1015625" style="18"/>
    <col min="1027" max="1027" width="6.734375" style="18" customWidth="1"/>
    <col min="1028" max="1028" width="6.62890625" style="18" customWidth="1"/>
    <col min="1029" max="1029" width="7.62890625" style="18" customWidth="1"/>
    <col min="1030" max="1030" width="8" style="18" customWidth="1"/>
    <col min="1031" max="1032" width="5.734375" style="18" customWidth="1"/>
    <col min="1033" max="1033" width="6.26171875" style="18" customWidth="1"/>
    <col min="1034" max="1280" width="9.1015625" style="18"/>
    <col min="1281" max="1281" width="11.89453125" style="18" customWidth="1"/>
    <col min="1282" max="1282" width="9.1015625" style="18"/>
    <col min="1283" max="1283" width="6.734375" style="18" customWidth="1"/>
    <col min="1284" max="1284" width="6.62890625" style="18" customWidth="1"/>
    <col min="1285" max="1285" width="7.62890625" style="18" customWidth="1"/>
    <col min="1286" max="1286" width="8" style="18" customWidth="1"/>
    <col min="1287" max="1288" width="5.734375" style="18" customWidth="1"/>
    <col min="1289" max="1289" width="6.26171875" style="18" customWidth="1"/>
    <col min="1290" max="1536" width="9.1015625" style="18"/>
    <col min="1537" max="1537" width="11.89453125" style="18" customWidth="1"/>
    <col min="1538" max="1538" width="9.1015625" style="18"/>
    <col min="1539" max="1539" width="6.734375" style="18" customWidth="1"/>
    <col min="1540" max="1540" width="6.62890625" style="18" customWidth="1"/>
    <col min="1541" max="1541" width="7.62890625" style="18" customWidth="1"/>
    <col min="1542" max="1542" width="8" style="18" customWidth="1"/>
    <col min="1543" max="1544" width="5.734375" style="18" customWidth="1"/>
    <col min="1545" max="1545" width="6.26171875" style="18" customWidth="1"/>
    <col min="1546" max="1792" width="9.1015625" style="18"/>
    <col min="1793" max="1793" width="11.89453125" style="18" customWidth="1"/>
    <col min="1794" max="1794" width="9.1015625" style="18"/>
    <col min="1795" max="1795" width="6.734375" style="18" customWidth="1"/>
    <col min="1796" max="1796" width="6.62890625" style="18" customWidth="1"/>
    <col min="1797" max="1797" width="7.62890625" style="18" customWidth="1"/>
    <col min="1798" max="1798" width="8" style="18" customWidth="1"/>
    <col min="1799" max="1800" width="5.734375" style="18" customWidth="1"/>
    <col min="1801" max="1801" width="6.26171875" style="18" customWidth="1"/>
    <col min="1802" max="2048" width="9.1015625" style="18"/>
    <col min="2049" max="2049" width="11.89453125" style="18" customWidth="1"/>
    <col min="2050" max="2050" width="9.1015625" style="18"/>
    <col min="2051" max="2051" width="6.734375" style="18" customWidth="1"/>
    <col min="2052" max="2052" width="6.62890625" style="18" customWidth="1"/>
    <col min="2053" max="2053" width="7.62890625" style="18" customWidth="1"/>
    <col min="2054" max="2054" width="8" style="18" customWidth="1"/>
    <col min="2055" max="2056" width="5.734375" style="18" customWidth="1"/>
    <col min="2057" max="2057" width="6.26171875" style="18" customWidth="1"/>
    <col min="2058" max="2304" width="9.1015625" style="18"/>
    <col min="2305" max="2305" width="11.89453125" style="18" customWidth="1"/>
    <col min="2306" max="2306" width="9.1015625" style="18"/>
    <col min="2307" max="2307" width="6.734375" style="18" customWidth="1"/>
    <col min="2308" max="2308" width="6.62890625" style="18" customWidth="1"/>
    <col min="2309" max="2309" width="7.62890625" style="18" customWidth="1"/>
    <col min="2310" max="2310" width="8" style="18" customWidth="1"/>
    <col min="2311" max="2312" width="5.734375" style="18" customWidth="1"/>
    <col min="2313" max="2313" width="6.26171875" style="18" customWidth="1"/>
    <col min="2314" max="2560" width="9.1015625" style="18"/>
    <col min="2561" max="2561" width="11.89453125" style="18" customWidth="1"/>
    <col min="2562" max="2562" width="9.1015625" style="18"/>
    <col min="2563" max="2563" width="6.734375" style="18" customWidth="1"/>
    <col min="2564" max="2564" width="6.62890625" style="18" customWidth="1"/>
    <col min="2565" max="2565" width="7.62890625" style="18" customWidth="1"/>
    <col min="2566" max="2566" width="8" style="18" customWidth="1"/>
    <col min="2567" max="2568" width="5.734375" style="18" customWidth="1"/>
    <col min="2569" max="2569" width="6.26171875" style="18" customWidth="1"/>
    <col min="2570" max="2816" width="9.1015625" style="18"/>
    <col min="2817" max="2817" width="11.89453125" style="18" customWidth="1"/>
    <col min="2818" max="2818" width="9.1015625" style="18"/>
    <col min="2819" max="2819" width="6.734375" style="18" customWidth="1"/>
    <col min="2820" max="2820" width="6.62890625" style="18" customWidth="1"/>
    <col min="2821" max="2821" width="7.62890625" style="18" customWidth="1"/>
    <col min="2822" max="2822" width="8" style="18" customWidth="1"/>
    <col min="2823" max="2824" width="5.734375" style="18" customWidth="1"/>
    <col min="2825" max="2825" width="6.26171875" style="18" customWidth="1"/>
    <col min="2826" max="3072" width="9.1015625" style="18"/>
    <col min="3073" max="3073" width="11.89453125" style="18" customWidth="1"/>
    <col min="3074" max="3074" width="9.1015625" style="18"/>
    <col min="3075" max="3075" width="6.734375" style="18" customWidth="1"/>
    <col min="3076" max="3076" width="6.62890625" style="18" customWidth="1"/>
    <col min="3077" max="3077" width="7.62890625" style="18" customWidth="1"/>
    <col min="3078" max="3078" width="8" style="18" customWidth="1"/>
    <col min="3079" max="3080" width="5.734375" style="18" customWidth="1"/>
    <col min="3081" max="3081" width="6.26171875" style="18" customWidth="1"/>
    <col min="3082" max="3328" width="9.1015625" style="18"/>
    <col min="3329" max="3329" width="11.89453125" style="18" customWidth="1"/>
    <col min="3330" max="3330" width="9.1015625" style="18"/>
    <col min="3331" max="3331" width="6.734375" style="18" customWidth="1"/>
    <col min="3332" max="3332" width="6.62890625" style="18" customWidth="1"/>
    <col min="3333" max="3333" width="7.62890625" style="18" customWidth="1"/>
    <col min="3334" max="3334" width="8" style="18" customWidth="1"/>
    <col min="3335" max="3336" width="5.734375" style="18" customWidth="1"/>
    <col min="3337" max="3337" width="6.26171875" style="18" customWidth="1"/>
    <col min="3338" max="3584" width="9.1015625" style="18"/>
    <col min="3585" max="3585" width="11.89453125" style="18" customWidth="1"/>
    <col min="3586" max="3586" width="9.1015625" style="18"/>
    <col min="3587" max="3587" width="6.734375" style="18" customWidth="1"/>
    <col min="3588" max="3588" width="6.62890625" style="18" customWidth="1"/>
    <col min="3589" max="3589" width="7.62890625" style="18" customWidth="1"/>
    <col min="3590" max="3590" width="8" style="18" customWidth="1"/>
    <col min="3591" max="3592" width="5.734375" style="18" customWidth="1"/>
    <col min="3593" max="3593" width="6.26171875" style="18" customWidth="1"/>
    <col min="3594" max="3840" width="9.1015625" style="18"/>
    <col min="3841" max="3841" width="11.89453125" style="18" customWidth="1"/>
    <col min="3842" max="3842" width="9.1015625" style="18"/>
    <col min="3843" max="3843" width="6.734375" style="18" customWidth="1"/>
    <col min="3844" max="3844" width="6.62890625" style="18" customWidth="1"/>
    <col min="3845" max="3845" width="7.62890625" style="18" customWidth="1"/>
    <col min="3846" max="3846" width="8" style="18" customWidth="1"/>
    <col min="3847" max="3848" width="5.734375" style="18" customWidth="1"/>
    <col min="3849" max="3849" width="6.26171875" style="18" customWidth="1"/>
    <col min="3850" max="4096" width="9.1015625" style="18"/>
    <col min="4097" max="4097" width="11.89453125" style="18" customWidth="1"/>
    <col min="4098" max="4098" width="9.1015625" style="18"/>
    <col min="4099" max="4099" width="6.734375" style="18" customWidth="1"/>
    <col min="4100" max="4100" width="6.62890625" style="18" customWidth="1"/>
    <col min="4101" max="4101" width="7.62890625" style="18" customWidth="1"/>
    <col min="4102" max="4102" width="8" style="18" customWidth="1"/>
    <col min="4103" max="4104" width="5.734375" style="18" customWidth="1"/>
    <col min="4105" max="4105" width="6.26171875" style="18" customWidth="1"/>
    <col min="4106" max="4352" width="9.1015625" style="18"/>
    <col min="4353" max="4353" width="11.89453125" style="18" customWidth="1"/>
    <col min="4354" max="4354" width="9.1015625" style="18"/>
    <col min="4355" max="4355" width="6.734375" style="18" customWidth="1"/>
    <col min="4356" max="4356" width="6.62890625" style="18" customWidth="1"/>
    <col min="4357" max="4357" width="7.62890625" style="18" customWidth="1"/>
    <col min="4358" max="4358" width="8" style="18" customWidth="1"/>
    <col min="4359" max="4360" width="5.734375" style="18" customWidth="1"/>
    <col min="4361" max="4361" width="6.26171875" style="18" customWidth="1"/>
    <col min="4362" max="4608" width="9.1015625" style="18"/>
    <col min="4609" max="4609" width="11.89453125" style="18" customWidth="1"/>
    <col min="4610" max="4610" width="9.1015625" style="18"/>
    <col min="4611" max="4611" width="6.734375" style="18" customWidth="1"/>
    <col min="4612" max="4612" width="6.62890625" style="18" customWidth="1"/>
    <col min="4613" max="4613" width="7.62890625" style="18" customWidth="1"/>
    <col min="4614" max="4614" width="8" style="18" customWidth="1"/>
    <col min="4615" max="4616" width="5.734375" style="18" customWidth="1"/>
    <col min="4617" max="4617" width="6.26171875" style="18" customWidth="1"/>
    <col min="4618" max="4864" width="9.1015625" style="18"/>
    <col min="4865" max="4865" width="11.89453125" style="18" customWidth="1"/>
    <col min="4866" max="4866" width="9.1015625" style="18"/>
    <col min="4867" max="4867" width="6.734375" style="18" customWidth="1"/>
    <col min="4868" max="4868" width="6.62890625" style="18" customWidth="1"/>
    <col min="4869" max="4869" width="7.62890625" style="18" customWidth="1"/>
    <col min="4870" max="4870" width="8" style="18" customWidth="1"/>
    <col min="4871" max="4872" width="5.734375" style="18" customWidth="1"/>
    <col min="4873" max="4873" width="6.26171875" style="18" customWidth="1"/>
    <col min="4874" max="5120" width="9.1015625" style="18"/>
    <col min="5121" max="5121" width="11.89453125" style="18" customWidth="1"/>
    <col min="5122" max="5122" width="9.1015625" style="18"/>
    <col min="5123" max="5123" width="6.734375" style="18" customWidth="1"/>
    <col min="5124" max="5124" width="6.62890625" style="18" customWidth="1"/>
    <col min="5125" max="5125" width="7.62890625" style="18" customWidth="1"/>
    <col min="5126" max="5126" width="8" style="18" customWidth="1"/>
    <col min="5127" max="5128" width="5.734375" style="18" customWidth="1"/>
    <col min="5129" max="5129" width="6.26171875" style="18" customWidth="1"/>
    <col min="5130" max="5376" width="9.1015625" style="18"/>
    <col min="5377" max="5377" width="11.89453125" style="18" customWidth="1"/>
    <col min="5378" max="5378" width="9.1015625" style="18"/>
    <col min="5379" max="5379" width="6.734375" style="18" customWidth="1"/>
    <col min="5380" max="5380" width="6.62890625" style="18" customWidth="1"/>
    <col min="5381" max="5381" width="7.62890625" style="18" customWidth="1"/>
    <col min="5382" max="5382" width="8" style="18" customWidth="1"/>
    <col min="5383" max="5384" width="5.734375" style="18" customWidth="1"/>
    <col min="5385" max="5385" width="6.26171875" style="18" customWidth="1"/>
    <col min="5386" max="5632" width="9.1015625" style="18"/>
    <col min="5633" max="5633" width="11.89453125" style="18" customWidth="1"/>
    <col min="5634" max="5634" width="9.1015625" style="18"/>
    <col min="5635" max="5635" width="6.734375" style="18" customWidth="1"/>
    <col min="5636" max="5636" width="6.62890625" style="18" customWidth="1"/>
    <col min="5637" max="5637" width="7.62890625" style="18" customWidth="1"/>
    <col min="5638" max="5638" width="8" style="18" customWidth="1"/>
    <col min="5639" max="5640" width="5.734375" style="18" customWidth="1"/>
    <col min="5641" max="5641" width="6.26171875" style="18" customWidth="1"/>
    <col min="5642" max="5888" width="9.1015625" style="18"/>
    <col min="5889" max="5889" width="11.89453125" style="18" customWidth="1"/>
    <col min="5890" max="5890" width="9.1015625" style="18"/>
    <col min="5891" max="5891" width="6.734375" style="18" customWidth="1"/>
    <col min="5892" max="5892" width="6.62890625" style="18" customWidth="1"/>
    <col min="5893" max="5893" width="7.62890625" style="18" customWidth="1"/>
    <col min="5894" max="5894" width="8" style="18" customWidth="1"/>
    <col min="5895" max="5896" width="5.734375" style="18" customWidth="1"/>
    <col min="5897" max="5897" width="6.26171875" style="18" customWidth="1"/>
    <col min="5898" max="6144" width="9.1015625" style="18"/>
    <col min="6145" max="6145" width="11.89453125" style="18" customWidth="1"/>
    <col min="6146" max="6146" width="9.1015625" style="18"/>
    <col min="6147" max="6147" width="6.734375" style="18" customWidth="1"/>
    <col min="6148" max="6148" width="6.62890625" style="18" customWidth="1"/>
    <col min="6149" max="6149" width="7.62890625" style="18" customWidth="1"/>
    <col min="6150" max="6150" width="8" style="18" customWidth="1"/>
    <col min="6151" max="6152" width="5.734375" style="18" customWidth="1"/>
    <col min="6153" max="6153" width="6.26171875" style="18" customWidth="1"/>
    <col min="6154" max="6400" width="9.1015625" style="18"/>
    <col min="6401" max="6401" width="11.89453125" style="18" customWidth="1"/>
    <col min="6402" max="6402" width="9.1015625" style="18"/>
    <col min="6403" max="6403" width="6.734375" style="18" customWidth="1"/>
    <col min="6404" max="6404" width="6.62890625" style="18" customWidth="1"/>
    <col min="6405" max="6405" width="7.62890625" style="18" customWidth="1"/>
    <col min="6406" max="6406" width="8" style="18" customWidth="1"/>
    <col min="6407" max="6408" width="5.734375" style="18" customWidth="1"/>
    <col min="6409" max="6409" width="6.26171875" style="18" customWidth="1"/>
    <col min="6410" max="6656" width="9.1015625" style="18"/>
    <col min="6657" max="6657" width="11.89453125" style="18" customWidth="1"/>
    <col min="6658" max="6658" width="9.1015625" style="18"/>
    <col min="6659" max="6659" width="6.734375" style="18" customWidth="1"/>
    <col min="6660" max="6660" width="6.62890625" style="18" customWidth="1"/>
    <col min="6661" max="6661" width="7.62890625" style="18" customWidth="1"/>
    <col min="6662" max="6662" width="8" style="18" customWidth="1"/>
    <col min="6663" max="6664" width="5.734375" style="18" customWidth="1"/>
    <col min="6665" max="6665" width="6.26171875" style="18" customWidth="1"/>
    <col min="6666" max="6912" width="9.1015625" style="18"/>
    <col min="6913" max="6913" width="11.89453125" style="18" customWidth="1"/>
    <col min="6914" max="6914" width="9.1015625" style="18"/>
    <col min="6915" max="6915" width="6.734375" style="18" customWidth="1"/>
    <col min="6916" max="6916" width="6.62890625" style="18" customWidth="1"/>
    <col min="6917" max="6917" width="7.62890625" style="18" customWidth="1"/>
    <col min="6918" max="6918" width="8" style="18" customWidth="1"/>
    <col min="6919" max="6920" width="5.734375" style="18" customWidth="1"/>
    <col min="6921" max="6921" width="6.26171875" style="18" customWidth="1"/>
    <col min="6922" max="7168" width="9.1015625" style="18"/>
    <col min="7169" max="7169" width="11.89453125" style="18" customWidth="1"/>
    <col min="7170" max="7170" width="9.1015625" style="18"/>
    <col min="7171" max="7171" width="6.734375" style="18" customWidth="1"/>
    <col min="7172" max="7172" width="6.62890625" style="18" customWidth="1"/>
    <col min="7173" max="7173" width="7.62890625" style="18" customWidth="1"/>
    <col min="7174" max="7174" width="8" style="18" customWidth="1"/>
    <col min="7175" max="7176" width="5.734375" style="18" customWidth="1"/>
    <col min="7177" max="7177" width="6.26171875" style="18" customWidth="1"/>
    <col min="7178" max="7424" width="9.1015625" style="18"/>
    <col min="7425" max="7425" width="11.89453125" style="18" customWidth="1"/>
    <col min="7426" max="7426" width="9.1015625" style="18"/>
    <col min="7427" max="7427" width="6.734375" style="18" customWidth="1"/>
    <col min="7428" max="7428" width="6.62890625" style="18" customWidth="1"/>
    <col min="7429" max="7429" width="7.62890625" style="18" customWidth="1"/>
    <col min="7430" max="7430" width="8" style="18" customWidth="1"/>
    <col min="7431" max="7432" width="5.734375" style="18" customWidth="1"/>
    <col min="7433" max="7433" width="6.26171875" style="18" customWidth="1"/>
    <col min="7434" max="7680" width="9.1015625" style="18"/>
    <col min="7681" max="7681" width="11.89453125" style="18" customWidth="1"/>
    <col min="7682" max="7682" width="9.1015625" style="18"/>
    <col min="7683" max="7683" width="6.734375" style="18" customWidth="1"/>
    <col min="7684" max="7684" width="6.62890625" style="18" customWidth="1"/>
    <col min="7685" max="7685" width="7.62890625" style="18" customWidth="1"/>
    <col min="7686" max="7686" width="8" style="18" customWidth="1"/>
    <col min="7687" max="7688" width="5.734375" style="18" customWidth="1"/>
    <col min="7689" max="7689" width="6.26171875" style="18" customWidth="1"/>
    <col min="7690" max="7936" width="9.1015625" style="18"/>
    <col min="7937" max="7937" width="11.89453125" style="18" customWidth="1"/>
    <col min="7938" max="7938" width="9.1015625" style="18"/>
    <col min="7939" max="7939" width="6.734375" style="18" customWidth="1"/>
    <col min="7940" max="7940" width="6.62890625" style="18" customWidth="1"/>
    <col min="7941" max="7941" width="7.62890625" style="18" customWidth="1"/>
    <col min="7942" max="7942" width="8" style="18" customWidth="1"/>
    <col min="7943" max="7944" width="5.734375" style="18" customWidth="1"/>
    <col min="7945" max="7945" width="6.26171875" style="18" customWidth="1"/>
    <col min="7946" max="8192" width="9.1015625" style="18"/>
    <col min="8193" max="8193" width="11.89453125" style="18" customWidth="1"/>
    <col min="8194" max="8194" width="9.1015625" style="18"/>
    <col min="8195" max="8195" width="6.734375" style="18" customWidth="1"/>
    <col min="8196" max="8196" width="6.62890625" style="18" customWidth="1"/>
    <col min="8197" max="8197" width="7.62890625" style="18" customWidth="1"/>
    <col min="8198" max="8198" width="8" style="18" customWidth="1"/>
    <col min="8199" max="8200" width="5.734375" style="18" customWidth="1"/>
    <col min="8201" max="8201" width="6.26171875" style="18" customWidth="1"/>
    <col min="8202" max="8448" width="9.1015625" style="18"/>
    <col min="8449" max="8449" width="11.89453125" style="18" customWidth="1"/>
    <col min="8450" max="8450" width="9.1015625" style="18"/>
    <col min="8451" max="8451" width="6.734375" style="18" customWidth="1"/>
    <col min="8452" max="8452" width="6.62890625" style="18" customWidth="1"/>
    <col min="8453" max="8453" width="7.62890625" style="18" customWidth="1"/>
    <col min="8454" max="8454" width="8" style="18" customWidth="1"/>
    <col min="8455" max="8456" width="5.734375" style="18" customWidth="1"/>
    <col min="8457" max="8457" width="6.26171875" style="18" customWidth="1"/>
    <col min="8458" max="8704" width="9.1015625" style="18"/>
    <col min="8705" max="8705" width="11.89453125" style="18" customWidth="1"/>
    <col min="8706" max="8706" width="9.1015625" style="18"/>
    <col min="8707" max="8707" width="6.734375" style="18" customWidth="1"/>
    <col min="8708" max="8708" width="6.62890625" style="18" customWidth="1"/>
    <col min="8709" max="8709" width="7.62890625" style="18" customWidth="1"/>
    <col min="8710" max="8710" width="8" style="18" customWidth="1"/>
    <col min="8711" max="8712" width="5.734375" style="18" customWidth="1"/>
    <col min="8713" max="8713" width="6.26171875" style="18" customWidth="1"/>
    <col min="8714" max="8960" width="9.1015625" style="18"/>
    <col min="8961" max="8961" width="11.89453125" style="18" customWidth="1"/>
    <col min="8962" max="8962" width="9.1015625" style="18"/>
    <col min="8963" max="8963" width="6.734375" style="18" customWidth="1"/>
    <col min="8964" max="8964" width="6.62890625" style="18" customWidth="1"/>
    <col min="8965" max="8965" width="7.62890625" style="18" customWidth="1"/>
    <col min="8966" max="8966" width="8" style="18" customWidth="1"/>
    <col min="8967" max="8968" width="5.734375" style="18" customWidth="1"/>
    <col min="8969" max="8969" width="6.26171875" style="18" customWidth="1"/>
    <col min="8970" max="9216" width="9.1015625" style="18"/>
    <col min="9217" max="9217" width="11.89453125" style="18" customWidth="1"/>
    <col min="9218" max="9218" width="9.1015625" style="18"/>
    <col min="9219" max="9219" width="6.734375" style="18" customWidth="1"/>
    <col min="9220" max="9220" width="6.62890625" style="18" customWidth="1"/>
    <col min="9221" max="9221" width="7.62890625" style="18" customWidth="1"/>
    <col min="9222" max="9222" width="8" style="18" customWidth="1"/>
    <col min="9223" max="9224" width="5.734375" style="18" customWidth="1"/>
    <col min="9225" max="9225" width="6.26171875" style="18" customWidth="1"/>
    <col min="9226" max="9472" width="9.1015625" style="18"/>
    <col min="9473" max="9473" width="11.89453125" style="18" customWidth="1"/>
    <col min="9474" max="9474" width="9.1015625" style="18"/>
    <col min="9475" max="9475" width="6.734375" style="18" customWidth="1"/>
    <col min="9476" max="9476" width="6.62890625" style="18" customWidth="1"/>
    <col min="9477" max="9477" width="7.62890625" style="18" customWidth="1"/>
    <col min="9478" max="9478" width="8" style="18" customWidth="1"/>
    <col min="9479" max="9480" width="5.734375" style="18" customWidth="1"/>
    <col min="9481" max="9481" width="6.26171875" style="18" customWidth="1"/>
    <col min="9482" max="9728" width="9.1015625" style="18"/>
    <col min="9729" max="9729" width="11.89453125" style="18" customWidth="1"/>
    <col min="9730" max="9730" width="9.1015625" style="18"/>
    <col min="9731" max="9731" width="6.734375" style="18" customWidth="1"/>
    <col min="9732" max="9732" width="6.62890625" style="18" customWidth="1"/>
    <col min="9733" max="9733" width="7.62890625" style="18" customWidth="1"/>
    <col min="9734" max="9734" width="8" style="18" customWidth="1"/>
    <col min="9735" max="9736" width="5.734375" style="18" customWidth="1"/>
    <col min="9737" max="9737" width="6.26171875" style="18" customWidth="1"/>
    <col min="9738" max="9984" width="9.1015625" style="18"/>
    <col min="9985" max="9985" width="11.89453125" style="18" customWidth="1"/>
    <col min="9986" max="9986" width="9.1015625" style="18"/>
    <col min="9987" max="9987" width="6.734375" style="18" customWidth="1"/>
    <col min="9988" max="9988" width="6.62890625" style="18" customWidth="1"/>
    <col min="9989" max="9989" width="7.62890625" style="18" customWidth="1"/>
    <col min="9990" max="9990" width="8" style="18" customWidth="1"/>
    <col min="9991" max="9992" width="5.734375" style="18" customWidth="1"/>
    <col min="9993" max="9993" width="6.26171875" style="18" customWidth="1"/>
    <col min="9994" max="10240" width="9.1015625" style="18"/>
    <col min="10241" max="10241" width="11.89453125" style="18" customWidth="1"/>
    <col min="10242" max="10242" width="9.1015625" style="18"/>
    <col min="10243" max="10243" width="6.734375" style="18" customWidth="1"/>
    <col min="10244" max="10244" width="6.62890625" style="18" customWidth="1"/>
    <col min="10245" max="10245" width="7.62890625" style="18" customWidth="1"/>
    <col min="10246" max="10246" width="8" style="18" customWidth="1"/>
    <col min="10247" max="10248" width="5.734375" style="18" customWidth="1"/>
    <col min="10249" max="10249" width="6.26171875" style="18" customWidth="1"/>
    <col min="10250" max="10496" width="9.1015625" style="18"/>
    <col min="10497" max="10497" width="11.89453125" style="18" customWidth="1"/>
    <col min="10498" max="10498" width="9.1015625" style="18"/>
    <col min="10499" max="10499" width="6.734375" style="18" customWidth="1"/>
    <col min="10500" max="10500" width="6.62890625" style="18" customWidth="1"/>
    <col min="10501" max="10501" width="7.62890625" style="18" customWidth="1"/>
    <col min="10502" max="10502" width="8" style="18" customWidth="1"/>
    <col min="10503" max="10504" width="5.734375" style="18" customWidth="1"/>
    <col min="10505" max="10505" width="6.26171875" style="18" customWidth="1"/>
    <col min="10506" max="10752" width="9.1015625" style="18"/>
    <col min="10753" max="10753" width="11.89453125" style="18" customWidth="1"/>
    <col min="10754" max="10754" width="9.1015625" style="18"/>
    <col min="10755" max="10755" width="6.734375" style="18" customWidth="1"/>
    <col min="10756" max="10756" width="6.62890625" style="18" customWidth="1"/>
    <col min="10757" max="10757" width="7.62890625" style="18" customWidth="1"/>
    <col min="10758" max="10758" width="8" style="18" customWidth="1"/>
    <col min="10759" max="10760" width="5.734375" style="18" customWidth="1"/>
    <col min="10761" max="10761" width="6.26171875" style="18" customWidth="1"/>
    <col min="10762" max="11008" width="9.1015625" style="18"/>
    <col min="11009" max="11009" width="11.89453125" style="18" customWidth="1"/>
    <col min="11010" max="11010" width="9.1015625" style="18"/>
    <col min="11011" max="11011" width="6.734375" style="18" customWidth="1"/>
    <col min="11012" max="11012" width="6.62890625" style="18" customWidth="1"/>
    <col min="11013" max="11013" width="7.62890625" style="18" customWidth="1"/>
    <col min="11014" max="11014" width="8" style="18" customWidth="1"/>
    <col min="11015" max="11016" width="5.734375" style="18" customWidth="1"/>
    <col min="11017" max="11017" width="6.26171875" style="18" customWidth="1"/>
    <col min="11018" max="11264" width="9.1015625" style="18"/>
    <col min="11265" max="11265" width="11.89453125" style="18" customWidth="1"/>
    <col min="11266" max="11266" width="9.1015625" style="18"/>
    <col min="11267" max="11267" width="6.734375" style="18" customWidth="1"/>
    <col min="11268" max="11268" width="6.62890625" style="18" customWidth="1"/>
    <col min="11269" max="11269" width="7.62890625" style="18" customWidth="1"/>
    <col min="11270" max="11270" width="8" style="18" customWidth="1"/>
    <col min="11271" max="11272" width="5.734375" style="18" customWidth="1"/>
    <col min="11273" max="11273" width="6.26171875" style="18" customWidth="1"/>
    <col min="11274" max="11520" width="9.1015625" style="18"/>
    <col min="11521" max="11521" width="11.89453125" style="18" customWidth="1"/>
    <col min="11522" max="11522" width="9.1015625" style="18"/>
    <col min="11523" max="11523" width="6.734375" style="18" customWidth="1"/>
    <col min="11524" max="11524" width="6.62890625" style="18" customWidth="1"/>
    <col min="11525" max="11525" width="7.62890625" style="18" customWidth="1"/>
    <col min="11526" max="11526" width="8" style="18" customWidth="1"/>
    <col min="11527" max="11528" width="5.734375" style="18" customWidth="1"/>
    <col min="11529" max="11529" width="6.26171875" style="18" customWidth="1"/>
    <col min="11530" max="11776" width="9.1015625" style="18"/>
    <col min="11777" max="11777" width="11.89453125" style="18" customWidth="1"/>
    <col min="11778" max="11778" width="9.1015625" style="18"/>
    <col min="11779" max="11779" width="6.734375" style="18" customWidth="1"/>
    <col min="11780" max="11780" width="6.62890625" style="18" customWidth="1"/>
    <col min="11781" max="11781" width="7.62890625" style="18" customWidth="1"/>
    <col min="11782" max="11782" width="8" style="18" customWidth="1"/>
    <col min="11783" max="11784" width="5.734375" style="18" customWidth="1"/>
    <col min="11785" max="11785" width="6.26171875" style="18" customWidth="1"/>
    <col min="11786" max="12032" width="9.1015625" style="18"/>
    <col min="12033" max="12033" width="11.89453125" style="18" customWidth="1"/>
    <col min="12034" max="12034" width="9.1015625" style="18"/>
    <col min="12035" max="12035" width="6.734375" style="18" customWidth="1"/>
    <col min="12036" max="12036" width="6.62890625" style="18" customWidth="1"/>
    <col min="12037" max="12037" width="7.62890625" style="18" customWidth="1"/>
    <col min="12038" max="12038" width="8" style="18" customWidth="1"/>
    <col min="12039" max="12040" width="5.734375" style="18" customWidth="1"/>
    <col min="12041" max="12041" width="6.26171875" style="18" customWidth="1"/>
    <col min="12042" max="12288" width="9.1015625" style="18"/>
    <col min="12289" max="12289" width="11.89453125" style="18" customWidth="1"/>
    <col min="12290" max="12290" width="9.1015625" style="18"/>
    <col min="12291" max="12291" width="6.734375" style="18" customWidth="1"/>
    <col min="12292" max="12292" width="6.62890625" style="18" customWidth="1"/>
    <col min="12293" max="12293" width="7.62890625" style="18" customWidth="1"/>
    <col min="12294" max="12294" width="8" style="18" customWidth="1"/>
    <col min="12295" max="12296" width="5.734375" style="18" customWidth="1"/>
    <col min="12297" max="12297" width="6.26171875" style="18" customWidth="1"/>
    <col min="12298" max="12544" width="9.1015625" style="18"/>
    <col min="12545" max="12545" width="11.89453125" style="18" customWidth="1"/>
    <col min="12546" max="12546" width="9.1015625" style="18"/>
    <col min="12547" max="12547" width="6.734375" style="18" customWidth="1"/>
    <col min="12548" max="12548" width="6.62890625" style="18" customWidth="1"/>
    <col min="12549" max="12549" width="7.62890625" style="18" customWidth="1"/>
    <col min="12550" max="12550" width="8" style="18" customWidth="1"/>
    <col min="12551" max="12552" width="5.734375" style="18" customWidth="1"/>
    <col min="12553" max="12553" width="6.26171875" style="18" customWidth="1"/>
    <col min="12554" max="12800" width="9.1015625" style="18"/>
    <col min="12801" max="12801" width="11.89453125" style="18" customWidth="1"/>
    <col min="12802" max="12802" width="9.1015625" style="18"/>
    <col min="12803" max="12803" width="6.734375" style="18" customWidth="1"/>
    <col min="12804" max="12804" width="6.62890625" style="18" customWidth="1"/>
    <col min="12805" max="12805" width="7.62890625" style="18" customWidth="1"/>
    <col min="12806" max="12806" width="8" style="18" customWidth="1"/>
    <col min="12807" max="12808" width="5.734375" style="18" customWidth="1"/>
    <col min="12809" max="12809" width="6.26171875" style="18" customWidth="1"/>
    <col min="12810" max="13056" width="9.1015625" style="18"/>
    <col min="13057" max="13057" width="11.89453125" style="18" customWidth="1"/>
    <col min="13058" max="13058" width="9.1015625" style="18"/>
    <col min="13059" max="13059" width="6.734375" style="18" customWidth="1"/>
    <col min="13060" max="13060" width="6.62890625" style="18" customWidth="1"/>
    <col min="13061" max="13061" width="7.62890625" style="18" customWidth="1"/>
    <col min="13062" max="13062" width="8" style="18" customWidth="1"/>
    <col min="13063" max="13064" width="5.734375" style="18" customWidth="1"/>
    <col min="13065" max="13065" width="6.26171875" style="18" customWidth="1"/>
    <col min="13066" max="13312" width="9.1015625" style="18"/>
    <col min="13313" max="13313" width="11.89453125" style="18" customWidth="1"/>
    <col min="13314" max="13314" width="9.1015625" style="18"/>
    <col min="13315" max="13315" width="6.734375" style="18" customWidth="1"/>
    <col min="13316" max="13316" width="6.62890625" style="18" customWidth="1"/>
    <col min="13317" max="13317" width="7.62890625" style="18" customWidth="1"/>
    <col min="13318" max="13318" width="8" style="18" customWidth="1"/>
    <col min="13319" max="13320" width="5.734375" style="18" customWidth="1"/>
    <col min="13321" max="13321" width="6.26171875" style="18" customWidth="1"/>
    <col min="13322" max="13568" width="9.1015625" style="18"/>
    <col min="13569" max="13569" width="11.89453125" style="18" customWidth="1"/>
    <col min="13570" max="13570" width="9.1015625" style="18"/>
    <col min="13571" max="13571" width="6.734375" style="18" customWidth="1"/>
    <col min="13572" max="13572" width="6.62890625" style="18" customWidth="1"/>
    <col min="13573" max="13573" width="7.62890625" style="18" customWidth="1"/>
    <col min="13574" max="13574" width="8" style="18" customWidth="1"/>
    <col min="13575" max="13576" width="5.734375" style="18" customWidth="1"/>
    <col min="13577" max="13577" width="6.26171875" style="18" customWidth="1"/>
    <col min="13578" max="13824" width="9.1015625" style="18"/>
    <col min="13825" max="13825" width="11.89453125" style="18" customWidth="1"/>
    <col min="13826" max="13826" width="9.1015625" style="18"/>
    <col min="13827" max="13827" width="6.734375" style="18" customWidth="1"/>
    <col min="13828" max="13828" width="6.62890625" style="18" customWidth="1"/>
    <col min="13829" max="13829" width="7.62890625" style="18" customWidth="1"/>
    <col min="13830" max="13830" width="8" style="18" customWidth="1"/>
    <col min="13831" max="13832" width="5.734375" style="18" customWidth="1"/>
    <col min="13833" max="13833" width="6.26171875" style="18" customWidth="1"/>
    <col min="13834" max="14080" width="9.1015625" style="18"/>
    <col min="14081" max="14081" width="11.89453125" style="18" customWidth="1"/>
    <col min="14082" max="14082" width="9.1015625" style="18"/>
    <col min="14083" max="14083" width="6.734375" style="18" customWidth="1"/>
    <col min="14084" max="14084" width="6.62890625" style="18" customWidth="1"/>
    <col min="14085" max="14085" width="7.62890625" style="18" customWidth="1"/>
    <col min="14086" max="14086" width="8" style="18" customWidth="1"/>
    <col min="14087" max="14088" width="5.734375" style="18" customWidth="1"/>
    <col min="14089" max="14089" width="6.26171875" style="18" customWidth="1"/>
    <col min="14090" max="14336" width="9.1015625" style="18"/>
    <col min="14337" max="14337" width="11.89453125" style="18" customWidth="1"/>
    <col min="14338" max="14338" width="9.1015625" style="18"/>
    <col min="14339" max="14339" width="6.734375" style="18" customWidth="1"/>
    <col min="14340" max="14340" width="6.62890625" style="18" customWidth="1"/>
    <col min="14341" max="14341" width="7.62890625" style="18" customWidth="1"/>
    <col min="14342" max="14342" width="8" style="18" customWidth="1"/>
    <col min="14343" max="14344" width="5.734375" style="18" customWidth="1"/>
    <col min="14345" max="14345" width="6.26171875" style="18" customWidth="1"/>
    <col min="14346" max="14592" width="9.1015625" style="18"/>
    <col min="14593" max="14593" width="11.89453125" style="18" customWidth="1"/>
    <col min="14594" max="14594" width="9.1015625" style="18"/>
    <col min="14595" max="14595" width="6.734375" style="18" customWidth="1"/>
    <col min="14596" max="14596" width="6.62890625" style="18" customWidth="1"/>
    <col min="14597" max="14597" width="7.62890625" style="18" customWidth="1"/>
    <col min="14598" max="14598" width="8" style="18" customWidth="1"/>
    <col min="14599" max="14600" width="5.734375" style="18" customWidth="1"/>
    <col min="14601" max="14601" width="6.26171875" style="18" customWidth="1"/>
    <col min="14602" max="14848" width="9.1015625" style="18"/>
    <col min="14849" max="14849" width="11.89453125" style="18" customWidth="1"/>
    <col min="14850" max="14850" width="9.1015625" style="18"/>
    <col min="14851" max="14851" width="6.734375" style="18" customWidth="1"/>
    <col min="14852" max="14852" width="6.62890625" style="18" customWidth="1"/>
    <col min="14853" max="14853" width="7.62890625" style="18" customWidth="1"/>
    <col min="14854" max="14854" width="8" style="18" customWidth="1"/>
    <col min="14855" max="14856" width="5.734375" style="18" customWidth="1"/>
    <col min="14857" max="14857" width="6.26171875" style="18" customWidth="1"/>
    <col min="14858" max="15104" width="9.1015625" style="18"/>
    <col min="15105" max="15105" width="11.89453125" style="18" customWidth="1"/>
    <col min="15106" max="15106" width="9.1015625" style="18"/>
    <col min="15107" max="15107" width="6.734375" style="18" customWidth="1"/>
    <col min="15108" max="15108" width="6.62890625" style="18" customWidth="1"/>
    <col min="15109" max="15109" width="7.62890625" style="18" customWidth="1"/>
    <col min="15110" max="15110" width="8" style="18" customWidth="1"/>
    <col min="15111" max="15112" width="5.734375" style="18" customWidth="1"/>
    <col min="15113" max="15113" width="6.26171875" style="18" customWidth="1"/>
    <col min="15114" max="15360" width="9.1015625" style="18"/>
    <col min="15361" max="15361" width="11.89453125" style="18" customWidth="1"/>
    <col min="15362" max="15362" width="9.1015625" style="18"/>
    <col min="15363" max="15363" width="6.734375" style="18" customWidth="1"/>
    <col min="15364" max="15364" width="6.62890625" style="18" customWidth="1"/>
    <col min="15365" max="15365" width="7.62890625" style="18" customWidth="1"/>
    <col min="15366" max="15366" width="8" style="18" customWidth="1"/>
    <col min="15367" max="15368" width="5.734375" style="18" customWidth="1"/>
    <col min="15369" max="15369" width="6.26171875" style="18" customWidth="1"/>
    <col min="15370" max="15616" width="9.1015625" style="18"/>
    <col min="15617" max="15617" width="11.89453125" style="18" customWidth="1"/>
    <col min="15618" max="15618" width="9.1015625" style="18"/>
    <col min="15619" max="15619" width="6.734375" style="18" customWidth="1"/>
    <col min="15620" max="15620" width="6.62890625" style="18" customWidth="1"/>
    <col min="15621" max="15621" width="7.62890625" style="18" customWidth="1"/>
    <col min="15622" max="15622" width="8" style="18" customWidth="1"/>
    <col min="15623" max="15624" width="5.734375" style="18" customWidth="1"/>
    <col min="15625" max="15625" width="6.26171875" style="18" customWidth="1"/>
    <col min="15626" max="15872" width="9.1015625" style="18"/>
    <col min="15873" max="15873" width="11.89453125" style="18" customWidth="1"/>
    <col min="15874" max="15874" width="9.1015625" style="18"/>
    <col min="15875" max="15875" width="6.734375" style="18" customWidth="1"/>
    <col min="15876" max="15876" width="6.62890625" style="18" customWidth="1"/>
    <col min="15877" max="15877" width="7.62890625" style="18" customWidth="1"/>
    <col min="15878" max="15878" width="8" style="18" customWidth="1"/>
    <col min="15879" max="15880" width="5.734375" style="18" customWidth="1"/>
    <col min="15881" max="15881" width="6.26171875" style="18" customWidth="1"/>
    <col min="15882" max="16128" width="9.1015625" style="18"/>
    <col min="16129" max="16129" width="11.89453125" style="18" customWidth="1"/>
    <col min="16130" max="16130" width="9.1015625" style="18"/>
    <col min="16131" max="16131" width="6.734375" style="18" customWidth="1"/>
    <col min="16132" max="16132" width="6.62890625" style="18" customWidth="1"/>
    <col min="16133" max="16133" width="7.62890625" style="18" customWidth="1"/>
    <col min="16134" max="16134" width="8" style="18" customWidth="1"/>
    <col min="16135" max="16136" width="5.734375" style="18" customWidth="1"/>
    <col min="16137" max="16137" width="6.26171875" style="18" customWidth="1"/>
    <col min="16138" max="16384" width="9.1015625" style="18"/>
  </cols>
  <sheetData>
    <row r="1" spans="1:16" ht="20.399999999999999" x14ac:dyDescent="0.75">
      <c r="A1" s="148" t="s">
        <v>177</v>
      </c>
      <c r="P1" s="7" t="s">
        <v>20</v>
      </c>
    </row>
    <row r="2" spans="1:16" ht="12.6" x14ac:dyDescent="0.45">
      <c r="A2" s="280" t="s">
        <v>178</v>
      </c>
    </row>
    <row r="3" spans="1:16" ht="12.6" x14ac:dyDescent="0.45">
      <c r="A3" s="144" t="s">
        <v>179</v>
      </c>
    </row>
    <row r="4" spans="1:16" ht="12.6" x14ac:dyDescent="0.45">
      <c r="A4" s="144" t="s">
        <v>180</v>
      </c>
    </row>
    <row r="5" spans="1:16" ht="12.6" thickBot="1" x14ac:dyDescent="0.45"/>
    <row r="6" spans="1:16" ht="15.3" thickBot="1" x14ac:dyDescent="0.55000000000000004">
      <c r="A6" s="156" t="s">
        <v>181</v>
      </c>
      <c r="E6" s="281">
        <v>10</v>
      </c>
      <c r="J6" s="142" t="s">
        <v>148</v>
      </c>
    </row>
    <row r="7" spans="1:16" ht="12.6" thickBot="1" x14ac:dyDescent="0.45">
      <c r="A7" s="664" t="s">
        <v>182</v>
      </c>
      <c r="B7" s="664"/>
      <c r="C7" s="664"/>
      <c r="D7" s="665"/>
      <c r="E7" s="281">
        <v>2</v>
      </c>
    </row>
    <row r="8" spans="1:16" ht="12.6" thickBot="1" x14ac:dyDescent="0.45"/>
    <row r="9" spans="1:16" x14ac:dyDescent="0.4">
      <c r="A9" s="150" t="s">
        <v>129</v>
      </c>
      <c r="B9" s="151"/>
      <c r="C9" s="666">
        <f>SUMIF(B14:B88,"&gt;-99999",B14:B88)/$E$6</f>
        <v>5.16</v>
      </c>
      <c r="D9" s="667"/>
      <c r="E9" s="152" t="s">
        <v>131</v>
      </c>
      <c r="F9" s="152" t="s">
        <v>132</v>
      </c>
      <c r="G9" s="282" t="s">
        <v>133</v>
      </c>
    </row>
    <row r="10" spans="1:16" ht="12.6" thickBot="1" x14ac:dyDescent="0.45">
      <c r="A10" s="154" t="s">
        <v>134</v>
      </c>
      <c r="B10" s="155"/>
      <c r="C10" s="668">
        <f>SUMIF(F15:F88,"&gt;-99999",F15:F88)/(E6-E7+1)</f>
        <v>0.66666666666666663</v>
      </c>
      <c r="D10" s="669"/>
      <c r="E10" s="283">
        <f>VLOOKUP($E$7,$A$96:$H$104,3)</f>
        <v>0</v>
      </c>
      <c r="F10" s="283">
        <f>VLOOKUP($E$7,$A$96:$H$104,4)</f>
        <v>3.2669999999999999</v>
      </c>
      <c r="G10" s="284">
        <f>VLOOKUP($E$7,$A$96:$H$104,5)</f>
        <v>1.1279999999999999</v>
      </c>
    </row>
    <row r="12" spans="1:16" x14ac:dyDescent="0.4">
      <c r="F12" s="148" t="s">
        <v>183</v>
      </c>
    </row>
    <row r="13" spans="1:16" ht="12.6" thickBot="1" x14ac:dyDescent="0.45">
      <c r="A13" s="148" t="s">
        <v>184</v>
      </c>
      <c r="B13" s="148" t="s">
        <v>185</v>
      </c>
      <c r="C13" s="148" t="s">
        <v>186</v>
      </c>
      <c r="D13" s="148" t="s">
        <v>187</v>
      </c>
      <c r="E13" s="148" t="s">
        <v>188</v>
      </c>
      <c r="F13" s="148" t="s">
        <v>139</v>
      </c>
      <c r="G13" s="148" t="s">
        <v>189</v>
      </c>
      <c r="H13" s="148" t="s">
        <v>190</v>
      </c>
      <c r="I13" s="148" t="s">
        <v>191</v>
      </c>
    </row>
    <row r="14" spans="1:16" x14ac:dyDescent="0.4">
      <c r="A14" s="18">
        <v>1</v>
      </c>
      <c r="B14" s="285">
        <v>3.4</v>
      </c>
      <c r="C14" s="18">
        <f>$C$9-3*$C$10/$G$10</f>
        <v>3.3869503546099291</v>
      </c>
      <c r="D14" s="18">
        <f>$C$9</f>
        <v>5.16</v>
      </c>
      <c r="E14" s="18">
        <f>$C$9+3*$C$10/$G$10</f>
        <v>6.9330496453900707</v>
      </c>
    </row>
    <row r="15" spans="1:16" x14ac:dyDescent="0.4">
      <c r="A15" s="18">
        <v>2</v>
      </c>
      <c r="B15" s="286">
        <v>3.6</v>
      </c>
      <c r="C15" s="18">
        <f t="shared" ref="C15:C78" si="0">$C$9-3*$C$10/$G$10</f>
        <v>3.3869503546099291</v>
      </c>
      <c r="D15" s="18">
        <f t="shared" ref="D15:D78" si="1">$C$9</f>
        <v>5.16</v>
      </c>
      <c r="E15" s="18">
        <f t="shared" ref="E15:E78" si="2">$C$9+3*$C$10/$G$10</f>
        <v>6.9330496453900707</v>
      </c>
      <c r="F15" s="18">
        <f>IF(B15&lt;&gt;"",IF($E$7=2,ABS(B14-B15),NA()),NA())</f>
        <v>0.20000000000000018</v>
      </c>
      <c r="G15" s="18">
        <f>IF($E$7=2,$E$10*$C$10,NA())</f>
        <v>0</v>
      </c>
      <c r="H15" s="18">
        <f>IF($E$7=2,$C$10,NA())</f>
        <v>0.66666666666666663</v>
      </c>
      <c r="I15" s="18">
        <f>IF($E$7=2,$F$10*$C$10,NA())</f>
        <v>2.1779999999999999</v>
      </c>
    </row>
    <row r="16" spans="1:16" x14ac:dyDescent="0.4">
      <c r="A16" s="18">
        <v>3</v>
      </c>
      <c r="B16" s="286">
        <v>3.2</v>
      </c>
      <c r="C16" s="18">
        <f t="shared" si="0"/>
        <v>3.3869503546099291</v>
      </c>
      <c r="D16" s="18">
        <f t="shared" si="1"/>
        <v>5.16</v>
      </c>
      <c r="E16" s="18">
        <f t="shared" si="2"/>
        <v>6.9330496453900707</v>
      </c>
      <c r="F16" s="18">
        <f>IF(B16&lt;&gt;"",IF($E$7=2,ABS(B15-B16),IF($E$7=3,MAX(B14:B16)-MIN(B14:B16),NA())),NA())</f>
        <v>0.39999999999999991</v>
      </c>
      <c r="G16" s="18">
        <f>IF($E$7&lt;=3,$E$10*$C$10,NA())</f>
        <v>0</v>
      </c>
      <c r="H16" s="18">
        <f>IF($E$7&lt;=3,$C$10, NA())</f>
        <v>0.66666666666666663</v>
      </c>
      <c r="I16" s="18">
        <f>IF($E$7&lt;=3,$F$10*$C$10,NA())</f>
        <v>2.1779999999999999</v>
      </c>
    </row>
    <row r="17" spans="1:9" x14ac:dyDescent="0.4">
      <c r="A17" s="18">
        <v>4</v>
      </c>
      <c r="B17" s="286">
        <v>3.7</v>
      </c>
      <c r="C17" s="18">
        <f t="shared" si="0"/>
        <v>3.3869503546099291</v>
      </c>
      <c r="D17" s="18">
        <f t="shared" si="1"/>
        <v>5.16</v>
      </c>
      <c r="E17" s="18">
        <f t="shared" si="2"/>
        <v>6.9330496453900707</v>
      </c>
      <c r="F17" s="18">
        <f>IF(B17&lt;&gt;"",IF($E$7=2,ABS(B16-B17),IF($E$7=3,MAX(B15:B17)-MIN(B15:B17),IF($E$7=4,MAX(B14:B17)-MIN(B14:B17),NA()))),NA())</f>
        <v>0.5</v>
      </c>
      <c r="G17" s="18">
        <f>IF($E$7&lt;=4,$E$10*$C$10,NA())</f>
        <v>0</v>
      </c>
      <c r="H17" s="18">
        <f>IF($E$7&lt;=4,$C$10,NA())</f>
        <v>0.66666666666666663</v>
      </c>
      <c r="I17" s="18">
        <f>IF($E$7&lt;=4,$F$10*$C$10,NA())</f>
        <v>2.1779999999999999</v>
      </c>
    </row>
    <row r="18" spans="1:9" x14ac:dyDescent="0.4">
      <c r="A18" s="18">
        <v>5</v>
      </c>
      <c r="B18" s="286">
        <v>3.6</v>
      </c>
      <c r="C18" s="18">
        <f t="shared" si="0"/>
        <v>3.3869503546099291</v>
      </c>
      <c r="D18" s="18">
        <f t="shared" si="1"/>
        <v>5.16</v>
      </c>
      <c r="E18" s="18">
        <f t="shared" si="2"/>
        <v>6.9330496453900707</v>
      </c>
      <c r="F18" s="18">
        <f>IF(B18&lt;&gt;"",IF($E$7=2,ABS(B17-B18),IF($E$7=3,MAX(B16:B18)-MIN(B16:B18),IF($E$7=4,MAX(B15:B18)-MIN(B15:B18),IF($E$7=5,MAX(B14:B18)-MIN(B14:B18),NA())))),NA())</f>
        <v>0.10000000000000009</v>
      </c>
      <c r="G18" s="18">
        <f>IF($E$7&lt;=5,$E$10*$C$10,NA())</f>
        <v>0</v>
      </c>
      <c r="H18" s="18">
        <f>IF($E$7&lt;=5,$C$10,NA())</f>
        <v>0.66666666666666663</v>
      </c>
      <c r="I18" s="18">
        <f>IF($E$7&lt;=5,$F$10*$C$10,NA())</f>
        <v>2.1779999999999999</v>
      </c>
    </row>
    <row r="19" spans="1:9" x14ac:dyDescent="0.4">
      <c r="A19" s="18">
        <v>6</v>
      </c>
      <c r="B19" s="286">
        <v>3.2</v>
      </c>
      <c r="C19" s="18">
        <f t="shared" si="0"/>
        <v>3.3869503546099291</v>
      </c>
      <c r="D19" s="18">
        <f t="shared" si="1"/>
        <v>5.16</v>
      </c>
      <c r="E19" s="18">
        <f t="shared" si="2"/>
        <v>6.9330496453900707</v>
      </c>
      <c r="F19" s="18">
        <f t="shared" ref="F19:F82" si="3">IF(B19&lt;&gt;"",IF($E$7=2,ABS(B18-B19),IF($E$7=3,MAX(B17:B19)-MIN(B17:B19),IF($E$7=4,MAX(B16:B19)-MIN(B16:B19),IF($E$7=5,MAX(B15:B19)-MIN(B15:B19),NA())))),NA())</f>
        <v>0.39999999999999991</v>
      </c>
      <c r="G19" s="18">
        <f t="shared" ref="G19:G82" si="4">$E$10*$C$10</f>
        <v>0</v>
      </c>
      <c r="H19" s="18">
        <f>$C$10</f>
        <v>0.66666666666666663</v>
      </c>
      <c r="I19" s="18">
        <f t="shared" ref="I19:I82" si="5">$F$10*$C$10</f>
        <v>2.1779999999999999</v>
      </c>
    </row>
    <row r="20" spans="1:9" x14ac:dyDescent="0.4">
      <c r="A20" s="18">
        <v>7</v>
      </c>
      <c r="B20" s="286">
        <v>3.7</v>
      </c>
      <c r="C20" s="18">
        <f t="shared" si="0"/>
        <v>3.3869503546099291</v>
      </c>
      <c r="D20" s="18">
        <f t="shared" si="1"/>
        <v>5.16</v>
      </c>
      <c r="E20" s="18">
        <f t="shared" si="2"/>
        <v>6.9330496453900707</v>
      </c>
      <c r="F20" s="18">
        <f t="shared" si="3"/>
        <v>0.5</v>
      </c>
      <c r="G20" s="18">
        <f t="shared" si="4"/>
        <v>0</v>
      </c>
      <c r="H20" s="18">
        <f t="shared" ref="H20:H83" si="6">$C$10</f>
        <v>0.66666666666666663</v>
      </c>
      <c r="I20" s="18">
        <f t="shared" si="5"/>
        <v>2.1779999999999999</v>
      </c>
    </row>
    <row r="21" spans="1:9" x14ac:dyDescent="0.4">
      <c r="A21" s="18">
        <v>8</v>
      </c>
      <c r="B21" s="286">
        <v>3.6</v>
      </c>
      <c r="C21" s="18">
        <f t="shared" si="0"/>
        <v>3.3869503546099291</v>
      </c>
      <c r="D21" s="18">
        <f t="shared" si="1"/>
        <v>5.16</v>
      </c>
      <c r="E21" s="18">
        <f t="shared" si="2"/>
        <v>6.9330496453900707</v>
      </c>
      <c r="F21" s="18">
        <f t="shared" si="3"/>
        <v>0.10000000000000009</v>
      </c>
      <c r="G21" s="18">
        <f t="shared" si="4"/>
        <v>0</v>
      </c>
      <c r="H21" s="18">
        <f t="shared" si="6"/>
        <v>0.66666666666666663</v>
      </c>
      <c r="I21" s="18">
        <f t="shared" si="5"/>
        <v>2.1779999999999999</v>
      </c>
    </row>
    <row r="22" spans="1:9" x14ac:dyDescent="0.4">
      <c r="A22" s="18">
        <v>9</v>
      </c>
      <c r="B22" s="286">
        <v>3.2</v>
      </c>
      <c r="C22" s="18">
        <f t="shared" si="0"/>
        <v>3.3869503546099291</v>
      </c>
      <c r="D22" s="18">
        <f t="shared" si="1"/>
        <v>5.16</v>
      </c>
      <c r="E22" s="18">
        <f t="shared" si="2"/>
        <v>6.9330496453900707</v>
      </c>
      <c r="F22" s="18">
        <f t="shared" si="3"/>
        <v>0.39999999999999991</v>
      </c>
      <c r="G22" s="18">
        <f t="shared" si="4"/>
        <v>0</v>
      </c>
      <c r="H22" s="18">
        <f t="shared" si="6"/>
        <v>0.66666666666666663</v>
      </c>
      <c r="I22" s="18">
        <f t="shared" si="5"/>
        <v>2.1779999999999999</v>
      </c>
    </row>
    <row r="23" spans="1:9" x14ac:dyDescent="0.4">
      <c r="A23" s="18">
        <v>10</v>
      </c>
      <c r="B23" s="286">
        <v>3.7</v>
      </c>
      <c r="C23" s="18">
        <f t="shared" si="0"/>
        <v>3.3869503546099291</v>
      </c>
      <c r="D23" s="18">
        <f t="shared" si="1"/>
        <v>5.16</v>
      </c>
      <c r="E23" s="18">
        <f t="shared" si="2"/>
        <v>6.9330496453900707</v>
      </c>
      <c r="F23" s="18">
        <f t="shared" si="3"/>
        <v>0.5</v>
      </c>
      <c r="G23" s="18">
        <f t="shared" si="4"/>
        <v>0</v>
      </c>
      <c r="H23" s="18">
        <f t="shared" si="6"/>
        <v>0.66666666666666663</v>
      </c>
      <c r="I23" s="18">
        <f t="shared" si="5"/>
        <v>2.1779999999999999</v>
      </c>
    </row>
    <row r="24" spans="1:9" x14ac:dyDescent="0.4">
      <c r="A24" s="18">
        <v>11</v>
      </c>
      <c r="B24" s="286">
        <v>3.8</v>
      </c>
      <c r="C24" s="18">
        <f t="shared" si="0"/>
        <v>3.3869503546099291</v>
      </c>
      <c r="D24" s="18">
        <f t="shared" si="1"/>
        <v>5.16</v>
      </c>
      <c r="E24" s="18">
        <f t="shared" si="2"/>
        <v>6.9330496453900707</v>
      </c>
      <c r="F24" s="18">
        <f t="shared" si="3"/>
        <v>9.9999999999999645E-2</v>
      </c>
      <c r="G24" s="18">
        <f t="shared" si="4"/>
        <v>0</v>
      </c>
      <c r="H24" s="18">
        <f t="shared" si="6"/>
        <v>0.66666666666666663</v>
      </c>
      <c r="I24" s="18">
        <f t="shared" si="5"/>
        <v>2.1779999999999999</v>
      </c>
    </row>
    <row r="25" spans="1:9" x14ac:dyDescent="0.4">
      <c r="A25" s="18">
        <v>12</v>
      </c>
      <c r="B25" s="286">
        <v>3.9</v>
      </c>
      <c r="C25" s="18">
        <f t="shared" si="0"/>
        <v>3.3869503546099291</v>
      </c>
      <c r="D25" s="18">
        <f t="shared" si="1"/>
        <v>5.16</v>
      </c>
      <c r="E25" s="18">
        <f t="shared" si="2"/>
        <v>6.9330496453900707</v>
      </c>
      <c r="F25" s="18">
        <f t="shared" si="3"/>
        <v>0.10000000000000009</v>
      </c>
      <c r="G25" s="18">
        <f t="shared" si="4"/>
        <v>0</v>
      </c>
      <c r="H25" s="18">
        <f t="shared" si="6"/>
        <v>0.66666666666666663</v>
      </c>
      <c r="I25" s="18">
        <f t="shared" si="5"/>
        <v>2.1779999999999999</v>
      </c>
    </row>
    <row r="26" spans="1:9" x14ac:dyDescent="0.4">
      <c r="A26" s="18">
        <v>13</v>
      </c>
      <c r="B26" s="286">
        <v>4.2</v>
      </c>
      <c r="C26" s="18">
        <f t="shared" si="0"/>
        <v>3.3869503546099291</v>
      </c>
      <c r="D26" s="18">
        <f t="shared" si="1"/>
        <v>5.16</v>
      </c>
      <c r="E26" s="18">
        <f t="shared" si="2"/>
        <v>6.9330496453900707</v>
      </c>
      <c r="F26" s="18">
        <f t="shared" si="3"/>
        <v>0.30000000000000027</v>
      </c>
      <c r="G26" s="18">
        <f t="shared" si="4"/>
        <v>0</v>
      </c>
      <c r="H26" s="18">
        <f t="shared" si="6"/>
        <v>0.66666666666666663</v>
      </c>
      <c r="I26" s="18">
        <f t="shared" si="5"/>
        <v>2.1779999999999999</v>
      </c>
    </row>
    <row r="27" spans="1:9" x14ac:dyDescent="0.4">
      <c r="A27" s="18">
        <v>14</v>
      </c>
      <c r="B27" s="286">
        <v>2.2000000000000002</v>
      </c>
      <c r="C27" s="18">
        <f t="shared" si="0"/>
        <v>3.3869503546099291</v>
      </c>
      <c r="D27" s="18">
        <f t="shared" si="1"/>
        <v>5.16</v>
      </c>
      <c r="E27" s="18">
        <f t="shared" si="2"/>
        <v>6.9330496453900707</v>
      </c>
      <c r="F27" s="18">
        <f t="shared" si="3"/>
        <v>2</v>
      </c>
      <c r="G27" s="18">
        <f t="shared" si="4"/>
        <v>0</v>
      </c>
      <c r="H27" s="18">
        <f t="shared" si="6"/>
        <v>0.66666666666666663</v>
      </c>
      <c r="I27" s="18">
        <f t="shared" si="5"/>
        <v>2.1779999999999999</v>
      </c>
    </row>
    <row r="28" spans="1:9" x14ac:dyDescent="0.4">
      <c r="A28" s="18">
        <v>15</v>
      </c>
      <c r="B28" s="286">
        <v>2.6</v>
      </c>
      <c r="C28" s="18">
        <f t="shared" si="0"/>
        <v>3.3869503546099291</v>
      </c>
      <c r="D28" s="18">
        <f t="shared" si="1"/>
        <v>5.16</v>
      </c>
      <c r="E28" s="18">
        <f t="shared" si="2"/>
        <v>6.9330496453900707</v>
      </c>
      <c r="F28" s="18">
        <f t="shared" si="3"/>
        <v>0.39999999999999991</v>
      </c>
      <c r="G28" s="18">
        <f t="shared" si="4"/>
        <v>0</v>
      </c>
      <c r="H28" s="18">
        <f t="shared" si="6"/>
        <v>0.66666666666666663</v>
      </c>
      <c r="I28" s="18">
        <f t="shared" si="5"/>
        <v>2.1779999999999999</v>
      </c>
    </row>
    <row r="29" spans="1:9" x14ac:dyDescent="0.4">
      <c r="A29" s="18">
        <v>16</v>
      </c>
      <c r="B29" s="286"/>
      <c r="C29" s="18">
        <f t="shared" si="0"/>
        <v>3.3869503546099291</v>
      </c>
      <c r="D29" s="18">
        <f t="shared" si="1"/>
        <v>5.16</v>
      </c>
      <c r="E29" s="18">
        <f t="shared" si="2"/>
        <v>6.9330496453900707</v>
      </c>
      <c r="F29" s="18" t="e">
        <f t="shared" si="3"/>
        <v>#N/A</v>
      </c>
      <c r="G29" s="18">
        <f t="shared" si="4"/>
        <v>0</v>
      </c>
      <c r="H29" s="18">
        <f t="shared" si="6"/>
        <v>0.66666666666666663</v>
      </c>
      <c r="I29" s="18">
        <f t="shared" si="5"/>
        <v>2.1779999999999999</v>
      </c>
    </row>
    <row r="30" spans="1:9" x14ac:dyDescent="0.4">
      <c r="A30" s="18">
        <v>17</v>
      </c>
      <c r="B30" s="286"/>
      <c r="C30" s="18">
        <f t="shared" si="0"/>
        <v>3.3869503546099291</v>
      </c>
      <c r="D30" s="18">
        <f t="shared" si="1"/>
        <v>5.16</v>
      </c>
      <c r="E30" s="18">
        <f t="shared" si="2"/>
        <v>6.9330496453900707</v>
      </c>
      <c r="F30" s="18" t="e">
        <f t="shared" si="3"/>
        <v>#N/A</v>
      </c>
      <c r="G30" s="18">
        <f t="shared" si="4"/>
        <v>0</v>
      </c>
      <c r="H30" s="18">
        <f t="shared" si="6"/>
        <v>0.66666666666666663</v>
      </c>
      <c r="I30" s="18">
        <f t="shared" si="5"/>
        <v>2.1779999999999999</v>
      </c>
    </row>
    <row r="31" spans="1:9" x14ac:dyDescent="0.4">
      <c r="A31" s="18">
        <v>18</v>
      </c>
      <c r="B31" s="286"/>
      <c r="C31" s="18">
        <f t="shared" si="0"/>
        <v>3.3869503546099291</v>
      </c>
      <c r="D31" s="18">
        <f t="shared" si="1"/>
        <v>5.16</v>
      </c>
      <c r="E31" s="18">
        <f t="shared" si="2"/>
        <v>6.9330496453900707</v>
      </c>
      <c r="F31" s="18" t="e">
        <f t="shared" si="3"/>
        <v>#N/A</v>
      </c>
      <c r="G31" s="18">
        <f t="shared" si="4"/>
        <v>0</v>
      </c>
      <c r="H31" s="18">
        <f t="shared" si="6"/>
        <v>0.66666666666666663</v>
      </c>
      <c r="I31" s="18">
        <f t="shared" si="5"/>
        <v>2.1779999999999999</v>
      </c>
    </row>
    <row r="32" spans="1:9" x14ac:dyDescent="0.4">
      <c r="A32" s="18">
        <v>19</v>
      </c>
      <c r="B32" s="286"/>
      <c r="C32" s="18">
        <f t="shared" si="0"/>
        <v>3.3869503546099291</v>
      </c>
      <c r="D32" s="18">
        <f t="shared" si="1"/>
        <v>5.16</v>
      </c>
      <c r="E32" s="18">
        <f t="shared" si="2"/>
        <v>6.9330496453900707</v>
      </c>
      <c r="F32" s="18" t="e">
        <f t="shared" si="3"/>
        <v>#N/A</v>
      </c>
      <c r="G32" s="18">
        <f t="shared" si="4"/>
        <v>0</v>
      </c>
      <c r="H32" s="18">
        <f t="shared" si="6"/>
        <v>0.66666666666666663</v>
      </c>
      <c r="I32" s="18">
        <f t="shared" si="5"/>
        <v>2.1779999999999999</v>
      </c>
    </row>
    <row r="33" spans="1:9" x14ac:dyDescent="0.4">
      <c r="A33" s="18">
        <v>20</v>
      </c>
      <c r="B33" s="286"/>
      <c r="C33" s="18">
        <f t="shared" si="0"/>
        <v>3.3869503546099291</v>
      </c>
      <c r="D33" s="18">
        <f t="shared" si="1"/>
        <v>5.16</v>
      </c>
      <c r="E33" s="18">
        <f t="shared" si="2"/>
        <v>6.9330496453900707</v>
      </c>
      <c r="F33" s="18" t="e">
        <f t="shared" si="3"/>
        <v>#N/A</v>
      </c>
      <c r="G33" s="18">
        <f t="shared" si="4"/>
        <v>0</v>
      </c>
      <c r="H33" s="18">
        <f t="shared" si="6"/>
        <v>0.66666666666666663</v>
      </c>
      <c r="I33" s="18">
        <f t="shared" si="5"/>
        <v>2.1779999999999999</v>
      </c>
    </row>
    <row r="34" spans="1:9" x14ac:dyDescent="0.4">
      <c r="A34" s="18">
        <v>21</v>
      </c>
      <c r="B34" s="286"/>
      <c r="C34" s="18">
        <f t="shared" si="0"/>
        <v>3.3869503546099291</v>
      </c>
      <c r="D34" s="18">
        <f t="shared" si="1"/>
        <v>5.16</v>
      </c>
      <c r="E34" s="18">
        <f t="shared" si="2"/>
        <v>6.9330496453900707</v>
      </c>
      <c r="F34" s="18" t="e">
        <f t="shared" si="3"/>
        <v>#N/A</v>
      </c>
      <c r="G34" s="18">
        <f t="shared" si="4"/>
        <v>0</v>
      </c>
      <c r="H34" s="18">
        <f t="shared" si="6"/>
        <v>0.66666666666666663</v>
      </c>
      <c r="I34" s="18">
        <f t="shared" si="5"/>
        <v>2.1779999999999999</v>
      </c>
    </row>
    <row r="35" spans="1:9" x14ac:dyDescent="0.4">
      <c r="A35" s="18">
        <v>22</v>
      </c>
      <c r="B35" s="286"/>
      <c r="C35" s="18">
        <f t="shared" si="0"/>
        <v>3.3869503546099291</v>
      </c>
      <c r="D35" s="18">
        <f t="shared" si="1"/>
        <v>5.16</v>
      </c>
      <c r="E35" s="18">
        <f t="shared" si="2"/>
        <v>6.9330496453900707</v>
      </c>
      <c r="F35" s="18" t="e">
        <f t="shared" si="3"/>
        <v>#N/A</v>
      </c>
      <c r="G35" s="18">
        <f t="shared" si="4"/>
        <v>0</v>
      </c>
      <c r="H35" s="18">
        <f t="shared" si="6"/>
        <v>0.66666666666666663</v>
      </c>
      <c r="I35" s="18">
        <f t="shared" si="5"/>
        <v>2.1779999999999999</v>
      </c>
    </row>
    <row r="36" spans="1:9" x14ac:dyDescent="0.4">
      <c r="A36" s="18">
        <v>23</v>
      </c>
      <c r="B36" s="286"/>
      <c r="C36" s="18">
        <f t="shared" si="0"/>
        <v>3.3869503546099291</v>
      </c>
      <c r="D36" s="18">
        <f t="shared" si="1"/>
        <v>5.16</v>
      </c>
      <c r="E36" s="18">
        <f t="shared" si="2"/>
        <v>6.9330496453900707</v>
      </c>
      <c r="F36" s="18" t="e">
        <f t="shared" si="3"/>
        <v>#N/A</v>
      </c>
      <c r="G36" s="18">
        <f t="shared" si="4"/>
        <v>0</v>
      </c>
      <c r="H36" s="18">
        <f t="shared" si="6"/>
        <v>0.66666666666666663</v>
      </c>
      <c r="I36" s="18">
        <f t="shared" si="5"/>
        <v>2.1779999999999999</v>
      </c>
    </row>
    <row r="37" spans="1:9" x14ac:dyDescent="0.4">
      <c r="A37" s="18">
        <v>24</v>
      </c>
      <c r="B37" s="286"/>
      <c r="C37" s="18">
        <f t="shared" si="0"/>
        <v>3.3869503546099291</v>
      </c>
      <c r="D37" s="18">
        <f t="shared" si="1"/>
        <v>5.16</v>
      </c>
      <c r="E37" s="18">
        <f t="shared" si="2"/>
        <v>6.9330496453900707</v>
      </c>
      <c r="F37" s="18" t="e">
        <f t="shared" si="3"/>
        <v>#N/A</v>
      </c>
      <c r="G37" s="18">
        <f t="shared" si="4"/>
        <v>0</v>
      </c>
      <c r="H37" s="18">
        <f t="shared" si="6"/>
        <v>0.66666666666666663</v>
      </c>
      <c r="I37" s="18">
        <f t="shared" si="5"/>
        <v>2.1779999999999999</v>
      </c>
    </row>
    <row r="38" spans="1:9" x14ac:dyDescent="0.4">
      <c r="A38" s="18">
        <v>25</v>
      </c>
      <c r="B38" s="286"/>
      <c r="C38" s="18">
        <f t="shared" si="0"/>
        <v>3.3869503546099291</v>
      </c>
      <c r="D38" s="18">
        <f t="shared" si="1"/>
        <v>5.16</v>
      </c>
      <c r="E38" s="18">
        <f t="shared" si="2"/>
        <v>6.9330496453900707</v>
      </c>
      <c r="F38" s="18" t="e">
        <f t="shared" si="3"/>
        <v>#N/A</v>
      </c>
      <c r="G38" s="18">
        <f t="shared" si="4"/>
        <v>0</v>
      </c>
      <c r="H38" s="18">
        <f t="shared" si="6"/>
        <v>0.66666666666666663</v>
      </c>
      <c r="I38" s="18">
        <f t="shared" si="5"/>
        <v>2.1779999999999999</v>
      </c>
    </row>
    <row r="39" spans="1:9" x14ac:dyDescent="0.4">
      <c r="A39" s="18">
        <v>26</v>
      </c>
      <c r="B39" s="286"/>
      <c r="C39" s="18">
        <f t="shared" si="0"/>
        <v>3.3869503546099291</v>
      </c>
      <c r="D39" s="18">
        <f t="shared" si="1"/>
        <v>5.16</v>
      </c>
      <c r="E39" s="18">
        <f t="shared" si="2"/>
        <v>6.9330496453900707</v>
      </c>
      <c r="F39" s="18" t="e">
        <f t="shared" si="3"/>
        <v>#N/A</v>
      </c>
      <c r="G39" s="18">
        <f t="shared" si="4"/>
        <v>0</v>
      </c>
      <c r="H39" s="18">
        <f t="shared" si="6"/>
        <v>0.66666666666666663</v>
      </c>
      <c r="I39" s="18">
        <f t="shared" si="5"/>
        <v>2.1779999999999999</v>
      </c>
    </row>
    <row r="40" spans="1:9" x14ac:dyDescent="0.4">
      <c r="A40" s="18">
        <v>27</v>
      </c>
      <c r="B40" s="286"/>
      <c r="C40" s="18">
        <f t="shared" si="0"/>
        <v>3.3869503546099291</v>
      </c>
      <c r="D40" s="18">
        <f t="shared" si="1"/>
        <v>5.16</v>
      </c>
      <c r="E40" s="18">
        <f t="shared" si="2"/>
        <v>6.9330496453900707</v>
      </c>
      <c r="F40" s="18" t="e">
        <f t="shared" si="3"/>
        <v>#N/A</v>
      </c>
      <c r="G40" s="18">
        <f t="shared" si="4"/>
        <v>0</v>
      </c>
      <c r="H40" s="18">
        <f t="shared" si="6"/>
        <v>0.66666666666666663</v>
      </c>
      <c r="I40" s="18">
        <f t="shared" si="5"/>
        <v>2.1779999999999999</v>
      </c>
    </row>
    <row r="41" spans="1:9" x14ac:dyDescent="0.4">
      <c r="A41" s="18">
        <v>28</v>
      </c>
      <c r="B41" s="286"/>
      <c r="C41" s="18">
        <f t="shared" si="0"/>
        <v>3.3869503546099291</v>
      </c>
      <c r="D41" s="18">
        <f t="shared" si="1"/>
        <v>5.16</v>
      </c>
      <c r="E41" s="18">
        <f t="shared" si="2"/>
        <v>6.9330496453900707</v>
      </c>
      <c r="F41" s="18" t="e">
        <f t="shared" si="3"/>
        <v>#N/A</v>
      </c>
      <c r="G41" s="18">
        <f t="shared" si="4"/>
        <v>0</v>
      </c>
      <c r="H41" s="18">
        <f t="shared" si="6"/>
        <v>0.66666666666666663</v>
      </c>
      <c r="I41" s="18">
        <f t="shared" si="5"/>
        <v>2.1779999999999999</v>
      </c>
    </row>
    <row r="42" spans="1:9" x14ac:dyDescent="0.4">
      <c r="A42" s="18">
        <v>29</v>
      </c>
      <c r="B42" s="286"/>
      <c r="C42" s="18">
        <f t="shared" si="0"/>
        <v>3.3869503546099291</v>
      </c>
      <c r="D42" s="18">
        <f t="shared" si="1"/>
        <v>5.16</v>
      </c>
      <c r="E42" s="18">
        <f t="shared" si="2"/>
        <v>6.9330496453900707</v>
      </c>
      <c r="F42" s="18" t="e">
        <f t="shared" si="3"/>
        <v>#N/A</v>
      </c>
      <c r="G42" s="18">
        <f t="shared" si="4"/>
        <v>0</v>
      </c>
      <c r="H42" s="18">
        <f t="shared" si="6"/>
        <v>0.66666666666666663</v>
      </c>
      <c r="I42" s="18">
        <f t="shared" si="5"/>
        <v>2.1779999999999999</v>
      </c>
    </row>
    <row r="43" spans="1:9" x14ac:dyDescent="0.4">
      <c r="A43" s="18">
        <v>30</v>
      </c>
      <c r="B43" s="286"/>
      <c r="C43" s="18">
        <f t="shared" si="0"/>
        <v>3.3869503546099291</v>
      </c>
      <c r="D43" s="18">
        <f t="shared" si="1"/>
        <v>5.16</v>
      </c>
      <c r="E43" s="18">
        <f t="shared" si="2"/>
        <v>6.9330496453900707</v>
      </c>
      <c r="F43" s="18" t="e">
        <f t="shared" si="3"/>
        <v>#N/A</v>
      </c>
      <c r="G43" s="18">
        <f t="shared" si="4"/>
        <v>0</v>
      </c>
      <c r="H43" s="18">
        <f t="shared" si="6"/>
        <v>0.66666666666666663</v>
      </c>
      <c r="I43" s="18">
        <f t="shared" si="5"/>
        <v>2.1779999999999999</v>
      </c>
    </row>
    <row r="44" spans="1:9" x14ac:dyDescent="0.4">
      <c r="A44" s="18">
        <v>31</v>
      </c>
      <c r="B44" s="286"/>
      <c r="C44" s="18">
        <f t="shared" si="0"/>
        <v>3.3869503546099291</v>
      </c>
      <c r="D44" s="18">
        <f t="shared" si="1"/>
        <v>5.16</v>
      </c>
      <c r="E44" s="18">
        <f t="shared" si="2"/>
        <v>6.9330496453900707</v>
      </c>
      <c r="F44" s="18" t="e">
        <f t="shared" si="3"/>
        <v>#N/A</v>
      </c>
      <c r="G44" s="18">
        <f t="shared" si="4"/>
        <v>0</v>
      </c>
      <c r="H44" s="18">
        <f t="shared" si="6"/>
        <v>0.66666666666666663</v>
      </c>
      <c r="I44" s="18">
        <f t="shared" si="5"/>
        <v>2.1779999999999999</v>
      </c>
    </row>
    <row r="45" spans="1:9" x14ac:dyDescent="0.4">
      <c r="A45" s="18">
        <v>32</v>
      </c>
      <c r="B45" s="286"/>
      <c r="C45" s="18">
        <f t="shared" si="0"/>
        <v>3.3869503546099291</v>
      </c>
      <c r="D45" s="18">
        <f t="shared" si="1"/>
        <v>5.16</v>
      </c>
      <c r="E45" s="18">
        <f t="shared" si="2"/>
        <v>6.9330496453900707</v>
      </c>
      <c r="F45" s="18" t="e">
        <f t="shared" si="3"/>
        <v>#N/A</v>
      </c>
      <c r="G45" s="18">
        <f t="shared" si="4"/>
        <v>0</v>
      </c>
      <c r="H45" s="18">
        <f t="shared" si="6"/>
        <v>0.66666666666666663</v>
      </c>
      <c r="I45" s="18">
        <f t="shared" si="5"/>
        <v>2.1779999999999999</v>
      </c>
    </row>
    <row r="46" spans="1:9" x14ac:dyDescent="0.4">
      <c r="A46" s="18">
        <v>33</v>
      </c>
      <c r="B46" s="286"/>
      <c r="C46" s="18">
        <f t="shared" si="0"/>
        <v>3.3869503546099291</v>
      </c>
      <c r="D46" s="18">
        <f t="shared" si="1"/>
        <v>5.16</v>
      </c>
      <c r="E46" s="18">
        <f t="shared" si="2"/>
        <v>6.9330496453900707</v>
      </c>
      <c r="F46" s="18" t="e">
        <f t="shared" si="3"/>
        <v>#N/A</v>
      </c>
      <c r="G46" s="18">
        <f t="shared" si="4"/>
        <v>0</v>
      </c>
      <c r="H46" s="18">
        <f t="shared" si="6"/>
        <v>0.66666666666666663</v>
      </c>
      <c r="I46" s="18">
        <f t="shared" si="5"/>
        <v>2.1779999999999999</v>
      </c>
    </row>
    <row r="47" spans="1:9" x14ac:dyDescent="0.4">
      <c r="A47" s="18">
        <v>34</v>
      </c>
      <c r="B47" s="286"/>
      <c r="C47" s="18">
        <f t="shared" si="0"/>
        <v>3.3869503546099291</v>
      </c>
      <c r="D47" s="18">
        <f t="shared" si="1"/>
        <v>5.16</v>
      </c>
      <c r="E47" s="18">
        <f t="shared" si="2"/>
        <v>6.9330496453900707</v>
      </c>
      <c r="F47" s="18" t="e">
        <f t="shared" si="3"/>
        <v>#N/A</v>
      </c>
      <c r="G47" s="18">
        <f t="shared" si="4"/>
        <v>0</v>
      </c>
      <c r="H47" s="18">
        <f t="shared" si="6"/>
        <v>0.66666666666666663</v>
      </c>
      <c r="I47" s="18">
        <f t="shared" si="5"/>
        <v>2.1779999999999999</v>
      </c>
    </row>
    <row r="48" spans="1:9" x14ac:dyDescent="0.4">
      <c r="A48" s="18">
        <v>35</v>
      </c>
      <c r="B48" s="286"/>
      <c r="C48" s="18">
        <f t="shared" si="0"/>
        <v>3.3869503546099291</v>
      </c>
      <c r="D48" s="18">
        <f t="shared" si="1"/>
        <v>5.16</v>
      </c>
      <c r="E48" s="18">
        <f t="shared" si="2"/>
        <v>6.9330496453900707</v>
      </c>
      <c r="F48" s="18" t="e">
        <f t="shared" si="3"/>
        <v>#N/A</v>
      </c>
      <c r="G48" s="18">
        <f t="shared" si="4"/>
        <v>0</v>
      </c>
      <c r="H48" s="18">
        <f t="shared" si="6"/>
        <v>0.66666666666666663</v>
      </c>
      <c r="I48" s="18">
        <f t="shared" si="5"/>
        <v>2.1779999999999999</v>
      </c>
    </row>
    <row r="49" spans="1:9" x14ac:dyDescent="0.4">
      <c r="A49" s="18">
        <v>36</v>
      </c>
      <c r="B49" s="286"/>
      <c r="C49" s="18">
        <f t="shared" si="0"/>
        <v>3.3869503546099291</v>
      </c>
      <c r="D49" s="18">
        <f t="shared" si="1"/>
        <v>5.16</v>
      </c>
      <c r="E49" s="18">
        <f t="shared" si="2"/>
        <v>6.9330496453900707</v>
      </c>
      <c r="F49" s="18" t="e">
        <f t="shared" si="3"/>
        <v>#N/A</v>
      </c>
      <c r="G49" s="18">
        <f t="shared" si="4"/>
        <v>0</v>
      </c>
      <c r="H49" s="18">
        <f t="shared" si="6"/>
        <v>0.66666666666666663</v>
      </c>
      <c r="I49" s="18">
        <f t="shared" si="5"/>
        <v>2.1779999999999999</v>
      </c>
    </row>
    <row r="50" spans="1:9" x14ac:dyDescent="0.4">
      <c r="A50" s="18">
        <v>37</v>
      </c>
      <c r="B50" s="286"/>
      <c r="C50" s="18">
        <f t="shared" si="0"/>
        <v>3.3869503546099291</v>
      </c>
      <c r="D50" s="18">
        <f t="shared" si="1"/>
        <v>5.16</v>
      </c>
      <c r="E50" s="18">
        <f t="shared" si="2"/>
        <v>6.9330496453900707</v>
      </c>
      <c r="F50" s="18" t="e">
        <f t="shared" si="3"/>
        <v>#N/A</v>
      </c>
      <c r="G50" s="18">
        <f t="shared" si="4"/>
        <v>0</v>
      </c>
      <c r="H50" s="18">
        <f>$C$10</f>
        <v>0.66666666666666663</v>
      </c>
      <c r="I50" s="18">
        <f t="shared" si="5"/>
        <v>2.1779999999999999</v>
      </c>
    </row>
    <row r="51" spans="1:9" x14ac:dyDescent="0.4">
      <c r="A51" s="18">
        <v>38</v>
      </c>
      <c r="B51" s="286"/>
      <c r="C51" s="18">
        <f t="shared" si="0"/>
        <v>3.3869503546099291</v>
      </c>
      <c r="D51" s="18">
        <f t="shared" si="1"/>
        <v>5.16</v>
      </c>
      <c r="E51" s="18">
        <f t="shared" si="2"/>
        <v>6.9330496453900707</v>
      </c>
      <c r="F51" s="18" t="e">
        <f t="shared" si="3"/>
        <v>#N/A</v>
      </c>
      <c r="G51" s="18">
        <f t="shared" si="4"/>
        <v>0</v>
      </c>
      <c r="H51" s="18">
        <f t="shared" si="6"/>
        <v>0.66666666666666663</v>
      </c>
      <c r="I51" s="18">
        <f t="shared" si="5"/>
        <v>2.1779999999999999</v>
      </c>
    </row>
    <row r="52" spans="1:9" x14ac:dyDescent="0.4">
      <c r="A52" s="18">
        <v>39</v>
      </c>
      <c r="B52" s="286"/>
      <c r="C52" s="18">
        <f t="shared" si="0"/>
        <v>3.3869503546099291</v>
      </c>
      <c r="D52" s="18">
        <f t="shared" si="1"/>
        <v>5.16</v>
      </c>
      <c r="E52" s="18">
        <f t="shared" si="2"/>
        <v>6.9330496453900707</v>
      </c>
      <c r="F52" s="18" t="e">
        <f t="shared" si="3"/>
        <v>#N/A</v>
      </c>
      <c r="G52" s="18">
        <f t="shared" si="4"/>
        <v>0</v>
      </c>
      <c r="H52" s="18">
        <f t="shared" si="6"/>
        <v>0.66666666666666663</v>
      </c>
      <c r="I52" s="18">
        <f t="shared" si="5"/>
        <v>2.1779999999999999</v>
      </c>
    </row>
    <row r="53" spans="1:9" x14ac:dyDescent="0.4">
      <c r="A53" s="18">
        <v>40</v>
      </c>
      <c r="B53" s="286"/>
      <c r="C53" s="18">
        <f t="shared" si="0"/>
        <v>3.3869503546099291</v>
      </c>
      <c r="D53" s="18">
        <f t="shared" si="1"/>
        <v>5.16</v>
      </c>
      <c r="E53" s="18">
        <f t="shared" si="2"/>
        <v>6.9330496453900707</v>
      </c>
      <c r="F53" s="18" t="e">
        <f t="shared" si="3"/>
        <v>#N/A</v>
      </c>
      <c r="G53" s="18">
        <f t="shared" si="4"/>
        <v>0</v>
      </c>
      <c r="H53" s="18">
        <f t="shared" si="6"/>
        <v>0.66666666666666663</v>
      </c>
      <c r="I53" s="18">
        <f t="shared" si="5"/>
        <v>2.1779999999999999</v>
      </c>
    </row>
    <row r="54" spans="1:9" x14ac:dyDescent="0.4">
      <c r="A54" s="18">
        <v>41</v>
      </c>
      <c r="B54" s="286"/>
      <c r="C54" s="18">
        <f t="shared" si="0"/>
        <v>3.3869503546099291</v>
      </c>
      <c r="D54" s="18">
        <f t="shared" si="1"/>
        <v>5.16</v>
      </c>
      <c r="E54" s="18">
        <f t="shared" si="2"/>
        <v>6.9330496453900707</v>
      </c>
      <c r="F54" s="18" t="e">
        <f t="shared" si="3"/>
        <v>#N/A</v>
      </c>
      <c r="G54" s="18">
        <f t="shared" si="4"/>
        <v>0</v>
      </c>
      <c r="H54" s="18">
        <f t="shared" si="6"/>
        <v>0.66666666666666663</v>
      </c>
      <c r="I54" s="18">
        <f t="shared" si="5"/>
        <v>2.1779999999999999</v>
      </c>
    </row>
    <row r="55" spans="1:9" x14ac:dyDescent="0.4">
      <c r="A55" s="18">
        <v>42</v>
      </c>
      <c r="B55" s="286"/>
      <c r="C55" s="18">
        <f t="shared" si="0"/>
        <v>3.3869503546099291</v>
      </c>
      <c r="D55" s="18">
        <f t="shared" si="1"/>
        <v>5.16</v>
      </c>
      <c r="E55" s="18">
        <f t="shared" si="2"/>
        <v>6.9330496453900707</v>
      </c>
      <c r="F55" s="18" t="e">
        <f t="shared" si="3"/>
        <v>#N/A</v>
      </c>
      <c r="G55" s="18">
        <f t="shared" si="4"/>
        <v>0</v>
      </c>
      <c r="H55" s="18">
        <f t="shared" si="6"/>
        <v>0.66666666666666663</v>
      </c>
      <c r="I55" s="18">
        <f t="shared" si="5"/>
        <v>2.1779999999999999</v>
      </c>
    </row>
    <row r="56" spans="1:9" x14ac:dyDescent="0.4">
      <c r="A56" s="18">
        <v>43</v>
      </c>
      <c r="B56" s="286"/>
      <c r="C56" s="18">
        <f t="shared" si="0"/>
        <v>3.3869503546099291</v>
      </c>
      <c r="D56" s="18">
        <f t="shared" si="1"/>
        <v>5.16</v>
      </c>
      <c r="E56" s="18">
        <f t="shared" si="2"/>
        <v>6.9330496453900707</v>
      </c>
      <c r="F56" s="18" t="e">
        <f t="shared" si="3"/>
        <v>#N/A</v>
      </c>
      <c r="G56" s="18">
        <f t="shared" si="4"/>
        <v>0</v>
      </c>
      <c r="H56" s="18">
        <f t="shared" si="6"/>
        <v>0.66666666666666663</v>
      </c>
      <c r="I56" s="18">
        <f t="shared" si="5"/>
        <v>2.1779999999999999</v>
      </c>
    </row>
    <row r="57" spans="1:9" x14ac:dyDescent="0.4">
      <c r="A57" s="18">
        <v>44</v>
      </c>
      <c r="B57" s="286"/>
      <c r="C57" s="18">
        <f t="shared" si="0"/>
        <v>3.3869503546099291</v>
      </c>
      <c r="D57" s="18">
        <f t="shared" si="1"/>
        <v>5.16</v>
      </c>
      <c r="E57" s="18">
        <f t="shared" si="2"/>
        <v>6.9330496453900707</v>
      </c>
      <c r="F57" s="18" t="e">
        <f t="shared" si="3"/>
        <v>#N/A</v>
      </c>
      <c r="G57" s="18">
        <f t="shared" si="4"/>
        <v>0</v>
      </c>
      <c r="H57" s="18">
        <f t="shared" si="6"/>
        <v>0.66666666666666663</v>
      </c>
      <c r="I57" s="18">
        <f t="shared" si="5"/>
        <v>2.1779999999999999</v>
      </c>
    </row>
    <row r="58" spans="1:9" x14ac:dyDescent="0.4">
      <c r="A58" s="18">
        <v>45</v>
      </c>
      <c r="B58" s="286"/>
      <c r="C58" s="18">
        <f t="shared" si="0"/>
        <v>3.3869503546099291</v>
      </c>
      <c r="D58" s="18">
        <f t="shared" si="1"/>
        <v>5.16</v>
      </c>
      <c r="E58" s="18">
        <f t="shared" si="2"/>
        <v>6.9330496453900707</v>
      </c>
      <c r="F58" s="18" t="e">
        <f t="shared" si="3"/>
        <v>#N/A</v>
      </c>
      <c r="G58" s="18">
        <f t="shared" si="4"/>
        <v>0</v>
      </c>
      <c r="H58" s="18">
        <f t="shared" si="6"/>
        <v>0.66666666666666663</v>
      </c>
      <c r="I58" s="18">
        <f t="shared" si="5"/>
        <v>2.1779999999999999</v>
      </c>
    </row>
    <row r="59" spans="1:9" x14ac:dyDescent="0.4">
      <c r="A59" s="18">
        <v>46</v>
      </c>
      <c r="B59" s="286"/>
      <c r="C59" s="18">
        <f t="shared" si="0"/>
        <v>3.3869503546099291</v>
      </c>
      <c r="D59" s="18">
        <f t="shared" si="1"/>
        <v>5.16</v>
      </c>
      <c r="E59" s="18">
        <f t="shared" si="2"/>
        <v>6.9330496453900707</v>
      </c>
      <c r="F59" s="18" t="e">
        <f t="shared" si="3"/>
        <v>#N/A</v>
      </c>
      <c r="G59" s="18">
        <f t="shared" si="4"/>
        <v>0</v>
      </c>
      <c r="H59" s="18">
        <f t="shared" si="6"/>
        <v>0.66666666666666663</v>
      </c>
      <c r="I59" s="18">
        <f t="shared" si="5"/>
        <v>2.1779999999999999</v>
      </c>
    </row>
    <row r="60" spans="1:9" x14ac:dyDescent="0.4">
      <c r="A60" s="18">
        <v>47</v>
      </c>
      <c r="B60" s="286"/>
      <c r="C60" s="18">
        <f t="shared" si="0"/>
        <v>3.3869503546099291</v>
      </c>
      <c r="D60" s="18">
        <f t="shared" si="1"/>
        <v>5.16</v>
      </c>
      <c r="E60" s="18">
        <f t="shared" si="2"/>
        <v>6.9330496453900707</v>
      </c>
      <c r="F60" s="18" t="e">
        <f t="shared" si="3"/>
        <v>#N/A</v>
      </c>
      <c r="G60" s="18">
        <f t="shared" si="4"/>
        <v>0</v>
      </c>
      <c r="H60" s="18">
        <f t="shared" si="6"/>
        <v>0.66666666666666663</v>
      </c>
      <c r="I60" s="18">
        <f t="shared" si="5"/>
        <v>2.1779999999999999</v>
      </c>
    </row>
    <row r="61" spans="1:9" x14ac:dyDescent="0.4">
      <c r="A61" s="18">
        <v>48</v>
      </c>
      <c r="B61" s="286"/>
      <c r="C61" s="18">
        <f t="shared" si="0"/>
        <v>3.3869503546099291</v>
      </c>
      <c r="D61" s="18">
        <f t="shared" si="1"/>
        <v>5.16</v>
      </c>
      <c r="E61" s="18">
        <f t="shared" si="2"/>
        <v>6.9330496453900707</v>
      </c>
      <c r="F61" s="18" t="e">
        <f t="shared" si="3"/>
        <v>#N/A</v>
      </c>
      <c r="G61" s="18">
        <f t="shared" si="4"/>
        <v>0</v>
      </c>
      <c r="H61" s="18">
        <f t="shared" si="6"/>
        <v>0.66666666666666663</v>
      </c>
      <c r="I61" s="18">
        <f t="shared" si="5"/>
        <v>2.1779999999999999</v>
      </c>
    </row>
    <row r="62" spans="1:9" x14ac:dyDescent="0.4">
      <c r="A62" s="18">
        <v>49</v>
      </c>
      <c r="B62" s="286"/>
      <c r="C62" s="18">
        <f t="shared" si="0"/>
        <v>3.3869503546099291</v>
      </c>
      <c r="D62" s="18">
        <f t="shared" si="1"/>
        <v>5.16</v>
      </c>
      <c r="E62" s="18">
        <f t="shared" si="2"/>
        <v>6.9330496453900707</v>
      </c>
      <c r="F62" s="18" t="e">
        <f t="shared" si="3"/>
        <v>#N/A</v>
      </c>
      <c r="G62" s="18">
        <f t="shared" si="4"/>
        <v>0</v>
      </c>
      <c r="H62" s="18">
        <f t="shared" si="6"/>
        <v>0.66666666666666663</v>
      </c>
      <c r="I62" s="18">
        <f t="shared" si="5"/>
        <v>2.1779999999999999</v>
      </c>
    </row>
    <row r="63" spans="1:9" x14ac:dyDescent="0.4">
      <c r="A63" s="18">
        <v>50</v>
      </c>
      <c r="B63" s="286"/>
      <c r="C63" s="18">
        <f t="shared" si="0"/>
        <v>3.3869503546099291</v>
      </c>
      <c r="D63" s="18">
        <f t="shared" si="1"/>
        <v>5.16</v>
      </c>
      <c r="E63" s="18">
        <f t="shared" si="2"/>
        <v>6.9330496453900707</v>
      </c>
      <c r="F63" s="18" t="e">
        <f t="shared" si="3"/>
        <v>#N/A</v>
      </c>
      <c r="G63" s="18">
        <f t="shared" si="4"/>
        <v>0</v>
      </c>
      <c r="H63" s="18">
        <f t="shared" si="6"/>
        <v>0.66666666666666663</v>
      </c>
      <c r="I63" s="18">
        <f t="shared" si="5"/>
        <v>2.1779999999999999</v>
      </c>
    </row>
    <row r="64" spans="1:9" x14ac:dyDescent="0.4">
      <c r="A64" s="18">
        <v>51</v>
      </c>
      <c r="B64" s="286"/>
      <c r="C64" s="18">
        <f t="shared" si="0"/>
        <v>3.3869503546099291</v>
      </c>
      <c r="D64" s="18">
        <f t="shared" si="1"/>
        <v>5.16</v>
      </c>
      <c r="E64" s="18">
        <f t="shared" si="2"/>
        <v>6.9330496453900707</v>
      </c>
      <c r="F64" s="18" t="e">
        <f t="shared" si="3"/>
        <v>#N/A</v>
      </c>
      <c r="G64" s="18">
        <f t="shared" si="4"/>
        <v>0</v>
      </c>
      <c r="H64" s="18">
        <f t="shared" si="6"/>
        <v>0.66666666666666663</v>
      </c>
      <c r="I64" s="18">
        <f t="shared" si="5"/>
        <v>2.1779999999999999</v>
      </c>
    </row>
    <row r="65" spans="1:9" x14ac:dyDescent="0.4">
      <c r="A65" s="18">
        <v>52</v>
      </c>
      <c r="B65" s="286"/>
      <c r="C65" s="18">
        <f t="shared" si="0"/>
        <v>3.3869503546099291</v>
      </c>
      <c r="D65" s="18">
        <f t="shared" si="1"/>
        <v>5.16</v>
      </c>
      <c r="E65" s="18">
        <f t="shared" si="2"/>
        <v>6.9330496453900707</v>
      </c>
      <c r="F65" s="18" t="e">
        <f t="shared" si="3"/>
        <v>#N/A</v>
      </c>
      <c r="G65" s="18">
        <f t="shared" si="4"/>
        <v>0</v>
      </c>
      <c r="H65" s="18">
        <f t="shared" si="6"/>
        <v>0.66666666666666663</v>
      </c>
      <c r="I65" s="18">
        <f t="shared" si="5"/>
        <v>2.1779999999999999</v>
      </c>
    </row>
    <row r="66" spans="1:9" x14ac:dyDescent="0.4">
      <c r="A66" s="18">
        <v>53</v>
      </c>
      <c r="B66" s="286"/>
      <c r="C66" s="18">
        <f t="shared" si="0"/>
        <v>3.3869503546099291</v>
      </c>
      <c r="D66" s="18">
        <f t="shared" si="1"/>
        <v>5.16</v>
      </c>
      <c r="E66" s="18">
        <f t="shared" si="2"/>
        <v>6.9330496453900707</v>
      </c>
      <c r="F66" s="18" t="e">
        <f t="shared" si="3"/>
        <v>#N/A</v>
      </c>
      <c r="G66" s="18">
        <f t="shared" si="4"/>
        <v>0</v>
      </c>
      <c r="H66" s="18">
        <f t="shared" si="6"/>
        <v>0.66666666666666663</v>
      </c>
      <c r="I66" s="18">
        <f t="shared" si="5"/>
        <v>2.1779999999999999</v>
      </c>
    </row>
    <row r="67" spans="1:9" x14ac:dyDescent="0.4">
      <c r="A67" s="18">
        <v>54</v>
      </c>
      <c r="B67" s="286"/>
      <c r="C67" s="18">
        <f t="shared" si="0"/>
        <v>3.3869503546099291</v>
      </c>
      <c r="D67" s="18">
        <f t="shared" si="1"/>
        <v>5.16</v>
      </c>
      <c r="E67" s="18">
        <f t="shared" si="2"/>
        <v>6.9330496453900707</v>
      </c>
      <c r="F67" s="18" t="e">
        <f t="shared" si="3"/>
        <v>#N/A</v>
      </c>
      <c r="G67" s="18">
        <f t="shared" si="4"/>
        <v>0</v>
      </c>
      <c r="H67" s="18">
        <f t="shared" si="6"/>
        <v>0.66666666666666663</v>
      </c>
      <c r="I67" s="18">
        <f t="shared" si="5"/>
        <v>2.1779999999999999</v>
      </c>
    </row>
    <row r="68" spans="1:9" x14ac:dyDescent="0.4">
      <c r="A68" s="18">
        <v>55</v>
      </c>
      <c r="B68" s="286"/>
      <c r="C68" s="18">
        <f t="shared" si="0"/>
        <v>3.3869503546099291</v>
      </c>
      <c r="D68" s="18">
        <f t="shared" si="1"/>
        <v>5.16</v>
      </c>
      <c r="E68" s="18">
        <f t="shared" si="2"/>
        <v>6.9330496453900707</v>
      </c>
      <c r="F68" s="18" t="e">
        <f t="shared" si="3"/>
        <v>#N/A</v>
      </c>
      <c r="G68" s="18">
        <f t="shared" si="4"/>
        <v>0</v>
      </c>
      <c r="H68" s="18">
        <f t="shared" si="6"/>
        <v>0.66666666666666663</v>
      </c>
      <c r="I68" s="18">
        <f t="shared" si="5"/>
        <v>2.1779999999999999</v>
      </c>
    </row>
    <row r="69" spans="1:9" x14ac:dyDescent="0.4">
      <c r="A69" s="18">
        <v>56</v>
      </c>
      <c r="B69" s="286"/>
      <c r="C69" s="18">
        <f t="shared" si="0"/>
        <v>3.3869503546099291</v>
      </c>
      <c r="D69" s="18">
        <f t="shared" si="1"/>
        <v>5.16</v>
      </c>
      <c r="E69" s="18">
        <f t="shared" si="2"/>
        <v>6.9330496453900707</v>
      </c>
      <c r="F69" s="18" t="e">
        <f t="shared" si="3"/>
        <v>#N/A</v>
      </c>
      <c r="G69" s="18">
        <f t="shared" si="4"/>
        <v>0</v>
      </c>
      <c r="H69" s="18">
        <f t="shared" si="6"/>
        <v>0.66666666666666663</v>
      </c>
      <c r="I69" s="18">
        <f t="shared" si="5"/>
        <v>2.1779999999999999</v>
      </c>
    </row>
    <row r="70" spans="1:9" x14ac:dyDescent="0.4">
      <c r="A70" s="18">
        <v>57</v>
      </c>
      <c r="B70" s="286"/>
      <c r="C70" s="18">
        <f t="shared" si="0"/>
        <v>3.3869503546099291</v>
      </c>
      <c r="D70" s="18">
        <f t="shared" si="1"/>
        <v>5.16</v>
      </c>
      <c r="E70" s="18">
        <f t="shared" si="2"/>
        <v>6.9330496453900707</v>
      </c>
      <c r="F70" s="18" t="e">
        <f t="shared" si="3"/>
        <v>#N/A</v>
      </c>
      <c r="G70" s="18">
        <f t="shared" si="4"/>
        <v>0</v>
      </c>
      <c r="H70" s="18">
        <f t="shared" si="6"/>
        <v>0.66666666666666663</v>
      </c>
      <c r="I70" s="18">
        <f t="shared" si="5"/>
        <v>2.1779999999999999</v>
      </c>
    </row>
    <row r="71" spans="1:9" x14ac:dyDescent="0.4">
      <c r="A71" s="18">
        <v>58</v>
      </c>
      <c r="B71" s="286"/>
      <c r="C71" s="18">
        <f t="shared" si="0"/>
        <v>3.3869503546099291</v>
      </c>
      <c r="D71" s="18">
        <f t="shared" si="1"/>
        <v>5.16</v>
      </c>
      <c r="E71" s="18">
        <f t="shared" si="2"/>
        <v>6.9330496453900707</v>
      </c>
      <c r="F71" s="18" t="e">
        <f t="shared" si="3"/>
        <v>#N/A</v>
      </c>
      <c r="G71" s="18">
        <f t="shared" si="4"/>
        <v>0</v>
      </c>
      <c r="H71" s="18">
        <f t="shared" si="6"/>
        <v>0.66666666666666663</v>
      </c>
      <c r="I71" s="18">
        <f t="shared" si="5"/>
        <v>2.1779999999999999</v>
      </c>
    </row>
    <row r="72" spans="1:9" x14ac:dyDescent="0.4">
      <c r="A72" s="18">
        <v>59</v>
      </c>
      <c r="B72" s="286"/>
      <c r="C72" s="18">
        <f t="shared" si="0"/>
        <v>3.3869503546099291</v>
      </c>
      <c r="D72" s="18">
        <f t="shared" si="1"/>
        <v>5.16</v>
      </c>
      <c r="E72" s="18">
        <f t="shared" si="2"/>
        <v>6.9330496453900707</v>
      </c>
      <c r="F72" s="18" t="e">
        <f t="shared" si="3"/>
        <v>#N/A</v>
      </c>
      <c r="G72" s="18">
        <f t="shared" si="4"/>
        <v>0</v>
      </c>
      <c r="H72" s="18">
        <f t="shared" si="6"/>
        <v>0.66666666666666663</v>
      </c>
      <c r="I72" s="18">
        <f t="shared" si="5"/>
        <v>2.1779999999999999</v>
      </c>
    </row>
    <row r="73" spans="1:9" x14ac:dyDescent="0.4">
      <c r="A73" s="18">
        <v>60</v>
      </c>
      <c r="B73" s="286"/>
      <c r="C73" s="18">
        <f t="shared" si="0"/>
        <v>3.3869503546099291</v>
      </c>
      <c r="D73" s="18">
        <f t="shared" si="1"/>
        <v>5.16</v>
      </c>
      <c r="E73" s="18">
        <f t="shared" si="2"/>
        <v>6.9330496453900707</v>
      </c>
      <c r="F73" s="18" t="e">
        <f t="shared" si="3"/>
        <v>#N/A</v>
      </c>
      <c r="G73" s="18">
        <f t="shared" si="4"/>
        <v>0</v>
      </c>
      <c r="H73" s="18">
        <f t="shared" si="6"/>
        <v>0.66666666666666663</v>
      </c>
      <c r="I73" s="18">
        <f t="shared" si="5"/>
        <v>2.1779999999999999</v>
      </c>
    </row>
    <row r="74" spans="1:9" x14ac:dyDescent="0.4">
      <c r="A74" s="18">
        <v>61</v>
      </c>
      <c r="B74" s="286"/>
      <c r="C74" s="18">
        <f t="shared" si="0"/>
        <v>3.3869503546099291</v>
      </c>
      <c r="D74" s="18">
        <f t="shared" si="1"/>
        <v>5.16</v>
      </c>
      <c r="E74" s="18">
        <f t="shared" si="2"/>
        <v>6.9330496453900707</v>
      </c>
      <c r="F74" s="18" t="e">
        <f t="shared" si="3"/>
        <v>#N/A</v>
      </c>
      <c r="G74" s="18">
        <f t="shared" si="4"/>
        <v>0</v>
      </c>
      <c r="H74" s="18">
        <f t="shared" si="6"/>
        <v>0.66666666666666663</v>
      </c>
      <c r="I74" s="18">
        <f t="shared" si="5"/>
        <v>2.1779999999999999</v>
      </c>
    </row>
    <row r="75" spans="1:9" x14ac:dyDescent="0.4">
      <c r="A75" s="18">
        <v>62</v>
      </c>
      <c r="B75" s="286"/>
      <c r="C75" s="18">
        <f t="shared" si="0"/>
        <v>3.3869503546099291</v>
      </c>
      <c r="D75" s="18">
        <f t="shared" si="1"/>
        <v>5.16</v>
      </c>
      <c r="E75" s="18">
        <f t="shared" si="2"/>
        <v>6.9330496453900707</v>
      </c>
      <c r="F75" s="18" t="e">
        <f t="shared" si="3"/>
        <v>#N/A</v>
      </c>
      <c r="G75" s="18">
        <f t="shared" si="4"/>
        <v>0</v>
      </c>
      <c r="H75" s="18">
        <f t="shared" si="6"/>
        <v>0.66666666666666663</v>
      </c>
      <c r="I75" s="18">
        <f t="shared" si="5"/>
        <v>2.1779999999999999</v>
      </c>
    </row>
    <row r="76" spans="1:9" x14ac:dyDescent="0.4">
      <c r="A76" s="18">
        <v>63</v>
      </c>
      <c r="B76" s="286"/>
      <c r="C76" s="18">
        <f t="shared" si="0"/>
        <v>3.3869503546099291</v>
      </c>
      <c r="D76" s="18">
        <f t="shared" si="1"/>
        <v>5.16</v>
      </c>
      <c r="E76" s="18">
        <f t="shared" si="2"/>
        <v>6.9330496453900707</v>
      </c>
      <c r="F76" s="18" t="e">
        <f t="shared" si="3"/>
        <v>#N/A</v>
      </c>
      <c r="G76" s="18">
        <f t="shared" si="4"/>
        <v>0</v>
      </c>
      <c r="H76" s="18">
        <f t="shared" si="6"/>
        <v>0.66666666666666663</v>
      </c>
      <c r="I76" s="18">
        <f t="shared" si="5"/>
        <v>2.1779999999999999</v>
      </c>
    </row>
    <row r="77" spans="1:9" x14ac:dyDescent="0.4">
      <c r="A77" s="18">
        <v>64</v>
      </c>
      <c r="B77" s="286"/>
      <c r="C77" s="18">
        <f t="shared" si="0"/>
        <v>3.3869503546099291</v>
      </c>
      <c r="D77" s="18">
        <f t="shared" si="1"/>
        <v>5.16</v>
      </c>
      <c r="E77" s="18">
        <f t="shared" si="2"/>
        <v>6.9330496453900707</v>
      </c>
      <c r="F77" s="18" t="e">
        <f t="shared" si="3"/>
        <v>#N/A</v>
      </c>
      <c r="G77" s="18">
        <f t="shared" si="4"/>
        <v>0</v>
      </c>
      <c r="H77" s="18">
        <f t="shared" si="6"/>
        <v>0.66666666666666663</v>
      </c>
      <c r="I77" s="18">
        <f t="shared" si="5"/>
        <v>2.1779999999999999</v>
      </c>
    </row>
    <row r="78" spans="1:9" x14ac:dyDescent="0.4">
      <c r="A78" s="18">
        <v>65</v>
      </c>
      <c r="B78" s="286"/>
      <c r="C78" s="18">
        <f t="shared" si="0"/>
        <v>3.3869503546099291</v>
      </c>
      <c r="D78" s="18">
        <f t="shared" si="1"/>
        <v>5.16</v>
      </c>
      <c r="E78" s="18">
        <f t="shared" si="2"/>
        <v>6.9330496453900707</v>
      </c>
      <c r="F78" s="18" t="e">
        <f t="shared" si="3"/>
        <v>#N/A</v>
      </c>
      <c r="G78" s="18">
        <f t="shared" si="4"/>
        <v>0</v>
      </c>
      <c r="H78" s="18">
        <f t="shared" si="6"/>
        <v>0.66666666666666663</v>
      </c>
      <c r="I78" s="18">
        <f t="shared" si="5"/>
        <v>2.1779999999999999</v>
      </c>
    </row>
    <row r="79" spans="1:9" x14ac:dyDescent="0.4">
      <c r="A79" s="18">
        <v>66</v>
      </c>
      <c r="B79" s="286"/>
      <c r="C79" s="18">
        <f t="shared" ref="C79:C88" si="7">$C$9-3*$C$10/$G$10</f>
        <v>3.3869503546099291</v>
      </c>
      <c r="D79" s="18">
        <f t="shared" ref="D79:D88" si="8">$C$9</f>
        <v>5.16</v>
      </c>
      <c r="E79" s="18">
        <f t="shared" ref="E79:E88" si="9">$C$9+3*$C$10/$G$10</f>
        <v>6.9330496453900707</v>
      </c>
      <c r="F79" s="18" t="e">
        <f t="shared" si="3"/>
        <v>#N/A</v>
      </c>
      <c r="G79" s="18">
        <f t="shared" si="4"/>
        <v>0</v>
      </c>
      <c r="H79" s="18">
        <f t="shared" si="6"/>
        <v>0.66666666666666663</v>
      </c>
      <c r="I79" s="18">
        <f t="shared" si="5"/>
        <v>2.1779999999999999</v>
      </c>
    </row>
    <row r="80" spans="1:9" x14ac:dyDescent="0.4">
      <c r="A80" s="18">
        <v>67</v>
      </c>
      <c r="B80" s="286"/>
      <c r="C80" s="18">
        <f t="shared" si="7"/>
        <v>3.3869503546099291</v>
      </c>
      <c r="D80" s="18">
        <f t="shared" si="8"/>
        <v>5.16</v>
      </c>
      <c r="E80" s="18">
        <f t="shared" si="9"/>
        <v>6.9330496453900707</v>
      </c>
      <c r="F80" s="18" t="e">
        <f t="shared" si="3"/>
        <v>#N/A</v>
      </c>
      <c r="G80" s="18">
        <f t="shared" si="4"/>
        <v>0</v>
      </c>
      <c r="H80" s="18">
        <f t="shared" si="6"/>
        <v>0.66666666666666663</v>
      </c>
      <c r="I80" s="18">
        <f t="shared" si="5"/>
        <v>2.1779999999999999</v>
      </c>
    </row>
    <row r="81" spans="1:9" x14ac:dyDescent="0.4">
      <c r="A81" s="18">
        <v>68</v>
      </c>
      <c r="B81" s="286"/>
      <c r="C81" s="18">
        <f t="shared" si="7"/>
        <v>3.3869503546099291</v>
      </c>
      <c r="D81" s="18">
        <f t="shared" si="8"/>
        <v>5.16</v>
      </c>
      <c r="E81" s="18">
        <f t="shared" si="9"/>
        <v>6.9330496453900707</v>
      </c>
      <c r="F81" s="18" t="e">
        <f t="shared" si="3"/>
        <v>#N/A</v>
      </c>
      <c r="G81" s="18">
        <f t="shared" si="4"/>
        <v>0</v>
      </c>
      <c r="H81" s="18">
        <f t="shared" si="6"/>
        <v>0.66666666666666663</v>
      </c>
      <c r="I81" s="18">
        <f t="shared" si="5"/>
        <v>2.1779999999999999</v>
      </c>
    </row>
    <row r="82" spans="1:9" x14ac:dyDescent="0.4">
      <c r="A82" s="18">
        <v>69</v>
      </c>
      <c r="B82" s="286"/>
      <c r="C82" s="18">
        <f t="shared" si="7"/>
        <v>3.3869503546099291</v>
      </c>
      <c r="D82" s="18">
        <f t="shared" si="8"/>
        <v>5.16</v>
      </c>
      <c r="E82" s="18">
        <f t="shared" si="9"/>
        <v>6.9330496453900707</v>
      </c>
      <c r="F82" s="18" t="e">
        <f t="shared" si="3"/>
        <v>#N/A</v>
      </c>
      <c r="G82" s="18">
        <f t="shared" si="4"/>
        <v>0</v>
      </c>
      <c r="H82" s="18">
        <f t="shared" si="6"/>
        <v>0.66666666666666663</v>
      </c>
      <c r="I82" s="18">
        <f t="shared" si="5"/>
        <v>2.1779999999999999</v>
      </c>
    </row>
    <row r="83" spans="1:9" x14ac:dyDescent="0.4">
      <c r="A83" s="18">
        <v>70</v>
      </c>
      <c r="B83" s="286"/>
      <c r="C83" s="18">
        <f t="shared" si="7"/>
        <v>3.3869503546099291</v>
      </c>
      <c r="D83" s="18">
        <f t="shared" si="8"/>
        <v>5.16</v>
      </c>
      <c r="E83" s="18">
        <f t="shared" si="9"/>
        <v>6.9330496453900707</v>
      </c>
      <c r="F83" s="18" t="e">
        <f t="shared" ref="F83:F88" si="10">IF(B83&lt;&gt;"",IF($E$7=2,ABS(B82-B83),IF($E$7=3,MAX(B81:B83)-MIN(B81:B83),IF($E$7=4,MAX(B80:B83)-MIN(B80:B83),IF($E$7=5,MAX(B79:B83)-MIN(B79:B83),NA())))),NA())</f>
        <v>#N/A</v>
      </c>
      <c r="G83" s="18">
        <f t="shared" ref="G83:G88" si="11">$E$10*$C$10</f>
        <v>0</v>
      </c>
      <c r="H83" s="18">
        <f t="shared" si="6"/>
        <v>0.66666666666666663</v>
      </c>
      <c r="I83" s="18">
        <f t="shared" ref="I83:I88" si="12">$F$10*$C$10</f>
        <v>2.1779999999999999</v>
      </c>
    </row>
    <row r="84" spans="1:9" x14ac:dyDescent="0.4">
      <c r="A84" s="18">
        <v>71</v>
      </c>
      <c r="B84" s="286"/>
      <c r="C84" s="18">
        <f t="shared" si="7"/>
        <v>3.3869503546099291</v>
      </c>
      <c r="D84" s="18">
        <f t="shared" si="8"/>
        <v>5.16</v>
      </c>
      <c r="E84" s="18">
        <f t="shared" si="9"/>
        <v>6.9330496453900707</v>
      </c>
      <c r="F84" s="18" t="e">
        <f t="shared" si="10"/>
        <v>#N/A</v>
      </c>
      <c r="G84" s="18">
        <f t="shared" si="11"/>
        <v>0</v>
      </c>
      <c r="H84" s="18">
        <f>$C$10</f>
        <v>0.66666666666666663</v>
      </c>
      <c r="I84" s="18">
        <f t="shared" si="12"/>
        <v>2.1779999999999999</v>
      </c>
    </row>
    <row r="85" spans="1:9" x14ac:dyDescent="0.4">
      <c r="A85" s="18">
        <v>72</v>
      </c>
      <c r="B85" s="286"/>
      <c r="C85" s="18">
        <f t="shared" si="7"/>
        <v>3.3869503546099291</v>
      </c>
      <c r="D85" s="18">
        <f t="shared" si="8"/>
        <v>5.16</v>
      </c>
      <c r="E85" s="18">
        <f t="shared" si="9"/>
        <v>6.9330496453900707</v>
      </c>
      <c r="F85" s="18" t="e">
        <f t="shared" si="10"/>
        <v>#N/A</v>
      </c>
      <c r="G85" s="18">
        <f t="shared" si="11"/>
        <v>0</v>
      </c>
      <c r="H85" s="18">
        <f>$C$10</f>
        <v>0.66666666666666663</v>
      </c>
      <c r="I85" s="18">
        <f t="shared" si="12"/>
        <v>2.1779999999999999</v>
      </c>
    </row>
    <row r="86" spans="1:9" x14ac:dyDescent="0.4">
      <c r="A86" s="18">
        <v>73</v>
      </c>
      <c r="B86" s="286"/>
      <c r="C86" s="18">
        <f t="shared" si="7"/>
        <v>3.3869503546099291</v>
      </c>
      <c r="D86" s="18">
        <f t="shared" si="8"/>
        <v>5.16</v>
      </c>
      <c r="E86" s="18">
        <f t="shared" si="9"/>
        <v>6.9330496453900707</v>
      </c>
      <c r="F86" s="18" t="e">
        <f t="shared" si="10"/>
        <v>#N/A</v>
      </c>
      <c r="G86" s="18">
        <f t="shared" si="11"/>
        <v>0</v>
      </c>
      <c r="H86" s="18">
        <f>$C$10</f>
        <v>0.66666666666666663</v>
      </c>
      <c r="I86" s="18">
        <f t="shared" si="12"/>
        <v>2.1779999999999999</v>
      </c>
    </row>
    <row r="87" spans="1:9" x14ac:dyDescent="0.4">
      <c r="A87" s="18">
        <v>74</v>
      </c>
      <c r="B87" s="286"/>
      <c r="C87" s="18">
        <f t="shared" si="7"/>
        <v>3.3869503546099291</v>
      </c>
      <c r="D87" s="18">
        <f t="shared" si="8"/>
        <v>5.16</v>
      </c>
      <c r="E87" s="18">
        <f t="shared" si="9"/>
        <v>6.9330496453900707</v>
      </c>
      <c r="F87" s="18" t="e">
        <f t="shared" si="10"/>
        <v>#N/A</v>
      </c>
      <c r="G87" s="18">
        <f t="shared" si="11"/>
        <v>0</v>
      </c>
      <c r="H87" s="18">
        <f>$C$10</f>
        <v>0.66666666666666663</v>
      </c>
      <c r="I87" s="18">
        <f t="shared" si="12"/>
        <v>2.1779999999999999</v>
      </c>
    </row>
    <row r="88" spans="1:9" x14ac:dyDescent="0.4">
      <c r="A88" s="18">
        <v>75</v>
      </c>
      <c r="B88" s="286"/>
      <c r="C88" s="18">
        <f t="shared" si="7"/>
        <v>3.3869503546099291</v>
      </c>
      <c r="D88" s="18">
        <f t="shared" si="8"/>
        <v>5.16</v>
      </c>
      <c r="E88" s="18">
        <f t="shared" si="9"/>
        <v>6.9330496453900707</v>
      </c>
      <c r="F88" s="18" t="e">
        <f t="shared" si="10"/>
        <v>#N/A</v>
      </c>
      <c r="G88" s="18">
        <f t="shared" si="11"/>
        <v>0</v>
      </c>
      <c r="H88" s="18">
        <f>$C$10</f>
        <v>0.66666666666666663</v>
      </c>
      <c r="I88" s="18">
        <f t="shared" si="12"/>
        <v>2.1779999999999999</v>
      </c>
    </row>
    <row r="93" spans="1:9" ht="12.6" thickBot="1" x14ac:dyDescent="0.45">
      <c r="A93" s="161" t="s">
        <v>142</v>
      </c>
    </row>
    <row r="94" spans="1:9" x14ac:dyDescent="0.4">
      <c r="A94" s="162"/>
      <c r="B94" s="670" t="s">
        <v>143</v>
      </c>
      <c r="C94" s="670"/>
      <c r="D94" s="670"/>
      <c r="E94" s="670"/>
      <c r="F94" s="670"/>
      <c r="G94" s="670"/>
      <c r="H94" s="671"/>
    </row>
    <row r="95" spans="1:9" x14ac:dyDescent="0.4">
      <c r="A95" s="163" t="s">
        <v>144</v>
      </c>
      <c r="B95" s="164" t="s">
        <v>130</v>
      </c>
      <c r="C95" s="164" t="s">
        <v>131</v>
      </c>
      <c r="D95" s="164" t="s">
        <v>132</v>
      </c>
      <c r="E95" s="164" t="s">
        <v>133</v>
      </c>
      <c r="F95" s="164" t="s">
        <v>145</v>
      </c>
      <c r="G95" s="164" t="s">
        <v>146</v>
      </c>
      <c r="H95" s="165" t="s">
        <v>147</v>
      </c>
    </row>
    <row r="96" spans="1:9" x14ac:dyDescent="0.4">
      <c r="A96" s="166">
        <v>2</v>
      </c>
      <c r="B96" s="44">
        <v>1.88</v>
      </c>
      <c r="C96" s="44">
        <v>0</v>
      </c>
      <c r="D96" s="44">
        <v>3.2669999999999999</v>
      </c>
      <c r="E96" s="44">
        <v>1.1279999999999999</v>
      </c>
      <c r="F96" s="44">
        <v>2.6589999999999998</v>
      </c>
      <c r="G96" s="44">
        <v>0</v>
      </c>
      <c r="H96" s="167">
        <v>3.2669999999999999</v>
      </c>
    </row>
    <row r="97" spans="1:8" x14ac:dyDescent="0.4">
      <c r="A97" s="166">
        <v>3</v>
      </c>
      <c r="B97" s="44">
        <v>1.0229999999999999</v>
      </c>
      <c r="C97" s="44">
        <v>0</v>
      </c>
      <c r="D97" s="44">
        <v>2.5739999999999998</v>
      </c>
      <c r="E97" s="44">
        <v>1.6930000000000001</v>
      </c>
      <c r="F97" s="44">
        <v>1.954</v>
      </c>
      <c r="G97" s="44">
        <v>0</v>
      </c>
      <c r="H97" s="167">
        <v>2.5680000000000001</v>
      </c>
    </row>
    <row r="98" spans="1:8" x14ac:dyDescent="0.4">
      <c r="A98" s="166">
        <v>4</v>
      </c>
      <c r="B98" s="44">
        <v>0.72899999999999998</v>
      </c>
      <c r="C98" s="44">
        <v>0</v>
      </c>
      <c r="D98" s="44">
        <v>2.282</v>
      </c>
      <c r="E98" s="44">
        <v>2.0590000000000002</v>
      </c>
      <c r="F98" s="44">
        <v>1.6279999999999999</v>
      </c>
      <c r="G98" s="44">
        <v>0</v>
      </c>
      <c r="H98" s="167">
        <v>2.266</v>
      </c>
    </row>
    <row r="99" spans="1:8" x14ac:dyDescent="0.4">
      <c r="A99" s="166">
        <v>5</v>
      </c>
      <c r="B99" s="44">
        <v>0.57699999999999996</v>
      </c>
      <c r="C99" s="44">
        <v>0</v>
      </c>
      <c r="D99" s="44">
        <v>2.1139999999999999</v>
      </c>
      <c r="E99" s="44">
        <v>2.3260000000000001</v>
      </c>
      <c r="F99" s="44">
        <v>1.427</v>
      </c>
      <c r="G99" s="44">
        <v>0</v>
      </c>
      <c r="H99" s="167">
        <v>2.089</v>
      </c>
    </row>
    <row r="100" spans="1:8" x14ac:dyDescent="0.4">
      <c r="A100" s="166">
        <v>6</v>
      </c>
      <c r="B100" s="44">
        <v>0.48299999999999998</v>
      </c>
      <c r="C100" s="44">
        <v>0</v>
      </c>
      <c r="D100" s="44">
        <v>2.004</v>
      </c>
      <c r="E100" s="44">
        <v>2.5339999999999998</v>
      </c>
      <c r="F100" s="44">
        <v>1.2869999999999999</v>
      </c>
      <c r="G100" s="44">
        <v>0.03</v>
      </c>
      <c r="H100" s="167">
        <v>1.97</v>
      </c>
    </row>
    <row r="101" spans="1:8" x14ac:dyDescent="0.4">
      <c r="A101" s="166">
        <v>7</v>
      </c>
      <c r="B101" s="44">
        <v>0.41899999999999998</v>
      </c>
      <c r="C101" s="44">
        <v>7.5999999999999998E-2</v>
      </c>
      <c r="D101" s="44">
        <v>1.9239999999999999</v>
      </c>
      <c r="E101" s="44">
        <v>2.7040000000000002</v>
      </c>
      <c r="F101" s="44">
        <v>1.1819999999999999</v>
      </c>
      <c r="G101" s="44">
        <v>0.11799999999999999</v>
      </c>
      <c r="H101" s="167">
        <v>1.8819999999999999</v>
      </c>
    </row>
    <row r="102" spans="1:8" x14ac:dyDescent="0.4">
      <c r="A102" s="166">
        <v>8</v>
      </c>
      <c r="B102" s="44">
        <v>0.373</v>
      </c>
      <c r="C102" s="44">
        <v>0.13600000000000001</v>
      </c>
      <c r="D102" s="44">
        <v>1.8640000000000001</v>
      </c>
      <c r="E102" s="44">
        <v>2.847</v>
      </c>
      <c r="F102" s="44">
        <v>1.099</v>
      </c>
      <c r="G102" s="44">
        <v>0.185</v>
      </c>
      <c r="H102" s="167">
        <v>1.8149999999999999</v>
      </c>
    </row>
    <row r="103" spans="1:8" x14ac:dyDescent="0.4">
      <c r="A103" s="166">
        <v>9</v>
      </c>
      <c r="B103" s="44">
        <v>0.33700000000000002</v>
      </c>
      <c r="C103" s="44">
        <v>0.184</v>
      </c>
      <c r="D103" s="44">
        <v>1.8160000000000001</v>
      </c>
      <c r="E103" s="44">
        <v>2.97</v>
      </c>
      <c r="F103" s="44">
        <v>1.032</v>
      </c>
      <c r="G103" s="44">
        <v>0.23899999999999999</v>
      </c>
      <c r="H103" s="167">
        <v>1.7609999999999999</v>
      </c>
    </row>
    <row r="104" spans="1:8" ht="12.6" thickBot="1" x14ac:dyDescent="0.45">
      <c r="A104" s="168">
        <v>10</v>
      </c>
      <c r="B104" s="169">
        <v>0.308</v>
      </c>
      <c r="C104" s="169">
        <v>0.223</v>
      </c>
      <c r="D104" s="169">
        <v>1.7769999999999999</v>
      </c>
      <c r="E104" s="169">
        <v>3.0779999999999998</v>
      </c>
      <c r="F104" s="169">
        <v>0.97499999999999998</v>
      </c>
      <c r="G104" s="169">
        <v>0.28399999999999997</v>
      </c>
      <c r="H104" s="170">
        <v>1.716</v>
      </c>
    </row>
  </sheetData>
  <mergeCells count="4">
    <mergeCell ref="A7:D7"/>
    <mergeCell ref="C9:D9"/>
    <mergeCell ref="C10:D10"/>
    <mergeCell ref="B94:H94"/>
  </mergeCells>
  <dataValidations count="2">
    <dataValidation type="whole" allowBlank="1" showInputMessage="1" showErrorMessage="1" errorTitle="Input Error!" error="The sample size must be a whole number between 2 and 5."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D00-000000000000}">
      <formula1>2</formula1>
      <formula2>5</formula2>
    </dataValidation>
    <dataValidation type="whole" allowBlank="1" showInputMessage="1" showErrorMessage="1" errorTitle="Input Error!" error="The number of samples must be a whole number no greater than 75."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D00-000001000000}">
      <formula1>1</formula1>
      <formula2>75</formula2>
    </dataValidation>
  </dataValidations>
  <hyperlinks>
    <hyperlink ref="P1" location="Menu!A1" display="Return to menu" xr:uid="{00000000-0004-0000-0D00-000000000000}"/>
  </hyperlink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H1:Q50"/>
  <sheetViews>
    <sheetView workbookViewId="0">
      <selection activeCell="R7" sqref="R7:R10"/>
    </sheetView>
  </sheetViews>
  <sheetFormatPr defaultColWidth="9.1015625" defaultRowHeight="12.3" x14ac:dyDescent="0.4"/>
  <cols>
    <col min="1" max="16" width="9.1015625" style="18"/>
    <col min="17" max="17" width="20.734375" style="18" bestFit="1" customWidth="1"/>
    <col min="18" max="16384" width="9.1015625" style="18"/>
  </cols>
  <sheetData>
    <row r="1" spans="17:17" ht="20.399999999999999" x14ac:dyDescent="0.75">
      <c r="Q1" s="7" t="s">
        <v>20</v>
      </c>
    </row>
    <row r="50" spans="8:8" x14ac:dyDescent="0.4">
      <c r="H50" s="18">
        <f>$C$10</f>
        <v>0</v>
      </c>
    </row>
  </sheetData>
  <hyperlinks>
    <hyperlink ref="Q1" location="Menu!A1" display="Return to menu" xr:uid="{00000000-0004-0000-0E00-000000000000}"/>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H1:Q50"/>
  <sheetViews>
    <sheetView workbookViewId="0">
      <selection activeCell="Q1" sqref="Q1"/>
    </sheetView>
  </sheetViews>
  <sheetFormatPr defaultColWidth="9.1015625" defaultRowHeight="12.3" x14ac:dyDescent="0.4"/>
  <cols>
    <col min="1" max="16" width="9.1015625" style="18"/>
    <col min="17" max="17" width="20.734375" style="18" bestFit="1" customWidth="1"/>
    <col min="18" max="16384" width="9.1015625" style="18"/>
  </cols>
  <sheetData>
    <row r="1" spans="17:17" ht="20.399999999999999" x14ac:dyDescent="0.75">
      <c r="Q1" s="7" t="s">
        <v>20</v>
      </c>
    </row>
    <row r="50" spans="8:8" x14ac:dyDescent="0.4">
      <c r="H50" s="18">
        <f>$C$10</f>
        <v>0</v>
      </c>
    </row>
  </sheetData>
  <hyperlinks>
    <hyperlink ref="Q1" location="Menu!A1" display="Return to menu" xr:uid="{00000000-0004-0000-0F00-000000000000}"/>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D1:BA52"/>
  <sheetViews>
    <sheetView zoomScale="25" zoomScaleNormal="25" workbookViewId="0">
      <selection activeCell="BA1" sqref="BA1"/>
    </sheetView>
  </sheetViews>
  <sheetFormatPr defaultColWidth="9.1015625" defaultRowHeight="23.1" x14ac:dyDescent="0.85"/>
  <cols>
    <col min="1" max="42" width="9.1015625" style="53"/>
    <col min="43" max="43" width="9.1015625" style="53" customWidth="1"/>
    <col min="44" max="52" width="9.1015625" style="53"/>
    <col min="53" max="53" width="39.1015625" style="53" bestFit="1" customWidth="1"/>
    <col min="54" max="16384" width="9.1015625" style="53"/>
  </cols>
  <sheetData>
    <row r="1" spans="4:53" ht="60.75" customHeight="1" x14ac:dyDescent="1.3">
      <c r="D1" s="315" t="s">
        <v>248</v>
      </c>
      <c r="BA1" s="63" t="s">
        <v>20</v>
      </c>
    </row>
    <row r="3" spans="4:53" ht="23.4" x14ac:dyDescent="0.85">
      <c r="D3" s="50" t="s">
        <v>75</v>
      </c>
      <c r="E3" s="51"/>
      <c r="F3" s="52"/>
      <c r="G3" s="51"/>
      <c r="H3" s="51"/>
      <c r="I3" s="52"/>
      <c r="J3" s="51"/>
      <c r="K3" s="51"/>
      <c r="L3" s="51"/>
      <c r="M3" s="51"/>
      <c r="N3" s="51"/>
      <c r="O3" s="52"/>
      <c r="P3" s="51"/>
      <c r="Q3" s="50" t="s">
        <v>78</v>
      </c>
      <c r="R3" s="51"/>
      <c r="S3" s="51"/>
      <c r="T3" s="51"/>
      <c r="U3" s="51"/>
      <c r="V3" s="51"/>
      <c r="W3" s="51"/>
      <c r="X3" s="52"/>
      <c r="Y3" s="51"/>
      <c r="Z3" s="51"/>
      <c r="AA3" s="51"/>
      <c r="AB3" s="51"/>
      <c r="AC3" s="51"/>
      <c r="AD3" s="50" t="s">
        <v>79</v>
      </c>
      <c r="AE3" s="51"/>
      <c r="AF3" s="52"/>
      <c r="AG3" s="51"/>
      <c r="AH3" s="51"/>
      <c r="AI3" s="52"/>
      <c r="AJ3" s="51"/>
      <c r="AK3" s="51"/>
      <c r="AL3" s="51"/>
      <c r="AM3" s="51"/>
      <c r="AN3" s="51"/>
      <c r="AO3" s="52"/>
      <c r="AP3" s="51"/>
      <c r="AQ3" s="51"/>
      <c r="AR3" s="51"/>
      <c r="AS3" s="51"/>
      <c r="AT3" s="51"/>
      <c r="AU3" s="51"/>
      <c r="AV3" s="51"/>
      <c r="AW3" s="51"/>
      <c r="AX3" s="51"/>
      <c r="AY3" s="51"/>
    </row>
    <row r="4" spans="4:53" ht="23.4" x14ac:dyDescent="0.85">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row>
    <row r="5" spans="4:53" ht="23.4" x14ac:dyDescent="0.85">
      <c r="D5" s="672"/>
      <c r="E5" s="673"/>
      <c r="F5" s="673"/>
      <c r="G5" s="673"/>
      <c r="H5" s="673"/>
      <c r="I5" s="673"/>
      <c r="J5" s="674"/>
      <c r="K5" s="54"/>
      <c r="L5" s="55"/>
      <c r="M5" s="51"/>
      <c r="N5" s="51"/>
      <c r="O5" s="51"/>
      <c r="P5" s="51"/>
      <c r="Q5" s="672"/>
      <c r="R5" s="673"/>
      <c r="S5" s="673"/>
      <c r="T5" s="673"/>
      <c r="U5" s="673"/>
      <c r="V5" s="673"/>
      <c r="W5" s="674"/>
      <c r="X5" s="54"/>
      <c r="Y5" s="55"/>
      <c r="Z5" s="51"/>
      <c r="AA5" s="51"/>
      <c r="AB5" s="51"/>
      <c r="AC5" s="51"/>
      <c r="AD5" s="672"/>
      <c r="AE5" s="673"/>
      <c r="AF5" s="673"/>
      <c r="AG5" s="673"/>
      <c r="AH5" s="673"/>
      <c r="AI5" s="673"/>
      <c r="AJ5" s="674"/>
      <c r="AK5" s="54"/>
      <c r="AL5" s="55"/>
      <c r="AM5" s="51"/>
      <c r="AN5" s="51"/>
      <c r="AO5" s="51"/>
      <c r="AP5" s="51"/>
      <c r="AQ5" s="51"/>
      <c r="AR5" s="51"/>
      <c r="AS5" s="51"/>
      <c r="AT5" s="51"/>
      <c r="AU5" s="55"/>
      <c r="AV5" s="51"/>
      <c r="AW5" s="51"/>
      <c r="AX5" s="51"/>
      <c r="AY5" s="51"/>
    </row>
    <row r="6" spans="4:53" ht="23.4" x14ac:dyDescent="0.85">
      <c r="D6" s="675"/>
      <c r="E6" s="676"/>
      <c r="F6" s="676"/>
      <c r="G6" s="676"/>
      <c r="H6" s="676"/>
      <c r="I6" s="676"/>
      <c r="J6" s="677"/>
      <c r="K6" s="51"/>
      <c r="L6" s="51"/>
      <c r="M6" s="51"/>
      <c r="N6" s="51"/>
      <c r="O6" s="51"/>
      <c r="P6" s="51"/>
      <c r="Q6" s="675"/>
      <c r="R6" s="676"/>
      <c r="S6" s="676"/>
      <c r="T6" s="676"/>
      <c r="U6" s="676"/>
      <c r="V6" s="676"/>
      <c r="W6" s="677"/>
      <c r="X6" s="51"/>
      <c r="Y6" s="51"/>
      <c r="Z6" s="51"/>
      <c r="AA6" s="51"/>
      <c r="AB6" s="51"/>
      <c r="AC6" s="51"/>
      <c r="AD6" s="675"/>
      <c r="AE6" s="676"/>
      <c r="AF6" s="676"/>
      <c r="AG6" s="676"/>
      <c r="AH6" s="676"/>
      <c r="AI6" s="676"/>
      <c r="AJ6" s="677"/>
      <c r="AK6" s="51"/>
      <c r="AL6" s="51"/>
      <c r="AM6" s="51"/>
      <c r="AN6" s="51"/>
      <c r="AO6" s="51"/>
      <c r="AP6" s="51"/>
      <c r="AQ6" s="51"/>
      <c r="AR6" s="51"/>
      <c r="AS6" s="51"/>
      <c r="AT6" s="51"/>
      <c r="AU6" s="51"/>
      <c r="AV6" s="51"/>
      <c r="AW6" s="51"/>
      <c r="AX6" s="51"/>
      <c r="AY6" s="51"/>
    </row>
    <row r="7" spans="4:53" ht="23.4" x14ac:dyDescent="0.85">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row>
    <row r="8" spans="4:53" ht="23.4" x14ac:dyDescent="0.85">
      <c r="D8" s="51"/>
      <c r="E8" s="672"/>
      <c r="F8" s="673"/>
      <c r="G8" s="673"/>
      <c r="H8" s="673"/>
      <c r="I8" s="673"/>
      <c r="J8" s="673"/>
      <c r="K8" s="674"/>
      <c r="L8" s="54"/>
      <c r="M8" s="51"/>
      <c r="N8" s="51"/>
      <c r="O8" s="51"/>
      <c r="P8" s="51"/>
      <c r="Q8" s="51"/>
      <c r="R8" s="672"/>
      <c r="S8" s="673"/>
      <c r="T8" s="673"/>
      <c r="U8" s="673"/>
      <c r="V8" s="673"/>
      <c r="W8" s="673"/>
      <c r="X8" s="674"/>
      <c r="Y8" s="54"/>
      <c r="Z8" s="51"/>
      <c r="AA8" s="51"/>
      <c r="AB8" s="51"/>
      <c r="AC8" s="51"/>
      <c r="AD8" s="51"/>
      <c r="AE8" s="672"/>
      <c r="AF8" s="673"/>
      <c r="AG8" s="673"/>
      <c r="AH8" s="673"/>
      <c r="AI8" s="673"/>
      <c r="AJ8" s="673"/>
      <c r="AK8" s="674"/>
      <c r="AL8" s="54"/>
      <c r="AM8" s="51"/>
      <c r="AN8" s="51"/>
      <c r="AO8" s="51"/>
      <c r="AP8" s="51"/>
      <c r="AQ8" s="51"/>
      <c r="AR8" s="51"/>
      <c r="AS8" s="51"/>
      <c r="AT8" s="51"/>
      <c r="AU8" s="51"/>
      <c r="AV8" s="51"/>
      <c r="AW8" s="51"/>
      <c r="AX8" s="51"/>
      <c r="AY8" s="51"/>
    </row>
    <row r="9" spans="4:53" ht="23.4" x14ac:dyDescent="0.85">
      <c r="D9" s="51"/>
      <c r="E9" s="675"/>
      <c r="F9" s="676"/>
      <c r="G9" s="676"/>
      <c r="H9" s="676"/>
      <c r="I9" s="676"/>
      <c r="J9" s="676"/>
      <c r="K9" s="677"/>
      <c r="L9" s="51"/>
      <c r="M9" s="51"/>
      <c r="N9" s="51"/>
      <c r="O9" s="51"/>
      <c r="P9" s="51"/>
      <c r="Q9" s="51"/>
      <c r="R9" s="675"/>
      <c r="S9" s="676"/>
      <c r="T9" s="676"/>
      <c r="U9" s="676"/>
      <c r="V9" s="676"/>
      <c r="W9" s="676"/>
      <c r="X9" s="677"/>
      <c r="Y9" s="51"/>
      <c r="Z9" s="51"/>
      <c r="AA9" s="51"/>
      <c r="AB9" s="51"/>
      <c r="AC9" s="51"/>
      <c r="AD9" s="51"/>
      <c r="AE9" s="675"/>
      <c r="AF9" s="676"/>
      <c r="AG9" s="676"/>
      <c r="AH9" s="676"/>
      <c r="AI9" s="676"/>
      <c r="AJ9" s="676"/>
      <c r="AK9" s="677"/>
      <c r="AL9" s="51"/>
      <c r="AM9" s="51"/>
      <c r="AN9" s="51"/>
      <c r="AO9" s="51"/>
      <c r="AP9" s="51"/>
      <c r="AQ9" s="51"/>
      <c r="AR9" s="51"/>
      <c r="AS9" s="51"/>
      <c r="AT9" s="51"/>
      <c r="AU9" s="51"/>
      <c r="AV9" s="51"/>
      <c r="AW9" s="56"/>
      <c r="AX9" s="51"/>
      <c r="AY9" s="51"/>
    </row>
    <row r="10" spans="4:53" ht="23.4" x14ac:dyDescent="0.85">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7"/>
      <c r="AX10" s="51"/>
      <c r="AY10" s="51"/>
    </row>
    <row r="11" spans="4:53" ht="23.4" x14ac:dyDescent="0.85">
      <c r="D11" s="51"/>
      <c r="E11" s="51"/>
      <c r="F11" s="672"/>
      <c r="G11" s="673"/>
      <c r="H11" s="673"/>
      <c r="I11" s="673"/>
      <c r="J11" s="673"/>
      <c r="K11" s="673"/>
      <c r="L11" s="674"/>
      <c r="M11" s="54"/>
      <c r="N11" s="51"/>
      <c r="O11" s="51"/>
      <c r="P11" s="51"/>
      <c r="Q11" s="51"/>
      <c r="R11" s="51"/>
      <c r="S11" s="672"/>
      <c r="T11" s="673"/>
      <c r="U11" s="673"/>
      <c r="V11" s="673"/>
      <c r="W11" s="673"/>
      <c r="X11" s="673"/>
      <c r="Y11" s="674"/>
      <c r="Z11" s="54"/>
      <c r="AA11" s="51"/>
      <c r="AB11" s="51"/>
      <c r="AC11" s="51"/>
      <c r="AD11" s="51"/>
      <c r="AE11" s="51"/>
      <c r="AF11" s="672"/>
      <c r="AG11" s="673"/>
      <c r="AH11" s="673"/>
      <c r="AI11" s="673"/>
      <c r="AJ11" s="673"/>
      <c r="AK11" s="673"/>
      <c r="AL11" s="674"/>
      <c r="AM11" s="54"/>
      <c r="AN11" s="51"/>
      <c r="AO11" s="51"/>
      <c r="AP11" s="51"/>
      <c r="AQ11" s="51"/>
      <c r="AR11" s="51"/>
      <c r="AS11" s="51"/>
      <c r="AT11" s="51"/>
      <c r="AU11" s="51"/>
      <c r="AV11" s="51"/>
      <c r="AW11" s="57"/>
      <c r="AX11" s="51"/>
      <c r="AY11" s="51"/>
    </row>
    <row r="12" spans="4:53" ht="23.4" x14ac:dyDescent="0.85">
      <c r="D12" s="51"/>
      <c r="E12" s="51"/>
      <c r="F12" s="675"/>
      <c r="G12" s="676"/>
      <c r="H12" s="676"/>
      <c r="I12" s="676"/>
      <c r="J12" s="676"/>
      <c r="K12" s="676"/>
      <c r="L12" s="677"/>
      <c r="M12" s="51"/>
      <c r="N12" s="51"/>
      <c r="O12" s="51"/>
      <c r="P12" s="51"/>
      <c r="Q12" s="51"/>
      <c r="R12" s="51"/>
      <c r="S12" s="675"/>
      <c r="T12" s="676"/>
      <c r="U12" s="676"/>
      <c r="V12" s="676"/>
      <c r="W12" s="676"/>
      <c r="X12" s="676"/>
      <c r="Y12" s="677"/>
      <c r="Z12" s="51"/>
      <c r="AA12" s="51"/>
      <c r="AB12" s="51"/>
      <c r="AC12" s="51"/>
      <c r="AD12" s="51"/>
      <c r="AE12" s="51"/>
      <c r="AF12" s="675"/>
      <c r="AG12" s="676"/>
      <c r="AH12" s="676"/>
      <c r="AI12" s="676"/>
      <c r="AJ12" s="676"/>
      <c r="AK12" s="676"/>
      <c r="AL12" s="677"/>
      <c r="AM12" s="51"/>
      <c r="AN12" s="51"/>
      <c r="AO12" s="51"/>
      <c r="AP12" s="51"/>
      <c r="AQ12" s="51"/>
      <c r="AR12" s="51"/>
      <c r="AS12" s="51"/>
      <c r="AT12" s="51"/>
      <c r="AU12" s="51"/>
      <c r="AV12" s="51"/>
      <c r="AW12" s="57"/>
      <c r="AX12" s="51"/>
      <c r="AY12" s="51"/>
    </row>
    <row r="13" spans="4:53" ht="23.4" x14ac:dyDescent="0.85">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7"/>
      <c r="AX13" s="51"/>
      <c r="AY13" s="51"/>
    </row>
    <row r="14" spans="4:53" ht="23.4" x14ac:dyDescent="0.85">
      <c r="D14" s="51"/>
      <c r="E14" s="51"/>
      <c r="F14" s="51"/>
      <c r="G14" s="672"/>
      <c r="H14" s="673"/>
      <c r="I14" s="673"/>
      <c r="J14" s="673"/>
      <c r="K14" s="673"/>
      <c r="L14" s="673"/>
      <c r="M14" s="674"/>
      <c r="N14" s="54"/>
      <c r="O14" s="51"/>
      <c r="P14" s="51"/>
      <c r="Q14" s="51"/>
      <c r="R14" s="51"/>
      <c r="S14" s="51"/>
      <c r="T14" s="672"/>
      <c r="U14" s="673"/>
      <c r="V14" s="673"/>
      <c r="W14" s="673"/>
      <c r="X14" s="673"/>
      <c r="Y14" s="673"/>
      <c r="Z14" s="674"/>
      <c r="AA14" s="54"/>
      <c r="AB14" s="51"/>
      <c r="AC14" s="51"/>
      <c r="AD14" s="51"/>
      <c r="AE14" s="51"/>
      <c r="AF14" s="51"/>
      <c r="AG14" s="672"/>
      <c r="AH14" s="673"/>
      <c r="AI14" s="673"/>
      <c r="AJ14" s="673"/>
      <c r="AK14" s="673"/>
      <c r="AL14" s="673"/>
      <c r="AM14" s="674"/>
      <c r="AN14" s="54"/>
      <c r="AO14" s="51"/>
      <c r="AP14" s="51"/>
      <c r="AQ14" s="51"/>
      <c r="AR14" s="51"/>
      <c r="AS14" s="51"/>
      <c r="AT14" s="51"/>
      <c r="AU14" s="51"/>
      <c r="AV14" s="51"/>
      <c r="AW14" s="57"/>
      <c r="AX14" s="51"/>
      <c r="AY14" s="51"/>
    </row>
    <row r="15" spans="4:53" ht="23.4" x14ac:dyDescent="0.85">
      <c r="D15" s="51"/>
      <c r="E15" s="51"/>
      <c r="F15" s="51"/>
      <c r="G15" s="675"/>
      <c r="H15" s="676"/>
      <c r="I15" s="676"/>
      <c r="J15" s="676"/>
      <c r="K15" s="676"/>
      <c r="L15" s="676"/>
      <c r="M15" s="677"/>
      <c r="N15" s="51"/>
      <c r="O15" s="51"/>
      <c r="P15" s="51"/>
      <c r="Q15" s="51"/>
      <c r="R15" s="51"/>
      <c r="S15" s="51"/>
      <c r="T15" s="675"/>
      <c r="U15" s="676"/>
      <c r="V15" s="676"/>
      <c r="W15" s="676"/>
      <c r="X15" s="676"/>
      <c r="Y15" s="676"/>
      <c r="Z15" s="677"/>
      <c r="AA15" s="51"/>
      <c r="AB15" s="51"/>
      <c r="AC15" s="51"/>
      <c r="AD15" s="51"/>
      <c r="AE15" s="51"/>
      <c r="AF15" s="51"/>
      <c r="AG15" s="675"/>
      <c r="AH15" s="676"/>
      <c r="AI15" s="676"/>
      <c r="AJ15" s="676"/>
      <c r="AK15" s="676"/>
      <c r="AL15" s="676"/>
      <c r="AM15" s="677"/>
      <c r="AN15" s="51"/>
      <c r="AO15" s="51"/>
      <c r="AP15" s="51"/>
      <c r="AQ15" s="51"/>
      <c r="AR15" s="51"/>
      <c r="AS15" s="51"/>
      <c r="AT15" s="51"/>
      <c r="AU15" s="51"/>
      <c r="AV15" s="51"/>
      <c r="AW15" s="57"/>
      <c r="AX15" s="51"/>
      <c r="AY15" s="51"/>
    </row>
    <row r="16" spans="4:53" ht="23.4" x14ac:dyDescent="0.85">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7"/>
      <c r="AX16" s="51"/>
      <c r="AY16" s="51"/>
    </row>
    <row r="17" spans="4:52" ht="23.4" x14ac:dyDescent="0.85">
      <c r="D17" s="51"/>
      <c r="E17" s="51"/>
      <c r="F17" s="51"/>
      <c r="G17" s="51"/>
      <c r="H17" s="672"/>
      <c r="I17" s="673"/>
      <c r="J17" s="673"/>
      <c r="K17" s="673"/>
      <c r="L17" s="673"/>
      <c r="M17" s="673"/>
      <c r="N17" s="674"/>
      <c r="O17" s="54"/>
      <c r="P17" s="51"/>
      <c r="Q17" s="51"/>
      <c r="R17" s="51"/>
      <c r="S17" s="51"/>
      <c r="T17" s="51"/>
      <c r="U17" s="672"/>
      <c r="V17" s="673"/>
      <c r="W17" s="673"/>
      <c r="X17" s="673"/>
      <c r="Y17" s="673"/>
      <c r="Z17" s="673"/>
      <c r="AA17" s="674"/>
      <c r="AB17" s="54"/>
      <c r="AC17" s="51"/>
      <c r="AD17" s="51"/>
      <c r="AE17" s="51"/>
      <c r="AF17" s="51"/>
      <c r="AG17" s="51"/>
      <c r="AH17" s="672"/>
      <c r="AI17" s="673"/>
      <c r="AJ17" s="673"/>
      <c r="AK17" s="673"/>
      <c r="AL17" s="673"/>
      <c r="AM17" s="673"/>
      <c r="AN17" s="674"/>
      <c r="AO17" s="54"/>
      <c r="AP17" s="51"/>
      <c r="AQ17" s="51"/>
      <c r="AR17" s="51"/>
      <c r="AS17" s="51"/>
      <c r="AT17" s="51"/>
      <c r="AU17" s="51"/>
      <c r="AV17" s="51"/>
      <c r="AW17" s="57"/>
      <c r="AX17" s="51"/>
      <c r="AY17" s="51"/>
    </row>
    <row r="18" spans="4:52" ht="23.4" x14ac:dyDescent="0.85">
      <c r="D18" s="51"/>
      <c r="E18" s="51"/>
      <c r="F18" s="51"/>
      <c r="G18" s="51"/>
      <c r="H18" s="675"/>
      <c r="I18" s="676"/>
      <c r="J18" s="676"/>
      <c r="K18" s="676"/>
      <c r="L18" s="676"/>
      <c r="M18" s="676"/>
      <c r="N18" s="677"/>
      <c r="O18" s="51"/>
      <c r="P18" s="51"/>
      <c r="Q18" s="51"/>
      <c r="R18" s="51"/>
      <c r="S18" s="51"/>
      <c r="T18" s="51"/>
      <c r="U18" s="675"/>
      <c r="V18" s="676"/>
      <c r="W18" s="676"/>
      <c r="X18" s="676"/>
      <c r="Y18" s="676"/>
      <c r="Z18" s="676"/>
      <c r="AA18" s="677"/>
      <c r="AB18" s="51"/>
      <c r="AC18" s="51"/>
      <c r="AD18" s="51"/>
      <c r="AE18" s="51"/>
      <c r="AF18" s="51"/>
      <c r="AG18" s="51"/>
      <c r="AH18" s="675"/>
      <c r="AI18" s="676"/>
      <c r="AJ18" s="676"/>
      <c r="AK18" s="676"/>
      <c r="AL18" s="676"/>
      <c r="AM18" s="676"/>
      <c r="AN18" s="677"/>
      <c r="AO18" s="51"/>
      <c r="AP18" s="51"/>
      <c r="AQ18" s="51"/>
      <c r="AR18" s="51"/>
      <c r="AS18" s="51"/>
      <c r="AT18" s="51"/>
      <c r="AU18" s="51"/>
      <c r="AV18" s="51"/>
      <c r="AW18" s="51"/>
      <c r="AX18" s="51"/>
      <c r="AY18" s="51"/>
      <c r="AZ18" s="51"/>
    </row>
    <row r="19" spans="4:52" ht="23.4" x14ac:dyDescent="0.85">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row>
    <row r="20" spans="4:52" ht="23.4" x14ac:dyDescent="0.85">
      <c r="D20" s="51"/>
      <c r="E20" s="51"/>
      <c r="F20" s="51"/>
      <c r="G20" s="51"/>
      <c r="H20" s="51"/>
      <c r="I20" s="672"/>
      <c r="J20" s="673"/>
      <c r="K20" s="673"/>
      <c r="L20" s="673"/>
      <c r="M20" s="673"/>
      <c r="N20" s="673"/>
      <c r="O20" s="674"/>
      <c r="P20" s="54"/>
      <c r="Q20" s="51"/>
      <c r="R20" s="51"/>
      <c r="S20" s="51"/>
      <c r="T20" s="51"/>
      <c r="U20" s="51"/>
      <c r="V20" s="672"/>
      <c r="W20" s="673"/>
      <c r="X20" s="673"/>
      <c r="Y20" s="673"/>
      <c r="Z20" s="673"/>
      <c r="AA20" s="673"/>
      <c r="AB20" s="674"/>
      <c r="AC20" s="54"/>
      <c r="AD20" s="51"/>
      <c r="AE20" s="51"/>
      <c r="AF20" s="51"/>
      <c r="AG20" s="51"/>
      <c r="AH20" s="51"/>
      <c r="AI20" s="672"/>
      <c r="AJ20" s="673"/>
      <c r="AK20" s="673"/>
      <c r="AL20" s="673"/>
      <c r="AM20" s="673"/>
      <c r="AN20" s="673"/>
      <c r="AO20" s="674"/>
      <c r="AP20" s="54"/>
      <c r="AQ20" s="51"/>
      <c r="AR20" s="51"/>
      <c r="AS20" s="51"/>
      <c r="AT20" s="51"/>
      <c r="AU20" s="51"/>
      <c r="AV20" s="51"/>
      <c r="AW20" s="57"/>
      <c r="AX20" s="51"/>
      <c r="AY20" s="51"/>
    </row>
    <row r="21" spans="4:52" ht="23.4" x14ac:dyDescent="0.85">
      <c r="D21" s="51"/>
      <c r="E21" s="51"/>
      <c r="F21" s="51"/>
      <c r="G21" s="51"/>
      <c r="H21" s="51"/>
      <c r="I21" s="675"/>
      <c r="J21" s="676"/>
      <c r="K21" s="676"/>
      <c r="L21" s="676"/>
      <c r="M21" s="676"/>
      <c r="N21" s="676"/>
      <c r="O21" s="677"/>
      <c r="P21" s="51"/>
      <c r="Q21" s="51"/>
      <c r="R21" s="51"/>
      <c r="S21" s="51"/>
      <c r="T21" s="51"/>
      <c r="U21" s="51"/>
      <c r="V21" s="675"/>
      <c r="W21" s="676"/>
      <c r="X21" s="676"/>
      <c r="Y21" s="676"/>
      <c r="Z21" s="676"/>
      <c r="AA21" s="676"/>
      <c r="AB21" s="677"/>
      <c r="AC21" s="51"/>
      <c r="AD21" s="51"/>
      <c r="AE21" s="51"/>
      <c r="AF21" s="51"/>
      <c r="AG21" s="51"/>
      <c r="AH21" s="51"/>
      <c r="AI21" s="675"/>
      <c r="AJ21" s="676"/>
      <c r="AK21" s="676"/>
      <c r="AL21" s="676"/>
      <c r="AM21" s="676"/>
      <c r="AN21" s="676"/>
      <c r="AO21" s="677"/>
      <c r="AP21" s="51"/>
      <c r="AQ21" s="51"/>
      <c r="AR21" s="51"/>
      <c r="AS21" s="51"/>
      <c r="AT21" s="51"/>
      <c r="AU21" s="51"/>
      <c r="AV21" s="51"/>
      <c r="AW21" s="51"/>
      <c r="AX21" s="51"/>
      <c r="AY21" s="51"/>
      <c r="AZ21" s="56"/>
    </row>
    <row r="22" spans="4:52" ht="23.4" x14ac:dyDescent="0.85">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7"/>
      <c r="AX22" s="51"/>
      <c r="AY22" s="51"/>
      <c r="AZ22" s="56"/>
    </row>
    <row r="23" spans="4:52" ht="23.4" x14ac:dyDescent="0.85">
      <c r="D23" s="51"/>
      <c r="E23" s="51"/>
      <c r="F23" s="51"/>
      <c r="G23" s="51"/>
      <c r="H23" s="51"/>
      <c r="I23" s="51"/>
      <c r="J23" s="672"/>
      <c r="K23" s="673"/>
      <c r="L23" s="673"/>
      <c r="M23" s="673"/>
      <c r="N23" s="673"/>
      <c r="O23" s="673"/>
      <c r="P23" s="674"/>
      <c r="Q23" s="54"/>
      <c r="R23" s="51"/>
      <c r="S23" s="51"/>
      <c r="T23" s="51"/>
      <c r="U23" s="51"/>
      <c r="V23" s="51"/>
      <c r="W23" s="672"/>
      <c r="X23" s="673"/>
      <c r="Y23" s="673"/>
      <c r="Z23" s="673"/>
      <c r="AA23" s="673"/>
      <c r="AB23" s="673"/>
      <c r="AC23" s="674"/>
      <c r="AD23" s="54"/>
      <c r="AE23" s="51"/>
      <c r="AF23" s="51"/>
      <c r="AG23" s="51"/>
      <c r="AH23" s="51"/>
      <c r="AI23" s="51"/>
      <c r="AJ23" s="672"/>
      <c r="AK23" s="673"/>
      <c r="AL23" s="673"/>
      <c r="AM23" s="673"/>
      <c r="AN23" s="673"/>
      <c r="AO23" s="673"/>
      <c r="AP23" s="674"/>
      <c r="AQ23" s="54"/>
      <c r="AR23" s="51"/>
      <c r="AS23" s="51"/>
      <c r="AT23" s="51"/>
      <c r="AU23" s="51"/>
      <c r="AV23" s="51"/>
      <c r="AW23" s="51"/>
      <c r="AX23" s="51"/>
      <c r="AY23" s="51"/>
      <c r="AZ23" s="56"/>
    </row>
    <row r="24" spans="4:52" ht="23.4" x14ac:dyDescent="0.85">
      <c r="D24" s="58"/>
      <c r="E24" s="51"/>
      <c r="F24" s="51"/>
      <c r="G24" s="51"/>
      <c r="H24" s="51"/>
      <c r="I24" s="51"/>
      <c r="J24" s="675"/>
      <c r="K24" s="676"/>
      <c r="L24" s="676"/>
      <c r="M24" s="676"/>
      <c r="N24" s="676"/>
      <c r="O24" s="676"/>
      <c r="P24" s="677"/>
      <c r="Q24" s="58"/>
      <c r="R24" s="51"/>
      <c r="S24" s="51"/>
      <c r="T24" s="51"/>
      <c r="U24" s="51"/>
      <c r="V24" s="51"/>
      <c r="W24" s="675"/>
      <c r="X24" s="676"/>
      <c r="Y24" s="676"/>
      <c r="Z24" s="676"/>
      <c r="AA24" s="676"/>
      <c r="AB24" s="676"/>
      <c r="AC24" s="677"/>
      <c r="AD24" s="58"/>
      <c r="AE24" s="51"/>
      <c r="AF24" s="51"/>
      <c r="AG24" s="51"/>
      <c r="AH24" s="51"/>
      <c r="AI24" s="51"/>
      <c r="AJ24" s="675"/>
      <c r="AK24" s="676"/>
      <c r="AL24" s="676"/>
      <c r="AM24" s="676"/>
      <c r="AN24" s="676"/>
      <c r="AO24" s="676"/>
      <c r="AP24" s="677"/>
      <c r="AQ24" s="51"/>
      <c r="AR24" s="51"/>
      <c r="AS24" s="51"/>
      <c r="AT24" s="51"/>
      <c r="AU24" s="51"/>
      <c r="AV24" s="672" t="s">
        <v>80</v>
      </c>
      <c r="AW24" s="673"/>
      <c r="AX24" s="673"/>
      <c r="AY24" s="674"/>
    </row>
    <row r="25" spans="4:52" ht="23.4" x14ac:dyDescent="0.85">
      <c r="D25" s="58"/>
      <c r="E25" s="51"/>
      <c r="F25" s="51"/>
      <c r="G25" s="51"/>
      <c r="H25" s="51"/>
      <c r="I25" s="51"/>
      <c r="J25" s="51"/>
      <c r="K25" s="51"/>
      <c r="L25" s="51"/>
      <c r="M25" s="51"/>
      <c r="N25" s="51"/>
      <c r="O25" s="51"/>
      <c r="P25" s="51"/>
      <c r="Q25" s="51"/>
      <c r="R25" s="51"/>
      <c r="S25" s="51"/>
      <c r="T25" s="51"/>
      <c r="U25" s="51"/>
      <c r="V25" s="51"/>
      <c r="W25" s="58"/>
      <c r="X25" s="51"/>
      <c r="Y25" s="59"/>
      <c r="Z25" s="51"/>
      <c r="AA25" s="51"/>
      <c r="AB25" s="58"/>
      <c r="AC25" s="58"/>
      <c r="AD25" s="58"/>
      <c r="AE25" s="51"/>
      <c r="AF25" s="51"/>
      <c r="AG25" s="51"/>
      <c r="AH25" s="51"/>
      <c r="AI25" s="51"/>
      <c r="AJ25" s="51"/>
      <c r="AK25" s="51"/>
      <c r="AL25" s="51"/>
      <c r="AM25" s="51"/>
      <c r="AN25" s="51"/>
      <c r="AO25" s="51"/>
      <c r="AP25" s="51"/>
      <c r="AQ25" s="51"/>
      <c r="AR25" s="51"/>
      <c r="AS25" s="51"/>
      <c r="AT25" s="51"/>
      <c r="AU25" s="51"/>
      <c r="AV25" s="678"/>
      <c r="AW25" s="679"/>
      <c r="AX25" s="679"/>
      <c r="AY25" s="680"/>
    </row>
    <row r="26" spans="4:52" ht="23.4" x14ac:dyDescent="0.85">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678"/>
      <c r="AW26" s="679"/>
      <c r="AX26" s="679"/>
      <c r="AY26" s="680"/>
    </row>
    <row r="27" spans="4:52" ht="23.4" x14ac:dyDescent="0.85">
      <c r="D27" s="51"/>
      <c r="E27" s="51"/>
      <c r="F27" s="51"/>
      <c r="G27" s="51"/>
      <c r="H27" s="51"/>
      <c r="I27" s="51"/>
      <c r="J27" s="60"/>
      <c r="K27" s="51"/>
      <c r="L27" s="51"/>
      <c r="M27" s="51"/>
      <c r="N27" s="51"/>
      <c r="O27" s="51"/>
      <c r="P27" s="60"/>
      <c r="Q27" s="51"/>
      <c r="R27" s="51"/>
      <c r="S27" s="51"/>
      <c r="T27" s="60"/>
      <c r="U27" s="51"/>
      <c r="V27" s="51"/>
      <c r="W27" s="51"/>
      <c r="X27" s="51"/>
      <c r="Y27" s="60"/>
      <c r="Z27" s="51"/>
      <c r="AA27" s="51"/>
      <c r="AB27" s="51"/>
      <c r="AC27" s="51"/>
      <c r="AD27" s="51"/>
      <c r="AE27" s="51"/>
      <c r="AF27" s="51"/>
      <c r="AG27" s="51"/>
      <c r="AH27" s="51"/>
      <c r="AI27" s="51"/>
      <c r="AJ27" s="60"/>
      <c r="AK27" s="51"/>
      <c r="AL27" s="51"/>
      <c r="AM27" s="51"/>
      <c r="AN27" s="51"/>
      <c r="AO27" s="51"/>
      <c r="AP27" s="60"/>
      <c r="AQ27" s="51"/>
      <c r="AR27" s="51"/>
      <c r="AS27" s="51"/>
      <c r="AT27" s="60"/>
      <c r="AU27" s="51"/>
      <c r="AV27" s="678"/>
      <c r="AW27" s="679"/>
      <c r="AX27" s="679"/>
      <c r="AY27" s="680"/>
    </row>
    <row r="28" spans="4:52" ht="23.4" x14ac:dyDescent="0.85">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678"/>
      <c r="AW28" s="679"/>
      <c r="AX28" s="679"/>
      <c r="AY28" s="680"/>
    </row>
    <row r="29" spans="4:52" ht="23.4" x14ac:dyDescent="0.85">
      <c r="D29" s="51"/>
      <c r="E29" s="51"/>
      <c r="F29" s="51"/>
      <c r="G29" s="51"/>
      <c r="H29" s="51"/>
      <c r="I29" s="51"/>
      <c r="J29" s="672"/>
      <c r="K29" s="673"/>
      <c r="L29" s="673"/>
      <c r="M29" s="673"/>
      <c r="N29" s="673"/>
      <c r="O29" s="673"/>
      <c r="P29" s="674"/>
      <c r="Q29" s="54"/>
      <c r="R29" s="51"/>
      <c r="S29" s="51"/>
      <c r="T29" s="51"/>
      <c r="U29" s="51"/>
      <c r="V29" s="51"/>
      <c r="W29" s="672"/>
      <c r="X29" s="673"/>
      <c r="Y29" s="673"/>
      <c r="Z29" s="673"/>
      <c r="AA29" s="673"/>
      <c r="AB29" s="673"/>
      <c r="AC29" s="674"/>
      <c r="AD29" s="54"/>
      <c r="AE29" s="51"/>
      <c r="AF29" s="51"/>
      <c r="AG29" s="51"/>
      <c r="AH29" s="51"/>
      <c r="AI29" s="51"/>
      <c r="AJ29" s="672"/>
      <c r="AK29" s="673"/>
      <c r="AL29" s="673"/>
      <c r="AM29" s="673"/>
      <c r="AN29" s="673"/>
      <c r="AO29" s="673"/>
      <c r="AP29" s="674"/>
      <c r="AQ29" s="54"/>
      <c r="AR29" s="51"/>
      <c r="AS29" s="51"/>
      <c r="AT29" s="51"/>
      <c r="AU29" s="51"/>
      <c r="AV29" s="675"/>
      <c r="AW29" s="676"/>
      <c r="AX29" s="676"/>
      <c r="AY29" s="677"/>
    </row>
    <row r="30" spans="4:52" ht="23.4" x14ac:dyDescent="0.85">
      <c r="D30" s="51"/>
      <c r="E30" s="51"/>
      <c r="F30" s="51"/>
      <c r="G30" s="51"/>
      <c r="H30" s="51"/>
      <c r="I30" s="51"/>
      <c r="J30" s="675"/>
      <c r="K30" s="676"/>
      <c r="L30" s="676"/>
      <c r="M30" s="676"/>
      <c r="N30" s="676"/>
      <c r="O30" s="676"/>
      <c r="P30" s="677"/>
      <c r="Q30" s="51"/>
      <c r="R30" s="51"/>
      <c r="S30" s="51"/>
      <c r="T30" s="51"/>
      <c r="U30" s="51"/>
      <c r="V30" s="51"/>
      <c r="W30" s="675"/>
      <c r="X30" s="676"/>
      <c r="Y30" s="676"/>
      <c r="Z30" s="676"/>
      <c r="AA30" s="676"/>
      <c r="AB30" s="676"/>
      <c r="AC30" s="677"/>
      <c r="AD30" s="51"/>
      <c r="AE30" s="51"/>
      <c r="AF30" s="51"/>
      <c r="AG30" s="51"/>
      <c r="AH30" s="51"/>
      <c r="AI30" s="51"/>
      <c r="AJ30" s="675"/>
      <c r="AK30" s="676"/>
      <c r="AL30" s="676"/>
      <c r="AM30" s="676"/>
      <c r="AN30" s="676"/>
      <c r="AO30" s="676"/>
      <c r="AP30" s="677"/>
      <c r="AQ30" s="51"/>
      <c r="AR30" s="51"/>
      <c r="AS30" s="51"/>
      <c r="AT30" s="51"/>
      <c r="AU30" s="51"/>
      <c r="AV30" s="51"/>
      <c r="AW30" s="51"/>
      <c r="AX30" s="51"/>
      <c r="AY30" s="51"/>
    </row>
    <row r="31" spans="4:52" ht="23.4" x14ac:dyDescent="0.85">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row>
    <row r="32" spans="4:52" ht="23.4" x14ac:dyDescent="0.85">
      <c r="D32" s="51"/>
      <c r="E32" s="51"/>
      <c r="F32" s="51"/>
      <c r="G32" s="51"/>
      <c r="H32" s="51"/>
      <c r="I32" s="672"/>
      <c r="J32" s="673"/>
      <c r="K32" s="673"/>
      <c r="L32" s="673"/>
      <c r="M32" s="673"/>
      <c r="N32" s="673"/>
      <c r="O32" s="674"/>
      <c r="P32" s="54"/>
      <c r="Q32" s="51"/>
      <c r="R32" s="51"/>
      <c r="S32" s="51"/>
      <c r="T32" s="51"/>
      <c r="U32" s="51"/>
      <c r="V32" s="672"/>
      <c r="W32" s="673"/>
      <c r="X32" s="673"/>
      <c r="Y32" s="673"/>
      <c r="Z32" s="673"/>
      <c r="AA32" s="673"/>
      <c r="AB32" s="674"/>
      <c r="AC32" s="54"/>
      <c r="AD32" s="51"/>
      <c r="AE32" s="51"/>
      <c r="AF32" s="51"/>
      <c r="AG32" s="51"/>
      <c r="AH32" s="51"/>
      <c r="AI32" s="672"/>
      <c r="AJ32" s="673"/>
      <c r="AK32" s="673"/>
      <c r="AL32" s="673"/>
      <c r="AM32" s="673"/>
      <c r="AN32" s="673"/>
      <c r="AO32" s="674"/>
      <c r="AP32" s="54"/>
      <c r="AQ32" s="51"/>
      <c r="AR32" s="51"/>
      <c r="AS32" s="51"/>
      <c r="AT32" s="51"/>
      <c r="AU32" s="51"/>
      <c r="AV32" s="51"/>
      <c r="AW32" s="51"/>
      <c r="AX32" s="51"/>
      <c r="AY32" s="51"/>
    </row>
    <row r="33" spans="4:51" ht="23.4" x14ac:dyDescent="0.85">
      <c r="D33" s="51"/>
      <c r="E33" s="51"/>
      <c r="F33" s="51"/>
      <c r="G33" s="51"/>
      <c r="H33" s="51"/>
      <c r="I33" s="675"/>
      <c r="J33" s="676"/>
      <c r="K33" s="676"/>
      <c r="L33" s="676"/>
      <c r="M33" s="676"/>
      <c r="N33" s="676"/>
      <c r="O33" s="677"/>
      <c r="P33" s="51"/>
      <c r="Q33" s="51"/>
      <c r="R33" s="51"/>
      <c r="S33" s="51"/>
      <c r="T33" s="51"/>
      <c r="U33" s="51"/>
      <c r="V33" s="675"/>
      <c r="W33" s="676"/>
      <c r="X33" s="676"/>
      <c r="Y33" s="676"/>
      <c r="Z33" s="676"/>
      <c r="AA33" s="676"/>
      <c r="AB33" s="677"/>
      <c r="AC33" s="51"/>
      <c r="AD33" s="51"/>
      <c r="AE33" s="51"/>
      <c r="AF33" s="51"/>
      <c r="AG33" s="51"/>
      <c r="AH33" s="51"/>
      <c r="AI33" s="675"/>
      <c r="AJ33" s="676"/>
      <c r="AK33" s="676"/>
      <c r="AL33" s="676"/>
      <c r="AM33" s="676"/>
      <c r="AN33" s="676"/>
      <c r="AO33" s="677"/>
      <c r="AP33" s="51"/>
      <c r="AQ33" s="51"/>
      <c r="AR33" s="51"/>
      <c r="AS33" s="51"/>
      <c r="AT33" s="51"/>
      <c r="AU33" s="51"/>
      <c r="AV33" s="51"/>
      <c r="AW33" s="51"/>
      <c r="AX33" s="51"/>
      <c r="AY33" s="51"/>
    </row>
    <row r="34" spans="4:51" ht="23.4" x14ac:dyDescent="0.85">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row>
    <row r="35" spans="4:51" ht="23.4" x14ac:dyDescent="0.85">
      <c r="D35" s="51"/>
      <c r="E35" s="51"/>
      <c r="F35" s="51"/>
      <c r="G35" s="51"/>
      <c r="H35" s="672"/>
      <c r="I35" s="673"/>
      <c r="J35" s="673"/>
      <c r="K35" s="673"/>
      <c r="L35" s="673"/>
      <c r="M35" s="673"/>
      <c r="N35" s="674"/>
      <c r="O35" s="54"/>
      <c r="P35" s="51"/>
      <c r="Q35" s="51"/>
      <c r="R35" s="51"/>
      <c r="S35" s="51"/>
      <c r="T35" s="51"/>
      <c r="U35" s="672"/>
      <c r="V35" s="673"/>
      <c r="W35" s="673"/>
      <c r="X35" s="673"/>
      <c r="Y35" s="673"/>
      <c r="Z35" s="673"/>
      <c r="AA35" s="674"/>
      <c r="AB35" s="54"/>
      <c r="AC35" s="51"/>
      <c r="AD35" s="51"/>
      <c r="AE35" s="51"/>
      <c r="AF35" s="51"/>
      <c r="AG35" s="51"/>
      <c r="AH35" s="672"/>
      <c r="AI35" s="673"/>
      <c r="AJ35" s="673"/>
      <c r="AK35" s="673"/>
      <c r="AL35" s="673"/>
      <c r="AM35" s="673"/>
      <c r="AN35" s="674"/>
      <c r="AO35" s="54"/>
      <c r="AP35" s="51"/>
      <c r="AQ35" s="51"/>
      <c r="AR35" s="51"/>
      <c r="AS35" s="51"/>
      <c r="AT35" s="51"/>
      <c r="AU35" s="51"/>
      <c r="AV35" s="51"/>
      <c r="AW35" s="51"/>
      <c r="AX35" s="51"/>
      <c r="AY35" s="51"/>
    </row>
    <row r="36" spans="4:51" ht="23.4" x14ac:dyDescent="0.85">
      <c r="D36" s="51"/>
      <c r="E36" s="51"/>
      <c r="F36" s="51"/>
      <c r="G36" s="51"/>
      <c r="H36" s="675"/>
      <c r="I36" s="676"/>
      <c r="J36" s="676"/>
      <c r="K36" s="676"/>
      <c r="L36" s="676"/>
      <c r="M36" s="676"/>
      <c r="N36" s="677"/>
      <c r="O36" s="51"/>
      <c r="P36" s="51"/>
      <c r="Q36" s="51"/>
      <c r="R36" s="51"/>
      <c r="S36" s="51"/>
      <c r="T36" s="51"/>
      <c r="U36" s="675"/>
      <c r="V36" s="676"/>
      <c r="W36" s="676"/>
      <c r="X36" s="676"/>
      <c r="Y36" s="676"/>
      <c r="Z36" s="676"/>
      <c r="AA36" s="677"/>
      <c r="AB36" s="51"/>
      <c r="AC36" s="51"/>
      <c r="AD36" s="51"/>
      <c r="AE36" s="51"/>
      <c r="AF36" s="51"/>
      <c r="AG36" s="51"/>
      <c r="AH36" s="675"/>
      <c r="AI36" s="676"/>
      <c r="AJ36" s="676"/>
      <c r="AK36" s="676"/>
      <c r="AL36" s="676"/>
      <c r="AM36" s="676"/>
      <c r="AN36" s="677"/>
      <c r="AO36" s="51"/>
      <c r="AP36" s="51"/>
      <c r="AQ36" s="51"/>
      <c r="AR36" s="51"/>
      <c r="AS36" s="51"/>
      <c r="AT36" s="51"/>
      <c r="AU36" s="51"/>
      <c r="AV36" s="51"/>
      <c r="AW36" s="51"/>
      <c r="AX36" s="51"/>
      <c r="AY36" s="51"/>
    </row>
    <row r="37" spans="4:51" ht="23.4" x14ac:dyDescent="0.85">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row>
    <row r="38" spans="4:51" ht="23.4" x14ac:dyDescent="0.85">
      <c r="D38" s="51"/>
      <c r="E38" s="51"/>
      <c r="F38" s="51"/>
      <c r="G38" s="672"/>
      <c r="H38" s="673"/>
      <c r="I38" s="673"/>
      <c r="J38" s="673"/>
      <c r="K38" s="673"/>
      <c r="L38" s="673"/>
      <c r="M38" s="674"/>
      <c r="N38" s="54"/>
      <c r="O38" s="51"/>
      <c r="P38" s="51"/>
      <c r="Q38" s="51"/>
      <c r="R38" s="51"/>
      <c r="S38" s="51"/>
      <c r="T38" s="672"/>
      <c r="U38" s="673"/>
      <c r="V38" s="673"/>
      <c r="W38" s="673"/>
      <c r="X38" s="673"/>
      <c r="Y38" s="673"/>
      <c r="Z38" s="674"/>
      <c r="AA38" s="54"/>
      <c r="AB38" s="51"/>
      <c r="AC38" s="51"/>
      <c r="AD38" s="51"/>
      <c r="AE38" s="51"/>
      <c r="AF38" s="51"/>
      <c r="AG38" s="672"/>
      <c r="AH38" s="673"/>
      <c r="AI38" s="673"/>
      <c r="AJ38" s="673"/>
      <c r="AK38" s="673"/>
      <c r="AL38" s="673"/>
      <c r="AM38" s="674"/>
      <c r="AN38" s="54"/>
      <c r="AO38" s="51"/>
      <c r="AP38" s="51"/>
      <c r="AQ38" s="51"/>
      <c r="AR38" s="51"/>
      <c r="AS38" s="51"/>
      <c r="AT38" s="51"/>
      <c r="AU38" s="51"/>
      <c r="AV38" s="51"/>
      <c r="AW38" s="51"/>
      <c r="AX38" s="51"/>
      <c r="AY38" s="51"/>
    </row>
    <row r="39" spans="4:51" ht="23.4" x14ac:dyDescent="0.85">
      <c r="D39" s="51"/>
      <c r="E39" s="51"/>
      <c r="F39" s="51"/>
      <c r="G39" s="675"/>
      <c r="H39" s="676"/>
      <c r="I39" s="676"/>
      <c r="J39" s="676"/>
      <c r="K39" s="676"/>
      <c r="L39" s="676"/>
      <c r="M39" s="677"/>
      <c r="N39" s="51"/>
      <c r="O39" s="51"/>
      <c r="P39" s="51"/>
      <c r="Q39" s="51"/>
      <c r="R39" s="51"/>
      <c r="S39" s="51"/>
      <c r="T39" s="675"/>
      <c r="U39" s="676"/>
      <c r="V39" s="676"/>
      <c r="W39" s="676"/>
      <c r="X39" s="676"/>
      <c r="Y39" s="676"/>
      <c r="Z39" s="677"/>
      <c r="AA39" s="51"/>
      <c r="AB39" s="51"/>
      <c r="AC39" s="51"/>
      <c r="AD39" s="51"/>
      <c r="AE39" s="51"/>
      <c r="AF39" s="51"/>
      <c r="AG39" s="675"/>
      <c r="AH39" s="676"/>
      <c r="AI39" s="676"/>
      <c r="AJ39" s="676"/>
      <c r="AK39" s="676"/>
      <c r="AL39" s="676"/>
      <c r="AM39" s="677"/>
      <c r="AN39" s="51"/>
      <c r="AO39" s="51"/>
      <c r="AP39" s="51"/>
      <c r="AQ39" s="51"/>
      <c r="AR39" s="51"/>
      <c r="AS39" s="51"/>
      <c r="AT39" s="51"/>
      <c r="AU39" s="51"/>
      <c r="AV39" s="51"/>
      <c r="AW39" s="51"/>
      <c r="AX39" s="51"/>
      <c r="AY39" s="51"/>
    </row>
    <row r="40" spans="4:51" ht="23.4" x14ac:dyDescent="0.85">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row>
    <row r="41" spans="4:51" ht="23.4" x14ac:dyDescent="0.85">
      <c r="D41" s="51"/>
      <c r="E41" s="51"/>
      <c r="F41" s="672"/>
      <c r="G41" s="673"/>
      <c r="H41" s="673"/>
      <c r="I41" s="673"/>
      <c r="J41" s="673"/>
      <c r="K41" s="673"/>
      <c r="L41" s="674"/>
      <c r="M41" s="54"/>
      <c r="N41" s="51"/>
      <c r="O41" s="51"/>
      <c r="P41" s="51"/>
      <c r="Q41" s="51"/>
      <c r="R41" s="51"/>
      <c r="S41" s="672"/>
      <c r="T41" s="673"/>
      <c r="U41" s="673"/>
      <c r="V41" s="673"/>
      <c r="W41" s="673"/>
      <c r="X41" s="673"/>
      <c r="Y41" s="674"/>
      <c r="Z41" s="54"/>
      <c r="AA41" s="51"/>
      <c r="AB41" s="51"/>
      <c r="AC41" s="51"/>
      <c r="AD41" s="51"/>
      <c r="AE41" s="51"/>
      <c r="AF41" s="672"/>
      <c r="AG41" s="673"/>
      <c r="AH41" s="673"/>
      <c r="AI41" s="673"/>
      <c r="AJ41" s="673"/>
      <c r="AK41" s="673"/>
      <c r="AL41" s="674"/>
      <c r="AM41" s="54"/>
      <c r="AN41" s="51"/>
      <c r="AO41" s="51"/>
      <c r="AP41" s="51"/>
      <c r="AQ41" s="51"/>
      <c r="AR41" s="51"/>
      <c r="AS41" s="51"/>
      <c r="AT41" s="51"/>
      <c r="AU41" s="51"/>
      <c r="AV41" s="51"/>
      <c r="AW41" s="51"/>
      <c r="AX41" s="51"/>
      <c r="AY41" s="51"/>
    </row>
    <row r="42" spans="4:51" ht="23.4" x14ac:dyDescent="0.85">
      <c r="D42" s="51"/>
      <c r="E42" s="51"/>
      <c r="F42" s="675"/>
      <c r="G42" s="676"/>
      <c r="H42" s="676"/>
      <c r="I42" s="676"/>
      <c r="J42" s="676"/>
      <c r="K42" s="676"/>
      <c r="L42" s="677"/>
      <c r="M42" s="51"/>
      <c r="N42" s="51"/>
      <c r="O42" s="51"/>
      <c r="P42" s="51"/>
      <c r="Q42" s="51"/>
      <c r="R42" s="51"/>
      <c r="S42" s="675"/>
      <c r="T42" s="676"/>
      <c r="U42" s="676"/>
      <c r="V42" s="676"/>
      <c r="W42" s="676"/>
      <c r="X42" s="676"/>
      <c r="Y42" s="677"/>
      <c r="Z42" s="51"/>
      <c r="AA42" s="51"/>
      <c r="AB42" s="51"/>
      <c r="AC42" s="51"/>
      <c r="AD42" s="51"/>
      <c r="AE42" s="51"/>
      <c r="AF42" s="675"/>
      <c r="AG42" s="676"/>
      <c r="AH42" s="676"/>
      <c r="AI42" s="676"/>
      <c r="AJ42" s="676"/>
      <c r="AK42" s="676"/>
      <c r="AL42" s="677"/>
      <c r="AM42" s="51"/>
      <c r="AN42" s="51"/>
      <c r="AO42" s="51"/>
      <c r="AP42" s="51"/>
      <c r="AQ42" s="51"/>
      <c r="AR42" s="51"/>
      <c r="AS42" s="51"/>
      <c r="AT42" s="51"/>
      <c r="AU42" s="51"/>
      <c r="AV42" s="51"/>
      <c r="AW42" s="51"/>
      <c r="AX42" s="51"/>
      <c r="AY42" s="51"/>
    </row>
    <row r="43" spans="4:51" ht="23.4" x14ac:dyDescent="0.85">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row>
    <row r="44" spans="4:51" ht="23.4" x14ac:dyDescent="0.85">
      <c r="D44" s="51"/>
      <c r="E44" s="672"/>
      <c r="F44" s="673"/>
      <c r="G44" s="673"/>
      <c r="H44" s="673"/>
      <c r="I44" s="673"/>
      <c r="J44" s="673"/>
      <c r="K44" s="674"/>
      <c r="L44" s="54"/>
      <c r="M44" s="51"/>
      <c r="N44" s="51"/>
      <c r="O44" s="51"/>
      <c r="P44" s="51"/>
      <c r="Q44" s="51"/>
      <c r="R44" s="672"/>
      <c r="S44" s="673"/>
      <c r="T44" s="673"/>
      <c r="U44" s="673"/>
      <c r="V44" s="673"/>
      <c r="W44" s="673"/>
      <c r="X44" s="674"/>
      <c r="Y44" s="54"/>
      <c r="Z44" s="51"/>
      <c r="AA44" s="51"/>
      <c r="AB44" s="51"/>
      <c r="AC44" s="51"/>
      <c r="AD44" s="51"/>
      <c r="AE44" s="672"/>
      <c r="AF44" s="673"/>
      <c r="AG44" s="673"/>
      <c r="AH44" s="673"/>
      <c r="AI44" s="673"/>
      <c r="AJ44" s="673"/>
      <c r="AK44" s="674"/>
      <c r="AL44" s="54"/>
      <c r="AM44" s="51"/>
      <c r="AN44" s="51"/>
      <c r="AO44" s="51"/>
      <c r="AP44" s="51"/>
      <c r="AQ44" s="51"/>
      <c r="AR44" s="51"/>
      <c r="AS44" s="51"/>
      <c r="AT44" s="51"/>
      <c r="AU44" s="51"/>
      <c r="AV44" s="51"/>
      <c r="AW44" s="51"/>
      <c r="AX44" s="51"/>
      <c r="AY44" s="51"/>
    </row>
    <row r="45" spans="4:51" ht="23.4" x14ac:dyDescent="0.85">
      <c r="D45" s="51"/>
      <c r="E45" s="675"/>
      <c r="F45" s="676"/>
      <c r="G45" s="676"/>
      <c r="H45" s="676"/>
      <c r="I45" s="676"/>
      <c r="J45" s="676"/>
      <c r="K45" s="677"/>
      <c r="L45" s="51"/>
      <c r="M45" s="51"/>
      <c r="N45" s="51"/>
      <c r="O45" s="51"/>
      <c r="P45" s="51"/>
      <c r="Q45" s="51"/>
      <c r="R45" s="675"/>
      <c r="S45" s="676"/>
      <c r="T45" s="676"/>
      <c r="U45" s="676"/>
      <c r="V45" s="676"/>
      <c r="W45" s="676"/>
      <c r="X45" s="677"/>
      <c r="Y45" s="51"/>
      <c r="Z45" s="51"/>
      <c r="AA45" s="51"/>
      <c r="AB45" s="51"/>
      <c r="AC45" s="51"/>
      <c r="AD45" s="51"/>
      <c r="AE45" s="675"/>
      <c r="AF45" s="676"/>
      <c r="AG45" s="676"/>
      <c r="AH45" s="676"/>
      <c r="AI45" s="676"/>
      <c r="AJ45" s="676"/>
      <c r="AK45" s="677"/>
      <c r="AL45" s="51"/>
      <c r="AM45" s="51"/>
      <c r="AN45" s="51"/>
      <c r="AO45" s="51"/>
      <c r="AP45" s="51"/>
      <c r="AQ45" s="51"/>
      <c r="AR45" s="51"/>
      <c r="AS45" s="51"/>
      <c r="AT45" s="51"/>
      <c r="AU45" s="51"/>
      <c r="AV45" s="51"/>
      <c r="AW45" s="51"/>
      <c r="AX45" s="51"/>
      <c r="AY45" s="51"/>
    </row>
    <row r="46" spans="4:51" ht="23.4" x14ac:dyDescent="0.85">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row>
    <row r="47" spans="4:51" ht="23.4" x14ac:dyDescent="0.85">
      <c r="D47" s="672"/>
      <c r="E47" s="673"/>
      <c r="F47" s="673"/>
      <c r="G47" s="673"/>
      <c r="H47" s="673"/>
      <c r="I47" s="673"/>
      <c r="J47" s="674"/>
      <c r="K47" s="54"/>
      <c r="L47" s="51"/>
      <c r="M47" s="51"/>
      <c r="N47" s="51"/>
      <c r="O47" s="51"/>
      <c r="P47" s="51"/>
      <c r="Q47" s="672"/>
      <c r="R47" s="673"/>
      <c r="S47" s="673"/>
      <c r="T47" s="673"/>
      <c r="U47" s="673"/>
      <c r="V47" s="673"/>
      <c r="W47" s="674"/>
      <c r="X47" s="54"/>
      <c r="Y47" s="51"/>
      <c r="Z47" s="51"/>
      <c r="AA47" s="51"/>
      <c r="AB47" s="51"/>
      <c r="AC47" s="51"/>
      <c r="AD47" s="672"/>
      <c r="AE47" s="673"/>
      <c r="AF47" s="673"/>
      <c r="AG47" s="673"/>
      <c r="AH47" s="673"/>
      <c r="AI47" s="673"/>
      <c r="AJ47" s="674"/>
      <c r="AK47" s="54"/>
      <c r="AL47" s="51"/>
      <c r="AM47" s="51"/>
      <c r="AN47" s="51"/>
      <c r="AO47" s="51"/>
      <c r="AP47" s="51"/>
      <c r="AQ47" s="51"/>
      <c r="AR47" s="51"/>
      <c r="AS47" s="51"/>
      <c r="AT47" s="51"/>
      <c r="AU47" s="51"/>
      <c r="AV47" s="51"/>
      <c r="AW47" s="51"/>
      <c r="AX47" s="51"/>
      <c r="AY47" s="51"/>
    </row>
    <row r="48" spans="4:51" ht="23.4" x14ac:dyDescent="0.85">
      <c r="D48" s="675"/>
      <c r="E48" s="676"/>
      <c r="F48" s="676"/>
      <c r="G48" s="676"/>
      <c r="H48" s="676"/>
      <c r="I48" s="676"/>
      <c r="J48" s="677"/>
      <c r="K48" s="51"/>
      <c r="L48" s="51"/>
      <c r="M48" s="51"/>
      <c r="N48" s="51"/>
      <c r="O48" s="51"/>
      <c r="P48" s="51"/>
      <c r="Q48" s="675"/>
      <c r="R48" s="676"/>
      <c r="S48" s="676"/>
      <c r="T48" s="676"/>
      <c r="U48" s="676"/>
      <c r="V48" s="676"/>
      <c r="W48" s="677"/>
      <c r="X48" s="51"/>
      <c r="Y48" s="51"/>
      <c r="Z48" s="51"/>
      <c r="AA48" s="51"/>
      <c r="AB48" s="51"/>
      <c r="AC48" s="51"/>
      <c r="AD48" s="675"/>
      <c r="AE48" s="676"/>
      <c r="AF48" s="676"/>
      <c r="AG48" s="676"/>
      <c r="AH48" s="676"/>
      <c r="AI48" s="676"/>
      <c r="AJ48" s="677"/>
      <c r="AK48" s="51"/>
      <c r="AL48" s="51"/>
      <c r="AM48" s="51"/>
      <c r="AN48" s="51"/>
      <c r="AO48" s="51"/>
      <c r="AP48" s="51"/>
      <c r="AQ48" s="51"/>
      <c r="AR48" s="51"/>
      <c r="AS48" s="51"/>
      <c r="AT48" s="51"/>
      <c r="AU48" s="51"/>
      <c r="AV48" s="51"/>
      <c r="AW48" s="51"/>
      <c r="AX48" s="51"/>
      <c r="AY48" s="51"/>
    </row>
    <row r="49" spans="4:51" ht="23.4" x14ac:dyDescent="0.85">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row>
    <row r="50" spans="4:51" ht="23.4" x14ac:dyDescent="0.85">
      <c r="D50" s="50" t="s">
        <v>76</v>
      </c>
      <c r="E50" s="61"/>
      <c r="F50" s="62"/>
      <c r="G50" s="61"/>
      <c r="H50" s="61"/>
      <c r="I50" s="62"/>
      <c r="J50" s="61"/>
      <c r="K50" s="61"/>
      <c r="L50" s="61"/>
      <c r="M50" s="61"/>
      <c r="N50" s="61"/>
      <c r="O50" s="62"/>
      <c r="P50" s="61"/>
      <c r="Q50" s="50" t="s">
        <v>81</v>
      </c>
      <c r="R50" s="61"/>
      <c r="S50" s="61"/>
      <c r="T50" s="61"/>
      <c r="U50" s="61"/>
      <c r="V50" s="61"/>
      <c r="W50" s="61"/>
      <c r="X50" s="62"/>
      <c r="Y50" s="61"/>
      <c r="Z50" s="61"/>
      <c r="AA50" s="61"/>
      <c r="AB50" s="61"/>
      <c r="AC50" s="61"/>
      <c r="AD50" s="50" t="s">
        <v>77</v>
      </c>
      <c r="AE50" s="61"/>
      <c r="AF50" s="51"/>
      <c r="AG50" s="51"/>
      <c r="AH50" s="51"/>
      <c r="AI50" s="51"/>
      <c r="AJ50" s="51"/>
      <c r="AK50" s="51"/>
      <c r="AL50" s="51"/>
      <c r="AM50" s="51"/>
      <c r="AN50" s="51"/>
      <c r="AO50" s="51"/>
      <c r="AP50" s="51"/>
      <c r="AQ50" s="51"/>
      <c r="AR50" s="51"/>
      <c r="AS50" s="51"/>
      <c r="AT50" s="51"/>
      <c r="AU50" s="51"/>
      <c r="AV50" s="51"/>
      <c r="AW50" s="51"/>
      <c r="AX50" s="51"/>
      <c r="AY50" s="51"/>
    </row>
    <row r="51" spans="4:51" ht="23.4" x14ac:dyDescent="0.85">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row>
    <row r="52" spans="4:51" ht="23.4" x14ac:dyDescent="0.8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row>
  </sheetData>
  <mergeCells count="43">
    <mergeCell ref="D5:J6"/>
    <mergeCell ref="Q5:W6"/>
    <mergeCell ref="AD5:AJ6"/>
    <mergeCell ref="E8:K9"/>
    <mergeCell ref="R8:X9"/>
    <mergeCell ref="AE8:AK9"/>
    <mergeCell ref="F11:L12"/>
    <mergeCell ref="S11:Y12"/>
    <mergeCell ref="AF11:AL12"/>
    <mergeCell ref="G14:M15"/>
    <mergeCell ref="T14:Z15"/>
    <mergeCell ref="AG14:AM15"/>
    <mergeCell ref="H17:N18"/>
    <mergeCell ref="U17:AA18"/>
    <mergeCell ref="AH17:AN18"/>
    <mergeCell ref="I20:O21"/>
    <mergeCell ref="V20:AB21"/>
    <mergeCell ref="AI20:AO21"/>
    <mergeCell ref="J23:P24"/>
    <mergeCell ref="W23:AC24"/>
    <mergeCell ref="AJ23:AP24"/>
    <mergeCell ref="AV24:AY29"/>
    <mergeCell ref="J29:P30"/>
    <mergeCell ref="W29:AC30"/>
    <mergeCell ref="AJ29:AP30"/>
    <mergeCell ref="I32:O33"/>
    <mergeCell ref="V32:AB33"/>
    <mergeCell ref="AI32:AO33"/>
    <mergeCell ref="H35:N36"/>
    <mergeCell ref="U35:AA36"/>
    <mergeCell ref="AH35:AN36"/>
    <mergeCell ref="G38:M39"/>
    <mergeCell ref="T38:Z39"/>
    <mergeCell ref="AG38:AM39"/>
    <mergeCell ref="F41:L42"/>
    <mergeCell ref="S41:Y42"/>
    <mergeCell ref="AF41:AL42"/>
    <mergeCell ref="E44:K45"/>
    <mergeCell ref="R44:X45"/>
    <mergeCell ref="AE44:AK45"/>
    <mergeCell ref="D47:J48"/>
    <mergeCell ref="Q47:W48"/>
    <mergeCell ref="AD47:AJ48"/>
  </mergeCells>
  <hyperlinks>
    <hyperlink ref="BA1" location="Menu!A1" display="Return to menu" xr:uid="{00000000-0004-0000-1000-000000000000}"/>
  </hyperlinks>
  <pageMargins left="0.7" right="0.7" top="0.75" bottom="0.75" header="0.3" footer="0.3"/>
  <pageSetup scale="2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K70"/>
  <sheetViews>
    <sheetView zoomScale="90" workbookViewId="0">
      <selection activeCell="K1" sqref="K1"/>
    </sheetView>
  </sheetViews>
  <sheetFormatPr defaultRowHeight="12.3" x14ac:dyDescent="0.4"/>
  <cols>
    <col min="1" max="1" width="8.89453125" style="18" customWidth="1"/>
    <col min="2" max="2" width="14.89453125" style="18" bestFit="1" customWidth="1"/>
    <col min="3" max="3" width="8" style="18" bestFit="1" customWidth="1"/>
    <col min="4" max="4" width="8" style="18" customWidth="1"/>
    <col min="5" max="5" width="8.62890625" style="18" customWidth="1"/>
    <col min="6" max="6" width="6.734375" style="18" customWidth="1"/>
    <col min="7" max="7" width="7.62890625" style="18" customWidth="1"/>
    <col min="8" max="8" width="5.734375" style="18" customWidth="1"/>
    <col min="9" max="10" width="9.1015625" style="18"/>
    <col min="11" max="11" width="37.62890625" style="18" bestFit="1" customWidth="1"/>
    <col min="12" max="256" width="9.1015625" style="18"/>
    <col min="257" max="257" width="8.89453125" style="18" customWidth="1"/>
    <col min="258" max="258" width="14.89453125" style="18" bestFit="1" customWidth="1"/>
    <col min="259" max="259" width="8" style="18" bestFit="1" customWidth="1"/>
    <col min="260" max="260" width="8" style="18" customWidth="1"/>
    <col min="261" max="261" width="8.62890625" style="18" customWidth="1"/>
    <col min="262" max="262" width="6.734375" style="18" customWidth="1"/>
    <col min="263" max="263" width="7.62890625" style="18" customWidth="1"/>
    <col min="264" max="264" width="5.734375" style="18" customWidth="1"/>
    <col min="265" max="512" width="9.1015625" style="18"/>
    <col min="513" max="513" width="8.89453125" style="18" customWidth="1"/>
    <col min="514" max="514" width="14.89453125" style="18" bestFit="1" customWidth="1"/>
    <col min="515" max="515" width="8" style="18" bestFit="1" customWidth="1"/>
    <col min="516" max="516" width="8" style="18" customWidth="1"/>
    <col min="517" max="517" width="8.62890625" style="18" customWidth="1"/>
    <col min="518" max="518" width="6.734375" style="18" customWidth="1"/>
    <col min="519" max="519" width="7.62890625" style="18" customWidth="1"/>
    <col min="520" max="520" width="5.734375" style="18" customWidth="1"/>
    <col min="521" max="768" width="9.1015625" style="18"/>
    <col min="769" max="769" width="8.89453125" style="18" customWidth="1"/>
    <col min="770" max="770" width="14.89453125" style="18" bestFit="1" customWidth="1"/>
    <col min="771" max="771" width="8" style="18" bestFit="1" customWidth="1"/>
    <col min="772" max="772" width="8" style="18" customWidth="1"/>
    <col min="773" max="773" width="8.62890625" style="18" customWidth="1"/>
    <col min="774" max="774" width="6.734375" style="18" customWidth="1"/>
    <col min="775" max="775" width="7.62890625" style="18" customWidth="1"/>
    <col min="776" max="776" width="5.734375" style="18" customWidth="1"/>
    <col min="777" max="1024" width="9.1015625" style="18"/>
    <col min="1025" max="1025" width="8.89453125" style="18" customWidth="1"/>
    <col min="1026" max="1026" width="14.89453125" style="18" bestFit="1" customWidth="1"/>
    <col min="1027" max="1027" width="8" style="18" bestFit="1" customWidth="1"/>
    <col min="1028" max="1028" width="8" style="18" customWidth="1"/>
    <col min="1029" max="1029" width="8.62890625" style="18" customWidth="1"/>
    <col min="1030" max="1030" width="6.734375" style="18" customWidth="1"/>
    <col min="1031" max="1031" width="7.62890625" style="18" customWidth="1"/>
    <col min="1032" max="1032" width="5.734375" style="18" customWidth="1"/>
    <col min="1033" max="1280" width="9.1015625" style="18"/>
    <col min="1281" max="1281" width="8.89453125" style="18" customWidth="1"/>
    <col min="1282" max="1282" width="14.89453125" style="18" bestFit="1" customWidth="1"/>
    <col min="1283" max="1283" width="8" style="18" bestFit="1" customWidth="1"/>
    <col min="1284" max="1284" width="8" style="18" customWidth="1"/>
    <col min="1285" max="1285" width="8.62890625" style="18" customWidth="1"/>
    <col min="1286" max="1286" width="6.734375" style="18" customWidth="1"/>
    <col min="1287" max="1287" width="7.62890625" style="18" customWidth="1"/>
    <col min="1288" max="1288" width="5.734375" style="18" customWidth="1"/>
    <col min="1289" max="1536" width="9.1015625" style="18"/>
    <col min="1537" max="1537" width="8.89453125" style="18" customWidth="1"/>
    <col min="1538" max="1538" width="14.89453125" style="18" bestFit="1" customWidth="1"/>
    <col min="1539" max="1539" width="8" style="18" bestFit="1" customWidth="1"/>
    <col min="1540" max="1540" width="8" style="18" customWidth="1"/>
    <col min="1541" max="1541" width="8.62890625" style="18" customWidth="1"/>
    <col min="1542" max="1542" width="6.734375" style="18" customWidth="1"/>
    <col min="1543" max="1543" width="7.62890625" style="18" customWidth="1"/>
    <col min="1544" max="1544" width="5.734375" style="18" customWidth="1"/>
    <col min="1545" max="1792" width="9.1015625" style="18"/>
    <col min="1793" max="1793" width="8.89453125" style="18" customWidth="1"/>
    <col min="1794" max="1794" width="14.89453125" style="18" bestFit="1" customWidth="1"/>
    <col min="1795" max="1795" width="8" style="18" bestFit="1" customWidth="1"/>
    <col min="1796" max="1796" width="8" style="18" customWidth="1"/>
    <col min="1797" max="1797" width="8.62890625" style="18" customWidth="1"/>
    <col min="1798" max="1798" width="6.734375" style="18" customWidth="1"/>
    <col min="1799" max="1799" width="7.62890625" style="18" customWidth="1"/>
    <col min="1800" max="1800" width="5.734375" style="18" customWidth="1"/>
    <col min="1801" max="2048" width="9.1015625" style="18"/>
    <col min="2049" max="2049" width="8.89453125" style="18" customWidth="1"/>
    <col min="2050" max="2050" width="14.89453125" style="18" bestFit="1" customWidth="1"/>
    <col min="2051" max="2051" width="8" style="18" bestFit="1" customWidth="1"/>
    <col min="2052" max="2052" width="8" style="18" customWidth="1"/>
    <col min="2053" max="2053" width="8.62890625" style="18" customWidth="1"/>
    <col min="2054" max="2054" width="6.734375" style="18" customWidth="1"/>
    <col min="2055" max="2055" width="7.62890625" style="18" customWidth="1"/>
    <col min="2056" max="2056" width="5.734375" style="18" customWidth="1"/>
    <col min="2057" max="2304" width="9.1015625" style="18"/>
    <col min="2305" max="2305" width="8.89453125" style="18" customWidth="1"/>
    <col min="2306" max="2306" width="14.89453125" style="18" bestFit="1" customWidth="1"/>
    <col min="2307" max="2307" width="8" style="18" bestFit="1" customWidth="1"/>
    <col min="2308" max="2308" width="8" style="18" customWidth="1"/>
    <col min="2309" max="2309" width="8.62890625" style="18" customWidth="1"/>
    <col min="2310" max="2310" width="6.734375" style="18" customWidth="1"/>
    <col min="2311" max="2311" width="7.62890625" style="18" customWidth="1"/>
    <col min="2312" max="2312" width="5.734375" style="18" customWidth="1"/>
    <col min="2313" max="2560" width="9.1015625" style="18"/>
    <col min="2561" max="2561" width="8.89453125" style="18" customWidth="1"/>
    <col min="2562" max="2562" width="14.89453125" style="18" bestFit="1" customWidth="1"/>
    <col min="2563" max="2563" width="8" style="18" bestFit="1" customWidth="1"/>
    <col min="2564" max="2564" width="8" style="18" customWidth="1"/>
    <col min="2565" max="2565" width="8.62890625" style="18" customWidth="1"/>
    <col min="2566" max="2566" width="6.734375" style="18" customWidth="1"/>
    <col min="2567" max="2567" width="7.62890625" style="18" customWidth="1"/>
    <col min="2568" max="2568" width="5.734375" style="18" customWidth="1"/>
    <col min="2569" max="2816" width="9.1015625" style="18"/>
    <col min="2817" max="2817" width="8.89453125" style="18" customWidth="1"/>
    <col min="2818" max="2818" width="14.89453125" style="18" bestFit="1" customWidth="1"/>
    <col min="2819" max="2819" width="8" style="18" bestFit="1" customWidth="1"/>
    <col min="2820" max="2820" width="8" style="18" customWidth="1"/>
    <col min="2821" max="2821" width="8.62890625" style="18" customWidth="1"/>
    <col min="2822" max="2822" width="6.734375" style="18" customWidth="1"/>
    <col min="2823" max="2823" width="7.62890625" style="18" customWidth="1"/>
    <col min="2824" max="2824" width="5.734375" style="18" customWidth="1"/>
    <col min="2825" max="3072" width="9.1015625" style="18"/>
    <col min="3073" max="3073" width="8.89453125" style="18" customWidth="1"/>
    <col min="3074" max="3074" width="14.89453125" style="18" bestFit="1" customWidth="1"/>
    <col min="3075" max="3075" width="8" style="18" bestFit="1" customWidth="1"/>
    <col min="3076" max="3076" width="8" style="18" customWidth="1"/>
    <col min="3077" max="3077" width="8.62890625" style="18" customWidth="1"/>
    <col min="3078" max="3078" width="6.734375" style="18" customWidth="1"/>
    <col min="3079" max="3079" width="7.62890625" style="18" customWidth="1"/>
    <col min="3080" max="3080" width="5.734375" style="18" customWidth="1"/>
    <col min="3081" max="3328" width="9.1015625" style="18"/>
    <col min="3329" max="3329" width="8.89453125" style="18" customWidth="1"/>
    <col min="3330" max="3330" width="14.89453125" style="18" bestFit="1" customWidth="1"/>
    <col min="3331" max="3331" width="8" style="18" bestFit="1" customWidth="1"/>
    <col min="3332" max="3332" width="8" style="18" customWidth="1"/>
    <col min="3333" max="3333" width="8.62890625" style="18" customWidth="1"/>
    <col min="3334" max="3334" width="6.734375" style="18" customWidth="1"/>
    <col min="3335" max="3335" width="7.62890625" style="18" customWidth="1"/>
    <col min="3336" max="3336" width="5.734375" style="18" customWidth="1"/>
    <col min="3337" max="3584" width="9.1015625" style="18"/>
    <col min="3585" max="3585" width="8.89453125" style="18" customWidth="1"/>
    <col min="3586" max="3586" width="14.89453125" style="18" bestFit="1" customWidth="1"/>
    <col min="3587" max="3587" width="8" style="18" bestFit="1" customWidth="1"/>
    <col min="3588" max="3588" width="8" style="18" customWidth="1"/>
    <col min="3589" max="3589" width="8.62890625" style="18" customWidth="1"/>
    <col min="3590" max="3590" width="6.734375" style="18" customWidth="1"/>
    <col min="3591" max="3591" width="7.62890625" style="18" customWidth="1"/>
    <col min="3592" max="3592" width="5.734375" style="18" customWidth="1"/>
    <col min="3593" max="3840" width="9.1015625" style="18"/>
    <col min="3841" max="3841" width="8.89453125" style="18" customWidth="1"/>
    <col min="3842" max="3842" width="14.89453125" style="18" bestFit="1" customWidth="1"/>
    <col min="3843" max="3843" width="8" style="18" bestFit="1" customWidth="1"/>
    <col min="3844" max="3844" width="8" style="18" customWidth="1"/>
    <col min="3845" max="3845" width="8.62890625" style="18" customWidth="1"/>
    <col min="3846" max="3846" width="6.734375" style="18" customWidth="1"/>
    <col min="3847" max="3847" width="7.62890625" style="18" customWidth="1"/>
    <col min="3848" max="3848" width="5.734375" style="18" customWidth="1"/>
    <col min="3849" max="4096" width="9.1015625" style="18"/>
    <col min="4097" max="4097" width="8.89453125" style="18" customWidth="1"/>
    <col min="4098" max="4098" width="14.89453125" style="18" bestFit="1" customWidth="1"/>
    <col min="4099" max="4099" width="8" style="18" bestFit="1" customWidth="1"/>
    <col min="4100" max="4100" width="8" style="18" customWidth="1"/>
    <col min="4101" max="4101" width="8.62890625" style="18" customWidth="1"/>
    <col min="4102" max="4102" width="6.734375" style="18" customWidth="1"/>
    <col min="4103" max="4103" width="7.62890625" style="18" customWidth="1"/>
    <col min="4104" max="4104" width="5.734375" style="18" customWidth="1"/>
    <col min="4105" max="4352" width="9.1015625" style="18"/>
    <col min="4353" max="4353" width="8.89453125" style="18" customWidth="1"/>
    <col min="4354" max="4354" width="14.89453125" style="18" bestFit="1" customWidth="1"/>
    <col min="4355" max="4355" width="8" style="18" bestFit="1" customWidth="1"/>
    <col min="4356" max="4356" width="8" style="18" customWidth="1"/>
    <col min="4357" max="4357" width="8.62890625" style="18" customWidth="1"/>
    <col min="4358" max="4358" width="6.734375" style="18" customWidth="1"/>
    <col min="4359" max="4359" width="7.62890625" style="18" customWidth="1"/>
    <col min="4360" max="4360" width="5.734375" style="18" customWidth="1"/>
    <col min="4361" max="4608" width="9.1015625" style="18"/>
    <col min="4609" max="4609" width="8.89453125" style="18" customWidth="1"/>
    <col min="4610" max="4610" width="14.89453125" style="18" bestFit="1" customWidth="1"/>
    <col min="4611" max="4611" width="8" style="18" bestFit="1" customWidth="1"/>
    <col min="4612" max="4612" width="8" style="18" customWidth="1"/>
    <col min="4613" max="4613" width="8.62890625" style="18" customWidth="1"/>
    <col min="4614" max="4614" width="6.734375" style="18" customWidth="1"/>
    <col min="4615" max="4615" width="7.62890625" style="18" customWidth="1"/>
    <col min="4616" max="4616" width="5.734375" style="18" customWidth="1"/>
    <col min="4617" max="4864" width="9.1015625" style="18"/>
    <col min="4865" max="4865" width="8.89453125" style="18" customWidth="1"/>
    <col min="4866" max="4866" width="14.89453125" style="18" bestFit="1" customWidth="1"/>
    <col min="4867" max="4867" width="8" style="18" bestFit="1" customWidth="1"/>
    <col min="4868" max="4868" width="8" style="18" customWidth="1"/>
    <col min="4869" max="4869" width="8.62890625" style="18" customWidth="1"/>
    <col min="4870" max="4870" width="6.734375" style="18" customWidth="1"/>
    <col min="4871" max="4871" width="7.62890625" style="18" customWidth="1"/>
    <col min="4872" max="4872" width="5.734375" style="18" customWidth="1"/>
    <col min="4873" max="5120" width="9.1015625" style="18"/>
    <col min="5121" max="5121" width="8.89453125" style="18" customWidth="1"/>
    <col min="5122" max="5122" width="14.89453125" style="18" bestFit="1" customWidth="1"/>
    <col min="5123" max="5123" width="8" style="18" bestFit="1" customWidth="1"/>
    <col min="5124" max="5124" width="8" style="18" customWidth="1"/>
    <col min="5125" max="5125" width="8.62890625" style="18" customWidth="1"/>
    <col min="5126" max="5126" width="6.734375" style="18" customWidth="1"/>
    <col min="5127" max="5127" width="7.62890625" style="18" customWidth="1"/>
    <col min="5128" max="5128" width="5.734375" style="18" customWidth="1"/>
    <col min="5129" max="5376" width="9.1015625" style="18"/>
    <col min="5377" max="5377" width="8.89453125" style="18" customWidth="1"/>
    <col min="5378" max="5378" width="14.89453125" style="18" bestFit="1" customWidth="1"/>
    <col min="5379" max="5379" width="8" style="18" bestFit="1" customWidth="1"/>
    <col min="5380" max="5380" width="8" style="18" customWidth="1"/>
    <col min="5381" max="5381" width="8.62890625" style="18" customWidth="1"/>
    <col min="5382" max="5382" width="6.734375" style="18" customWidth="1"/>
    <col min="5383" max="5383" width="7.62890625" style="18" customWidth="1"/>
    <col min="5384" max="5384" width="5.734375" style="18" customWidth="1"/>
    <col min="5385" max="5632" width="9.1015625" style="18"/>
    <col min="5633" max="5633" width="8.89453125" style="18" customWidth="1"/>
    <col min="5634" max="5634" width="14.89453125" style="18" bestFit="1" customWidth="1"/>
    <col min="5635" max="5635" width="8" style="18" bestFit="1" customWidth="1"/>
    <col min="5636" max="5636" width="8" style="18" customWidth="1"/>
    <col min="5637" max="5637" width="8.62890625" style="18" customWidth="1"/>
    <col min="5638" max="5638" width="6.734375" style="18" customWidth="1"/>
    <col min="5639" max="5639" width="7.62890625" style="18" customWidth="1"/>
    <col min="5640" max="5640" width="5.734375" style="18" customWidth="1"/>
    <col min="5641" max="5888" width="9.1015625" style="18"/>
    <col min="5889" max="5889" width="8.89453125" style="18" customWidth="1"/>
    <col min="5890" max="5890" width="14.89453125" style="18" bestFit="1" customWidth="1"/>
    <col min="5891" max="5891" width="8" style="18" bestFit="1" customWidth="1"/>
    <col min="5892" max="5892" width="8" style="18" customWidth="1"/>
    <col min="5893" max="5893" width="8.62890625" style="18" customWidth="1"/>
    <col min="5894" max="5894" width="6.734375" style="18" customWidth="1"/>
    <col min="5895" max="5895" width="7.62890625" style="18" customWidth="1"/>
    <col min="5896" max="5896" width="5.734375" style="18" customWidth="1"/>
    <col min="5897" max="6144" width="9.1015625" style="18"/>
    <col min="6145" max="6145" width="8.89453125" style="18" customWidth="1"/>
    <col min="6146" max="6146" width="14.89453125" style="18" bestFit="1" customWidth="1"/>
    <col min="6147" max="6147" width="8" style="18" bestFit="1" customWidth="1"/>
    <col min="6148" max="6148" width="8" style="18" customWidth="1"/>
    <col min="6149" max="6149" width="8.62890625" style="18" customWidth="1"/>
    <col min="6150" max="6150" width="6.734375" style="18" customWidth="1"/>
    <col min="6151" max="6151" width="7.62890625" style="18" customWidth="1"/>
    <col min="6152" max="6152" width="5.734375" style="18" customWidth="1"/>
    <col min="6153" max="6400" width="9.1015625" style="18"/>
    <col min="6401" max="6401" width="8.89453125" style="18" customWidth="1"/>
    <col min="6402" max="6402" width="14.89453125" style="18" bestFit="1" customWidth="1"/>
    <col min="6403" max="6403" width="8" style="18" bestFit="1" customWidth="1"/>
    <col min="6404" max="6404" width="8" style="18" customWidth="1"/>
    <col min="6405" max="6405" width="8.62890625" style="18" customWidth="1"/>
    <col min="6406" max="6406" width="6.734375" style="18" customWidth="1"/>
    <col min="6407" max="6407" width="7.62890625" style="18" customWidth="1"/>
    <col min="6408" max="6408" width="5.734375" style="18" customWidth="1"/>
    <col min="6409" max="6656" width="9.1015625" style="18"/>
    <col min="6657" max="6657" width="8.89453125" style="18" customWidth="1"/>
    <col min="6658" max="6658" width="14.89453125" style="18" bestFit="1" customWidth="1"/>
    <col min="6659" max="6659" width="8" style="18" bestFit="1" customWidth="1"/>
    <col min="6660" max="6660" width="8" style="18" customWidth="1"/>
    <col min="6661" max="6661" width="8.62890625" style="18" customWidth="1"/>
    <col min="6662" max="6662" width="6.734375" style="18" customWidth="1"/>
    <col min="6663" max="6663" width="7.62890625" style="18" customWidth="1"/>
    <col min="6664" max="6664" width="5.734375" style="18" customWidth="1"/>
    <col min="6665" max="6912" width="9.1015625" style="18"/>
    <col min="6913" max="6913" width="8.89453125" style="18" customWidth="1"/>
    <col min="6914" max="6914" width="14.89453125" style="18" bestFit="1" customWidth="1"/>
    <col min="6915" max="6915" width="8" style="18" bestFit="1" customWidth="1"/>
    <col min="6916" max="6916" width="8" style="18" customWidth="1"/>
    <col min="6917" max="6917" width="8.62890625" style="18" customWidth="1"/>
    <col min="6918" max="6918" width="6.734375" style="18" customWidth="1"/>
    <col min="6919" max="6919" width="7.62890625" style="18" customWidth="1"/>
    <col min="6920" max="6920" width="5.734375" style="18" customWidth="1"/>
    <col min="6921" max="7168" width="9.1015625" style="18"/>
    <col min="7169" max="7169" width="8.89453125" style="18" customWidth="1"/>
    <col min="7170" max="7170" width="14.89453125" style="18" bestFit="1" customWidth="1"/>
    <col min="7171" max="7171" width="8" style="18" bestFit="1" customWidth="1"/>
    <col min="7172" max="7172" width="8" style="18" customWidth="1"/>
    <col min="7173" max="7173" width="8.62890625" style="18" customWidth="1"/>
    <col min="7174" max="7174" width="6.734375" style="18" customWidth="1"/>
    <col min="7175" max="7175" width="7.62890625" style="18" customWidth="1"/>
    <col min="7176" max="7176" width="5.734375" style="18" customWidth="1"/>
    <col min="7177" max="7424" width="9.1015625" style="18"/>
    <col min="7425" max="7425" width="8.89453125" style="18" customWidth="1"/>
    <col min="7426" max="7426" width="14.89453125" style="18" bestFit="1" customWidth="1"/>
    <col min="7427" max="7427" width="8" style="18" bestFit="1" customWidth="1"/>
    <col min="7428" max="7428" width="8" style="18" customWidth="1"/>
    <col min="7429" max="7429" width="8.62890625" style="18" customWidth="1"/>
    <col min="7430" max="7430" width="6.734375" style="18" customWidth="1"/>
    <col min="7431" max="7431" width="7.62890625" style="18" customWidth="1"/>
    <col min="7432" max="7432" width="5.734375" style="18" customWidth="1"/>
    <col min="7433" max="7680" width="9.1015625" style="18"/>
    <col min="7681" max="7681" width="8.89453125" style="18" customWidth="1"/>
    <col min="7682" max="7682" width="14.89453125" style="18" bestFit="1" customWidth="1"/>
    <col min="7683" max="7683" width="8" style="18" bestFit="1" customWidth="1"/>
    <col min="7684" max="7684" width="8" style="18" customWidth="1"/>
    <col min="7685" max="7685" width="8.62890625" style="18" customWidth="1"/>
    <col min="7686" max="7686" width="6.734375" style="18" customWidth="1"/>
    <col min="7687" max="7687" width="7.62890625" style="18" customWidth="1"/>
    <col min="7688" max="7688" width="5.734375" style="18" customWidth="1"/>
    <col min="7689" max="7936" width="9.1015625" style="18"/>
    <col min="7937" max="7937" width="8.89453125" style="18" customWidth="1"/>
    <col min="7938" max="7938" width="14.89453125" style="18" bestFit="1" customWidth="1"/>
    <col min="7939" max="7939" width="8" style="18" bestFit="1" customWidth="1"/>
    <col min="7940" max="7940" width="8" style="18" customWidth="1"/>
    <col min="7941" max="7941" width="8.62890625" style="18" customWidth="1"/>
    <col min="7942" max="7942" width="6.734375" style="18" customWidth="1"/>
    <col min="7943" max="7943" width="7.62890625" style="18" customWidth="1"/>
    <col min="7944" max="7944" width="5.734375" style="18" customWidth="1"/>
    <col min="7945" max="8192" width="9.1015625" style="18"/>
    <col min="8193" max="8193" width="8.89453125" style="18" customWidth="1"/>
    <col min="8194" max="8194" width="14.89453125" style="18" bestFit="1" customWidth="1"/>
    <col min="8195" max="8195" width="8" style="18" bestFit="1" customWidth="1"/>
    <col min="8196" max="8196" width="8" style="18" customWidth="1"/>
    <col min="8197" max="8197" width="8.62890625" style="18" customWidth="1"/>
    <col min="8198" max="8198" width="6.734375" style="18" customWidth="1"/>
    <col min="8199" max="8199" width="7.62890625" style="18" customWidth="1"/>
    <col min="8200" max="8200" width="5.734375" style="18" customWidth="1"/>
    <col min="8201" max="8448" width="9.1015625" style="18"/>
    <col min="8449" max="8449" width="8.89453125" style="18" customWidth="1"/>
    <col min="8450" max="8450" width="14.89453125" style="18" bestFit="1" customWidth="1"/>
    <col min="8451" max="8451" width="8" style="18" bestFit="1" customWidth="1"/>
    <col min="8452" max="8452" width="8" style="18" customWidth="1"/>
    <col min="8453" max="8453" width="8.62890625" style="18" customWidth="1"/>
    <col min="8454" max="8454" width="6.734375" style="18" customWidth="1"/>
    <col min="8455" max="8455" width="7.62890625" style="18" customWidth="1"/>
    <col min="8456" max="8456" width="5.734375" style="18" customWidth="1"/>
    <col min="8457" max="8704" width="9.1015625" style="18"/>
    <col min="8705" max="8705" width="8.89453125" style="18" customWidth="1"/>
    <col min="8706" max="8706" width="14.89453125" style="18" bestFit="1" customWidth="1"/>
    <col min="8707" max="8707" width="8" style="18" bestFit="1" customWidth="1"/>
    <col min="8708" max="8708" width="8" style="18" customWidth="1"/>
    <col min="8709" max="8709" width="8.62890625" style="18" customWidth="1"/>
    <col min="8710" max="8710" width="6.734375" style="18" customWidth="1"/>
    <col min="8711" max="8711" width="7.62890625" style="18" customWidth="1"/>
    <col min="8712" max="8712" width="5.734375" style="18" customWidth="1"/>
    <col min="8713" max="8960" width="9.1015625" style="18"/>
    <col min="8961" max="8961" width="8.89453125" style="18" customWidth="1"/>
    <col min="8962" max="8962" width="14.89453125" style="18" bestFit="1" customWidth="1"/>
    <col min="8963" max="8963" width="8" style="18" bestFit="1" customWidth="1"/>
    <col min="8964" max="8964" width="8" style="18" customWidth="1"/>
    <col min="8965" max="8965" width="8.62890625" style="18" customWidth="1"/>
    <col min="8966" max="8966" width="6.734375" style="18" customWidth="1"/>
    <col min="8967" max="8967" width="7.62890625" style="18" customWidth="1"/>
    <col min="8968" max="8968" width="5.734375" style="18" customWidth="1"/>
    <col min="8969" max="9216" width="9.1015625" style="18"/>
    <col min="9217" max="9217" width="8.89453125" style="18" customWidth="1"/>
    <col min="9218" max="9218" width="14.89453125" style="18" bestFit="1" customWidth="1"/>
    <col min="9219" max="9219" width="8" style="18" bestFit="1" customWidth="1"/>
    <col min="9220" max="9220" width="8" style="18" customWidth="1"/>
    <col min="9221" max="9221" width="8.62890625" style="18" customWidth="1"/>
    <col min="9222" max="9222" width="6.734375" style="18" customWidth="1"/>
    <col min="9223" max="9223" width="7.62890625" style="18" customWidth="1"/>
    <col min="9224" max="9224" width="5.734375" style="18" customWidth="1"/>
    <col min="9225" max="9472" width="9.1015625" style="18"/>
    <col min="9473" max="9473" width="8.89453125" style="18" customWidth="1"/>
    <col min="9474" max="9474" width="14.89453125" style="18" bestFit="1" customWidth="1"/>
    <col min="9475" max="9475" width="8" style="18" bestFit="1" customWidth="1"/>
    <col min="9476" max="9476" width="8" style="18" customWidth="1"/>
    <col min="9477" max="9477" width="8.62890625" style="18" customWidth="1"/>
    <col min="9478" max="9478" width="6.734375" style="18" customWidth="1"/>
    <col min="9479" max="9479" width="7.62890625" style="18" customWidth="1"/>
    <col min="9480" max="9480" width="5.734375" style="18" customWidth="1"/>
    <col min="9481" max="9728" width="9.1015625" style="18"/>
    <col min="9729" max="9729" width="8.89453125" style="18" customWidth="1"/>
    <col min="9730" max="9730" width="14.89453125" style="18" bestFit="1" customWidth="1"/>
    <col min="9731" max="9731" width="8" style="18" bestFit="1" customWidth="1"/>
    <col min="9732" max="9732" width="8" style="18" customWidth="1"/>
    <col min="9733" max="9733" width="8.62890625" style="18" customWidth="1"/>
    <col min="9734" max="9734" width="6.734375" style="18" customWidth="1"/>
    <col min="9735" max="9735" width="7.62890625" style="18" customWidth="1"/>
    <col min="9736" max="9736" width="5.734375" style="18" customWidth="1"/>
    <col min="9737" max="9984" width="9.1015625" style="18"/>
    <col min="9985" max="9985" width="8.89453125" style="18" customWidth="1"/>
    <col min="9986" max="9986" width="14.89453125" style="18" bestFit="1" customWidth="1"/>
    <col min="9987" max="9987" width="8" style="18" bestFit="1" customWidth="1"/>
    <col min="9988" max="9988" width="8" style="18" customWidth="1"/>
    <col min="9989" max="9989" width="8.62890625" style="18" customWidth="1"/>
    <col min="9990" max="9990" width="6.734375" style="18" customWidth="1"/>
    <col min="9991" max="9991" width="7.62890625" style="18" customWidth="1"/>
    <col min="9992" max="9992" width="5.734375" style="18" customWidth="1"/>
    <col min="9993" max="10240" width="9.1015625" style="18"/>
    <col min="10241" max="10241" width="8.89453125" style="18" customWidth="1"/>
    <col min="10242" max="10242" width="14.89453125" style="18" bestFit="1" customWidth="1"/>
    <col min="10243" max="10243" width="8" style="18" bestFit="1" customWidth="1"/>
    <col min="10244" max="10244" width="8" style="18" customWidth="1"/>
    <col min="10245" max="10245" width="8.62890625" style="18" customWidth="1"/>
    <col min="10246" max="10246" width="6.734375" style="18" customWidth="1"/>
    <col min="10247" max="10247" width="7.62890625" style="18" customWidth="1"/>
    <col min="10248" max="10248" width="5.734375" style="18" customWidth="1"/>
    <col min="10249" max="10496" width="9.1015625" style="18"/>
    <col min="10497" max="10497" width="8.89453125" style="18" customWidth="1"/>
    <col min="10498" max="10498" width="14.89453125" style="18" bestFit="1" customWidth="1"/>
    <col min="10499" max="10499" width="8" style="18" bestFit="1" customWidth="1"/>
    <col min="10500" max="10500" width="8" style="18" customWidth="1"/>
    <col min="10501" max="10501" width="8.62890625" style="18" customWidth="1"/>
    <col min="10502" max="10502" width="6.734375" style="18" customWidth="1"/>
    <col min="10503" max="10503" width="7.62890625" style="18" customWidth="1"/>
    <col min="10504" max="10504" width="5.734375" style="18" customWidth="1"/>
    <col min="10505" max="10752" width="9.1015625" style="18"/>
    <col min="10753" max="10753" width="8.89453125" style="18" customWidth="1"/>
    <col min="10754" max="10754" width="14.89453125" style="18" bestFit="1" customWidth="1"/>
    <col min="10755" max="10755" width="8" style="18" bestFit="1" customWidth="1"/>
    <col min="10756" max="10756" width="8" style="18" customWidth="1"/>
    <col min="10757" max="10757" width="8.62890625" style="18" customWidth="1"/>
    <col min="10758" max="10758" width="6.734375" style="18" customWidth="1"/>
    <col min="10759" max="10759" width="7.62890625" style="18" customWidth="1"/>
    <col min="10760" max="10760" width="5.734375" style="18" customWidth="1"/>
    <col min="10761" max="11008" width="9.1015625" style="18"/>
    <col min="11009" max="11009" width="8.89453125" style="18" customWidth="1"/>
    <col min="11010" max="11010" width="14.89453125" style="18" bestFit="1" customWidth="1"/>
    <col min="11011" max="11011" width="8" style="18" bestFit="1" customWidth="1"/>
    <col min="11012" max="11012" width="8" style="18" customWidth="1"/>
    <col min="11013" max="11013" width="8.62890625" style="18" customWidth="1"/>
    <col min="11014" max="11014" width="6.734375" style="18" customWidth="1"/>
    <col min="11015" max="11015" width="7.62890625" style="18" customWidth="1"/>
    <col min="11016" max="11016" width="5.734375" style="18" customWidth="1"/>
    <col min="11017" max="11264" width="9.1015625" style="18"/>
    <col min="11265" max="11265" width="8.89453125" style="18" customWidth="1"/>
    <col min="11266" max="11266" width="14.89453125" style="18" bestFit="1" customWidth="1"/>
    <col min="11267" max="11267" width="8" style="18" bestFit="1" customWidth="1"/>
    <col min="11268" max="11268" width="8" style="18" customWidth="1"/>
    <col min="11269" max="11269" width="8.62890625" style="18" customWidth="1"/>
    <col min="11270" max="11270" width="6.734375" style="18" customWidth="1"/>
    <col min="11271" max="11271" width="7.62890625" style="18" customWidth="1"/>
    <col min="11272" max="11272" width="5.734375" style="18" customWidth="1"/>
    <col min="11273" max="11520" width="9.1015625" style="18"/>
    <col min="11521" max="11521" width="8.89453125" style="18" customWidth="1"/>
    <col min="11522" max="11522" width="14.89453125" style="18" bestFit="1" customWidth="1"/>
    <col min="11523" max="11523" width="8" style="18" bestFit="1" customWidth="1"/>
    <col min="11524" max="11524" width="8" style="18" customWidth="1"/>
    <col min="11525" max="11525" width="8.62890625" style="18" customWidth="1"/>
    <col min="11526" max="11526" width="6.734375" style="18" customWidth="1"/>
    <col min="11527" max="11527" width="7.62890625" style="18" customWidth="1"/>
    <col min="11528" max="11528" width="5.734375" style="18" customWidth="1"/>
    <col min="11529" max="11776" width="9.1015625" style="18"/>
    <col min="11777" max="11777" width="8.89453125" style="18" customWidth="1"/>
    <col min="11778" max="11778" width="14.89453125" style="18" bestFit="1" customWidth="1"/>
    <col min="11779" max="11779" width="8" style="18" bestFit="1" customWidth="1"/>
    <col min="11780" max="11780" width="8" style="18" customWidth="1"/>
    <col min="11781" max="11781" width="8.62890625" style="18" customWidth="1"/>
    <col min="11782" max="11782" width="6.734375" style="18" customWidth="1"/>
    <col min="11783" max="11783" width="7.62890625" style="18" customWidth="1"/>
    <col min="11784" max="11784" width="5.734375" style="18" customWidth="1"/>
    <col min="11785" max="12032" width="9.1015625" style="18"/>
    <col min="12033" max="12033" width="8.89453125" style="18" customWidth="1"/>
    <col min="12034" max="12034" width="14.89453125" style="18" bestFit="1" customWidth="1"/>
    <col min="12035" max="12035" width="8" style="18" bestFit="1" customWidth="1"/>
    <col min="12036" max="12036" width="8" style="18" customWidth="1"/>
    <col min="12037" max="12037" width="8.62890625" style="18" customWidth="1"/>
    <col min="12038" max="12038" width="6.734375" style="18" customWidth="1"/>
    <col min="12039" max="12039" width="7.62890625" style="18" customWidth="1"/>
    <col min="12040" max="12040" width="5.734375" style="18" customWidth="1"/>
    <col min="12041" max="12288" width="9.1015625" style="18"/>
    <col min="12289" max="12289" width="8.89453125" style="18" customWidth="1"/>
    <col min="12290" max="12290" width="14.89453125" style="18" bestFit="1" customWidth="1"/>
    <col min="12291" max="12291" width="8" style="18" bestFit="1" customWidth="1"/>
    <col min="12292" max="12292" width="8" style="18" customWidth="1"/>
    <col min="12293" max="12293" width="8.62890625" style="18" customWidth="1"/>
    <col min="12294" max="12294" width="6.734375" style="18" customWidth="1"/>
    <col min="12295" max="12295" width="7.62890625" style="18" customWidth="1"/>
    <col min="12296" max="12296" width="5.734375" style="18" customWidth="1"/>
    <col min="12297" max="12544" width="9.1015625" style="18"/>
    <col min="12545" max="12545" width="8.89453125" style="18" customWidth="1"/>
    <col min="12546" max="12546" width="14.89453125" style="18" bestFit="1" customWidth="1"/>
    <col min="12547" max="12547" width="8" style="18" bestFit="1" customWidth="1"/>
    <col min="12548" max="12548" width="8" style="18" customWidth="1"/>
    <col min="12549" max="12549" width="8.62890625" style="18" customWidth="1"/>
    <col min="12550" max="12550" width="6.734375" style="18" customWidth="1"/>
    <col min="12551" max="12551" width="7.62890625" style="18" customWidth="1"/>
    <col min="12552" max="12552" width="5.734375" style="18" customWidth="1"/>
    <col min="12553" max="12800" width="9.1015625" style="18"/>
    <col min="12801" max="12801" width="8.89453125" style="18" customWidth="1"/>
    <col min="12802" max="12802" width="14.89453125" style="18" bestFit="1" customWidth="1"/>
    <col min="12803" max="12803" width="8" style="18" bestFit="1" customWidth="1"/>
    <col min="12804" max="12804" width="8" style="18" customWidth="1"/>
    <col min="12805" max="12805" width="8.62890625" style="18" customWidth="1"/>
    <col min="12806" max="12806" width="6.734375" style="18" customWidth="1"/>
    <col min="12807" max="12807" width="7.62890625" style="18" customWidth="1"/>
    <col min="12808" max="12808" width="5.734375" style="18" customWidth="1"/>
    <col min="12809" max="13056" width="9.1015625" style="18"/>
    <col min="13057" max="13057" width="8.89453125" style="18" customWidth="1"/>
    <col min="13058" max="13058" width="14.89453125" style="18" bestFit="1" customWidth="1"/>
    <col min="13059" max="13059" width="8" style="18" bestFit="1" customWidth="1"/>
    <col min="13060" max="13060" width="8" style="18" customWidth="1"/>
    <col min="13061" max="13061" width="8.62890625" style="18" customWidth="1"/>
    <col min="13062" max="13062" width="6.734375" style="18" customWidth="1"/>
    <col min="13063" max="13063" width="7.62890625" style="18" customWidth="1"/>
    <col min="13064" max="13064" width="5.734375" style="18" customWidth="1"/>
    <col min="13065" max="13312" width="9.1015625" style="18"/>
    <col min="13313" max="13313" width="8.89453125" style="18" customWidth="1"/>
    <col min="13314" max="13314" width="14.89453125" style="18" bestFit="1" customWidth="1"/>
    <col min="13315" max="13315" width="8" style="18" bestFit="1" customWidth="1"/>
    <col min="13316" max="13316" width="8" style="18" customWidth="1"/>
    <col min="13317" max="13317" width="8.62890625" style="18" customWidth="1"/>
    <col min="13318" max="13318" width="6.734375" style="18" customWidth="1"/>
    <col min="13319" max="13319" width="7.62890625" style="18" customWidth="1"/>
    <col min="13320" max="13320" width="5.734375" style="18" customWidth="1"/>
    <col min="13321" max="13568" width="9.1015625" style="18"/>
    <col min="13569" max="13569" width="8.89453125" style="18" customWidth="1"/>
    <col min="13570" max="13570" width="14.89453125" style="18" bestFit="1" customWidth="1"/>
    <col min="13571" max="13571" width="8" style="18" bestFit="1" customWidth="1"/>
    <col min="13572" max="13572" width="8" style="18" customWidth="1"/>
    <col min="13573" max="13573" width="8.62890625" style="18" customWidth="1"/>
    <col min="13574" max="13574" width="6.734375" style="18" customWidth="1"/>
    <col min="13575" max="13575" width="7.62890625" style="18" customWidth="1"/>
    <col min="13576" max="13576" width="5.734375" style="18" customWidth="1"/>
    <col min="13577" max="13824" width="9.1015625" style="18"/>
    <col min="13825" max="13825" width="8.89453125" style="18" customWidth="1"/>
    <col min="13826" max="13826" width="14.89453125" style="18" bestFit="1" customWidth="1"/>
    <col min="13827" max="13827" width="8" style="18" bestFit="1" customWidth="1"/>
    <col min="13828" max="13828" width="8" style="18" customWidth="1"/>
    <col min="13829" max="13829" width="8.62890625" style="18" customWidth="1"/>
    <col min="13830" max="13830" width="6.734375" style="18" customWidth="1"/>
    <col min="13831" max="13831" width="7.62890625" style="18" customWidth="1"/>
    <col min="13832" max="13832" width="5.734375" style="18" customWidth="1"/>
    <col min="13833" max="14080" width="9.1015625" style="18"/>
    <col min="14081" max="14081" width="8.89453125" style="18" customWidth="1"/>
    <col min="14082" max="14082" width="14.89453125" style="18" bestFit="1" customWidth="1"/>
    <col min="14083" max="14083" width="8" style="18" bestFit="1" customWidth="1"/>
    <col min="14084" max="14084" width="8" style="18" customWidth="1"/>
    <col min="14085" max="14085" width="8.62890625" style="18" customWidth="1"/>
    <col min="14086" max="14086" width="6.734375" style="18" customWidth="1"/>
    <col min="14087" max="14087" width="7.62890625" style="18" customWidth="1"/>
    <col min="14088" max="14088" width="5.734375" style="18" customWidth="1"/>
    <col min="14089" max="14336" width="9.1015625" style="18"/>
    <col min="14337" max="14337" width="8.89453125" style="18" customWidth="1"/>
    <col min="14338" max="14338" width="14.89453125" style="18" bestFit="1" customWidth="1"/>
    <col min="14339" max="14339" width="8" style="18" bestFit="1" customWidth="1"/>
    <col min="14340" max="14340" width="8" style="18" customWidth="1"/>
    <col min="14341" max="14341" width="8.62890625" style="18" customWidth="1"/>
    <col min="14342" max="14342" width="6.734375" style="18" customWidth="1"/>
    <col min="14343" max="14343" width="7.62890625" style="18" customWidth="1"/>
    <col min="14344" max="14344" width="5.734375" style="18" customWidth="1"/>
    <col min="14345" max="14592" width="9.1015625" style="18"/>
    <col min="14593" max="14593" width="8.89453125" style="18" customWidth="1"/>
    <col min="14594" max="14594" width="14.89453125" style="18" bestFit="1" customWidth="1"/>
    <col min="14595" max="14595" width="8" style="18" bestFit="1" customWidth="1"/>
    <col min="14596" max="14596" width="8" style="18" customWidth="1"/>
    <col min="14597" max="14597" width="8.62890625" style="18" customWidth="1"/>
    <col min="14598" max="14598" width="6.734375" style="18" customWidth="1"/>
    <col min="14599" max="14599" width="7.62890625" style="18" customWidth="1"/>
    <col min="14600" max="14600" width="5.734375" style="18" customWidth="1"/>
    <col min="14601" max="14848" width="9.1015625" style="18"/>
    <col min="14849" max="14849" width="8.89453125" style="18" customWidth="1"/>
    <col min="14850" max="14850" width="14.89453125" style="18" bestFit="1" customWidth="1"/>
    <col min="14851" max="14851" width="8" style="18" bestFit="1" customWidth="1"/>
    <col min="14852" max="14852" width="8" style="18" customWidth="1"/>
    <col min="14853" max="14853" width="8.62890625" style="18" customWidth="1"/>
    <col min="14854" max="14854" width="6.734375" style="18" customWidth="1"/>
    <col min="14855" max="14855" width="7.62890625" style="18" customWidth="1"/>
    <col min="14856" max="14856" width="5.734375" style="18" customWidth="1"/>
    <col min="14857" max="15104" width="9.1015625" style="18"/>
    <col min="15105" max="15105" width="8.89453125" style="18" customWidth="1"/>
    <col min="15106" max="15106" width="14.89453125" style="18" bestFit="1" customWidth="1"/>
    <col min="15107" max="15107" width="8" style="18" bestFit="1" customWidth="1"/>
    <col min="15108" max="15108" width="8" style="18" customWidth="1"/>
    <col min="15109" max="15109" width="8.62890625" style="18" customWidth="1"/>
    <col min="15110" max="15110" width="6.734375" style="18" customWidth="1"/>
    <col min="15111" max="15111" width="7.62890625" style="18" customWidth="1"/>
    <col min="15112" max="15112" width="5.734375" style="18" customWidth="1"/>
    <col min="15113" max="15360" width="9.1015625" style="18"/>
    <col min="15361" max="15361" width="8.89453125" style="18" customWidth="1"/>
    <col min="15362" max="15362" width="14.89453125" style="18" bestFit="1" customWidth="1"/>
    <col min="15363" max="15363" width="8" style="18" bestFit="1" customWidth="1"/>
    <col min="15364" max="15364" width="8" style="18" customWidth="1"/>
    <col min="15365" max="15365" width="8.62890625" style="18" customWidth="1"/>
    <col min="15366" max="15366" width="6.734375" style="18" customWidth="1"/>
    <col min="15367" max="15367" width="7.62890625" style="18" customWidth="1"/>
    <col min="15368" max="15368" width="5.734375" style="18" customWidth="1"/>
    <col min="15369" max="15616" width="9.1015625" style="18"/>
    <col min="15617" max="15617" width="8.89453125" style="18" customWidth="1"/>
    <col min="15618" max="15618" width="14.89453125" style="18" bestFit="1" customWidth="1"/>
    <col min="15619" max="15619" width="8" style="18" bestFit="1" customWidth="1"/>
    <col min="15620" max="15620" width="8" style="18" customWidth="1"/>
    <col min="15621" max="15621" width="8.62890625" style="18" customWidth="1"/>
    <col min="15622" max="15622" width="6.734375" style="18" customWidth="1"/>
    <col min="15623" max="15623" width="7.62890625" style="18" customWidth="1"/>
    <col min="15624" max="15624" width="5.734375" style="18" customWidth="1"/>
    <col min="15625" max="15872" width="9.1015625" style="18"/>
    <col min="15873" max="15873" width="8.89453125" style="18" customWidth="1"/>
    <col min="15874" max="15874" width="14.89453125" style="18" bestFit="1" customWidth="1"/>
    <col min="15875" max="15875" width="8" style="18" bestFit="1" customWidth="1"/>
    <col min="15876" max="15876" width="8" style="18" customWidth="1"/>
    <col min="15877" max="15877" width="8.62890625" style="18" customWidth="1"/>
    <col min="15878" max="15878" width="6.734375" style="18" customWidth="1"/>
    <col min="15879" max="15879" width="7.62890625" style="18" customWidth="1"/>
    <col min="15880" max="15880" width="5.734375" style="18" customWidth="1"/>
    <col min="15881" max="16128" width="9.1015625" style="18"/>
    <col min="16129" max="16129" width="8.89453125" style="18" customWidth="1"/>
    <col min="16130" max="16130" width="14.89453125" style="18" bestFit="1" customWidth="1"/>
    <col min="16131" max="16131" width="8" style="18" bestFit="1" customWidth="1"/>
    <col min="16132" max="16132" width="8" style="18" customWidth="1"/>
    <col min="16133" max="16133" width="8.62890625" style="18" customWidth="1"/>
    <col min="16134" max="16134" width="6.734375" style="18" customWidth="1"/>
    <col min="16135" max="16135" width="7.62890625" style="18" customWidth="1"/>
    <col min="16136" max="16136" width="5.734375" style="18" customWidth="1"/>
    <col min="16137" max="16384" width="9.1015625" style="18"/>
  </cols>
  <sheetData>
    <row r="1" spans="1:11" ht="35.700000000000003" x14ac:dyDescent="1.3">
      <c r="A1" s="148" t="s">
        <v>203</v>
      </c>
      <c r="K1" s="63" t="s">
        <v>20</v>
      </c>
    </row>
    <row r="2" spans="1:11" ht="12.6" x14ac:dyDescent="0.45">
      <c r="A2" s="280" t="s">
        <v>204</v>
      </c>
    </row>
    <row r="3" spans="1:11" ht="12.6" x14ac:dyDescent="0.45">
      <c r="A3" s="144" t="s">
        <v>205</v>
      </c>
    </row>
    <row r="4" spans="1:11" ht="12.6" x14ac:dyDescent="0.45">
      <c r="A4" s="144" t="s">
        <v>194</v>
      </c>
    </row>
    <row r="5" spans="1:11" ht="12.6" thickBot="1" x14ac:dyDescent="0.45"/>
    <row r="6" spans="1:11" ht="15.3" thickBot="1" x14ac:dyDescent="0.55000000000000004">
      <c r="A6" s="156" t="s">
        <v>206</v>
      </c>
      <c r="C6" s="292">
        <v>4</v>
      </c>
      <c r="K6" s="142" t="s">
        <v>267</v>
      </c>
    </row>
    <row r="7" spans="1:11" ht="12.6" thickBot="1" x14ac:dyDescent="0.45">
      <c r="A7" s="156"/>
      <c r="C7" s="293"/>
    </row>
    <row r="8" spans="1:11" x14ac:dyDescent="0.4">
      <c r="A8" s="287" t="s">
        <v>207</v>
      </c>
      <c r="B8" s="288"/>
      <c r="C8" s="594">
        <f>SUMIF(B13:B62,"&gt;-99999",B13:B62)/COUNTIF(B13:B62,"&gt;-99999")</f>
        <v>1.5</v>
      </c>
      <c r="D8" s="595"/>
    </row>
    <row r="9" spans="1:11" ht="12.6" thickBot="1" x14ac:dyDescent="0.45">
      <c r="A9" s="294" t="s">
        <v>208</v>
      </c>
      <c r="B9" s="295"/>
      <c r="C9" s="668">
        <f>SQRT(C8*(1-C8/C6))</f>
        <v>0.96824583655185426</v>
      </c>
      <c r="D9" s="681"/>
    </row>
    <row r="10" spans="1:11" x14ac:dyDescent="0.4">
      <c r="E10" s="148"/>
      <c r="F10" s="148"/>
      <c r="G10" s="148"/>
    </row>
    <row r="11" spans="1:11" x14ac:dyDescent="0.4">
      <c r="B11" s="148" t="s">
        <v>197</v>
      </c>
      <c r="C11" s="148"/>
      <c r="D11" s="148"/>
    </row>
    <row r="12" spans="1:11" ht="12.6" thickBot="1" x14ac:dyDescent="0.45">
      <c r="A12" s="148" t="s">
        <v>198</v>
      </c>
      <c r="B12" s="148" t="s">
        <v>209</v>
      </c>
      <c r="C12" s="148" t="s">
        <v>210</v>
      </c>
      <c r="D12" s="148" t="s">
        <v>201</v>
      </c>
      <c r="E12" s="148" t="s">
        <v>211</v>
      </c>
    </row>
    <row r="13" spans="1:11" x14ac:dyDescent="0.4">
      <c r="A13" s="18">
        <v>1</v>
      </c>
      <c r="B13" s="285">
        <v>1</v>
      </c>
      <c r="C13" s="18">
        <f>IF(B13&lt;&gt;"",MAX(0,$C$8-3*$C$9),NA())</f>
        <v>0</v>
      </c>
      <c r="D13" s="18">
        <f>IF(B13&lt;&gt;"",$C$8,NA())</f>
        <v>1.5</v>
      </c>
      <c r="E13" s="18">
        <f>IF(B13&lt;&gt;"",MAX(0,$C$8+3*$C$9),NA())</f>
        <v>4.404737509655563</v>
      </c>
    </row>
    <row r="14" spans="1:11" x14ac:dyDescent="0.4">
      <c r="A14" s="18">
        <v>2</v>
      </c>
      <c r="B14" s="286">
        <v>1</v>
      </c>
      <c r="C14" s="18">
        <f t="shared" ref="C14:C62" si="0">IF(B14&lt;&gt;"",MAX(0,$C$8-3*$C$9),NA())</f>
        <v>0</v>
      </c>
      <c r="D14" s="18">
        <f t="shared" ref="D14:D62" si="1">IF(B14&lt;&gt;"",$C$8,NA())</f>
        <v>1.5</v>
      </c>
      <c r="E14" s="18">
        <f t="shared" ref="E14:E62" si="2">IF(B14&lt;&gt;"",MAX(0,$C$8+3*$C$9),NA())</f>
        <v>4.404737509655563</v>
      </c>
    </row>
    <row r="15" spans="1:11" x14ac:dyDescent="0.4">
      <c r="A15" s="18">
        <v>3</v>
      </c>
      <c r="B15" s="286">
        <v>1</v>
      </c>
      <c r="C15" s="18">
        <f t="shared" si="0"/>
        <v>0</v>
      </c>
      <c r="D15" s="18">
        <f t="shared" si="1"/>
        <v>1.5</v>
      </c>
      <c r="E15" s="18">
        <f t="shared" si="2"/>
        <v>4.404737509655563</v>
      </c>
    </row>
    <row r="16" spans="1:11" x14ac:dyDescent="0.4">
      <c r="A16" s="18">
        <v>4</v>
      </c>
      <c r="B16" s="286">
        <v>3</v>
      </c>
      <c r="C16" s="18">
        <f t="shared" si="0"/>
        <v>0</v>
      </c>
      <c r="D16" s="18">
        <f t="shared" si="1"/>
        <v>1.5</v>
      </c>
      <c r="E16" s="18">
        <f t="shared" si="2"/>
        <v>4.404737509655563</v>
      </c>
    </row>
    <row r="17" spans="1:5" x14ac:dyDescent="0.4">
      <c r="A17" s="18">
        <v>5</v>
      </c>
      <c r="B17" s="286">
        <v>2</v>
      </c>
      <c r="C17" s="18">
        <f t="shared" si="0"/>
        <v>0</v>
      </c>
      <c r="D17" s="18">
        <f t="shared" si="1"/>
        <v>1.5</v>
      </c>
      <c r="E17" s="18">
        <f t="shared" si="2"/>
        <v>4.404737509655563</v>
      </c>
    </row>
    <row r="18" spans="1:5" x14ac:dyDescent="0.4">
      <c r="A18" s="18">
        <v>6</v>
      </c>
      <c r="B18" s="286">
        <v>2</v>
      </c>
      <c r="C18" s="18">
        <f t="shared" si="0"/>
        <v>0</v>
      </c>
      <c r="D18" s="18">
        <f t="shared" si="1"/>
        <v>1.5</v>
      </c>
      <c r="E18" s="18">
        <f t="shared" si="2"/>
        <v>4.404737509655563</v>
      </c>
    </row>
    <row r="19" spans="1:5" x14ac:dyDescent="0.4">
      <c r="A19" s="18">
        <v>7</v>
      </c>
      <c r="B19" s="286">
        <v>1</v>
      </c>
      <c r="C19" s="18">
        <f t="shared" si="0"/>
        <v>0</v>
      </c>
      <c r="D19" s="18">
        <f t="shared" si="1"/>
        <v>1.5</v>
      </c>
      <c r="E19" s="18">
        <f t="shared" si="2"/>
        <v>4.404737509655563</v>
      </c>
    </row>
    <row r="20" spans="1:5" x14ac:dyDescent="0.4">
      <c r="A20" s="18">
        <v>8</v>
      </c>
      <c r="B20" s="286">
        <v>1</v>
      </c>
      <c r="C20" s="18">
        <f t="shared" si="0"/>
        <v>0</v>
      </c>
      <c r="D20" s="18">
        <f t="shared" si="1"/>
        <v>1.5</v>
      </c>
      <c r="E20" s="18">
        <f t="shared" si="2"/>
        <v>4.404737509655563</v>
      </c>
    </row>
    <row r="21" spans="1:5" x14ac:dyDescent="0.4">
      <c r="A21" s="18">
        <v>9</v>
      </c>
      <c r="B21" s="286"/>
      <c r="C21" s="18" t="e">
        <f t="shared" si="0"/>
        <v>#N/A</v>
      </c>
      <c r="D21" s="18" t="e">
        <f t="shared" si="1"/>
        <v>#N/A</v>
      </c>
      <c r="E21" s="18" t="e">
        <f t="shared" si="2"/>
        <v>#N/A</v>
      </c>
    </row>
    <row r="22" spans="1:5" x14ac:dyDescent="0.4">
      <c r="A22" s="18">
        <v>10</v>
      </c>
      <c r="B22" s="286"/>
      <c r="C22" s="18" t="e">
        <f t="shared" si="0"/>
        <v>#N/A</v>
      </c>
      <c r="D22" s="18" t="e">
        <f t="shared" si="1"/>
        <v>#N/A</v>
      </c>
      <c r="E22" s="18" t="e">
        <f t="shared" si="2"/>
        <v>#N/A</v>
      </c>
    </row>
    <row r="23" spans="1:5" x14ac:dyDescent="0.4">
      <c r="A23" s="18">
        <v>11</v>
      </c>
      <c r="B23" s="286"/>
      <c r="C23" s="18" t="e">
        <f t="shared" si="0"/>
        <v>#N/A</v>
      </c>
      <c r="D23" s="18" t="e">
        <f t="shared" si="1"/>
        <v>#N/A</v>
      </c>
      <c r="E23" s="18" t="e">
        <f t="shared" si="2"/>
        <v>#N/A</v>
      </c>
    </row>
    <row r="24" spans="1:5" x14ac:dyDescent="0.4">
      <c r="A24" s="18">
        <v>12</v>
      </c>
      <c r="B24" s="286"/>
      <c r="C24" s="18" t="e">
        <f t="shared" si="0"/>
        <v>#N/A</v>
      </c>
      <c r="D24" s="18" t="e">
        <f t="shared" si="1"/>
        <v>#N/A</v>
      </c>
      <c r="E24" s="18" t="e">
        <f t="shared" si="2"/>
        <v>#N/A</v>
      </c>
    </row>
    <row r="25" spans="1:5" x14ac:dyDescent="0.4">
      <c r="A25" s="18">
        <v>13</v>
      </c>
      <c r="B25" s="286"/>
      <c r="C25" s="18" t="e">
        <f t="shared" si="0"/>
        <v>#N/A</v>
      </c>
      <c r="D25" s="18" t="e">
        <f t="shared" si="1"/>
        <v>#N/A</v>
      </c>
      <c r="E25" s="18" t="e">
        <f t="shared" si="2"/>
        <v>#N/A</v>
      </c>
    </row>
    <row r="26" spans="1:5" x14ac:dyDescent="0.4">
      <c r="A26" s="18">
        <v>14</v>
      </c>
      <c r="B26" s="286"/>
      <c r="C26" s="18" t="e">
        <f t="shared" si="0"/>
        <v>#N/A</v>
      </c>
      <c r="D26" s="18" t="e">
        <f t="shared" si="1"/>
        <v>#N/A</v>
      </c>
      <c r="E26" s="18" t="e">
        <f t="shared" si="2"/>
        <v>#N/A</v>
      </c>
    </row>
    <row r="27" spans="1:5" x14ac:dyDescent="0.4">
      <c r="A27" s="18">
        <v>15</v>
      </c>
      <c r="B27" s="286"/>
      <c r="C27" s="18" t="e">
        <f t="shared" si="0"/>
        <v>#N/A</v>
      </c>
      <c r="D27" s="18" t="e">
        <f t="shared" si="1"/>
        <v>#N/A</v>
      </c>
      <c r="E27" s="18" t="e">
        <f t="shared" si="2"/>
        <v>#N/A</v>
      </c>
    </row>
    <row r="28" spans="1:5" x14ac:dyDescent="0.4">
      <c r="A28" s="18">
        <v>16</v>
      </c>
      <c r="B28" s="286"/>
      <c r="C28" s="18" t="e">
        <f t="shared" si="0"/>
        <v>#N/A</v>
      </c>
      <c r="D28" s="18" t="e">
        <f t="shared" si="1"/>
        <v>#N/A</v>
      </c>
      <c r="E28" s="18" t="e">
        <f t="shared" si="2"/>
        <v>#N/A</v>
      </c>
    </row>
    <row r="29" spans="1:5" x14ac:dyDescent="0.4">
      <c r="A29" s="18">
        <v>17</v>
      </c>
      <c r="B29" s="286"/>
      <c r="C29" s="18" t="e">
        <f t="shared" si="0"/>
        <v>#N/A</v>
      </c>
      <c r="D29" s="18" t="e">
        <f t="shared" si="1"/>
        <v>#N/A</v>
      </c>
      <c r="E29" s="18" t="e">
        <f t="shared" si="2"/>
        <v>#N/A</v>
      </c>
    </row>
    <row r="30" spans="1:5" x14ac:dyDescent="0.4">
      <c r="A30" s="18">
        <v>18</v>
      </c>
      <c r="B30" s="286"/>
      <c r="C30" s="18" t="e">
        <f t="shared" si="0"/>
        <v>#N/A</v>
      </c>
      <c r="D30" s="18" t="e">
        <f t="shared" si="1"/>
        <v>#N/A</v>
      </c>
      <c r="E30" s="18" t="e">
        <f t="shared" si="2"/>
        <v>#N/A</v>
      </c>
    </row>
    <row r="31" spans="1:5" x14ac:dyDescent="0.4">
      <c r="A31" s="18">
        <v>19</v>
      </c>
      <c r="B31" s="286"/>
      <c r="C31" s="18" t="e">
        <f t="shared" si="0"/>
        <v>#N/A</v>
      </c>
      <c r="D31" s="18" t="e">
        <f t="shared" si="1"/>
        <v>#N/A</v>
      </c>
      <c r="E31" s="18" t="e">
        <f t="shared" si="2"/>
        <v>#N/A</v>
      </c>
    </row>
    <row r="32" spans="1:5" x14ac:dyDescent="0.4">
      <c r="A32" s="18">
        <v>20</v>
      </c>
      <c r="B32" s="286"/>
      <c r="C32" s="18" t="e">
        <f t="shared" si="0"/>
        <v>#N/A</v>
      </c>
      <c r="D32" s="18" t="e">
        <f t="shared" si="1"/>
        <v>#N/A</v>
      </c>
      <c r="E32" s="18" t="e">
        <f t="shared" si="2"/>
        <v>#N/A</v>
      </c>
    </row>
    <row r="33" spans="1:5" x14ac:dyDescent="0.4">
      <c r="A33" s="18">
        <v>21</v>
      </c>
      <c r="B33" s="286"/>
      <c r="C33" s="18" t="e">
        <f t="shared" si="0"/>
        <v>#N/A</v>
      </c>
      <c r="D33" s="18" t="e">
        <f t="shared" si="1"/>
        <v>#N/A</v>
      </c>
      <c r="E33" s="18" t="e">
        <f t="shared" si="2"/>
        <v>#N/A</v>
      </c>
    </row>
    <row r="34" spans="1:5" x14ac:dyDescent="0.4">
      <c r="A34" s="18">
        <v>22</v>
      </c>
      <c r="B34" s="286"/>
      <c r="C34" s="18" t="e">
        <f t="shared" si="0"/>
        <v>#N/A</v>
      </c>
      <c r="D34" s="18" t="e">
        <f t="shared" si="1"/>
        <v>#N/A</v>
      </c>
      <c r="E34" s="18" t="e">
        <f t="shared" si="2"/>
        <v>#N/A</v>
      </c>
    </row>
    <row r="35" spans="1:5" x14ac:dyDescent="0.4">
      <c r="A35" s="18">
        <v>23</v>
      </c>
      <c r="B35" s="286"/>
      <c r="C35" s="18" t="e">
        <f t="shared" si="0"/>
        <v>#N/A</v>
      </c>
      <c r="D35" s="18" t="e">
        <f t="shared" si="1"/>
        <v>#N/A</v>
      </c>
      <c r="E35" s="18" t="e">
        <f t="shared" si="2"/>
        <v>#N/A</v>
      </c>
    </row>
    <row r="36" spans="1:5" x14ac:dyDescent="0.4">
      <c r="A36" s="18">
        <v>24</v>
      </c>
      <c r="B36" s="286"/>
      <c r="C36" s="18" t="e">
        <f t="shared" si="0"/>
        <v>#N/A</v>
      </c>
      <c r="D36" s="18" t="e">
        <f t="shared" si="1"/>
        <v>#N/A</v>
      </c>
      <c r="E36" s="18" t="e">
        <f t="shared" si="2"/>
        <v>#N/A</v>
      </c>
    </row>
    <row r="37" spans="1:5" x14ac:dyDescent="0.4">
      <c r="A37" s="18">
        <v>25</v>
      </c>
      <c r="B37" s="286"/>
      <c r="C37" s="18" t="e">
        <f t="shared" si="0"/>
        <v>#N/A</v>
      </c>
      <c r="D37" s="18" t="e">
        <f t="shared" si="1"/>
        <v>#N/A</v>
      </c>
      <c r="E37" s="18" t="e">
        <f t="shared" si="2"/>
        <v>#N/A</v>
      </c>
    </row>
    <row r="38" spans="1:5" x14ac:dyDescent="0.4">
      <c r="A38" s="18">
        <v>26</v>
      </c>
      <c r="B38" s="286"/>
      <c r="C38" s="18" t="e">
        <f t="shared" si="0"/>
        <v>#N/A</v>
      </c>
      <c r="D38" s="18" t="e">
        <f t="shared" si="1"/>
        <v>#N/A</v>
      </c>
      <c r="E38" s="18" t="e">
        <f t="shared" si="2"/>
        <v>#N/A</v>
      </c>
    </row>
    <row r="39" spans="1:5" x14ac:dyDescent="0.4">
      <c r="A39" s="18">
        <v>27</v>
      </c>
      <c r="B39" s="286"/>
      <c r="C39" s="18" t="e">
        <f t="shared" si="0"/>
        <v>#N/A</v>
      </c>
      <c r="D39" s="18" t="e">
        <f t="shared" si="1"/>
        <v>#N/A</v>
      </c>
      <c r="E39" s="18" t="e">
        <f t="shared" si="2"/>
        <v>#N/A</v>
      </c>
    </row>
    <row r="40" spans="1:5" x14ac:dyDescent="0.4">
      <c r="A40" s="18">
        <v>28</v>
      </c>
      <c r="B40" s="286"/>
      <c r="C40" s="18" t="e">
        <f t="shared" si="0"/>
        <v>#N/A</v>
      </c>
      <c r="D40" s="18" t="e">
        <f t="shared" si="1"/>
        <v>#N/A</v>
      </c>
      <c r="E40" s="18" t="e">
        <f t="shared" si="2"/>
        <v>#N/A</v>
      </c>
    </row>
    <row r="41" spans="1:5" x14ac:dyDescent="0.4">
      <c r="A41" s="18">
        <v>29</v>
      </c>
      <c r="B41" s="286"/>
      <c r="C41" s="18" t="e">
        <f t="shared" si="0"/>
        <v>#N/A</v>
      </c>
      <c r="D41" s="18" t="e">
        <f t="shared" si="1"/>
        <v>#N/A</v>
      </c>
      <c r="E41" s="18" t="e">
        <f t="shared" si="2"/>
        <v>#N/A</v>
      </c>
    </row>
    <row r="42" spans="1:5" x14ac:dyDescent="0.4">
      <c r="A42" s="18">
        <v>30</v>
      </c>
      <c r="B42" s="286"/>
      <c r="C42" s="18" t="e">
        <f t="shared" si="0"/>
        <v>#N/A</v>
      </c>
      <c r="D42" s="18" t="e">
        <f t="shared" si="1"/>
        <v>#N/A</v>
      </c>
      <c r="E42" s="18" t="e">
        <f t="shared" si="2"/>
        <v>#N/A</v>
      </c>
    </row>
    <row r="43" spans="1:5" x14ac:dyDescent="0.4">
      <c r="A43" s="18">
        <v>31</v>
      </c>
      <c r="B43" s="286"/>
      <c r="C43" s="18" t="e">
        <f t="shared" si="0"/>
        <v>#N/A</v>
      </c>
      <c r="D43" s="18" t="e">
        <f t="shared" si="1"/>
        <v>#N/A</v>
      </c>
      <c r="E43" s="18" t="e">
        <f t="shared" si="2"/>
        <v>#N/A</v>
      </c>
    </row>
    <row r="44" spans="1:5" x14ac:dyDescent="0.4">
      <c r="A44" s="18">
        <v>32</v>
      </c>
      <c r="B44" s="286"/>
      <c r="C44" s="18" t="e">
        <f t="shared" si="0"/>
        <v>#N/A</v>
      </c>
      <c r="D44" s="18" t="e">
        <f t="shared" si="1"/>
        <v>#N/A</v>
      </c>
      <c r="E44" s="18" t="e">
        <f t="shared" si="2"/>
        <v>#N/A</v>
      </c>
    </row>
    <row r="45" spans="1:5" x14ac:dyDescent="0.4">
      <c r="A45" s="18">
        <v>33</v>
      </c>
      <c r="B45" s="286"/>
      <c r="C45" s="18" t="e">
        <f t="shared" si="0"/>
        <v>#N/A</v>
      </c>
      <c r="D45" s="18" t="e">
        <f t="shared" si="1"/>
        <v>#N/A</v>
      </c>
      <c r="E45" s="18" t="e">
        <f t="shared" si="2"/>
        <v>#N/A</v>
      </c>
    </row>
    <row r="46" spans="1:5" x14ac:dyDescent="0.4">
      <c r="A46" s="18">
        <v>34</v>
      </c>
      <c r="B46" s="286"/>
      <c r="C46" s="18" t="e">
        <f t="shared" si="0"/>
        <v>#N/A</v>
      </c>
      <c r="D46" s="18" t="e">
        <f t="shared" si="1"/>
        <v>#N/A</v>
      </c>
      <c r="E46" s="18" t="e">
        <f t="shared" si="2"/>
        <v>#N/A</v>
      </c>
    </row>
    <row r="47" spans="1:5" x14ac:dyDescent="0.4">
      <c r="A47" s="18">
        <v>35</v>
      </c>
      <c r="B47" s="286"/>
      <c r="C47" s="18" t="e">
        <f t="shared" si="0"/>
        <v>#N/A</v>
      </c>
      <c r="D47" s="18" t="e">
        <f t="shared" si="1"/>
        <v>#N/A</v>
      </c>
      <c r="E47" s="18" t="e">
        <f t="shared" si="2"/>
        <v>#N/A</v>
      </c>
    </row>
    <row r="48" spans="1:5" x14ac:dyDescent="0.4">
      <c r="A48" s="18">
        <v>36</v>
      </c>
      <c r="B48" s="286"/>
      <c r="C48" s="18" t="e">
        <f t="shared" si="0"/>
        <v>#N/A</v>
      </c>
      <c r="D48" s="18" t="e">
        <f t="shared" si="1"/>
        <v>#N/A</v>
      </c>
      <c r="E48" s="18" t="e">
        <f t="shared" si="2"/>
        <v>#N/A</v>
      </c>
    </row>
    <row r="49" spans="1:8" x14ac:dyDescent="0.4">
      <c r="A49" s="18">
        <v>37</v>
      </c>
      <c r="B49" s="286"/>
      <c r="C49" s="18" t="e">
        <f t="shared" si="0"/>
        <v>#N/A</v>
      </c>
      <c r="D49" s="18" t="e">
        <f t="shared" si="1"/>
        <v>#N/A</v>
      </c>
      <c r="E49" s="18" t="e">
        <f t="shared" si="2"/>
        <v>#N/A</v>
      </c>
    </row>
    <row r="50" spans="1:8" x14ac:dyDescent="0.4">
      <c r="A50" s="18">
        <v>38</v>
      </c>
      <c r="B50" s="286"/>
      <c r="C50" s="18" t="e">
        <f t="shared" si="0"/>
        <v>#N/A</v>
      </c>
      <c r="D50" s="18" t="e">
        <f t="shared" si="1"/>
        <v>#N/A</v>
      </c>
      <c r="E50" s="18" t="e">
        <f t="shared" si="2"/>
        <v>#N/A</v>
      </c>
    </row>
    <row r="51" spans="1:8" x14ac:dyDescent="0.4">
      <c r="A51" s="18">
        <v>39</v>
      </c>
      <c r="B51" s="286"/>
      <c r="C51" s="18" t="e">
        <f t="shared" si="0"/>
        <v>#N/A</v>
      </c>
      <c r="D51" s="18" t="e">
        <f t="shared" si="1"/>
        <v>#N/A</v>
      </c>
      <c r="E51" s="18" t="e">
        <f t="shared" si="2"/>
        <v>#N/A</v>
      </c>
    </row>
    <row r="52" spans="1:8" x14ac:dyDescent="0.4">
      <c r="A52" s="18">
        <v>40</v>
      </c>
      <c r="B52" s="286"/>
      <c r="C52" s="18" t="e">
        <f t="shared" si="0"/>
        <v>#N/A</v>
      </c>
      <c r="D52" s="18" t="e">
        <f t="shared" si="1"/>
        <v>#N/A</v>
      </c>
      <c r="E52" s="18" t="e">
        <f t="shared" si="2"/>
        <v>#N/A</v>
      </c>
    </row>
    <row r="53" spans="1:8" x14ac:dyDescent="0.4">
      <c r="A53" s="18">
        <v>41</v>
      </c>
      <c r="B53" s="286"/>
      <c r="C53" s="18" t="e">
        <f t="shared" si="0"/>
        <v>#N/A</v>
      </c>
      <c r="D53" s="18" t="e">
        <f t="shared" si="1"/>
        <v>#N/A</v>
      </c>
      <c r="E53" s="18" t="e">
        <f t="shared" si="2"/>
        <v>#N/A</v>
      </c>
    </row>
    <row r="54" spans="1:8" x14ac:dyDescent="0.4">
      <c r="A54" s="18">
        <v>42</v>
      </c>
      <c r="B54" s="286"/>
      <c r="C54" s="18" t="e">
        <f t="shared" si="0"/>
        <v>#N/A</v>
      </c>
      <c r="D54" s="18" t="e">
        <f t="shared" si="1"/>
        <v>#N/A</v>
      </c>
      <c r="E54" s="18" t="e">
        <f t="shared" si="2"/>
        <v>#N/A</v>
      </c>
    </row>
    <row r="55" spans="1:8" x14ac:dyDescent="0.4">
      <c r="A55" s="18">
        <v>43</v>
      </c>
      <c r="B55" s="286"/>
      <c r="C55" s="18" t="e">
        <f t="shared" si="0"/>
        <v>#N/A</v>
      </c>
      <c r="D55" s="18" t="e">
        <f t="shared" si="1"/>
        <v>#N/A</v>
      </c>
      <c r="E55" s="18" t="e">
        <f t="shared" si="2"/>
        <v>#N/A</v>
      </c>
    </row>
    <row r="56" spans="1:8" x14ac:dyDescent="0.4">
      <c r="A56" s="18">
        <v>44</v>
      </c>
      <c r="B56" s="286"/>
      <c r="C56" s="18" t="e">
        <f t="shared" si="0"/>
        <v>#N/A</v>
      </c>
      <c r="D56" s="18" t="e">
        <f t="shared" si="1"/>
        <v>#N/A</v>
      </c>
      <c r="E56" s="18" t="e">
        <f t="shared" si="2"/>
        <v>#N/A</v>
      </c>
    </row>
    <row r="57" spans="1:8" x14ac:dyDescent="0.4">
      <c r="A57" s="18">
        <v>45</v>
      </c>
      <c r="B57" s="286"/>
      <c r="C57" s="18" t="e">
        <f t="shared" si="0"/>
        <v>#N/A</v>
      </c>
      <c r="D57" s="18" t="e">
        <f t="shared" si="1"/>
        <v>#N/A</v>
      </c>
      <c r="E57" s="18" t="e">
        <f t="shared" si="2"/>
        <v>#N/A</v>
      </c>
    </row>
    <row r="58" spans="1:8" x14ac:dyDescent="0.4">
      <c r="A58" s="18">
        <v>46</v>
      </c>
      <c r="B58" s="286"/>
      <c r="C58" s="18" t="e">
        <f t="shared" si="0"/>
        <v>#N/A</v>
      </c>
      <c r="D58" s="18" t="e">
        <f t="shared" si="1"/>
        <v>#N/A</v>
      </c>
      <c r="E58" s="18" t="e">
        <f t="shared" si="2"/>
        <v>#N/A</v>
      </c>
    </row>
    <row r="59" spans="1:8" x14ac:dyDescent="0.4">
      <c r="A59" s="18">
        <v>47</v>
      </c>
      <c r="B59" s="286"/>
      <c r="C59" s="18" t="e">
        <f t="shared" si="0"/>
        <v>#N/A</v>
      </c>
      <c r="D59" s="18" t="e">
        <f t="shared" si="1"/>
        <v>#N/A</v>
      </c>
      <c r="E59" s="18" t="e">
        <f t="shared" si="2"/>
        <v>#N/A</v>
      </c>
    </row>
    <row r="60" spans="1:8" x14ac:dyDescent="0.4">
      <c r="A60" s="18">
        <v>48</v>
      </c>
      <c r="B60" s="286"/>
      <c r="C60" s="18" t="e">
        <f t="shared" si="0"/>
        <v>#N/A</v>
      </c>
      <c r="D60" s="18" t="e">
        <f t="shared" si="1"/>
        <v>#N/A</v>
      </c>
      <c r="E60" s="18" t="e">
        <f t="shared" si="2"/>
        <v>#N/A</v>
      </c>
      <c r="G60" s="164"/>
      <c r="H60" s="164"/>
    </row>
    <row r="61" spans="1:8" x14ac:dyDescent="0.4">
      <c r="A61" s="18">
        <v>49</v>
      </c>
      <c r="B61" s="286"/>
      <c r="C61" s="18" t="e">
        <f t="shared" si="0"/>
        <v>#N/A</v>
      </c>
      <c r="D61" s="18" t="e">
        <f t="shared" si="1"/>
        <v>#N/A</v>
      </c>
      <c r="E61" s="18" t="e">
        <f t="shared" si="2"/>
        <v>#N/A</v>
      </c>
      <c r="G61" s="164"/>
      <c r="H61" s="164"/>
    </row>
    <row r="62" spans="1:8" ht="12.6" thickBot="1" x14ac:dyDescent="0.45">
      <c r="A62" s="18">
        <v>50</v>
      </c>
      <c r="B62" s="296"/>
      <c r="C62" s="18" t="e">
        <f t="shared" si="0"/>
        <v>#N/A</v>
      </c>
      <c r="D62" s="18" t="e">
        <f t="shared" si="1"/>
        <v>#N/A</v>
      </c>
      <c r="E62" s="18" t="e">
        <f t="shared" si="2"/>
        <v>#N/A</v>
      </c>
      <c r="G62" s="44"/>
      <c r="H62" s="44"/>
    </row>
    <row r="63" spans="1:8" x14ac:dyDescent="0.4">
      <c r="A63" s="44"/>
      <c r="B63" s="44"/>
      <c r="C63" s="44"/>
      <c r="D63" s="44"/>
      <c r="E63" s="44"/>
      <c r="F63" s="44"/>
      <c r="G63" s="44"/>
      <c r="H63" s="44"/>
    </row>
    <row r="64" spans="1:8" x14ac:dyDescent="0.4">
      <c r="A64" s="44"/>
      <c r="B64" s="44"/>
      <c r="C64" s="44"/>
      <c r="D64" s="44"/>
      <c r="E64" s="44"/>
      <c r="F64" s="44"/>
      <c r="G64" s="44"/>
      <c r="H64" s="44"/>
    </row>
    <row r="65" spans="1:8" x14ac:dyDescent="0.4">
      <c r="A65" s="44"/>
      <c r="B65" s="44"/>
      <c r="C65" s="44"/>
      <c r="D65" s="44"/>
      <c r="E65" s="44"/>
      <c r="F65" s="44"/>
      <c r="G65" s="44"/>
      <c r="H65" s="44"/>
    </row>
    <row r="66" spans="1:8" x14ac:dyDescent="0.4">
      <c r="A66" s="44"/>
      <c r="B66" s="44"/>
      <c r="C66" s="44"/>
      <c r="D66" s="44"/>
      <c r="E66" s="44"/>
      <c r="F66" s="44"/>
      <c r="G66" s="44"/>
      <c r="H66" s="44"/>
    </row>
    <row r="67" spans="1:8" x14ac:dyDescent="0.4">
      <c r="A67" s="44"/>
      <c r="B67" s="44"/>
      <c r="C67" s="44"/>
      <c r="D67" s="44"/>
      <c r="E67" s="44"/>
      <c r="F67" s="44"/>
      <c r="G67" s="44"/>
      <c r="H67" s="44"/>
    </row>
    <row r="68" spans="1:8" x14ac:dyDescent="0.4">
      <c r="A68" s="44"/>
      <c r="B68" s="44"/>
      <c r="C68" s="44"/>
      <c r="D68" s="44"/>
      <c r="E68" s="44"/>
      <c r="F68" s="44"/>
      <c r="G68" s="44"/>
      <c r="H68" s="44"/>
    </row>
    <row r="69" spans="1:8" x14ac:dyDescent="0.4">
      <c r="A69" s="44"/>
      <c r="B69" s="44"/>
      <c r="C69" s="44"/>
      <c r="D69" s="44"/>
      <c r="E69" s="44"/>
      <c r="F69" s="44"/>
      <c r="G69" s="44"/>
      <c r="H69" s="44"/>
    </row>
    <row r="70" spans="1:8" x14ac:dyDescent="0.4">
      <c r="A70" s="44"/>
      <c r="B70" s="44"/>
      <c r="C70" s="44"/>
      <c r="D70" s="44"/>
      <c r="E70" s="44"/>
      <c r="F70" s="44"/>
      <c r="G70" s="44"/>
      <c r="H70" s="44"/>
    </row>
  </sheetData>
  <mergeCells count="2">
    <mergeCell ref="C8:D8"/>
    <mergeCell ref="C9:D9"/>
  </mergeCells>
  <dataValidations count="1">
    <dataValidation type="whole" allowBlank="1" showInputMessage="1" showErrorMessage="1" errorTitle="Input Error" error="The cell entry must be a whole number." sqref="B13:B62 IX13:IX62 ST13:ST62 ACP13:ACP62 AML13:AML62 AWH13:AWH62 BGD13:BGD62 BPZ13:BPZ62 BZV13:BZV62 CJR13:CJR62 CTN13:CTN62 DDJ13:DDJ62 DNF13:DNF62 DXB13:DXB62 EGX13:EGX62 EQT13:EQT62 FAP13:FAP62 FKL13:FKL62 FUH13:FUH62 GED13:GED62 GNZ13:GNZ62 GXV13:GXV62 HHR13:HHR62 HRN13:HRN62 IBJ13:IBJ62 ILF13:ILF62 IVB13:IVB62 JEX13:JEX62 JOT13:JOT62 JYP13:JYP62 KIL13:KIL62 KSH13:KSH62 LCD13:LCD62 LLZ13:LLZ62 LVV13:LVV62 MFR13:MFR62 MPN13:MPN62 MZJ13:MZJ62 NJF13:NJF62 NTB13:NTB62 OCX13:OCX62 OMT13:OMT62 OWP13:OWP62 PGL13:PGL62 PQH13:PQH62 QAD13:QAD62 QJZ13:QJZ62 QTV13:QTV62 RDR13:RDR62 RNN13:RNN62 RXJ13:RXJ62 SHF13:SHF62 SRB13:SRB62 TAX13:TAX62 TKT13:TKT62 TUP13:TUP62 UEL13:UEL62 UOH13:UOH62 UYD13:UYD62 VHZ13:VHZ62 VRV13:VRV62 WBR13:WBR62 WLN13:WLN62 WVJ13:WVJ62 B65549:B65598 IX65549:IX65598 ST65549:ST65598 ACP65549:ACP65598 AML65549:AML65598 AWH65549:AWH65598 BGD65549:BGD65598 BPZ65549:BPZ65598 BZV65549:BZV65598 CJR65549:CJR65598 CTN65549:CTN65598 DDJ65549:DDJ65598 DNF65549:DNF65598 DXB65549:DXB65598 EGX65549:EGX65598 EQT65549:EQT65598 FAP65549:FAP65598 FKL65549:FKL65598 FUH65549:FUH65598 GED65549:GED65598 GNZ65549:GNZ65598 GXV65549:GXV65598 HHR65549:HHR65598 HRN65549:HRN65598 IBJ65549:IBJ65598 ILF65549:ILF65598 IVB65549:IVB65598 JEX65549:JEX65598 JOT65549:JOT65598 JYP65549:JYP65598 KIL65549:KIL65598 KSH65549:KSH65598 LCD65549:LCD65598 LLZ65549:LLZ65598 LVV65549:LVV65598 MFR65549:MFR65598 MPN65549:MPN65598 MZJ65549:MZJ65598 NJF65549:NJF65598 NTB65549:NTB65598 OCX65549:OCX65598 OMT65549:OMT65598 OWP65549:OWP65598 PGL65549:PGL65598 PQH65549:PQH65598 QAD65549:QAD65598 QJZ65549:QJZ65598 QTV65549:QTV65598 RDR65549:RDR65598 RNN65549:RNN65598 RXJ65549:RXJ65598 SHF65549:SHF65598 SRB65549:SRB65598 TAX65549:TAX65598 TKT65549:TKT65598 TUP65549:TUP65598 UEL65549:UEL65598 UOH65549:UOH65598 UYD65549:UYD65598 VHZ65549:VHZ65598 VRV65549:VRV65598 WBR65549:WBR65598 WLN65549:WLN65598 WVJ65549:WVJ65598 B131085:B131134 IX131085:IX131134 ST131085:ST131134 ACP131085:ACP131134 AML131085:AML131134 AWH131085:AWH131134 BGD131085:BGD131134 BPZ131085:BPZ131134 BZV131085:BZV131134 CJR131085:CJR131134 CTN131085:CTN131134 DDJ131085:DDJ131134 DNF131085:DNF131134 DXB131085:DXB131134 EGX131085:EGX131134 EQT131085:EQT131134 FAP131085:FAP131134 FKL131085:FKL131134 FUH131085:FUH131134 GED131085:GED131134 GNZ131085:GNZ131134 GXV131085:GXV131134 HHR131085:HHR131134 HRN131085:HRN131134 IBJ131085:IBJ131134 ILF131085:ILF131134 IVB131085:IVB131134 JEX131085:JEX131134 JOT131085:JOT131134 JYP131085:JYP131134 KIL131085:KIL131134 KSH131085:KSH131134 LCD131085:LCD131134 LLZ131085:LLZ131134 LVV131085:LVV131134 MFR131085:MFR131134 MPN131085:MPN131134 MZJ131085:MZJ131134 NJF131085:NJF131134 NTB131085:NTB131134 OCX131085:OCX131134 OMT131085:OMT131134 OWP131085:OWP131134 PGL131085:PGL131134 PQH131085:PQH131134 QAD131085:QAD131134 QJZ131085:QJZ131134 QTV131085:QTV131134 RDR131085:RDR131134 RNN131085:RNN131134 RXJ131085:RXJ131134 SHF131085:SHF131134 SRB131085:SRB131134 TAX131085:TAX131134 TKT131085:TKT131134 TUP131085:TUP131134 UEL131085:UEL131134 UOH131085:UOH131134 UYD131085:UYD131134 VHZ131085:VHZ131134 VRV131085:VRV131134 WBR131085:WBR131134 WLN131085:WLN131134 WVJ131085:WVJ131134 B196621:B196670 IX196621:IX196670 ST196621:ST196670 ACP196621:ACP196670 AML196621:AML196670 AWH196621:AWH196670 BGD196621:BGD196670 BPZ196621:BPZ196670 BZV196621:BZV196670 CJR196621:CJR196670 CTN196621:CTN196670 DDJ196621:DDJ196670 DNF196621:DNF196670 DXB196621:DXB196670 EGX196621:EGX196670 EQT196621:EQT196670 FAP196621:FAP196670 FKL196621:FKL196670 FUH196621:FUH196670 GED196621:GED196670 GNZ196621:GNZ196670 GXV196621:GXV196670 HHR196621:HHR196670 HRN196621:HRN196670 IBJ196621:IBJ196670 ILF196621:ILF196670 IVB196621:IVB196670 JEX196621:JEX196670 JOT196621:JOT196670 JYP196621:JYP196670 KIL196621:KIL196670 KSH196621:KSH196670 LCD196621:LCD196670 LLZ196621:LLZ196670 LVV196621:LVV196670 MFR196621:MFR196670 MPN196621:MPN196670 MZJ196621:MZJ196670 NJF196621:NJF196670 NTB196621:NTB196670 OCX196621:OCX196670 OMT196621:OMT196670 OWP196621:OWP196670 PGL196621:PGL196670 PQH196621:PQH196670 QAD196621:QAD196670 QJZ196621:QJZ196670 QTV196621:QTV196670 RDR196621:RDR196670 RNN196621:RNN196670 RXJ196621:RXJ196670 SHF196621:SHF196670 SRB196621:SRB196670 TAX196621:TAX196670 TKT196621:TKT196670 TUP196621:TUP196670 UEL196621:UEL196670 UOH196621:UOH196670 UYD196621:UYD196670 VHZ196621:VHZ196670 VRV196621:VRV196670 WBR196621:WBR196670 WLN196621:WLN196670 WVJ196621:WVJ196670 B262157:B262206 IX262157:IX262206 ST262157:ST262206 ACP262157:ACP262206 AML262157:AML262206 AWH262157:AWH262206 BGD262157:BGD262206 BPZ262157:BPZ262206 BZV262157:BZV262206 CJR262157:CJR262206 CTN262157:CTN262206 DDJ262157:DDJ262206 DNF262157:DNF262206 DXB262157:DXB262206 EGX262157:EGX262206 EQT262157:EQT262206 FAP262157:FAP262206 FKL262157:FKL262206 FUH262157:FUH262206 GED262157:GED262206 GNZ262157:GNZ262206 GXV262157:GXV262206 HHR262157:HHR262206 HRN262157:HRN262206 IBJ262157:IBJ262206 ILF262157:ILF262206 IVB262157:IVB262206 JEX262157:JEX262206 JOT262157:JOT262206 JYP262157:JYP262206 KIL262157:KIL262206 KSH262157:KSH262206 LCD262157:LCD262206 LLZ262157:LLZ262206 LVV262157:LVV262206 MFR262157:MFR262206 MPN262157:MPN262206 MZJ262157:MZJ262206 NJF262157:NJF262206 NTB262157:NTB262206 OCX262157:OCX262206 OMT262157:OMT262206 OWP262157:OWP262206 PGL262157:PGL262206 PQH262157:PQH262206 QAD262157:QAD262206 QJZ262157:QJZ262206 QTV262157:QTV262206 RDR262157:RDR262206 RNN262157:RNN262206 RXJ262157:RXJ262206 SHF262157:SHF262206 SRB262157:SRB262206 TAX262157:TAX262206 TKT262157:TKT262206 TUP262157:TUP262206 UEL262157:UEL262206 UOH262157:UOH262206 UYD262157:UYD262206 VHZ262157:VHZ262206 VRV262157:VRV262206 WBR262157:WBR262206 WLN262157:WLN262206 WVJ262157:WVJ262206 B327693:B327742 IX327693:IX327742 ST327693:ST327742 ACP327693:ACP327742 AML327693:AML327742 AWH327693:AWH327742 BGD327693:BGD327742 BPZ327693:BPZ327742 BZV327693:BZV327742 CJR327693:CJR327742 CTN327693:CTN327742 DDJ327693:DDJ327742 DNF327693:DNF327742 DXB327693:DXB327742 EGX327693:EGX327742 EQT327693:EQT327742 FAP327693:FAP327742 FKL327693:FKL327742 FUH327693:FUH327742 GED327693:GED327742 GNZ327693:GNZ327742 GXV327693:GXV327742 HHR327693:HHR327742 HRN327693:HRN327742 IBJ327693:IBJ327742 ILF327693:ILF327742 IVB327693:IVB327742 JEX327693:JEX327742 JOT327693:JOT327742 JYP327693:JYP327742 KIL327693:KIL327742 KSH327693:KSH327742 LCD327693:LCD327742 LLZ327693:LLZ327742 LVV327693:LVV327742 MFR327693:MFR327742 MPN327693:MPN327742 MZJ327693:MZJ327742 NJF327693:NJF327742 NTB327693:NTB327742 OCX327693:OCX327742 OMT327693:OMT327742 OWP327693:OWP327742 PGL327693:PGL327742 PQH327693:PQH327742 QAD327693:QAD327742 QJZ327693:QJZ327742 QTV327693:QTV327742 RDR327693:RDR327742 RNN327693:RNN327742 RXJ327693:RXJ327742 SHF327693:SHF327742 SRB327693:SRB327742 TAX327693:TAX327742 TKT327693:TKT327742 TUP327693:TUP327742 UEL327693:UEL327742 UOH327693:UOH327742 UYD327693:UYD327742 VHZ327693:VHZ327742 VRV327693:VRV327742 WBR327693:WBR327742 WLN327693:WLN327742 WVJ327693:WVJ327742 B393229:B393278 IX393229:IX393278 ST393229:ST393278 ACP393229:ACP393278 AML393229:AML393278 AWH393229:AWH393278 BGD393229:BGD393278 BPZ393229:BPZ393278 BZV393229:BZV393278 CJR393229:CJR393278 CTN393229:CTN393278 DDJ393229:DDJ393278 DNF393229:DNF393278 DXB393229:DXB393278 EGX393229:EGX393278 EQT393229:EQT393278 FAP393229:FAP393278 FKL393229:FKL393278 FUH393229:FUH393278 GED393229:GED393278 GNZ393229:GNZ393278 GXV393229:GXV393278 HHR393229:HHR393278 HRN393229:HRN393278 IBJ393229:IBJ393278 ILF393229:ILF393278 IVB393229:IVB393278 JEX393229:JEX393278 JOT393229:JOT393278 JYP393229:JYP393278 KIL393229:KIL393278 KSH393229:KSH393278 LCD393229:LCD393278 LLZ393229:LLZ393278 LVV393229:LVV393278 MFR393229:MFR393278 MPN393229:MPN393278 MZJ393229:MZJ393278 NJF393229:NJF393278 NTB393229:NTB393278 OCX393229:OCX393278 OMT393229:OMT393278 OWP393229:OWP393278 PGL393229:PGL393278 PQH393229:PQH393278 QAD393229:QAD393278 QJZ393229:QJZ393278 QTV393229:QTV393278 RDR393229:RDR393278 RNN393229:RNN393278 RXJ393229:RXJ393278 SHF393229:SHF393278 SRB393229:SRB393278 TAX393229:TAX393278 TKT393229:TKT393278 TUP393229:TUP393278 UEL393229:UEL393278 UOH393229:UOH393278 UYD393229:UYD393278 VHZ393229:VHZ393278 VRV393229:VRV393278 WBR393229:WBR393278 WLN393229:WLN393278 WVJ393229:WVJ393278 B458765:B458814 IX458765:IX458814 ST458765:ST458814 ACP458765:ACP458814 AML458765:AML458814 AWH458765:AWH458814 BGD458765:BGD458814 BPZ458765:BPZ458814 BZV458765:BZV458814 CJR458765:CJR458814 CTN458765:CTN458814 DDJ458765:DDJ458814 DNF458765:DNF458814 DXB458765:DXB458814 EGX458765:EGX458814 EQT458765:EQT458814 FAP458765:FAP458814 FKL458765:FKL458814 FUH458765:FUH458814 GED458765:GED458814 GNZ458765:GNZ458814 GXV458765:GXV458814 HHR458765:HHR458814 HRN458765:HRN458814 IBJ458765:IBJ458814 ILF458765:ILF458814 IVB458765:IVB458814 JEX458765:JEX458814 JOT458765:JOT458814 JYP458765:JYP458814 KIL458765:KIL458814 KSH458765:KSH458814 LCD458765:LCD458814 LLZ458765:LLZ458814 LVV458765:LVV458814 MFR458765:MFR458814 MPN458765:MPN458814 MZJ458765:MZJ458814 NJF458765:NJF458814 NTB458765:NTB458814 OCX458765:OCX458814 OMT458765:OMT458814 OWP458765:OWP458814 PGL458765:PGL458814 PQH458765:PQH458814 QAD458765:QAD458814 QJZ458765:QJZ458814 QTV458765:QTV458814 RDR458765:RDR458814 RNN458765:RNN458814 RXJ458765:RXJ458814 SHF458765:SHF458814 SRB458765:SRB458814 TAX458765:TAX458814 TKT458765:TKT458814 TUP458765:TUP458814 UEL458765:UEL458814 UOH458765:UOH458814 UYD458765:UYD458814 VHZ458765:VHZ458814 VRV458765:VRV458814 WBR458765:WBR458814 WLN458765:WLN458814 WVJ458765:WVJ458814 B524301:B524350 IX524301:IX524350 ST524301:ST524350 ACP524301:ACP524350 AML524301:AML524350 AWH524301:AWH524350 BGD524301:BGD524350 BPZ524301:BPZ524350 BZV524301:BZV524350 CJR524301:CJR524350 CTN524301:CTN524350 DDJ524301:DDJ524350 DNF524301:DNF524350 DXB524301:DXB524350 EGX524301:EGX524350 EQT524301:EQT524350 FAP524301:FAP524350 FKL524301:FKL524350 FUH524301:FUH524350 GED524301:GED524350 GNZ524301:GNZ524350 GXV524301:GXV524350 HHR524301:HHR524350 HRN524301:HRN524350 IBJ524301:IBJ524350 ILF524301:ILF524350 IVB524301:IVB524350 JEX524301:JEX524350 JOT524301:JOT524350 JYP524301:JYP524350 KIL524301:KIL524350 KSH524301:KSH524350 LCD524301:LCD524350 LLZ524301:LLZ524350 LVV524301:LVV524350 MFR524301:MFR524350 MPN524301:MPN524350 MZJ524301:MZJ524350 NJF524301:NJF524350 NTB524301:NTB524350 OCX524301:OCX524350 OMT524301:OMT524350 OWP524301:OWP524350 PGL524301:PGL524350 PQH524301:PQH524350 QAD524301:QAD524350 QJZ524301:QJZ524350 QTV524301:QTV524350 RDR524301:RDR524350 RNN524301:RNN524350 RXJ524301:RXJ524350 SHF524301:SHF524350 SRB524301:SRB524350 TAX524301:TAX524350 TKT524301:TKT524350 TUP524301:TUP524350 UEL524301:UEL524350 UOH524301:UOH524350 UYD524301:UYD524350 VHZ524301:VHZ524350 VRV524301:VRV524350 WBR524301:WBR524350 WLN524301:WLN524350 WVJ524301:WVJ524350 B589837:B589886 IX589837:IX589886 ST589837:ST589886 ACP589837:ACP589886 AML589837:AML589886 AWH589837:AWH589886 BGD589837:BGD589886 BPZ589837:BPZ589886 BZV589837:BZV589886 CJR589837:CJR589886 CTN589837:CTN589886 DDJ589837:DDJ589886 DNF589837:DNF589886 DXB589837:DXB589886 EGX589837:EGX589886 EQT589837:EQT589886 FAP589837:FAP589886 FKL589837:FKL589886 FUH589837:FUH589886 GED589837:GED589886 GNZ589837:GNZ589886 GXV589837:GXV589886 HHR589837:HHR589886 HRN589837:HRN589886 IBJ589837:IBJ589886 ILF589837:ILF589886 IVB589837:IVB589886 JEX589837:JEX589886 JOT589837:JOT589886 JYP589837:JYP589886 KIL589837:KIL589886 KSH589837:KSH589886 LCD589837:LCD589886 LLZ589837:LLZ589886 LVV589837:LVV589886 MFR589837:MFR589886 MPN589837:MPN589886 MZJ589837:MZJ589886 NJF589837:NJF589886 NTB589837:NTB589886 OCX589837:OCX589886 OMT589837:OMT589886 OWP589837:OWP589886 PGL589837:PGL589886 PQH589837:PQH589886 QAD589837:QAD589886 QJZ589837:QJZ589886 QTV589837:QTV589886 RDR589837:RDR589886 RNN589837:RNN589886 RXJ589837:RXJ589886 SHF589837:SHF589886 SRB589837:SRB589886 TAX589837:TAX589886 TKT589837:TKT589886 TUP589837:TUP589886 UEL589837:UEL589886 UOH589837:UOH589886 UYD589837:UYD589886 VHZ589837:VHZ589886 VRV589837:VRV589886 WBR589837:WBR589886 WLN589837:WLN589886 WVJ589837:WVJ589886 B655373:B655422 IX655373:IX655422 ST655373:ST655422 ACP655373:ACP655422 AML655373:AML655422 AWH655373:AWH655422 BGD655373:BGD655422 BPZ655373:BPZ655422 BZV655373:BZV655422 CJR655373:CJR655422 CTN655373:CTN655422 DDJ655373:DDJ655422 DNF655373:DNF655422 DXB655373:DXB655422 EGX655373:EGX655422 EQT655373:EQT655422 FAP655373:FAP655422 FKL655373:FKL655422 FUH655373:FUH655422 GED655373:GED655422 GNZ655373:GNZ655422 GXV655373:GXV655422 HHR655373:HHR655422 HRN655373:HRN655422 IBJ655373:IBJ655422 ILF655373:ILF655422 IVB655373:IVB655422 JEX655373:JEX655422 JOT655373:JOT655422 JYP655373:JYP655422 KIL655373:KIL655422 KSH655373:KSH655422 LCD655373:LCD655422 LLZ655373:LLZ655422 LVV655373:LVV655422 MFR655373:MFR655422 MPN655373:MPN655422 MZJ655373:MZJ655422 NJF655373:NJF655422 NTB655373:NTB655422 OCX655373:OCX655422 OMT655373:OMT655422 OWP655373:OWP655422 PGL655373:PGL655422 PQH655373:PQH655422 QAD655373:QAD655422 QJZ655373:QJZ655422 QTV655373:QTV655422 RDR655373:RDR655422 RNN655373:RNN655422 RXJ655373:RXJ655422 SHF655373:SHF655422 SRB655373:SRB655422 TAX655373:TAX655422 TKT655373:TKT655422 TUP655373:TUP655422 UEL655373:UEL655422 UOH655373:UOH655422 UYD655373:UYD655422 VHZ655373:VHZ655422 VRV655373:VRV655422 WBR655373:WBR655422 WLN655373:WLN655422 WVJ655373:WVJ655422 B720909:B720958 IX720909:IX720958 ST720909:ST720958 ACP720909:ACP720958 AML720909:AML720958 AWH720909:AWH720958 BGD720909:BGD720958 BPZ720909:BPZ720958 BZV720909:BZV720958 CJR720909:CJR720958 CTN720909:CTN720958 DDJ720909:DDJ720958 DNF720909:DNF720958 DXB720909:DXB720958 EGX720909:EGX720958 EQT720909:EQT720958 FAP720909:FAP720958 FKL720909:FKL720958 FUH720909:FUH720958 GED720909:GED720958 GNZ720909:GNZ720958 GXV720909:GXV720958 HHR720909:HHR720958 HRN720909:HRN720958 IBJ720909:IBJ720958 ILF720909:ILF720958 IVB720909:IVB720958 JEX720909:JEX720958 JOT720909:JOT720958 JYP720909:JYP720958 KIL720909:KIL720958 KSH720909:KSH720958 LCD720909:LCD720958 LLZ720909:LLZ720958 LVV720909:LVV720958 MFR720909:MFR720958 MPN720909:MPN720958 MZJ720909:MZJ720958 NJF720909:NJF720958 NTB720909:NTB720958 OCX720909:OCX720958 OMT720909:OMT720958 OWP720909:OWP720958 PGL720909:PGL720958 PQH720909:PQH720958 QAD720909:QAD720958 QJZ720909:QJZ720958 QTV720909:QTV720958 RDR720909:RDR720958 RNN720909:RNN720958 RXJ720909:RXJ720958 SHF720909:SHF720958 SRB720909:SRB720958 TAX720909:TAX720958 TKT720909:TKT720958 TUP720909:TUP720958 UEL720909:UEL720958 UOH720909:UOH720958 UYD720909:UYD720958 VHZ720909:VHZ720958 VRV720909:VRV720958 WBR720909:WBR720958 WLN720909:WLN720958 WVJ720909:WVJ720958 B786445:B786494 IX786445:IX786494 ST786445:ST786494 ACP786445:ACP786494 AML786445:AML786494 AWH786445:AWH786494 BGD786445:BGD786494 BPZ786445:BPZ786494 BZV786445:BZV786494 CJR786445:CJR786494 CTN786445:CTN786494 DDJ786445:DDJ786494 DNF786445:DNF786494 DXB786445:DXB786494 EGX786445:EGX786494 EQT786445:EQT786494 FAP786445:FAP786494 FKL786445:FKL786494 FUH786445:FUH786494 GED786445:GED786494 GNZ786445:GNZ786494 GXV786445:GXV786494 HHR786445:HHR786494 HRN786445:HRN786494 IBJ786445:IBJ786494 ILF786445:ILF786494 IVB786445:IVB786494 JEX786445:JEX786494 JOT786445:JOT786494 JYP786445:JYP786494 KIL786445:KIL786494 KSH786445:KSH786494 LCD786445:LCD786494 LLZ786445:LLZ786494 LVV786445:LVV786494 MFR786445:MFR786494 MPN786445:MPN786494 MZJ786445:MZJ786494 NJF786445:NJF786494 NTB786445:NTB786494 OCX786445:OCX786494 OMT786445:OMT786494 OWP786445:OWP786494 PGL786445:PGL786494 PQH786445:PQH786494 QAD786445:QAD786494 QJZ786445:QJZ786494 QTV786445:QTV786494 RDR786445:RDR786494 RNN786445:RNN786494 RXJ786445:RXJ786494 SHF786445:SHF786494 SRB786445:SRB786494 TAX786445:TAX786494 TKT786445:TKT786494 TUP786445:TUP786494 UEL786445:UEL786494 UOH786445:UOH786494 UYD786445:UYD786494 VHZ786445:VHZ786494 VRV786445:VRV786494 WBR786445:WBR786494 WLN786445:WLN786494 WVJ786445:WVJ786494 B851981:B852030 IX851981:IX852030 ST851981:ST852030 ACP851981:ACP852030 AML851981:AML852030 AWH851981:AWH852030 BGD851981:BGD852030 BPZ851981:BPZ852030 BZV851981:BZV852030 CJR851981:CJR852030 CTN851981:CTN852030 DDJ851981:DDJ852030 DNF851981:DNF852030 DXB851981:DXB852030 EGX851981:EGX852030 EQT851981:EQT852030 FAP851981:FAP852030 FKL851981:FKL852030 FUH851981:FUH852030 GED851981:GED852030 GNZ851981:GNZ852030 GXV851981:GXV852030 HHR851981:HHR852030 HRN851981:HRN852030 IBJ851981:IBJ852030 ILF851981:ILF852030 IVB851981:IVB852030 JEX851981:JEX852030 JOT851981:JOT852030 JYP851981:JYP852030 KIL851981:KIL852030 KSH851981:KSH852030 LCD851981:LCD852030 LLZ851981:LLZ852030 LVV851981:LVV852030 MFR851981:MFR852030 MPN851981:MPN852030 MZJ851981:MZJ852030 NJF851981:NJF852030 NTB851981:NTB852030 OCX851981:OCX852030 OMT851981:OMT852030 OWP851981:OWP852030 PGL851981:PGL852030 PQH851981:PQH852030 QAD851981:QAD852030 QJZ851981:QJZ852030 QTV851981:QTV852030 RDR851981:RDR852030 RNN851981:RNN852030 RXJ851981:RXJ852030 SHF851981:SHF852030 SRB851981:SRB852030 TAX851981:TAX852030 TKT851981:TKT852030 TUP851981:TUP852030 UEL851981:UEL852030 UOH851981:UOH852030 UYD851981:UYD852030 VHZ851981:VHZ852030 VRV851981:VRV852030 WBR851981:WBR852030 WLN851981:WLN852030 WVJ851981:WVJ852030 B917517:B917566 IX917517:IX917566 ST917517:ST917566 ACP917517:ACP917566 AML917517:AML917566 AWH917517:AWH917566 BGD917517:BGD917566 BPZ917517:BPZ917566 BZV917517:BZV917566 CJR917517:CJR917566 CTN917517:CTN917566 DDJ917517:DDJ917566 DNF917517:DNF917566 DXB917517:DXB917566 EGX917517:EGX917566 EQT917517:EQT917566 FAP917517:FAP917566 FKL917517:FKL917566 FUH917517:FUH917566 GED917517:GED917566 GNZ917517:GNZ917566 GXV917517:GXV917566 HHR917517:HHR917566 HRN917517:HRN917566 IBJ917517:IBJ917566 ILF917517:ILF917566 IVB917517:IVB917566 JEX917517:JEX917566 JOT917517:JOT917566 JYP917517:JYP917566 KIL917517:KIL917566 KSH917517:KSH917566 LCD917517:LCD917566 LLZ917517:LLZ917566 LVV917517:LVV917566 MFR917517:MFR917566 MPN917517:MPN917566 MZJ917517:MZJ917566 NJF917517:NJF917566 NTB917517:NTB917566 OCX917517:OCX917566 OMT917517:OMT917566 OWP917517:OWP917566 PGL917517:PGL917566 PQH917517:PQH917566 QAD917517:QAD917566 QJZ917517:QJZ917566 QTV917517:QTV917566 RDR917517:RDR917566 RNN917517:RNN917566 RXJ917517:RXJ917566 SHF917517:SHF917566 SRB917517:SRB917566 TAX917517:TAX917566 TKT917517:TKT917566 TUP917517:TUP917566 UEL917517:UEL917566 UOH917517:UOH917566 UYD917517:UYD917566 VHZ917517:VHZ917566 VRV917517:VRV917566 WBR917517:WBR917566 WLN917517:WLN917566 WVJ917517:WVJ917566 B983053:B983102 IX983053:IX983102 ST983053:ST983102 ACP983053:ACP983102 AML983053:AML983102 AWH983053:AWH983102 BGD983053:BGD983102 BPZ983053:BPZ983102 BZV983053:BZV983102 CJR983053:CJR983102 CTN983053:CTN983102 DDJ983053:DDJ983102 DNF983053:DNF983102 DXB983053:DXB983102 EGX983053:EGX983102 EQT983053:EQT983102 FAP983053:FAP983102 FKL983053:FKL983102 FUH983053:FUH983102 GED983053:GED983102 GNZ983053:GNZ983102 GXV983053:GXV983102 HHR983053:HHR983102 HRN983053:HRN983102 IBJ983053:IBJ983102 ILF983053:ILF983102 IVB983053:IVB983102 JEX983053:JEX983102 JOT983053:JOT983102 JYP983053:JYP983102 KIL983053:KIL983102 KSH983053:KSH983102 LCD983053:LCD983102 LLZ983053:LLZ983102 LVV983053:LVV983102 MFR983053:MFR983102 MPN983053:MPN983102 MZJ983053:MZJ983102 NJF983053:NJF983102 NTB983053:NTB983102 OCX983053:OCX983102 OMT983053:OMT983102 OWP983053:OWP983102 PGL983053:PGL983102 PQH983053:PQH983102 QAD983053:QAD983102 QJZ983053:QJZ983102 QTV983053:QTV983102 RDR983053:RDR983102 RNN983053:RNN983102 RXJ983053:RXJ983102 SHF983053:SHF983102 SRB983053:SRB983102 TAX983053:TAX983102 TKT983053:TKT983102 TUP983053:TUP983102 UEL983053:UEL983102 UOH983053:UOH983102 UYD983053:UYD983102 VHZ983053:VHZ983102 VRV983053:VRV983102 WBR983053:WBR983102 WLN983053:WLN983102 WVJ983053:WVJ983102" xr:uid="{00000000-0002-0000-1100-000000000000}">
      <formula1>0</formula1>
      <formula2>999999</formula2>
    </dataValidation>
  </dataValidations>
  <hyperlinks>
    <hyperlink ref="K1" location="Menu!A1" display="Return to menu" xr:uid="{00000000-0004-0000-1100-000000000000}"/>
  </hyperlinks>
  <pageMargins left="0.75" right="0.75" top="1" bottom="1" header="0.5" footer="0.5"/>
  <pageSetup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P1"/>
  <sheetViews>
    <sheetView workbookViewId="0">
      <selection activeCell="Q2" activeCellId="1" sqref="P1 Q2"/>
    </sheetView>
  </sheetViews>
  <sheetFormatPr defaultColWidth="9.1015625" defaultRowHeight="12.3" x14ac:dyDescent="0.4"/>
  <cols>
    <col min="1" max="15" width="9.1015625" style="18"/>
    <col min="16" max="16" width="36.26171875" style="18" bestFit="1" customWidth="1"/>
    <col min="17" max="16384" width="9.1015625" style="18"/>
  </cols>
  <sheetData>
    <row r="1" spans="16:16" ht="35.700000000000003" x14ac:dyDescent="1.3">
      <c r="P1" s="63" t="s">
        <v>20</v>
      </c>
    </row>
  </sheetData>
  <hyperlinks>
    <hyperlink ref="P1" location="Menu!A1" display="Return to menu" xr:uid="{00000000-0004-0000-1200-000000000000}"/>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N67"/>
  <sheetViews>
    <sheetView zoomScale="90" workbookViewId="0">
      <selection activeCell="N1" sqref="N1"/>
    </sheetView>
  </sheetViews>
  <sheetFormatPr defaultRowHeight="12.3" x14ac:dyDescent="0.4"/>
  <cols>
    <col min="1" max="1" width="8.89453125" style="18" customWidth="1"/>
    <col min="2" max="2" width="6.734375" style="18" customWidth="1"/>
    <col min="3" max="3" width="8" style="18" bestFit="1" customWidth="1"/>
    <col min="4" max="4" width="14.89453125" style="18" bestFit="1" customWidth="1"/>
    <col min="5" max="5" width="9.62890625" style="18" bestFit="1" customWidth="1"/>
    <col min="6" max="6" width="6.734375" style="18" customWidth="1"/>
    <col min="7" max="7" width="6.26171875" style="18" customWidth="1"/>
    <col min="8" max="8" width="7" style="18" customWidth="1"/>
    <col min="9" max="13" width="9.1015625" style="18"/>
    <col min="14" max="14" width="37.62890625" style="18" bestFit="1" customWidth="1"/>
    <col min="15" max="256" width="9.1015625" style="18"/>
    <col min="257" max="257" width="8.89453125" style="18" customWidth="1"/>
    <col min="258" max="258" width="6.734375" style="18" customWidth="1"/>
    <col min="259" max="259" width="8" style="18" bestFit="1" customWidth="1"/>
    <col min="260" max="260" width="14.89453125" style="18" bestFit="1" customWidth="1"/>
    <col min="261" max="261" width="9.62890625" style="18" bestFit="1" customWidth="1"/>
    <col min="262" max="262" width="6.734375" style="18" customWidth="1"/>
    <col min="263" max="263" width="6.26171875" style="18" customWidth="1"/>
    <col min="264" max="264" width="7" style="18" customWidth="1"/>
    <col min="265" max="512" width="9.1015625" style="18"/>
    <col min="513" max="513" width="8.89453125" style="18" customWidth="1"/>
    <col min="514" max="514" width="6.734375" style="18" customWidth="1"/>
    <col min="515" max="515" width="8" style="18" bestFit="1" customWidth="1"/>
    <col min="516" max="516" width="14.89453125" style="18" bestFit="1" customWidth="1"/>
    <col min="517" max="517" width="9.62890625" style="18" bestFit="1" customWidth="1"/>
    <col min="518" max="518" width="6.734375" style="18" customWidth="1"/>
    <col min="519" max="519" width="6.26171875" style="18" customWidth="1"/>
    <col min="520" max="520" width="7" style="18" customWidth="1"/>
    <col min="521" max="768" width="9.1015625" style="18"/>
    <col min="769" max="769" width="8.89453125" style="18" customWidth="1"/>
    <col min="770" max="770" width="6.734375" style="18" customWidth="1"/>
    <col min="771" max="771" width="8" style="18" bestFit="1" customWidth="1"/>
    <col min="772" max="772" width="14.89453125" style="18" bestFit="1" customWidth="1"/>
    <col min="773" max="773" width="9.62890625" style="18" bestFit="1" customWidth="1"/>
    <col min="774" max="774" width="6.734375" style="18" customWidth="1"/>
    <col min="775" max="775" width="6.26171875" style="18" customWidth="1"/>
    <col min="776" max="776" width="7" style="18" customWidth="1"/>
    <col min="777" max="1024" width="9.1015625" style="18"/>
    <col min="1025" max="1025" width="8.89453125" style="18" customWidth="1"/>
    <col min="1026" max="1026" width="6.734375" style="18" customWidth="1"/>
    <col min="1027" max="1027" width="8" style="18" bestFit="1" customWidth="1"/>
    <col min="1028" max="1028" width="14.89453125" style="18" bestFit="1" customWidth="1"/>
    <col min="1029" max="1029" width="9.62890625" style="18" bestFit="1" customWidth="1"/>
    <col min="1030" max="1030" width="6.734375" style="18" customWidth="1"/>
    <col min="1031" max="1031" width="6.26171875" style="18" customWidth="1"/>
    <col min="1032" max="1032" width="7" style="18" customWidth="1"/>
    <col min="1033" max="1280" width="9.1015625" style="18"/>
    <col min="1281" max="1281" width="8.89453125" style="18" customWidth="1"/>
    <col min="1282" max="1282" width="6.734375" style="18" customWidth="1"/>
    <col min="1283" max="1283" width="8" style="18" bestFit="1" customWidth="1"/>
    <col min="1284" max="1284" width="14.89453125" style="18" bestFit="1" customWidth="1"/>
    <col min="1285" max="1285" width="9.62890625" style="18" bestFit="1" customWidth="1"/>
    <col min="1286" max="1286" width="6.734375" style="18" customWidth="1"/>
    <col min="1287" max="1287" width="6.26171875" style="18" customWidth="1"/>
    <col min="1288" max="1288" width="7" style="18" customWidth="1"/>
    <col min="1289" max="1536" width="9.1015625" style="18"/>
    <col min="1537" max="1537" width="8.89453125" style="18" customWidth="1"/>
    <col min="1538" max="1538" width="6.734375" style="18" customWidth="1"/>
    <col min="1539" max="1539" width="8" style="18" bestFit="1" customWidth="1"/>
    <col min="1540" max="1540" width="14.89453125" style="18" bestFit="1" customWidth="1"/>
    <col min="1541" max="1541" width="9.62890625" style="18" bestFit="1" customWidth="1"/>
    <col min="1542" max="1542" width="6.734375" style="18" customWidth="1"/>
    <col min="1543" max="1543" width="6.26171875" style="18" customWidth="1"/>
    <col min="1544" max="1544" width="7" style="18" customWidth="1"/>
    <col min="1545" max="1792" width="9.1015625" style="18"/>
    <col min="1793" max="1793" width="8.89453125" style="18" customWidth="1"/>
    <col min="1794" max="1794" width="6.734375" style="18" customWidth="1"/>
    <col min="1795" max="1795" width="8" style="18" bestFit="1" customWidth="1"/>
    <col min="1796" max="1796" width="14.89453125" style="18" bestFit="1" customWidth="1"/>
    <col min="1797" max="1797" width="9.62890625" style="18" bestFit="1" customWidth="1"/>
    <col min="1798" max="1798" width="6.734375" style="18" customWidth="1"/>
    <col min="1799" max="1799" width="6.26171875" style="18" customWidth="1"/>
    <col min="1800" max="1800" width="7" style="18" customWidth="1"/>
    <col min="1801" max="2048" width="9.1015625" style="18"/>
    <col min="2049" max="2049" width="8.89453125" style="18" customWidth="1"/>
    <col min="2050" max="2050" width="6.734375" style="18" customWidth="1"/>
    <col min="2051" max="2051" width="8" style="18" bestFit="1" customWidth="1"/>
    <col min="2052" max="2052" width="14.89453125" style="18" bestFit="1" customWidth="1"/>
    <col min="2053" max="2053" width="9.62890625" style="18" bestFit="1" customWidth="1"/>
    <col min="2054" max="2054" width="6.734375" style="18" customWidth="1"/>
    <col min="2055" max="2055" width="6.26171875" style="18" customWidth="1"/>
    <col min="2056" max="2056" width="7" style="18" customWidth="1"/>
    <col min="2057" max="2304" width="9.1015625" style="18"/>
    <col min="2305" max="2305" width="8.89453125" style="18" customWidth="1"/>
    <col min="2306" max="2306" width="6.734375" style="18" customWidth="1"/>
    <col min="2307" max="2307" width="8" style="18" bestFit="1" customWidth="1"/>
    <col min="2308" max="2308" width="14.89453125" style="18" bestFit="1" customWidth="1"/>
    <col min="2309" max="2309" width="9.62890625" style="18" bestFit="1" customWidth="1"/>
    <col min="2310" max="2310" width="6.734375" style="18" customWidth="1"/>
    <col min="2311" max="2311" width="6.26171875" style="18" customWidth="1"/>
    <col min="2312" max="2312" width="7" style="18" customWidth="1"/>
    <col min="2313" max="2560" width="9.1015625" style="18"/>
    <col min="2561" max="2561" width="8.89453125" style="18" customWidth="1"/>
    <col min="2562" max="2562" width="6.734375" style="18" customWidth="1"/>
    <col min="2563" max="2563" width="8" style="18" bestFit="1" customWidth="1"/>
    <col min="2564" max="2564" width="14.89453125" style="18" bestFit="1" customWidth="1"/>
    <col min="2565" max="2565" width="9.62890625" style="18" bestFit="1" customWidth="1"/>
    <col min="2566" max="2566" width="6.734375" style="18" customWidth="1"/>
    <col min="2567" max="2567" width="6.26171875" style="18" customWidth="1"/>
    <col min="2568" max="2568" width="7" style="18" customWidth="1"/>
    <col min="2569" max="2816" width="9.1015625" style="18"/>
    <col min="2817" max="2817" width="8.89453125" style="18" customWidth="1"/>
    <col min="2818" max="2818" width="6.734375" style="18" customWidth="1"/>
    <col min="2819" max="2819" width="8" style="18" bestFit="1" customWidth="1"/>
    <col min="2820" max="2820" width="14.89453125" style="18" bestFit="1" customWidth="1"/>
    <col min="2821" max="2821" width="9.62890625" style="18" bestFit="1" customWidth="1"/>
    <col min="2822" max="2822" width="6.734375" style="18" customWidth="1"/>
    <col min="2823" max="2823" width="6.26171875" style="18" customWidth="1"/>
    <col min="2824" max="2824" width="7" style="18" customWidth="1"/>
    <col min="2825" max="3072" width="9.1015625" style="18"/>
    <col min="3073" max="3073" width="8.89453125" style="18" customWidth="1"/>
    <col min="3074" max="3074" width="6.734375" style="18" customWidth="1"/>
    <col min="3075" max="3075" width="8" style="18" bestFit="1" customWidth="1"/>
    <col min="3076" max="3076" width="14.89453125" style="18" bestFit="1" customWidth="1"/>
    <col min="3077" max="3077" width="9.62890625" style="18" bestFit="1" customWidth="1"/>
    <col min="3078" max="3078" width="6.734375" style="18" customWidth="1"/>
    <col min="3079" max="3079" width="6.26171875" style="18" customWidth="1"/>
    <col min="3080" max="3080" width="7" style="18" customWidth="1"/>
    <col min="3081" max="3328" width="9.1015625" style="18"/>
    <col min="3329" max="3329" width="8.89453125" style="18" customWidth="1"/>
    <col min="3330" max="3330" width="6.734375" style="18" customWidth="1"/>
    <col min="3331" max="3331" width="8" style="18" bestFit="1" customWidth="1"/>
    <col min="3332" max="3332" width="14.89453125" style="18" bestFit="1" customWidth="1"/>
    <col min="3333" max="3333" width="9.62890625" style="18" bestFit="1" customWidth="1"/>
    <col min="3334" max="3334" width="6.734375" style="18" customWidth="1"/>
    <col min="3335" max="3335" width="6.26171875" style="18" customWidth="1"/>
    <col min="3336" max="3336" width="7" style="18" customWidth="1"/>
    <col min="3337" max="3584" width="9.1015625" style="18"/>
    <col min="3585" max="3585" width="8.89453125" style="18" customWidth="1"/>
    <col min="3586" max="3586" width="6.734375" style="18" customWidth="1"/>
    <col min="3587" max="3587" width="8" style="18" bestFit="1" customWidth="1"/>
    <col min="3588" max="3588" width="14.89453125" style="18" bestFit="1" customWidth="1"/>
    <col min="3589" max="3589" width="9.62890625" style="18" bestFit="1" customWidth="1"/>
    <col min="3590" max="3590" width="6.734375" style="18" customWidth="1"/>
    <col min="3591" max="3591" width="6.26171875" style="18" customWidth="1"/>
    <col min="3592" max="3592" width="7" style="18" customWidth="1"/>
    <col min="3593" max="3840" width="9.1015625" style="18"/>
    <col min="3841" max="3841" width="8.89453125" style="18" customWidth="1"/>
    <col min="3842" max="3842" width="6.734375" style="18" customWidth="1"/>
    <col min="3843" max="3843" width="8" style="18" bestFit="1" customWidth="1"/>
    <col min="3844" max="3844" width="14.89453125" style="18" bestFit="1" customWidth="1"/>
    <col min="3845" max="3845" width="9.62890625" style="18" bestFit="1" customWidth="1"/>
    <col min="3846" max="3846" width="6.734375" style="18" customWidth="1"/>
    <col min="3847" max="3847" width="6.26171875" style="18" customWidth="1"/>
    <col min="3848" max="3848" width="7" style="18" customWidth="1"/>
    <col min="3849" max="4096" width="9.1015625" style="18"/>
    <col min="4097" max="4097" width="8.89453125" style="18" customWidth="1"/>
    <col min="4098" max="4098" width="6.734375" style="18" customWidth="1"/>
    <col min="4099" max="4099" width="8" style="18" bestFit="1" customWidth="1"/>
    <col min="4100" max="4100" width="14.89453125" style="18" bestFit="1" customWidth="1"/>
    <col min="4101" max="4101" width="9.62890625" style="18" bestFit="1" customWidth="1"/>
    <col min="4102" max="4102" width="6.734375" style="18" customWidth="1"/>
    <col min="4103" max="4103" width="6.26171875" style="18" customWidth="1"/>
    <col min="4104" max="4104" width="7" style="18" customWidth="1"/>
    <col min="4105" max="4352" width="9.1015625" style="18"/>
    <col min="4353" max="4353" width="8.89453125" style="18" customWidth="1"/>
    <col min="4354" max="4354" width="6.734375" style="18" customWidth="1"/>
    <col min="4355" max="4355" width="8" style="18" bestFit="1" customWidth="1"/>
    <col min="4356" max="4356" width="14.89453125" style="18" bestFit="1" customWidth="1"/>
    <col min="4357" max="4357" width="9.62890625" style="18" bestFit="1" customWidth="1"/>
    <col min="4358" max="4358" width="6.734375" style="18" customWidth="1"/>
    <col min="4359" max="4359" width="6.26171875" style="18" customWidth="1"/>
    <col min="4360" max="4360" width="7" style="18" customWidth="1"/>
    <col min="4361" max="4608" width="9.1015625" style="18"/>
    <col min="4609" max="4609" width="8.89453125" style="18" customWidth="1"/>
    <col min="4610" max="4610" width="6.734375" style="18" customWidth="1"/>
    <col min="4611" max="4611" width="8" style="18" bestFit="1" customWidth="1"/>
    <col min="4612" max="4612" width="14.89453125" style="18" bestFit="1" customWidth="1"/>
    <col min="4613" max="4613" width="9.62890625" style="18" bestFit="1" customWidth="1"/>
    <col min="4614" max="4614" width="6.734375" style="18" customWidth="1"/>
    <col min="4615" max="4615" width="6.26171875" style="18" customWidth="1"/>
    <col min="4616" max="4616" width="7" style="18" customWidth="1"/>
    <col min="4617" max="4864" width="9.1015625" style="18"/>
    <col min="4865" max="4865" width="8.89453125" style="18" customWidth="1"/>
    <col min="4866" max="4866" width="6.734375" style="18" customWidth="1"/>
    <col min="4867" max="4867" width="8" style="18" bestFit="1" customWidth="1"/>
    <col min="4868" max="4868" width="14.89453125" style="18" bestFit="1" customWidth="1"/>
    <col min="4869" max="4869" width="9.62890625" style="18" bestFit="1" customWidth="1"/>
    <col min="4870" max="4870" width="6.734375" style="18" customWidth="1"/>
    <col min="4871" max="4871" width="6.26171875" style="18" customWidth="1"/>
    <col min="4872" max="4872" width="7" style="18" customWidth="1"/>
    <col min="4873" max="5120" width="9.1015625" style="18"/>
    <col min="5121" max="5121" width="8.89453125" style="18" customWidth="1"/>
    <col min="5122" max="5122" width="6.734375" style="18" customWidth="1"/>
    <col min="5123" max="5123" width="8" style="18" bestFit="1" customWidth="1"/>
    <col min="5124" max="5124" width="14.89453125" style="18" bestFit="1" customWidth="1"/>
    <col min="5125" max="5125" width="9.62890625" style="18" bestFit="1" customWidth="1"/>
    <col min="5126" max="5126" width="6.734375" style="18" customWidth="1"/>
    <col min="5127" max="5127" width="6.26171875" style="18" customWidth="1"/>
    <col min="5128" max="5128" width="7" style="18" customWidth="1"/>
    <col min="5129" max="5376" width="9.1015625" style="18"/>
    <col min="5377" max="5377" width="8.89453125" style="18" customWidth="1"/>
    <col min="5378" max="5378" width="6.734375" style="18" customWidth="1"/>
    <col min="5379" max="5379" width="8" style="18" bestFit="1" customWidth="1"/>
    <col min="5380" max="5380" width="14.89453125" style="18" bestFit="1" customWidth="1"/>
    <col min="5381" max="5381" width="9.62890625" style="18" bestFit="1" customWidth="1"/>
    <col min="5382" max="5382" width="6.734375" style="18" customWidth="1"/>
    <col min="5383" max="5383" width="6.26171875" style="18" customWidth="1"/>
    <col min="5384" max="5384" width="7" style="18" customWidth="1"/>
    <col min="5385" max="5632" width="9.1015625" style="18"/>
    <col min="5633" max="5633" width="8.89453125" style="18" customWidth="1"/>
    <col min="5634" max="5634" width="6.734375" style="18" customWidth="1"/>
    <col min="5635" max="5635" width="8" style="18" bestFit="1" customWidth="1"/>
    <col min="5636" max="5636" width="14.89453125" style="18" bestFit="1" customWidth="1"/>
    <col min="5637" max="5637" width="9.62890625" style="18" bestFit="1" customWidth="1"/>
    <col min="5638" max="5638" width="6.734375" style="18" customWidth="1"/>
    <col min="5639" max="5639" width="6.26171875" style="18" customWidth="1"/>
    <col min="5640" max="5640" width="7" style="18" customWidth="1"/>
    <col min="5641" max="5888" width="9.1015625" style="18"/>
    <col min="5889" max="5889" width="8.89453125" style="18" customWidth="1"/>
    <col min="5890" max="5890" width="6.734375" style="18" customWidth="1"/>
    <col min="5891" max="5891" width="8" style="18" bestFit="1" customWidth="1"/>
    <col min="5892" max="5892" width="14.89453125" style="18" bestFit="1" customWidth="1"/>
    <col min="5893" max="5893" width="9.62890625" style="18" bestFit="1" customWidth="1"/>
    <col min="5894" max="5894" width="6.734375" style="18" customWidth="1"/>
    <col min="5895" max="5895" width="6.26171875" style="18" customWidth="1"/>
    <col min="5896" max="5896" width="7" style="18" customWidth="1"/>
    <col min="5897" max="6144" width="9.1015625" style="18"/>
    <col min="6145" max="6145" width="8.89453125" style="18" customWidth="1"/>
    <col min="6146" max="6146" width="6.734375" style="18" customWidth="1"/>
    <col min="6147" max="6147" width="8" style="18" bestFit="1" customWidth="1"/>
    <col min="6148" max="6148" width="14.89453125" style="18" bestFit="1" customWidth="1"/>
    <col min="6149" max="6149" width="9.62890625" style="18" bestFit="1" customWidth="1"/>
    <col min="6150" max="6150" width="6.734375" style="18" customWidth="1"/>
    <col min="6151" max="6151" width="6.26171875" style="18" customWidth="1"/>
    <col min="6152" max="6152" width="7" style="18" customWidth="1"/>
    <col min="6153" max="6400" width="9.1015625" style="18"/>
    <col min="6401" max="6401" width="8.89453125" style="18" customWidth="1"/>
    <col min="6402" max="6402" width="6.734375" style="18" customWidth="1"/>
    <col min="6403" max="6403" width="8" style="18" bestFit="1" customWidth="1"/>
    <col min="6404" max="6404" width="14.89453125" style="18" bestFit="1" customWidth="1"/>
    <col min="6405" max="6405" width="9.62890625" style="18" bestFit="1" customWidth="1"/>
    <col min="6406" max="6406" width="6.734375" style="18" customWidth="1"/>
    <col min="6407" max="6407" width="6.26171875" style="18" customWidth="1"/>
    <col min="6408" max="6408" width="7" style="18" customWidth="1"/>
    <col min="6409" max="6656" width="9.1015625" style="18"/>
    <col min="6657" max="6657" width="8.89453125" style="18" customWidth="1"/>
    <col min="6658" max="6658" width="6.734375" style="18" customWidth="1"/>
    <col min="6659" max="6659" width="8" style="18" bestFit="1" customWidth="1"/>
    <col min="6660" max="6660" width="14.89453125" style="18" bestFit="1" customWidth="1"/>
    <col min="6661" max="6661" width="9.62890625" style="18" bestFit="1" customWidth="1"/>
    <col min="6662" max="6662" width="6.734375" style="18" customWidth="1"/>
    <col min="6663" max="6663" width="6.26171875" style="18" customWidth="1"/>
    <col min="6664" max="6664" width="7" style="18" customWidth="1"/>
    <col min="6665" max="6912" width="9.1015625" style="18"/>
    <col min="6913" max="6913" width="8.89453125" style="18" customWidth="1"/>
    <col min="6914" max="6914" width="6.734375" style="18" customWidth="1"/>
    <col min="6915" max="6915" width="8" style="18" bestFit="1" customWidth="1"/>
    <col min="6916" max="6916" width="14.89453125" style="18" bestFit="1" customWidth="1"/>
    <col min="6917" max="6917" width="9.62890625" style="18" bestFit="1" customWidth="1"/>
    <col min="6918" max="6918" width="6.734375" style="18" customWidth="1"/>
    <col min="6919" max="6919" width="6.26171875" style="18" customWidth="1"/>
    <col min="6920" max="6920" width="7" style="18" customWidth="1"/>
    <col min="6921" max="7168" width="9.1015625" style="18"/>
    <col min="7169" max="7169" width="8.89453125" style="18" customWidth="1"/>
    <col min="7170" max="7170" width="6.734375" style="18" customWidth="1"/>
    <col min="7171" max="7171" width="8" style="18" bestFit="1" customWidth="1"/>
    <col min="7172" max="7172" width="14.89453125" style="18" bestFit="1" customWidth="1"/>
    <col min="7173" max="7173" width="9.62890625" style="18" bestFit="1" customWidth="1"/>
    <col min="7174" max="7174" width="6.734375" style="18" customWidth="1"/>
    <col min="7175" max="7175" width="6.26171875" style="18" customWidth="1"/>
    <col min="7176" max="7176" width="7" style="18" customWidth="1"/>
    <col min="7177" max="7424" width="9.1015625" style="18"/>
    <col min="7425" max="7425" width="8.89453125" style="18" customWidth="1"/>
    <col min="7426" max="7426" width="6.734375" style="18" customWidth="1"/>
    <col min="7427" max="7427" width="8" style="18" bestFit="1" customWidth="1"/>
    <col min="7428" max="7428" width="14.89453125" style="18" bestFit="1" customWidth="1"/>
    <col min="7429" max="7429" width="9.62890625" style="18" bestFit="1" customWidth="1"/>
    <col min="7430" max="7430" width="6.734375" style="18" customWidth="1"/>
    <col min="7431" max="7431" width="6.26171875" style="18" customWidth="1"/>
    <col min="7432" max="7432" width="7" style="18" customWidth="1"/>
    <col min="7433" max="7680" width="9.1015625" style="18"/>
    <col min="7681" max="7681" width="8.89453125" style="18" customWidth="1"/>
    <col min="7682" max="7682" width="6.734375" style="18" customWidth="1"/>
    <col min="7683" max="7683" width="8" style="18" bestFit="1" customWidth="1"/>
    <col min="7684" max="7684" width="14.89453125" style="18" bestFit="1" customWidth="1"/>
    <col min="7685" max="7685" width="9.62890625" style="18" bestFit="1" customWidth="1"/>
    <col min="7686" max="7686" width="6.734375" style="18" customWidth="1"/>
    <col min="7687" max="7687" width="6.26171875" style="18" customWidth="1"/>
    <col min="7688" max="7688" width="7" style="18" customWidth="1"/>
    <col min="7689" max="7936" width="9.1015625" style="18"/>
    <col min="7937" max="7937" width="8.89453125" style="18" customWidth="1"/>
    <col min="7938" max="7938" width="6.734375" style="18" customWidth="1"/>
    <col min="7939" max="7939" width="8" style="18" bestFit="1" customWidth="1"/>
    <col min="7940" max="7940" width="14.89453125" style="18" bestFit="1" customWidth="1"/>
    <col min="7941" max="7941" width="9.62890625" style="18" bestFit="1" customWidth="1"/>
    <col min="7942" max="7942" width="6.734375" style="18" customWidth="1"/>
    <col min="7943" max="7943" width="6.26171875" style="18" customWidth="1"/>
    <col min="7944" max="7944" width="7" style="18" customWidth="1"/>
    <col min="7945" max="8192" width="9.1015625" style="18"/>
    <col min="8193" max="8193" width="8.89453125" style="18" customWidth="1"/>
    <col min="8194" max="8194" width="6.734375" style="18" customWidth="1"/>
    <col min="8195" max="8195" width="8" style="18" bestFit="1" customWidth="1"/>
    <col min="8196" max="8196" width="14.89453125" style="18" bestFit="1" customWidth="1"/>
    <col min="8197" max="8197" width="9.62890625" style="18" bestFit="1" customWidth="1"/>
    <col min="8198" max="8198" width="6.734375" style="18" customWidth="1"/>
    <col min="8199" max="8199" width="6.26171875" style="18" customWidth="1"/>
    <col min="8200" max="8200" width="7" style="18" customWidth="1"/>
    <col min="8201" max="8448" width="9.1015625" style="18"/>
    <col min="8449" max="8449" width="8.89453125" style="18" customWidth="1"/>
    <col min="8450" max="8450" width="6.734375" style="18" customWidth="1"/>
    <col min="8451" max="8451" width="8" style="18" bestFit="1" customWidth="1"/>
    <col min="8452" max="8452" width="14.89453125" style="18" bestFit="1" customWidth="1"/>
    <col min="8453" max="8453" width="9.62890625" style="18" bestFit="1" customWidth="1"/>
    <col min="8454" max="8454" width="6.734375" style="18" customWidth="1"/>
    <col min="8455" max="8455" width="6.26171875" style="18" customWidth="1"/>
    <col min="8456" max="8456" width="7" style="18" customWidth="1"/>
    <col min="8457" max="8704" width="9.1015625" style="18"/>
    <col min="8705" max="8705" width="8.89453125" style="18" customWidth="1"/>
    <col min="8706" max="8706" width="6.734375" style="18" customWidth="1"/>
    <col min="8707" max="8707" width="8" style="18" bestFit="1" customWidth="1"/>
    <col min="8708" max="8708" width="14.89453125" style="18" bestFit="1" customWidth="1"/>
    <col min="8709" max="8709" width="9.62890625" style="18" bestFit="1" customWidth="1"/>
    <col min="8710" max="8710" width="6.734375" style="18" customWidth="1"/>
    <col min="8711" max="8711" width="6.26171875" style="18" customWidth="1"/>
    <col min="8712" max="8712" width="7" style="18" customWidth="1"/>
    <col min="8713" max="8960" width="9.1015625" style="18"/>
    <col min="8961" max="8961" width="8.89453125" style="18" customWidth="1"/>
    <col min="8962" max="8962" width="6.734375" style="18" customWidth="1"/>
    <col min="8963" max="8963" width="8" style="18" bestFit="1" customWidth="1"/>
    <col min="8964" max="8964" width="14.89453125" style="18" bestFit="1" customWidth="1"/>
    <col min="8965" max="8965" width="9.62890625" style="18" bestFit="1" customWidth="1"/>
    <col min="8966" max="8966" width="6.734375" style="18" customWidth="1"/>
    <col min="8967" max="8967" width="6.26171875" style="18" customWidth="1"/>
    <col min="8968" max="8968" width="7" style="18" customWidth="1"/>
    <col min="8969" max="9216" width="9.1015625" style="18"/>
    <col min="9217" max="9217" width="8.89453125" style="18" customWidth="1"/>
    <col min="9218" max="9218" width="6.734375" style="18" customWidth="1"/>
    <col min="9219" max="9219" width="8" style="18" bestFit="1" customWidth="1"/>
    <col min="9220" max="9220" width="14.89453125" style="18" bestFit="1" customWidth="1"/>
    <col min="9221" max="9221" width="9.62890625" style="18" bestFit="1" customWidth="1"/>
    <col min="9222" max="9222" width="6.734375" style="18" customWidth="1"/>
    <col min="9223" max="9223" width="6.26171875" style="18" customWidth="1"/>
    <col min="9224" max="9224" width="7" style="18" customWidth="1"/>
    <col min="9225" max="9472" width="9.1015625" style="18"/>
    <col min="9473" max="9473" width="8.89453125" style="18" customWidth="1"/>
    <col min="9474" max="9474" width="6.734375" style="18" customWidth="1"/>
    <col min="9475" max="9475" width="8" style="18" bestFit="1" customWidth="1"/>
    <col min="9476" max="9476" width="14.89453125" style="18" bestFit="1" customWidth="1"/>
    <col min="9477" max="9477" width="9.62890625" style="18" bestFit="1" customWidth="1"/>
    <col min="9478" max="9478" width="6.734375" style="18" customWidth="1"/>
    <col min="9479" max="9479" width="6.26171875" style="18" customWidth="1"/>
    <col min="9480" max="9480" width="7" style="18" customWidth="1"/>
    <col min="9481" max="9728" width="9.1015625" style="18"/>
    <col min="9729" max="9729" width="8.89453125" style="18" customWidth="1"/>
    <col min="9730" max="9730" width="6.734375" style="18" customWidth="1"/>
    <col min="9731" max="9731" width="8" style="18" bestFit="1" customWidth="1"/>
    <col min="9732" max="9732" width="14.89453125" style="18" bestFit="1" customWidth="1"/>
    <col min="9733" max="9733" width="9.62890625" style="18" bestFit="1" customWidth="1"/>
    <col min="9734" max="9734" width="6.734375" style="18" customWidth="1"/>
    <col min="9735" max="9735" width="6.26171875" style="18" customWidth="1"/>
    <col min="9736" max="9736" width="7" style="18" customWidth="1"/>
    <col min="9737" max="9984" width="9.1015625" style="18"/>
    <col min="9985" max="9985" width="8.89453125" style="18" customWidth="1"/>
    <col min="9986" max="9986" width="6.734375" style="18" customWidth="1"/>
    <col min="9987" max="9987" width="8" style="18" bestFit="1" customWidth="1"/>
    <col min="9988" max="9988" width="14.89453125" style="18" bestFit="1" customWidth="1"/>
    <col min="9989" max="9989" width="9.62890625" style="18" bestFit="1" customWidth="1"/>
    <col min="9990" max="9990" width="6.734375" style="18" customWidth="1"/>
    <col min="9991" max="9991" width="6.26171875" style="18" customWidth="1"/>
    <col min="9992" max="9992" width="7" style="18" customWidth="1"/>
    <col min="9993" max="10240" width="9.1015625" style="18"/>
    <col min="10241" max="10241" width="8.89453125" style="18" customWidth="1"/>
    <col min="10242" max="10242" width="6.734375" style="18" customWidth="1"/>
    <col min="10243" max="10243" width="8" style="18" bestFit="1" customWidth="1"/>
    <col min="10244" max="10244" width="14.89453125" style="18" bestFit="1" customWidth="1"/>
    <col min="10245" max="10245" width="9.62890625" style="18" bestFit="1" customWidth="1"/>
    <col min="10246" max="10246" width="6.734375" style="18" customWidth="1"/>
    <col min="10247" max="10247" width="6.26171875" style="18" customWidth="1"/>
    <col min="10248" max="10248" width="7" style="18" customWidth="1"/>
    <col min="10249" max="10496" width="9.1015625" style="18"/>
    <col min="10497" max="10497" width="8.89453125" style="18" customWidth="1"/>
    <col min="10498" max="10498" width="6.734375" style="18" customWidth="1"/>
    <col min="10499" max="10499" width="8" style="18" bestFit="1" customWidth="1"/>
    <col min="10500" max="10500" width="14.89453125" style="18" bestFit="1" customWidth="1"/>
    <col min="10501" max="10501" width="9.62890625" style="18" bestFit="1" customWidth="1"/>
    <col min="10502" max="10502" width="6.734375" style="18" customWidth="1"/>
    <col min="10503" max="10503" width="6.26171875" style="18" customWidth="1"/>
    <col min="10504" max="10504" width="7" style="18" customWidth="1"/>
    <col min="10505" max="10752" width="9.1015625" style="18"/>
    <col min="10753" max="10753" width="8.89453125" style="18" customWidth="1"/>
    <col min="10754" max="10754" width="6.734375" style="18" customWidth="1"/>
    <col min="10755" max="10755" width="8" style="18" bestFit="1" customWidth="1"/>
    <col min="10756" max="10756" width="14.89453125" style="18" bestFit="1" customWidth="1"/>
    <col min="10757" max="10757" width="9.62890625" style="18" bestFit="1" customWidth="1"/>
    <col min="10758" max="10758" width="6.734375" style="18" customWidth="1"/>
    <col min="10759" max="10759" width="6.26171875" style="18" customWidth="1"/>
    <col min="10760" max="10760" width="7" style="18" customWidth="1"/>
    <col min="10761" max="11008" width="9.1015625" style="18"/>
    <col min="11009" max="11009" width="8.89453125" style="18" customWidth="1"/>
    <col min="11010" max="11010" width="6.734375" style="18" customWidth="1"/>
    <col min="11011" max="11011" width="8" style="18" bestFit="1" customWidth="1"/>
    <col min="11012" max="11012" width="14.89453125" style="18" bestFit="1" customWidth="1"/>
    <col min="11013" max="11013" width="9.62890625" style="18" bestFit="1" customWidth="1"/>
    <col min="11014" max="11014" width="6.734375" style="18" customWidth="1"/>
    <col min="11015" max="11015" width="6.26171875" style="18" customWidth="1"/>
    <col min="11016" max="11016" width="7" style="18" customWidth="1"/>
    <col min="11017" max="11264" width="9.1015625" style="18"/>
    <col min="11265" max="11265" width="8.89453125" style="18" customWidth="1"/>
    <col min="11266" max="11266" width="6.734375" style="18" customWidth="1"/>
    <col min="11267" max="11267" width="8" style="18" bestFit="1" customWidth="1"/>
    <col min="11268" max="11268" width="14.89453125" style="18" bestFit="1" customWidth="1"/>
    <col min="11269" max="11269" width="9.62890625" style="18" bestFit="1" customWidth="1"/>
    <col min="11270" max="11270" width="6.734375" style="18" customWidth="1"/>
    <col min="11271" max="11271" width="6.26171875" style="18" customWidth="1"/>
    <col min="11272" max="11272" width="7" style="18" customWidth="1"/>
    <col min="11273" max="11520" width="9.1015625" style="18"/>
    <col min="11521" max="11521" width="8.89453125" style="18" customWidth="1"/>
    <col min="11522" max="11522" width="6.734375" style="18" customWidth="1"/>
    <col min="11523" max="11523" width="8" style="18" bestFit="1" customWidth="1"/>
    <col min="11524" max="11524" width="14.89453125" style="18" bestFit="1" customWidth="1"/>
    <col min="11525" max="11525" width="9.62890625" style="18" bestFit="1" customWidth="1"/>
    <col min="11526" max="11526" width="6.734375" style="18" customWidth="1"/>
    <col min="11527" max="11527" width="6.26171875" style="18" customWidth="1"/>
    <col min="11528" max="11528" width="7" style="18" customWidth="1"/>
    <col min="11529" max="11776" width="9.1015625" style="18"/>
    <col min="11777" max="11777" width="8.89453125" style="18" customWidth="1"/>
    <col min="11778" max="11778" width="6.734375" style="18" customWidth="1"/>
    <col min="11779" max="11779" width="8" style="18" bestFit="1" customWidth="1"/>
    <col min="11780" max="11780" width="14.89453125" style="18" bestFit="1" customWidth="1"/>
    <col min="11781" max="11781" width="9.62890625" style="18" bestFit="1" customWidth="1"/>
    <col min="11782" max="11782" width="6.734375" style="18" customWidth="1"/>
    <col min="11783" max="11783" width="6.26171875" style="18" customWidth="1"/>
    <col min="11784" max="11784" width="7" style="18" customWidth="1"/>
    <col min="11785" max="12032" width="9.1015625" style="18"/>
    <col min="12033" max="12033" width="8.89453125" style="18" customWidth="1"/>
    <col min="12034" max="12034" width="6.734375" style="18" customWidth="1"/>
    <col min="12035" max="12035" width="8" style="18" bestFit="1" customWidth="1"/>
    <col min="12036" max="12036" width="14.89453125" style="18" bestFit="1" customWidth="1"/>
    <col min="12037" max="12037" width="9.62890625" style="18" bestFit="1" customWidth="1"/>
    <col min="12038" max="12038" width="6.734375" style="18" customWidth="1"/>
    <col min="12039" max="12039" width="6.26171875" style="18" customWidth="1"/>
    <col min="12040" max="12040" width="7" style="18" customWidth="1"/>
    <col min="12041" max="12288" width="9.1015625" style="18"/>
    <col min="12289" max="12289" width="8.89453125" style="18" customWidth="1"/>
    <col min="12290" max="12290" width="6.734375" style="18" customWidth="1"/>
    <col min="12291" max="12291" width="8" style="18" bestFit="1" customWidth="1"/>
    <col min="12292" max="12292" width="14.89453125" style="18" bestFit="1" customWidth="1"/>
    <col min="12293" max="12293" width="9.62890625" style="18" bestFit="1" customWidth="1"/>
    <col min="12294" max="12294" width="6.734375" style="18" customWidth="1"/>
    <col min="12295" max="12295" width="6.26171875" style="18" customWidth="1"/>
    <col min="12296" max="12296" width="7" style="18" customWidth="1"/>
    <col min="12297" max="12544" width="9.1015625" style="18"/>
    <col min="12545" max="12545" width="8.89453125" style="18" customWidth="1"/>
    <col min="12546" max="12546" width="6.734375" style="18" customWidth="1"/>
    <col min="12547" max="12547" width="8" style="18" bestFit="1" customWidth="1"/>
    <col min="12548" max="12548" width="14.89453125" style="18" bestFit="1" customWidth="1"/>
    <col min="12549" max="12549" width="9.62890625" style="18" bestFit="1" customWidth="1"/>
    <col min="12550" max="12550" width="6.734375" style="18" customWidth="1"/>
    <col min="12551" max="12551" width="6.26171875" style="18" customWidth="1"/>
    <col min="12552" max="12552" width="7" style="18" customWidth="1"/>
    <col min="12553" max="12800" width="9.1015625" style="18"/>
    <col min="12801" max="12801" width="8.89453125" style="18" customWidth="1"/>
    <col min="12802" max="12802" width="6.734375" style="18" customWidth="1"/>
    <col min="12803" max="12803" width="8" style="18" bestFit="1" customWidth="1"/>
    <col min="12804" max="12804" width="14.89453125" style="18" bestFit="1" customWidth="1"/>
    <col min="12805" max="12805" width="9.62890625" style="18" bestFit="1" customWidth="1"/>
    <col min="12806" max="12806" width="6.734375" style="18" customWidth="1"/>
    <col min="12807" max="12807" width="6.26171875" style="18" customWidth="1"/>
    <col min="12808" max="12808" width="7" style="18" customWidth="1"/>
    <col min="12809" max="13056" width="9.1015625" style="18"/>
    <col min="13057" max="13057" width="8.89453125" style="18" customWidth="1"/>
    <col min="13058" max="13058" width="6.734375" style="18" customWidth="1"/>
    <col min="13059" max="13059" width="8" style="18" bestFit="1" customWidth="1"/>
    <col min="13060" max="13060" width="14.89453125" style="18" bestFit="1" customWidth="1"/>
    <col min="13061" max="13061" width="9.62890625" style="18" bestFit="1" customWidth="1"/>
    <col min="13062" max="13062" width="6.734375" style="18" customWidth="1"/>
    <col min="13063" max="13063" width="6.26171875" style="18" customWidth="1"/>
    <col min="13064" max="13064" width="7" style="18" customWidth="1"/>
    <col min="13065" max="13312" width="9.1015625" style="18"/>
    <col min="13313" max="13313" width="8.89453125" style="18" customWidth="1"/>
    <col min="13314" max="13314" width="6.734375" style="18" customWidth="1"/>
    <col min="13315" max="13315" width="8" style="18" bestFit="1" customWidth="1"/>
    <col min="13316" max="13316" width="14.89453125" style="18" bestFit="1" customWidth="1"/>
    <col min="13317" max="13317" width="9.62890625" style="18" bestFit="1" customWidth="1"/>
    <col min="13318" max="13318" width="6.734375" style="18" customWidth="1"/>
    <col min="13319" max="13319" width="6.26171875" style="18" customWidth="1"/>
    <col min="13320" max="13320" width="7" style="18" customWidth="1"/>
    <col min="13321" max="13568" width="9.1015625" style="18"/>
    <col min="13569" max="13569" width="8.89453125" style="18" customWidth="1"/>
    <col min="13570" max="13570" width="6.734375" style="18" customWidth="1"/>
    <col min="13571" max="13571" width="8" style="18" bestFit="1" customWidth="1"/>
    <col min="13572" max="13572" width="14.89453125" style="18" bestFit="1" customWidth="1"/>
    <col min="13573" max="13573" width="9.62890625" style="18" bestFit="1" customWidth="1"/>
    <col min="13574" max="13574" width="6.734375" style="18" customWidth="1"/>
    <col min="13575" max="13575" width="6.26171875" style="18" customWidth="1"/>
    <col min="13576" max="13576" width="7" style="18" customWidth="1"/>
    <col min="13577" max="13824" width="9.1015625" style="18"/>
    <col min="13825" max="13825" width="8.89453125" style="18" customWidth="1"/>
    <col min="13826" max="13826" width="6.734375" style="18" customWidth="1"/>
    <col min="13827" max="13827" width="8" style="18" bestFit="1" customWidth="1"/>
    <col min="13828" max="13828" width="14.89453125" style="18" bestFit="1" customWidth="1"/>
    <col min="13829" max="13829" width="9.62890625" style="18" bestFit="1" customWidth="1"/>
    <col min="13830" max="13830" width="6.734375" style="18" customWidth="1"/>
    <col min="13831" max="13831" width="6.26171875" style="18" customWidth="1"/>
    <col min="13832" max="13832" width="7" style="18" customWidth="1"/>
    <col min="13833" max="14080" width="9.1015625" style="18"/>
    <col min="14081" max="14081" width="8.89453125" style="18" customWidth="1"/>
    <col min="14082" max="14082" width="6.734375" style="18" customWidth="1"/>
    <col min="14083" max="14083" width="8" style="18" bestFit="1" customWidth="1"/>
    <col min="14084" max="14084" width="14.89453125" style="18" bestFit="1" customWidth="1"/>
    <col min="14085" max="14085" width="9.62890625" style="18" bestFit="1" customWidth="1"/>
    <col min="14086" max="14086" width="6.734375" style="18" customWidth="1"/>
    <col min="14087" max="14087" width="6.26171875" style="18" customWidth="1"/>
    <col min="14088" max="14088" width="7" style="18" customWidth="1"/>
    <col min="14089" max="14336" width="9.1015625" style="18"/>
    <col min="14337" max="14337" width="8.89453125" style="18" customWidth="1"/>
    <col min="14338" max="14338" width="6.734375" style="18" customWidth="1"/>
    <col min="14339" max="14339" width="8" style="18" bestFit="1" customWidth="1"/>
    <col min="14340" max="14340" width="14.89453125" style="18" bestFit="1" customWidth="1"/>
    <col min="14341" max="14341" width="9.62890625" style="18" bestFit="1" customWidth="1"/>
    <col min="14342" max="14342" width="6.734375" style="18" customWidth="1"/>
    <col min="14343" max="14343" width="6.26171875" style="18" customWidth="1"/>
    <col min="14344" max="14344" width="7" style="18" customWidth="1"/>
    <col min="14345" max="14592" width="9.1015625" style="18"/>
    <col min="14593" max="14593" width="8.89453125" style="18" customWidth="1"/>
    <col min="14594" max="14594" width="6.734375" style="18" customWidth="1"/>
    <col min="14595" max="14595" width="8" style="18" bestFit="1" customWidth="1"/>
    <col min="14596" max="14596" width="14.89453125" style="18" bestFit="1" customWidth="1"/>
    <col min="14597" max="14597" width="9.62890625" style="18" bestFit="1" customWidth="1"/>
    <col min="14598" max="14598" width="6.734375" style="18" customWidth="1"/>
    <col min="14599" max="14599" width="6.26171875" style="18" customWidth="1"/>
    <col min="14600" max="14600" width="7" style="18" customWidth="1"/>
    <col min="14601" max="14848" width="9.1015625" style="18"/>
    <col min="14849" max="14849" width="8.89453125" style="18" customWidth="1"/>
    <col min="14850" max="14850" width="6.734375" style="18" customWidth="1"/>
    <col min="14851" max="14851" width="8" style="18" bestFit="1" customWidth="1"/>
    <col min="14852" max="14852" width="14.89453125" style="18" bestFit="1" customWidth="1"/>
    <col min="14853" max="14853" width="9.62890625" style="18" bestFit="1" customWidth="1"/>
    <col min="14854" max="14854" width="6.734375" style="18" customWidth="1"/>
    <col min="14855" max="14855" width="6.26171875" style="18" customWidth="1"/>
    <col min="14856" max="14856" width="7" style="18" customWidth="1"/>
    <col min="14857" max="15104" width="9.1015625" style="18"/>
    <col min="15105" max="15105" width="8.89453125" style="18" customWidth="1"/>
    <col min="15106" max="15106" width="6.734375" style="18" customWidth="1"/>
    <col min="15107" max="15107" width="8" style="18" bestFit="1" customWidth="1"/>
    <col min="15108" max="15108" width="14.89453125" style="18" bestFit="1" customWidth="1"/>
    <col min="15109" max="15109" width="9.62890625" style="18" bestFit="1" customWidth="1"/>
    <col min="15110" max="15110" width="6.734375" style="18" customWidth="1"/>
    <col min="15111" max="15111" width="6.26171875" style="18" customWidth="1"/>
    <col min="15112" max="15112" width="7" style="18" customWidth="1"/>
    <col min="15113" max="15360" width="9.1015625" style="18"/>
    <col min="15361" max="15361" width="8.89453125" style="18" customWidth="1"/>
    <col min="15362" max="15362" width="6.734375" style="18" customWidth="1"/>
    <col min="15363" max="15363" width="8" style="18" bestFit="1" customWidth="1"/>
    <col min="15364" max="15364" width="14.89453125" style="18" bestFit="1" customWidth="1"/>
    <col min="15365" max="15365" width="9.62890625" style="18" bestFit="1" customWidth="1"/>
    <col min="15366" max="15366" width="6.734375" style="18" customWidth="1"/>
    <col min="15367" max="15367" width="6.26171875" style="18" customWidth="1"/>
    <col min="15368" max="15368" width="7" style="18" customWidth="1"/>
    <col min="15369" max="15616" width="9.1015625" style="18"/>
    <col min="15617" max="15617" width="8.89453125" style="18" customWidth="1"/>
    <col min="15618" max="15618" width="6.734375" style="18" customWidth="1"/>
    <col min="15619" max="15619" width="8" style="18" bestFit="1" customWidth="1"/>
    <col min="15620" max="15620" width="14.89453125" style="18" bestFit="1" customWidth="1"/>
    <col min="15621" max="15621" width="9.62890625" style="18" bestFit="1" customWidth="1"/>
    <col min="15622" max="15622" width="6.734375" style="18" customWidth="1"/>
    <col min="15623" max="15623" width="6.26171875" style="18" customWidth="1"/>
    <col min="15624" max="15624" width="7" style="18" customWidth="1"/>
    <col min="15625" max="15872" width="9.1015625" style="18"/>
    <col min="15873" max="15873" width="8.89453125" style="18" customWidth="1"/>
    <col min="15874" max="15874" width="6.734375" style="18" customWidth="1"/>
    <col min="15875" max="15875" width="8" style="18" bestFit="1" customWidth="1"/>
    <col min="15876" max="15876" width="14.89453125" style="18" bestFit="1" customWidth="1"/>
    <col min="15877" max="15877" width="9.62890625" style="18" bestFit="1" customWidth="1"/>
    <col min="15878" max="15878" width="6.734375" style="18" customWidth="1"/>
    <col min="15879" max="15879" width="6.26171875" style="18" customWidth="1"/>
    <col min="15880" max="15880" width="7" style="18" customWidth="1"/>
    <col min="15881" max="16128" width="9.1015625" style="18"/>
    <col min="16129" max="16129" width="8.89453125" style="18" customWidth="1"/>
    <col min="16130" max="16130" width="6.734375" style="18" customWidth="1"/>
    <col min="16131" max="16131" width="8" style="18" bestFit="1" customWidth="1"/>
    <col min="16132" max="16132" width="14.89453125" style="18" bestFit="1" customWidth="1"/>
    <col min="16133" max="16133" width="9.62890625" style="18" bestFit="1" customWidth="1"/>
    <col min="16134" max="16134" width="6.734375" style="18" customWidth="1"/>
    <col min="16135" max="16135" width="6.26171875" style="18" customWidth="1"/>
    <col min="16136" max="16136" width="7" style="18" customWidth="1"/>
    <col min="16137" max="16384" width="9.1015625" style="18"/>
  </cols>
  <sheetData>
    <row r="1" spans="1:14" ht="35.700000000000003" x14ac:dyDescent="1.3">
      <c r="A1" s="148" t="s">
        <v>212</v>
      </c>
      <c r="N1" s="63" t="s">
        <v>20</v>
      </c>
    </row>
    <row r="2" spans="1:14" ht="12.6" x14ac:dyDescent="0.45">
      <c r="A2" s="280" t="s">
        <v>193</v>
      </c>
    </row>
    <row r="3" spans="1:14" ht="12.6" x14ac:dyDescent="0.45">
      <c r="A3" s="144" t="s">
        <v>194</v>
      </c>
    </row>
    <row r="4" spans="1:14" ht="12.6" thickBot="1" x14ac:dyDescent="0.45"/>
    <row r="5" spans="1:14" ht="15.3" thickBot="1" x14ac:dyDescent="0.55000000000000004">
      <c r="A5" s="297" t="s">
        <v>213</v>
      </c>
      <c r="B5" s="298"/>
      <c r="C5" s="682">
        <f>SUMIF(B10:B59,"&gt;-99999",B10:B59)/SUM(C10:C59)</f>
        <v>0.31428571428571428</v>
      </c>
      <c r="D5" s="683"/>
      <c r="N5" s="142" t="s">
        <v>148</v>
      </c>
    </row>
    <row r="6" spans="1:14" ht="12.6" thickBot="1" x14ac:dyDescent="0.45">
      <c r="A6" s="299" t="s">
        <v>214</v>
      </c>
      <c r="B6" s="300"/>
      <c r="C6" s="684">
        <f>SUM(C10:C59)/COUNTIF(C10:C59,"&gt;0")</f>
        <v>8.75</v>
      </c>
      <c r="D6" s="683"/>
    </row>
    <row r="7" spans="1:14" x14ac:dyDescent="0.4">
      <c r="E7" s="148"/>
      <c r="F7" s="148"/>
      <c r="G7" s="148"/>
      <c r="J7" s="148" t="s">
        <v>215</v>
      </c>
    </row>
    <row r="8" spans="1:14" x14ac:dyDescent="0.4">
      <c r="C8" s="148" t="s">
        <v>198</v>
      </c>
      <c r="D8" s="148" t="s">
        <v>216</v>
      </c>
      <c r="E8" s="148" t="s">
        <v>217</v>
      </c>
      <c r="J8" s="148" t="s">
        <v>218</v>
      </c>
    </row>
    <row r="9" spans="1:14" ht="12.6" thickBot="1" x14ac:dyDescent="0.45">
      <c r="A9" s="148" t="s">
        <v>198</v>
      </c>
      <c r="B9" s="148" t="s">
        <v>185</v>
      </c>
      <c r="C9" s="148" t="s">
        <v>219</v>
      </c>
      <c r="D9" s="148" t="s">
        <v>209</v>
      </c>
      <c r="E9" s="148" t="s">
        <v>220</v>
      </c>
      <c r="F9" s="148" t="s">
        <v>221</v>
      </c>
      <c r="G9" s="148" t="s">
        <v>201</v>
      </c>
      <c r="H9" s="148" t="s">
        <v>222</v>
      </c>
      <c r="J9" s="148" t="s">
        <v>221</v>
      </c>
      <c r="K9" s="148" t="s">
        <v>201</v>
      </c>
      <c r="L9" s="148" t="s">
        <v>222</v>
      </c>
    </row>
    <row r="10" spans="1:14" x14ac:dyDescent="0.4">
      <c r="A10" s="18">
        <v>1</v>
      </c>
      <c r="B10" s="301">
        <v>2</v>
      </c>
      <c r="C10" s="302">
        <v>10</v>
      </c>
      <c r="D10" s="303">
        <f>IF(B10&lt;&gt;"",B10/C10,NA())</f>
        <v>0.2</v>
      </c>
      <c r="E10" s="18">
        <f>IF(B10&lt;&gt;"",SQRT($C$5*(1-$C$5)/C10),NA())</f>
        <v>0.14680265804188719</v>
      </c>
      <c r="F10" s="18">
        <f>IF(B10&lt;&gt;"",MAX(0,$C$5-3*E10),NA())</f>
        <v>0</v>
      </c>
      <c r="G10" s="18">
        <f>IF(B10&lt;&gt;"",$C$5,NA())</f>
        <v>0.31428571428571428</v>
      </c>
      <c r="H10" s="18">
        <f>IF(B10&lt;&gt;"",$C$5+3*E10,NA())</f>
        <v>0.75469368841137585</v>
      </c>
      <c r="J10" s="18">
        <f>IF(B10&lt;&gt;"",MAX(0,$C$5-3*SQRT($C$5*(1-$C$5)/$C$6)),NA())</f>
        <v>0</v>
      </c>
      <c r="K10" s="18">
        <f>IF(B10&lt;&gt;"",$C$5,NA())</f>
        <v>0.31428571428571428</v>
      </c>
      <c r="L10" s="18">
        <f>IF(B10&lt;&gt;"",$C$5+3*SQRT($C$5*(1-$C$5)/$C$6),NA())</f>
        <v>0.78510164273755101</v>
      </c>
    </row>
    <row r="11" spans="1:14" x14ac:dyDescent="0.4">
      <c r="A11" s="18">
        <v>2</v>
      </c>
      <c r="B11" s="304">
        <v>6</v>
      </c>
      <c r="C11" s="305">
        <v>12</v>
      </c>
      <c r="D11" s="303">
        <f t="shared" ref="D11:D59" si="0">IF(B11&lt;&gt;"",B11/C11,NA())</f>
        <v>0.5</v>
      </c>
      <c r="E11" s="18">
        <f t="shared" ref="E11:E59" si="1">IF(B11&lt;&gt;"",SQRT($C$5*(1-$C$5)/C11),NA())</f>
        <v>0.13401187885209798</v>
      </c>
      <c r="F11" s="18">
        <f t="shared" ref="F11:F59" si="2">IF(B11&lt;&gt;"",MAX(0,$C$5-3*E11),NA())</f>
        <v>0</v>
      </c>
      <c r="G11" s="18">
        <f t="shared" ref="G11:G59" si="3">IF(B11&lt;&gt;"",$C$5,NA())</f>
        <v>0.31428571428571428</v>
      </c>
      <c r="H11" s="18">
        <f t="shared" ref="H11:H59" si="4">IF(B11&lt;&gt;"",$C$5+3*E11,NA())</f>
        <v>0.71632135084200821</v>
      </c>
      <c r="J11" s="18">
        <f t="shared" ref="J11:J59" si="5">IF(B11&lt;&gt;"",MAX(0,$C$5-3*SQRT($C$5*(1-$C$5)/$C$6)),NA())</f>
        <v>0</v>
      </c>
      <c r="K11" s="18">
        <f t="shared" ref="K11:K59" si="6">IF(B11&lt;&gt;"",$C$5,NA())</f>
        <v>0.31428571428571428</v>
      </c>
      <c r="L11" s="18">
        <f t="shared" ref="L11:L59" si="7">IF(B11&lt;&gt;"",$C$5+3*SQRT($C$5*(1-$C$5)/$C$6),NA())</f>
        <v>0.78510164273755101</v>
      </c>
    </row>
    <row r="12" spans="1:14" x14ac:dyDescent="0.4">
      <c r="A12" s="18">
        <v>3</v>
      </c>
      <c r="B12" s="304">
        <v>2</v>
      </c>
      <c r="C12" s="305">
        <v>5</v>
      </c>
      <c r="D12" s="303">
        <f t="shared" si="0"/>
        <v>0.4</v>
      </c>
      <c r="E12" s="18">
        <f t="shared" si="1"/>
        <v>0.20761030999525656</v>
      </c>
      <c r="F12" s="18">
        <f t="shared" si="2"/>
        <v>0</v>
      </c>
      <c r="G12" s="18">
        <f t="shared" si="3"/>
        <v>0.31428571428571428</v>
      </c>
      <c r="H12" s="18">
        <f t="shared" si="4"/>
        <v>0.937116644271484</v>
      </c>
      <c r="J12" s="18">
        <f t="shared" si="5"/>
        <v>0</v>
      </c>
      <c r="K12" s="18">
        <f t="shared" si="6"/>
        <v>0.31428571428571428</v>
      </c>
      <c r="L12" s="18">
        <f t="shared" si="7"/>
        <v>0.78510164273755101</v>
      </c>
    </row>
    <row r="13" spans="1:14" x14ac:dyDescent="0.4">
      <c r="A13" s="18">
        <v>4</v>
      </c>
      <c r="B13" s="304">
        <v>1</v>
      </c>
      <c r="C13" s="305">
        <v>8</v>
      </c>
      <c r="D13" s="303">
        <f t="shared" si="0"/>
        <v>0.125</v>
      </c>
      <c r="E13" s="18">
        <f t="shared" si="1"/>
        <v>0.16413036132965797</v>
      </c>
      <c r="F13" s="18">
        <f t="shared" si="2"/>
        <v>0</v>
      </c>
      <c r="G13" s="18">
        <f t="shared" si="3"/>
        <v>0.31428571428571428</v>
      </c>
      <c r="H13" s="18">
        <f t="shared" si="4"/>
        <v>0.80667679827468819</v>
      </c>
      <c r="J13" s="18">
        <f t="shared" si="5"/>
        <v>0</v>
      </c>
      <c r="K13" s="18">
        <f t="shared" si="6"/>
        <v>0.31428571428571428</v>
      </c>
      <c r="L13" s="18">
        <f t="shared" si="7"/>
        <v>0.78510164273755101</v>
      </c>
    </row>
    <row r="14" spans="1:14" x14ac:dyDescent="0.4">
      <c r="A14" s="18">
        <v>5</v>
      </c>
      <c r="B14" s="304"/>
      <c r="C14" s="305"/>
      <c r="D14" s="303" t="e">
        <f t="shared" si="0"/>
        <v>#N/A</v>
      </c>
      <c r="E14" s="18" t="e">
        <f t="shared" si="1"/>
        <v>#N/A</v>
      </c>
      <c r="F14" s="18" t="e">
        <f t="shared" si="2"/>
        <v>#N/A</v>
      </c>
      <c r="G14" s="18" t="e">
        <f t="shared" si="3"/>
        <v>#N/A</v>
      </c>
      <c r="H14" s="18" t="e">
        <f t="shared" si="4"/>
        <v>#N/A</v>
      </c>
      <c r="J14" s="18" t="e">
        <f t="shared" si="5"/>
        <v>#N/A</v>
      </c>
      <c r="K14" s="18" t="e">
        <f t="shared" si="6"/>
        <v>#N/A</v>
      </c>
      <c r="L14" s="18" t="e">
        <f t="shared" si="7"/>
        <v>#N/A</v>
      </c>
    </row>
    <row r="15" spans="1:14" x14ac:dyDescent="0.4">
      <c r="A15" s="18">
        <v>6</v>
      </c>
      <c r="B15" s="304"/>
      <c r="C15" s="305"/>
      <c r="D15" s="303" t="e">
        <f t="shared" si="0"/>
        <v>#N/A</v>
      </c>
      <c r="E15" s="18" t="e">
        <f t="shared" si="1"/>
        <v>#N/A</v>
      </c>
      <c r="F15" s="18" t="e">
        <f t="shared" si="2"/>
        <v>#N/A</v>
      </c>
      <c r="G15" s="18" t="e">
        <f t="shared" si="3"/>
        <v>#N/A</v>
      </c>
      <c r="H15" s="18" t="e">
        <f t="shared" si="4"/>
        <v>#N/A</v>
      </c>
      <c r="J15" s="18" t="e">
        <f t="shared" si="5"/>
        <v>#N/A</v>
      </c>
      <c r="K15" s="18" t="e">
        <f t="shared" si="6"/>
        <v>#N/A</v>
      </c>
      <c r="L15" s="18" t="e">
        <f t="shared" si="7"/>
        <v>#N/A</v>
      </c>
    </row>
    <row r="16" spans="1:14" x14ac:dyDescent="0.4">
      <c r="A16" s="18">
        <v>7</v>
      </c>
      <c r="B16" s="304"/>
      <c r="C16" s="305"/>
      <c r="D16" s="303" t="e">
        <f t="shared" si="0"/>
        <v>#N/A</v>
      </c>
      <c r="E16" s="18" t="e">
        <f t="shared" si="1"/>
        <v>#N/A</v>
      </c>
      <c r="F16" s="18" t="e">
        <f t="shared" si="2"/>
        <v>#N/A</v>
      </c>
      <c r="G16" s="18" t="e">
        <f t="shared" si="3"/>
        <v>#N/A</v>
      </c>
      <c r="H16" s="18" t="e">
        <f t="shared" si="4"/>
        <v>#N/A</v>
      </c>
      <c r="J16" s="18" t="e">
        <f t="shared" si="5"/>
        <v>#N/A</v>
      </c>
      <c r="K16" s="18" t="e">
        <f t="shared" si="6"/>
        <v>#N/A</v>
      </c>
      <c r="L16" s="18" t="e">
        <f t="shared" si="7"/>
        <v>#N/A</v>
      </c>
    </row>
    <row r="17" spans="1:12" x14ac:dyDescent="0.4">
      <c r="A17" s="18">
        <v>8</v>
      </c>
      <c r="B17" s="304"/>
      <c r="C17" s="305"/>
      <c r="D17" s="303" t="e">
        <f t="shared" si="0"/>
        <v>#N/A</v>
      </c>
      <c r="E17" s="18" t="e">
        <f t="shared" si="1"/>
        <v>#N/A</v>
      </c>
      <c r="F17" s="18" t="e">
        <f t="shared" si="2"/>
        <v>#N/A</v>
      </c>
      <c r="G17" s="18" t="e">
        <f t="shared" si="3"/>
        <v>#N/A</v>
      </c>
      <c r="H17" s="18" t="e">
        <f t="shared" si="4"/>
        <v>#N/A</v>
      </c>
      <c r="J17" s="18" t="e">
        <f t="shared" si="5"/>
        <v>#N/A</v>
      </c>
      <c r="K17" s="18" t="e">
        <f t="shared" si="6"/>
        <v>#N/A</v>
      </c>
      <c r="L17" s="18" t="e">
        <f t="shared" si="7"/>
        <v>#N/A</v>
      </c>
    </row>
    <row r="18" spans="1:12" x14ac:dyDescent="0.4">
      <c r="A18" s="18">
        <v>9</v>
      </c>
      <c r="B18" s="304"/>
      <c r="C18" s="305"/>
      <c r="D18" s="303" t="e">
        <f t="shared" si="0"/>
        <v>#N/A</v>
      </c>
      <c r="E18" s="18" t="e">
        <f t="shared" si="1"/>
        <v>#N/A</v>
      </c>
      <c r="F18" s="18" t="e">
        <f t="shared" si="2"/>
        <v>#N/A</v>
      </c>
      <c r="G18" s="18" t="e">
        <f t="shared" si="3"/>
        <v>#N/A</v>
      </c>
      <c r="H18" s="18" t="e">
        <f t="shared" si="4"/>
        <v>#N/A</v>
      </c>
      <c r="J18" s="18" t="e">
        <f t="shared" si="5"/>
        <v>#N/A</v>
      </c>
      <c r="K18" s="18" t="e">
        <f t="shared" si="6"/>
        <v>#N/A</v>
      </c>
      <c r="L18" s="18" t="e">
        <f t="shared" si="7"/>
        <v>#N/A</v>
      </c>
    </row>
    <row r="19" spans="1:12" x14ac:dyDescent="0.4">
      <c r="A19" s="18">
        <v>10</v>
      </c>
      <c r="B19" s="304"/>
      <c r="C19" s="305"/>
      <c r="D19" s="303" t="e">
        <f t="shared" si="0"/>
        <v>#N/A</v>
      </c>
      <c r="E19" s="18" t="e">
        <f t="shared" si="1"/>
        <v>#N/A</v>
      </c>
      <c r="F19" s="18" t="e">
        <f t="shared" si="2"/>
        <v>#N/A</v>
      </c>
      <c r="G19" s="18" t="e">
        <f t="shared" si="3"/>
        <v>#N/A</v>
      </c>
      <c r="H19" s="18" t="e">
        <f t="shared" si="4"/>
        <v>#N/A</v>
      </c>
      <c r="J19" s="18" t="e">
        <f t="shared" si="5"/>
        <v>#N/A</v>
      </c>
      <c r="K19" s="18" t="e">
        <f t="shared" si="6"/>
        <v>#N/A</v>
      </c>
      <c r="L19" s="18" t="e">
        <f t="shared" si="7"/>
        <v>#N/A</v>
      </c>
    </row>
    <row r="20" spans="1:12" x14ac:dyDescent="0.4">
      <c r="A20" s="18">
        <v>11</v>
      </c>
      <c r="B20" s="304"/>
      <c r="C20" s="305"/>
      <c r="D20" s="303" t="e">
        <f t="shared" si="0"/>
        <v>#N/A</v>
      </c>
      <c r="E20" s="18" t="e">
        <f t="shared" si="1"/>
        <v>#N/A</v>
      </c>
      <c r="F20" s="18" t="e">
        <f t="shared" si="2"/>
        <v>#N/A</v>
      </c>
      <c r="G20" s="18" t="e">
        <f t="shared" si="3"/>
        <v>#N/A</v>
      </c>
      <c r="H20" s="18" t="e">
        <f t="shared" si="4"/>
        <v>#N/A</v>
      </c>
      <c r="J20" s="18" t="e">
        <f t="shared" si="5"/>
        <v>#N/A</v>
      </c>
      <c r="K20" s="18" t="e">
        <f t="shared" si="6"/>
        <v>#N/A</v>
      </c>
      <c r="L20" s="18" t="e">
        <f t="shared" si="7"/>
        <v>#N/A</v>
      </c>
    </row>
    <row r="21" spans="1:12" x14ac:dyDescent="0.4">
      <c r="A21" s="18">
        <v>12</v>
      </c>
      <c r="B21" s="304"/>
      <c r="C21" s="305"/>
      <c r="D21" s="303" t="e">
        <f t="shared" si="0"/>
        <v>#N/A</v>
      </c>
      <c r="E21" s="18" t="e">
        <f t="shared" si="1"/>
        <v>#N/A</v>
      </c>
      <c r="F21" s="18" t="e">
        <f t="shared" si="2"/>
        <v>#N/A</v>
      </c>
      <c r="G21" s="18" t="e">
        <f t="shared" si="3"/>
        <v>#N/A</v>
      </c>
      <c r="H21" s="18" t="e">
        <f t="shared" si="4"/>
        <v>#N/A</v>
      </c>
      <c r="J21" s="18" t="e">
        <f t="shared" si="5"/>
        <v>#N/A</v>
      </c>
      <c r="K21" s="18" t="e">
        <f t="shared" si="6"/>
        <v>#N/A</v>
      </c>
      <c r="L21" s="18" t="e">
        <f t="shared" si="7"/>
        <v>#N/A</v>
      </c>
    </row>
    <row r="22" spans="1:12" x14ac:dyDescent="0.4">
      <c r="A22" s="18">
        <v>13</v>
      </c>
      <c r="B22" s="304"/>
      <c r="C22" s="305"/>
      <c r="D22" s="303" t="e">
        <f t="shared" si="0"/>
        <v>#N/A</v>
      </c>
      <c r="E22" s="18" t="e">
        <f t="shared" si="1"/>
        <v>#N/A</v>
      </c>
      <c r="F22" s="18" t="e">
        <f t="shared" si="2"/>
        <v>#N/A</v>
      </c>
      <c r="G22" s="18" t="e">
        <f t="shared" si="3"/>
        <v>#N/A</v>
      </c>
      <c r="H22" s="18" t="e">
        <f t="shared" si="4"/>
        <v>#N/A</v>
      </c>
      <c r="J22" s="18" t="e">
        <f t="shared" si="5"/>
        <v>#N/A</v>
      </c>
      <c r="K22" s="18" t="e">
        <f t="shared" si="6"/>
        <v>#N/A</v>
      </c>
      <c r="L22" s="18" t="e">
        <f t="shared" si="7"/>
        <v>#N/A</v>
      </c>
    </row>
    <row r="23" spans="1:12" x14ac:dyDescent="0.4">
      <c r="A23" s="18">
        <v>14</v>
      </c>
      <c r="B23" s="304"/>
      <c r="C23" s="305"/>
      <c r="D23" s="303" t="e">
        <f t="shared" si="0"/>
        <v>#N/A</v>
      </c>
      <c r="E23" s="18" t="e">
        <f t="shared" si="1"/>
        <v>#N/A</v>
      </c>
      <c r="F23" s="18" t="e">
        <f t="shared" si="2"/>
        <v>#N/A</v>
      </c>
      <c r="G23" s="18" t="e">
        <f t="shared" si="3"/>
        <v>#N/A</v>
      </c>
      <c r="H23" s="18" t="e">
        <f t="shared" si="4"/>
        <v>#N/A</v>
      </c>
      <c r="J23" s="18" t="e">
        <f t="shared" si="5"/>
        <v>#N/A</v>
      </c>
      <c r="K23" s="18" t="e">
        <f t="shared" si="6"/>
        <v>#N/A</v>
      </c>
      <c r="L23" s="18" t="e">
        <f t="shared" si="7"/>
        <v>#N/A</v>
      </c>
    </row>
    <row r="24" spans="1:12" x14ac:dyDescent="0.4">
      <c r="A24" s="18">
        <v>15</v>
      </c>
      <c r="B24" s="304"/>
      <c r="C24" s="305"/>
      <c r="D24" s="303" t="e">
        <f t="shared" si="0"/>
        <v>#N/A</v>
      </c>
      <c r="E24" s="18" t="e">
        <f t="shared" si="1"/>
        <v>#N/A</v>
      </c>
      <c r="F24" s="18" t="e">
        <f t="shared" si="2"/>
        <v>#N/A</v>
      </c>
      <c r="G24" s="18" t="e">
        <f t="shared" si="3"/>
        <v>#N/A</v>
      </c>
      <c r="H24" s="18" t="e">
        <f t="shared" si="4"/>
        <v>#N/A</v>
      </c>
      <c r="J24" s="18" t="e">
        <f t="shared" si="5"/>
        <v>#N/A</v>
      </c>
      <c r="K24" s="18" t="e">
        <f t="shared" si="6"/>
        <v>#N/A</v>
      </c>
      <c r="L24" s="18" t="e">
        <f t="shared" si="7"/>
        <v>#N/A</v>
      </c>
    </row>
    <row r="25" spans="1:12" x14ac:dyDescent="0.4">
      <c r="A25" s="18">
        <v>16</v>
      </c>
      <c r="B25" s="304"/>
      <c r="C25" s="305"/>
      <c r="D25" s="303" t="e">
        <f t="shared" si="0"/>
        <v>#N/A</v>
      </c>
      <c r="E25" s="18" t="e">
        <f t="shared" si="1"/>
        <v>#N/A</v>
      </c>
      <c r="F25" s="18" t="e">
        <f t="shared" si="2"/>
        <v>#N/A</v>
      </c>
      <c r="G25" s="18" t="e">
        <f t="shared" si="3"/>
        <v>#N/A</v>
      </c>
      <c r="H25" s="18" t="e">
        <f t="shared" si="4"/>
        <v>#N/A</v>
      </c>
      <c r="J25" s="18" t="e">
        <f t="shared" si="5"/>
        <v>#N/A</v>
      </c>
      <c r="K25" s="18" t="e">
        <f t="shared" si="6"/>
        <v>#N/A</v>
      </c>
      <c r="L25" s="18" t="e">
        <f t="shared" si="7"/>
        <v>#N/A</v>
      </c>
    </row>
    <row r="26" spans="1:12" x14ac:dyDescent="0.4">
      <c r="A26" s="18">
        <v>17</v>
      </c>
      <c r="B26" s="304"/>
      <c r="C26" s="305"/>
      <c r="D26" s="303" t="e">
        <f t="shared" si="0"/>
        <v>#N/A</v>
      </c>
      <c r="E26" s="18" t="e">
        <f t="shared" si="1"/>
        <v>#N/A</v>
      </c>
      <c r="F26" s="18" t="e">
        <f t="shared" si="2"/>
        <v>#N/A</v>
      </c>
      <c r="G26" s="18" t="e">
        <f t="shared" si="3"/>
        <v>#N/A</v>
      </c>
      <c r="H26" s="18" t="e">
        <f t="shared" si="4"/>
        <v>#N/A</v>
      </c>
      <c r="J26" s="18" t="e">
        <f t="shared" si="5"/>
        <v>#N/A</v>
      </c>
      <c r="K26" s="18" t="e">
        <f t="shared" si="6"/>
        <v>#N/A</v>
      </c>
      <c r="L26" s="18" t="e">
        <f t="shared" si="7"/>
        <v>#N/A</v>
      </c>
    </row>
    <row r="27" spans="1:12" x14ac:dyDescent="0.4">
      <c r="A27" s="18">
        <v>18</v>
      </c>
      <c r="B27" s="304"/>
      <c r="C27" s="305"/>
      <c r="D27" s="303" t="e">
        <f t="shared" si="0"/>
        <v>#N/A</v>
      </c>
      <c r="E27" s="18" t="e">
        <f t="shared" si="1"/>
        <v>#N/A</v>
      </c>
      <c r="F27" s="18" t="e">
        <f t="shared" si="2"/>
        <v>#N/A</v>
      </c>
      <c r="G27" s="18" t="e">
        <f t="shared" si="3"/>
        <v>#N/A</v>
      </c>
      <c r="H27" s="18" t="e">
        <f t="shared" si="4"/>
        <v>#N/A</v>
      </c>
      <c r="J27" s="18" t="e">
        <f t="shared" si="5"/>
        <v>#N/A</v>
      </c>
      <c r="K27" s="18" t="e">
        <f t="shared" si="6"/>
        <v>#N/A</v>
      </c>
      <c r="L27" s="18" t="e">
        <f t="shared" si="7"/>
        <v>#N/A</v>
      </c>
    </row>
    <row r="28" spans="1:12" x14ac:dyDescent="0.4">
      <c r="A28" s="18">
        <v>19</v>
      </c>
      <c r="B28" s="304"/>
      <c r="C28" s="305"/>
      <c r="D28" s="303" t="e">
        <f t="shared" si="0"/>
        <v>#N/A</v>
      </c>
      <c r="E28" s="18" t="e">
        <f t="shared" si="1"/>
        <v>#N/A</v>
      </c>
      <c r="F28" s="18" t="e">
        <f t="shared" si="2"/>
        <v>#N/A</v>
      </c>
      <c r="G28" s="18" t="e">
        <f t="shared" si="3"/>
        <v>#N/A</v>
      </c>
      <c r="H28" s="18" t="e">
        <f t="shared" si="4"/>
        <v>#N/A</v>
      </c>
      <c r="J28" s="18" t="e">
        <f t="shared" si="5"/>
        <v>#N/A</v>
      </c>
      <c r="K28" s="18" t="e">
        <f t="shared" si="6"/>
        <v>#N/A</v>
      </c>
      <c r="L28" s="18" t="e">
        <f t="shared" si="7"/>
        <v>#N/A</v>
      </c>
    </row>
    <row r="29" spans="1:12" x14ac:dyDescent="0.4">
      <c r="A29" s="18">
        <v>20</v>
      </c>
      <c r="B29" s="304"/>
      <c r="C29" s="305"/>
      <c r="D29" s="303" t="e">
        <f t="shared" si="0"/>
        <v>#N/A</v>
      </c>
      <c r="E29" s="18" t="e">
        <f t="shared" si="1"/>
        <v>#N/A</v>
      </c>
      <c r="F29" s="18" t="e">
        <f t="shared" si="2"/>
        <v>#N/A</v>
      </c>
      <c r="G29" s="18" t="e">
        <f t="shared" si="3"/>
        <v>#N/A</v>
      </c>
      <c r="H29" s="18" t="e">
        <f t="shared" si="4"/>
        <v>#N/A</v>
      </c>
      <c r="J29" s="18" t="e">
        <f t="shared" si="5"/>
        <v>#N/A</v>
      </c>
      <c r="K29" s="18" t="e">
        <f t="shared" si="6"/>
        <v>#N/A</v>
      </c>
      <c r="L29" s="18" t="e">
        <f t="shared" si="7"/>
        <v>#N/A</v>
      </c>
    </row>
    <row r="30" spans="1:12" x14ac:dyDescent="0.4">
      <c r="A30" s="18">
        <v>21</v>
      </c>
      <c r="B30" s="304"/>
      <c r="C30" s="305"/>
      <c r="D30" s="303" t="e">
        <f t="shared" si="0"/>
        <v>#N/A</v>
      </c>
      <c r="E30" s="18" t="e">
        <f t="shared" si="1"/>
        <v>#N/A</v>
      </c>
      <c r="F30" s="18" t="e">
        <f t="shared" si="2"/>
        <v>#N/A</v>
      </c>
      <c r="G30" s="18" t="e">
        <f t="shared" si="3"/>
        <v>#N/A</v>
      </c>
      <c r="H30" s="18" t="e">
        <f t="shared" si="4"/>
        <v>#N/A</v>
      </c>
      <c r="J30" s="18" t="e">
        <f t="shared" si="5"/>
        <v>#N/A</v>
      </c>
      <c r="K30" s="18" t="e">
        <f t="shared" si="6"/>
        <v>#N/A</v>
      </c>
      <c r="L30" s="18" t="e">
        <f t="shared" si="7"/>
        <v>#N/A</v>
      </c>
    </row>
    <row r="31" spans="1:12" x14ac:dyDescent="0.4">
      <c r="A31" s="18">
        <v>22</v>
      </c>
      <c r="B31" s="304"/>
      <c r="C31" s="305"/>
      <c r="D31" s="303" t="e">
        <f t="shared" si="0"/>
        <v>#N/A</v>
      </c>
      <c r="E31" s="18" t="e">
        <f t="shared" si="1"/>
        <v>#N/A</v>
      </c>
      <c r="F31" s="18" t="e">
        <f t="shared" si="2"/>
        <v>#N/A</v>
      </c>
      <c r="G31" s="18" t="e">
        <f t="shared" si="3"/>
        <v>#N/A</v>
      </c>
      <c r="H31" s="18" t="e">
        <f t="shared" si="4"/>
        <v>#N/A</v>
      </c>
      <c r="J31" s="18" t="e">
        <f t="shared" si="5"/>
        <v>#N/A</v>
      </c>
      <c r="K31" s="18" t="e">
        <f t="shared" si="6"/>
        <v>#N/A</v>
      </c>
      <c r="L31" s="18" t="e">
        <f t="shared" si="7"/>
        <v>#N/A</v>
      </c>
    </row>
    <row r="32" spans="1:12" x14ac:dyDescent="0.4">
      <c r="A32" s="18">
        <v>23</v>
      </c>
      <c r="B32" s="304"/>
      <c r="C32" s="305"/>
      <c r="D32" s="303" t="e">
        <f t="shared" si="0"/>
        <v>#N/A</v>
      </c>
      <c r="E32" s="18" t="e">
        <f t="shared" si="1"/>
        <v>#N/A</v>
      </c>
      <c r="F32" s="18" t="e">
        <f t="shared" si="2"/>
        <v>#N/A</v>
      </c>
      <c r="G32" s="18" t="e">
        <f t="shared" si="3"/>
        <v>#N/A</v>
      </c>
      <c r="H32" s="18" t="e">
        <f t="shared" si="4"/>
        <v>#N/A</v>
      </c>
      <c r="J32" s="18" t="e">
        <f t="shared" si="5"/>
        <v>#N/A</v>
      </c>
      <c r="K32" s="18" t="e">
        <f t="shared" si="6"/>
        <v>#N/A</v>
      </c>
      <c r="L32" s="18" t="e">
        <f t="shared" si="7"/>
        <v>#N/A</v>
      </c>
    </row>
    <row r="33" spans="1:12" x14ac:dyDescent="0.4">
      <c r="A33" s="18">
        <v>24</v>
      </c>
      <c r="B33" s="304"/>
      <c r="C33" s="305"/>
      <c r="D33" s="303" t="e">
        <f t="shared" si="0"/>
        <v>#N/A</v>
      </c>
      <c r="E33" s="18" t="e">
        <f t="shared" si="1"/>
        <v>#N/A</v>
      </c>
      <c r="F33" s="18" t="e">
        <f t="shared" si="2"/>
        <v>#N/A</v>
      </c>
      <c r="G33" s="18" t="e">
        <f t="shared" si="3"/>
        <v>#N/A</v>
      </c>
      <c r="H33" s="18" t="e">
        <f t="shared" si="4"/>
        <v>#N/A</v>
      </c>
      <c r="J33" s="18" t="e">
        <f t="shared" si="5"/>
        <v>#N/A</v>
      </c>
      <c r="K33" s="18" t="e">
        <f t="shared" si="6"/>
        <v>#N/A</v>
      </c>
      <c r="L33" s="18" t="e">
        <f t="shared" si="7"/>
        <v>#N/A</v>
      </c>
    </row>
    <row r="34" spans="1:12" x14ac:dyDescent="0.4">
      <c r="A34" s="18">
        <v>25</v>
      </c>
      <c r="B34" s="304"/>
      <c r="C34" s="305"/>
      <c r="D34" s="303" t="e">
        <f t="shared" si="0"/>
        <v>#N/A</v>
      </c>
      <c r="E34" s="18" t="e">
        <f t="shared" si="1"/>
        <v>#N/A</v>
      </c>
      <c r="F34" s="18" t="e">
        <f t="shared" si="2"/>
        <v>#N/A</v>
      </c>
      <c r="G34" s="18" t="e">
        <f t="shared" si="3"/>
        <v>#N/A</v>
      </c>
      <c r="H34" s="18" t="e">
        <f t="shared" si="4"/>
        <v>#N/A</v>
      </c>
      <c r="J34" s="18" t="e">
        <f t="shared" si="5"/>
        <v>#N/A</v>
      </c>
      <c r="K34" s="18" t="e">
        <f t="shared" si="6"/>
        <v>#N/A</v>
      </c>
      <c r="L34" s="18" t="e">
        <f t="shared" si="7"/>
        <v>#N/A</v>
      </c>
    </row>
    <row r="35" spans="1:12" x14ac:dyDescent="0.4">
      <c r="A35" s="18">
        <v>26</v>
      </c>
      <c r="B35" s="304"/>
      <c r="C35" s="305"/>
      <c r="D35" s="303" t="e">
        <f t="shared" si="0"/>
        <v>#N/A</v>
      </c>
      <c r="E35" s="18" t="e">
        <f t="shared" si="1"/>
        <v>#N/A</v>
      </c>
      <c r="F35" s="18" t="e">
        <f t="shared" si="2"/>
        <v>#N/A</v>
      </c>
      <c r="G35" s="18" t="e">
        <f t="shared" si="3"/>
        <v>#N/A</v>
      </c>
      <c r="H35" s="18" t="e">
        <f t="shared" si="4"/>
        <v>#N/A</v>
      </c>
      <c r="J35" s="18" t="e">
        <f t="shared" si="5"/>
        <v>#N/A</v>
      </c>
      <c r="K35" s="18" t="e">
        <f t="shared" si="6"/>
        <v>#N/A</v>
      </c>
      <c r="L35" s="18" t="e">
        <f t="shared" si="7"/>
        <v>#N/A</v>
      </c>
    </row>
    <row r="36" spans="1:12" x14ac:dyDescent="0.4">
      <c r="A36" s="18">
        <v>27</v>
      </c>
      <c r="B36" s="304"/>
      <c r="C36" s="305"/>
      <c r="D36" s="303" t="e">
        <f t="shared" si="0"/>
        <v>#N/A</v>
      </c>
      <c r="E36" s="18" t="e">
        <f t="shared" si="1"/>
        <v>#N/A</v>
      </c>
      <c r="F36" s="18" t="e">
        <f t="shared" si="2"/>
        <v>#N/A</v>
      </c>
      <c r="G36" s="18" t="e">
        <f t="shared" si="3"/>
        <v>#N/A</v>
      </c>
      <c r="H36" s="18" t="e">
        <f t="shared" si="4"/>
        <v>#N/A</v>
      </c>
      <c r="J36" s="18" t="e">
        <f t="shared" si="5"/>
        <v>#N/A</v>
      </c>
      <c r="K36" s="18" t="e">
        <f t="shared" si="6"/>
        <v>#N/A</v>
      </c>
      <c r="L36" s="18" t="e">
        <f t="shared" si="7"/>
        <v>#N/A</v>
      </c>
    </row>
    <row r="37" spans="1:12" x14ac:dyDescent="0.4">
      <c r="A37" s="18">
        <v>28</v>
      </c>
      <c r="B37" s="304"/>
      <c r="C37" s="305"/>
      <c r="D37" s="303" t="e">
        <f t="shared" si="0"/>
        <v>#N/A</v>
      </c>
      <c r="E37" s="18" t="e">
        <f t="shared" si="1"/>
        <v>#N/A</v>
      </c>
      <c r="F37" s="18" t="e">
        <f t="shared" si="2"/>
        <v>#N/A</v>
      </c>
      <c r="G37" s="18" t="e">
        <f t="shared" si="3"/>
        <v>#N/A</v>
      </c>
      <c r="H37" s="18" t="e">
        <f t="shared" si="4"/>
        <v>#N/A</v>
      </c>
      <c r="J37" s="18" t="e">
        <f t="shared" si="5"/>
        <v>#N/A</v>
      </c>
      <c r="K37" s="18" t="e">
        <f t="shared" si="6"/>
        <v>#N/A</v>
      </c>
      <c r="L37" s="18" t="e">
        <f t="shared" si="7"/>
        <v>#N/A</v>
      </c>
    </row>
    <row r="38" spans="1:12" x14ac:dyDescent="0.4">
      <c r="A38" s="18">
        <v>29</v>
      </c>
      <c r="B38" s="304"/>
      <c r="C38" s="305"/>
      <c r="D38" s="303" t="e">
        <f t="shared" si="0"/>
        <v>#N/A</v>
      </c>
      <c r="E38" s="18" t="e">
        <f t="shared" si="1"/>
        <v>#N/A</v>
      </c>
      <c r="F38" s="18" t="e">
        <f t="shared" si="2"/>
        <v>#N/A</v>
      </c>
      <c r="G38" s="18" t="e">
        <f t="shared" si="3"/>
        <v>#N/A</v>
      </c>
      <c r="H38" s="18" t="e">
        <f t="shared" si="4"/>
        <v>#N/A</v>
      </c>
      <c r="J38" s="18" t="e">
        <f t="shared" si="5"/>
        <v>#N/A</v>
      </c>
      <c r="K38" s="18" t="e">
        <f t="shared" si="6"/>
        <v>#N/A</v>
      </c>
      <c r="L38" s="18" t="e">
        <f t="shared" si="7"/>
        <v>#N/A</v>
      </c>
    </row>
    <row r="39" spans="1:12" x14ac:dyDescent="0.4">
      <c r="A39" s="18">
        <v>30</v>
      </c>
      <c r="B39" s="304"/>
      <c r="C39" s="305"/>
      <c r="D39" s="303" t="e">
        <f t="shared" si="0"/>
        <v>#N/A</v>
      </c>
      <c r="E39" s="18" t="e">
        <f t="shared" si="1"/>
        <v>#N/A</v>
      </c>
      <c r="F39" s="18" t="e">
        <f t="shared" si="2"/>
        <v>#N/A</v>
      </c>
      <c r="G39" s="18" t="e">
        <f t="shared" si="3"/>
        <v>#N/A</v>
      </c>
      <c r="H39" s="18" t="e">
        <f t="shared" si="4"/>
        <v>#N/A</v>
      </c>
      <c r="J39" s="18" t="e">
        <f t="shared" si="5"/>
        <v>#N/A</v>
      </c>
      <c r="K39" s="18" t="e">
        <f t="shared" si="6"/>
        <v>#N/A</v>
      </c>
      <c r="L39" s="18" t="e">
        <f t="shared" si="7"/>
        <v>#N/A</v>
      </c>
    </row>
    <row r="40" spans="1:12" x14ac:dyDescent="0.4">
      <c r="A40" s="18">
        <v>31</v>
      </c>
      <c r="B40" s="304"/>
      <c r="C40" s="305"/>
      <c r="D40" s="303" t="e">
        <f t="shared" si="0"/>
        <v>#N/A</v>
      </c>
      <c r="E40" s="18" t="e">
        <f t="shared" si="1"/>
        <v>#N/A</v>
      </c>
      <c r="F40" s="18" t="e">
        <f t="shared" si="2"/>
        <v>#N/A</v>
      </c>
      <c r="G40" s="18" t="e">
        <f t="shared" si="3"/>
        <v>#N/A</v>
      </c>
      <c r="H40" s="18" t="e">
        <f t="shared" si="4"/>
        <v>#N/A</v>
      </c>
      <c r="J40" s="18" t="e">
        <f t="shared" si="5"/>
        <v>#N/A</v>
      </c>
      <c r="K40" s="18" t="e">
        <f t="shared" si="6"/>
        <v>#N/A</v>
      </c>
      <c r="L40" s="18" t="e">
        <f t="shared" si="7"/>
        <v>#N/A</v>
      </c>
    </row>
    <row r="41" spans="1:12" x14ac:dyDescent="0.4">
      <c r="A41" s="18">
        <v>32</v>
      </c>
      <c r="B41" s="304"/>
      <c r="C41" s="305"/>
      <c r="D41" s="303" t="e">
        <f t="shared" si="0"/>
        <v>#N/A</v>
      </c>
      <c r="E41" s="18" t="e">
        <f t="shared" si="1"/>
        <v>#N/A</v>
      </c>
      <c r="F41" s="18" t="e">
        <f t="shared" si="2"/>
        <v>#N/A</v>
      </c>
      <c r="G41" s="18" t="e">
        <f t="shared" si="3"/>
        <v>#N/A</v>
      </c>
      <c r="H41" s="18" t="e">
        <f t="shared" si="4"/>
        <v>#N/A</v>
      </c>
      <c r="J41" s="18" t="e">
        <f t="shared" si="5"/>
        <v>#N/A</v>
      </c>
      <c r="K41" s="18" t="e">
        <f t="shared" si="6"/>
        <v>#N/A</v>
      </c>
      <c r="L41" s="18" t="e">
        <f t="shared" si="7"/>
        <v>#N/A</v>
      </c>
    </row>
    <row r="42" spans="1:12" x14ac:dyDescent="0.4">
      <c r="A42" s="18">
        <v>33</v>
      </c>
      <c r="B42" s="304"/>
      <c r="C42" s="305"/>
      <c r="D42" s="303" t="e">
        <f t="shared" si="0"/>
        <v>#N/A</v>
      </c>
      <c r="E42" s="18" t="e">
        <f t="shared" si="1"/>
        <v>#N/A</v>
      </c>
      <c r="F42" s="18" t="e">
        <f t="shared" si="2"/>
        <v>#N/A</v>
      </c>
      <c r="G42" s="18" t="e">
        <f t="shared" si="3"/>
        <v>#N/A</v>
      </c>
      <c r="H42" s="18" t="e">
        <f t="shared" si="4"/>
        <v>#N/A</v>
      </c>
      <c r="J42" s="18" t="e">
        <f t="shared" si="5"/>
        <v>#N/A</v>
      </c>
      <c r="K42" s="18" t="e">
        <f t="shared" si="6"/>
        <v>#N/A</v>
      </c>
      <c r="L42" s="18" t="e">
        <f t="shared" si="7"/>
        <v>#N/A</v>
      </c>
    </row>
    <row r="43" spans="1:12" x14ac:dyDescent="0.4">
      <c r="A43" s="18">
        <v>34</v>
      </c>
      <c r="B43" s="304"/>
      <c r="C43" s="305"/>
      <c r="D43" s="303" t="e">
        <f t="shared" si="0"/>
        <v>#N/A</v>
      </c>
      <c r="E43" s="18" t="e">
        <f t="shared" si="1"/>
        <v>#N/A</v>
      </c>
      <c r="F43" s="18" t="e">
        <f t="shared" si="2"/>
        <v>#N/A</v>
      </c>
      <c r="G43" s="18" t="e">
        <f t="shared" si="3"/>
        <v>#N/A</v>
      </c>
      <c r="H43" s="18" t="e">
        <f t="shared" si="4"/>
        <v>#N/A</v>
      </c>
      <c r="J43" s="18" t="e">
        <f t="shared" si="5"/>
        <v>#N/A</v>
      </c>
      <c r="K43" s="18" t="e">
        <f t="shared" si="6"/>
        <v>#N/A</v>
      </c>
      <c r="L43" s="18" t="e">
        <f t="shared" si="7"/>
        <v>#N/A</v>
      </c>
    </row>
    <row r="44" spans="1:12" x14ac:dyDescent="0.4">
      <c r="A44" s="18">
        <v>35</v>
      </c>
      <c r="B44" s="304"/>
      <c r="C44" s="305"/>
      <c r="D44" s="303" t="e">
        <f t="shared" si="0"/>
        <v>#N/A</v>
      </c>
      <c r="E44" s="18" t="e">
        <f t="shared" si="1"/>
        <v>#N/A</v>
      </c>
      <c r="F44" s="18" t="e">
        <f t="shared" si="2"/>
        <v>#N/A</v>
      </c>
      <c r="G44" s="18" t="e">
        <f t="shared" si="3"/>
        <v>#N/A</v>
      </c>
      <c r="H44" s="18" t="e">
        <f t="shared" si="4"/>
        <v>#N/A</v>
      </c>
      <c r="J44" s="18" t="e">
        <f t="shared" si="5"/>
        <v>#N/A</v>
      </c>
      <c r="K44" s="18" t="e">
        <f t="shared" si="6"/>
        <v>#N/A</v>
      </c>
      <c r="L44" s="18" t="e">
        <f t="shared" si="7"/>
        <v>#N/A</v>
      </c>
    </row>
    <row r="45" spans="1:12" x14ac:dyDescent="0.4">
      <c r="A45" s="18">
        <v>36</v>
      </c>
      <c r="B45" s="304"/>
      <c r="C45" s="305"/>
      <c r="D45" s="303" t="e">
        <f t="shared" si="0"/>
        <v>#N/A</v>
      </c>
      <c r="E45" s="18" t="e">
        <f t="shared" si="1"/>
        <v>#N/A</v>
      </c>
      <c r="F45" s="18" t="e">
        <f t="shared" si="2"/>
        <v>#N/A</v>
      </c>
      <c r="G45" s="18" t="e">
        <f t="shared" si="3"/>
        <v>#N/A</v>
      </c>
      <c r="H45" s="18" t="e">
        <f t="shared" si="4"/>
        <v>#N/A</v>
      </c>
      <c r="J45" s="18" t="e">
        <f t="shared" si="5"/>
        <v>#N/A</v>
      </c>
      <c r="K45" s="18" t="e">
        <f t="shared" si="6"/>
        <v>#N/A</v>
      </c>
      <c r="L45" s="18" t="e">
        <f t="shared" si="7"/>
        <v>#N/A</v>
      </c>
    </row>
    <row r="46" spans="1:12" x14ac:dyDescent="0.4">
      <c r="A46" s="18">
        <v>37</v>
      </c>
      <c r="B46" s="304"/>
      <c r="C46" s="305"/>
      <c r="D46" s="303" t="e">
        <f t="shared" si="0"/>
        <v>#N/A</v>
      </c>
      <c r="E46" s="18" t="e">
        <f t="shared" si="1"/>
        <v>#N/A</v>
      </c>
      <c r="F46" s="18" t="e">
        <f t="shared" si="2"/>
        <v>#N/A</v>
      </c>
      <c r="G46" s="18" t="e">
        <f t="shared" si="3"/>
        <v>#N/A</v>
      </c>
      <c r="H46" s="18" t="e">
        <f t="shared" si="4"/>
        <v>#N/A</v>
      </c>
      <c r="J46" s="18" t="e">
        <f t="shared" si="5"/>
        <v>#N/A</v>
      </c>
      <c r="K46" s="18" t="e">
        <f t="shared" si="6"/>
        <v>#N/A</v>
      </c>
      <c r="L46" s="18" t="e">
        <f t="shared" si="7"/>
        <v>#N/A</v>
      </c>
    </row>
    <row r="47" spans="1:12" x14ac:dyDescent="0.4">
      <c r="A47" s="18">
        <v>38</v>
      </c>
      <c r="B47" s="304"/>
      <c r="C47" s="305"/>
      <c r="D47" s="303" t="e">
        <f t="shared" si="0"/>
        <v>#N/A</v>
      </c>
      <c r="E47" s="18" t="e">
        <f t="shared" si="1"/>
        <v>#N/A</v>
      </c>
      <c r="F47" s="18" t="e">
        <f t="shared" si="2"/>
        <v>#N/A</v>
      </c>
      <c r="G47" s="18" t="e">
        <f t="shared" si="3"/>
        <v>#N/A</v>
      </c>
      <c r="H47" s="18" t="e">
        <f t="shared" si="4"/>
        <v>#N/A</v>
      </c>
      <c r="J47" s="18" t="e">
        <f t="shared" si="5"/>
        <v>#N/A</v>
      </c>
      <c r="K47" s="18" t="e">
        <f t="shared" si="6"/>
        <v>#N/A</v>
      </c>
      <c r="L47" s="18" t="e">
        <f t="shared" si="7"/>
        <v>#N/A</v>
      </c>
    </row>
    <row r="48" spans="1:12" x14ac:dyDescent="0.4">
      <c r="A48" s="18">
        <v>39</v>
      </c>
      <c r="B48" s="304"/>
      <c r="C48" s="305"/>
      <c r="D48" s="303" t="e">
        <f t="shared" si="0"/>
        <v>#N/A</v>
      </c>
      <c r="E48" s="18" t="e">
        <f t="shared" si="1"/>
        <v>#N/A</v>
      </c>
      <c r="F48" s="18" t="e">
        <f t="shared" si="2"/>
        <v>#N/A</v>
      </c>
      <c r="G48" s="18" t="e">
        <f t="shared" si="3"/>
        <v>#N/A</v>
      </c>
      <c r="H48" s="18" t="e">
        <f t="shared" si="4"/>
        <v>#N/A</v>
      </c>
      <c r="J48" s="18" t="e">
        <f t="shared" si="5"/>
        <v>#N/A</v>
      </c>
      <c r="K48" s="18" t="e">
        <f t="shared" si="6"/>
        <v>#N/A</v>
      </c>
      <c r="L48" s="18" t="e">
        <f t="shared" si="7"/>
        <v>#N/A</v>
      </c>
    </row>
    <row r="49" spans="1:12" x14ac:dyDescent="0.4">
      <c r="A49" s="18">
        <v>40</v>
      </c>
      <c r="B49" s="304"/>
      <c r="C49" s="305"/>
      <c r="D49" s="303" t="e">
        <f t="shared" si="0"/>
        <v>#N/A</v>
      </c>
      <c r="E49" s="18" t="e">
        <f t="shared" si="1"/>
        <v>#N/A</v>
      </c>
      <c r="F49" s="18" t="e">
        <f t="shared" si="2"/>
        <v>#N/A</v>
      </c>
      <c r="G49" s="18" t="e">
        <f t="shared" si="3"/>
        <v>#N/A</v>
      </c>
      <c r="H49" s="18" t="e">
        <f t="shared" si="4"/>
        <v>#N/A</v>
      </c>
      <c r="J49" s="18" t="e">
        <f t="shared" si="5"/>
        <v>#N/A</v>
      </c>
      <c r="K49" s="18" t="e">
        <f t="shared" si="6"/>
        <v>#N/A</v>
      </c>
      <c r="L49" s="18" t="e">
        <f t="shared" si="7"/>
        <v>#N/A</v>
      </c>
    </row>
    <row r="50" spans="1:12" x14ac:dyDescent="0.4">
      <c r="A50" s="18">
        <v>41</v>
      </c>
      <c r="B50" s="304"/>
      <c r="C50" s="305"/>
      <c r="D50" s="303" t="e">
        <f t="shared" si="0"/>
        <v>#N/A</v>
      </c>
      <c r="E50" s="18" t="e">
        <f t="shared" si="1"/>
        <v>#N/A</v>
      </c>
      <c r="F50" s="18" t="e">
        <f t="shared" si="2"/>
        <v>#N/A</v>
      </c>
      <c r="G50" s="18" t="e">
        <f t="shared" si="3"/>
        <v>#N/A</v>
      </c>
      <c r="H50" s="18" t="e">
        <f t="shared" si="4"/>
        <v>#N/A</v>
      </c>
      <c r="J50" s="18" t="e">
        <f t="shared" si="5"/>
        <v>#N/A</v>
      </c>
      <c r="K50" s="18" t="e">
        <f t="shared" si="6"/>
        <v>#N/A</v>
      </c>
      <c r="L50" s="18" t="e">
        <f t="shared" si="7"/>
        <v>#N/A</v>
      </c>
    </row>
    <row r="51" spans="1:12" x14ac:dyDescent="0.4">
      <c r="A51" s="18">
        <v>42</v>
      </c>
      <c r="B51" s="304"/>
      <c r="C51" s="305"/>
      <c r="D51" s="303" t="e">
        <f t="shared" si="0"/>
        <v>#N/A</v>
      </c>
      <c r="E51" s="18" t="e">
        <f t="shared" si="1"/>
        <v>#N/A</v>
      </c>
      <c r="F51" s="18" t="e">
        <f t="shared" si="2"/>
        <v>#N/A</v>
      </c>
      <c r="G51" s="18" t="e">
        <f t="shared" si="3"/>
        <v>#N/A</v>
      </c>
      <c r="H51" s="18" t="e">
        <f t="shared" si="4"/>
        <v>#N/A</v>
      </c>
      <c r="J51" s="18" t="e">
        <f t="shared" si="5"/>
        <v>#N/A</v>
      </c>
      <c r="K51" s="18" t="e">
        <f t="shared" si="6"/>
        <v>#N/A</v>
      </c>
      <c r="L51" s="18" t="e">
        <f t="shared" si="7"/>
        <v>#N/A</v>
      </c>
    </row>
    <row r="52" spans="1:12" x14ac:dyDescent="0.4">
      <c r="A52" s="18">
        <v>43</v>
      </c>
      <c r="B52" s="304"/>
      <c r="C52" s="305"/>
      <c r="D52" s="303" t="e">
        <f t="shared" si="0"/>
        <v>#N/A</v>
      </c>
      <c r="E52" s="18" t="e">
        <f t="shared" si="1"/>
        <v>#N/A</v>
      </c>
      <c r="F52" s="18" t="e">
        <f t="shared" si="2"/>
        <v>#N/A</v>
      </c>
      <c r="G52" s="18" t="e">
        <f t="shared" si="3"/>
        <v>#N/A</v>
      </c>
      <c r="H52" s="18" t="e">
        <f t="shared" si="4"/>
        <v>#N/A</v>
      </c>
      <c r="J52" s="18" t="e">
        <f t="shared" si="5"/>
        <v>#N/A</v>
      </c>
      <c r="K52" s="18" t="e">
        <f t="shared" si="6"/>
        <v>#N/A</v>
      </c>
      <c r="L52" s="18" t="e">
        <f t="shared" si="7"/>
        <v>#N/A</v>
      </c>
    </row>
    <row r="53" spans="1:12" x14ac:dyDescent="0.4">
      <c r="A53" s="18">
        <v>44</v>
      </c>
      <c r="B53" s="304"/>
      <c r="C53" s="305"/>
      <c r="D53" s="303" t="e">
        <f t="shared" si="0"/>
        <v>#N/A</v>
      </c>
      <c r="E53" s="18" t="e">
        <f t="shared" si="1"/>
        <v>#N/A</v>
      </c>
      <c r="F53" s="18" t="e">
        <f t="shared" si="2"/>
        <v>#N/A</v>
      </c>
      <c r="G53" s="18" t="e">
        <f t="shared" si="3"/>
        <v>#N/A</v>
      </c>
      <c r="H53" s="18" t="e">
        <f t="shared" si="4"/>
        <v>#N/A</v>
      </c>
      <c r="J53" s="18" t="e">
        <f t="shared" si="5"/>
        <v>#N/A</v>
      </c>
      <c r="K53" s="18" t="e">
        <f t="shared" si="6"/>
        <v>#N/A</v>
      </c>
      <c r="L53" s="18" t="e">
        <f t="shared" si="7"/>
        <v>#N/A</v>
      </c>
    </row>
    <row r="54" spans="1:12" x14ac:dyDescent="0.4">
      <c r="A54" s="18">
        <v>45</v>
      </c>
      <c r="B54" s="304"/>
      <c r="C54" s="305"/>
      <c r="D54" s="303" t="e">
        <f t="shared" si="0"/>
        <v>#N/A</v>
      </c>
      <c r="E54" s="18" t="e">
        <f t="shared" si="1"/>
        <v>#N/A</v>
      </c>
      <c r="F54" s="18" t="e">
        <f t="shared" si="2"/>
        <v>#N/A</v>
      </c>
      <c r="G54" s="18" t="e">
        <f t="shared" si="3"/>
        <v>#N/A</v>
      </c>
      <c r="H54" s="18" t="e">
        <f t="shared" si="4"/>
        <v>#N/A</v>
      </c>
      <c r="J54" s="18" t="e">
        <f t="shared" si="5"/>
        <v>#N/A</v>
      </c>
      <c r="K54" s="18" t="e">
        <f t="shared" si="6"/>
        <v>#N/A</v>
      </c>
      <c r="L54" s="18" t="e">
        <f t="shared" si="7"/>
        <v>#N/A</v>
      </c>
    </row>
    <row r="55" spans="1:12" x14ac:dyDescent="0.4">
      <c r="A55" s="18">
        <v>46</v>
      </c>
      <c r="B55" s="304"/>
      <c r="C55" s="305"/>
      <c r="D55" s="303" t="e">
        <f t="shared" si="0"/>
        <v>#N/A</v>
      </c>
      <c r="E55" s="18" t="e">
        <f t="shared" si="1"/>
        <v>#N/A</v>
      </c>
      <c r="F55" s="18" t="e">
        <f t="shared" si="2"/>
        <v>#N/A</v>
      </c>
      <c r="G55" s="18" t="e">
        <f t="shared" si="3"/>
        <v>#N/A</v>
      </c>
      <c r="H55" s="18" t="e">
        <f t="shared" si="4"/>
        <v>#N/A</v>
      </c>
      <c r="J55" s="18" t="e">
        <f t="shared" si="5"/>
        <v>#N/A</v>
      </c>
      <c r="K55" s="18" t="e">
        <f t="shared" si="6"/>
        <v>#N/A</v>
      </c>
      <c r="L55" s="18" t="e">
        <f t="shared" si="7"/>
        <v>#N/A</v>
      </c>
    </row>
    <row r="56" spans="1:12" x14ac:dyDescent="0.4">
      <c r="A56" s="18">
        <v>47</v>
      </c>
      <c r="B56" s="304"/>
      <c r="C56" s="305"/>
      <c r="D56" s="303" t="e">
        <f t="shared" si="0"/>
        <v>#N/A</v>
      </c>
      <c r="E56" s="18" t="e">
        <f t="shared" si="1"/>
        <v>#N/A</v>
      </c>
      <c r="F56" s="18" t="e">
        <f t="shared" si="2"/>
        <v>#N/A</v>
      </c>
      <c r="G56" s="18" t="e">
        <f t="shared" si="3"/>
        <v>#N/A</v>
      </c>
      <c r="H56" s="18" t="e">
        <f t="shared" si="4"/>
        <v>#N/A</v>
      </c>
      <c r="J56" s="18" t="e">
        <f t="shared" si="5"/>
        <v>#N/A</v>
      </c>
      <c r="K56" s="18" t="e">
        <f t="shared" si="6"/>
        <v>#N/A</v>
      </c>
      <c r="L56" s="18" t="e">
        <f t="shared" si="7"/>
        <v>#N/A</v>
      </c>
    </row>
    <row r="57" spans="1:12" x14ac:dyDescent="0.4">
      <c r="A57" s="18">
        <v>48</v>
      </c>
      <c r="B57" s="304"/>
      <c r="C57" s="305"/>
      <c r="D57" s="303" t="e">
        <f t="shared" si="0"/>
        <v>#N/A</v>
      </c>
      <c r="E57" s="18" t="e">
        <f t="shared" si="1"/>
        <v>#N/A</v>
      </c>
      <c r="F57" s="18" t="e">
        <f t="shared" si="2"/>
        <v>#N/A</v>
      </c>
      <c r="G57" s="18" t="e">
        <f t="shared" si="3"/>
        <v>#N/A</v>
      </c>
      <c r="H57" s="18" t="e">
        <f t="shared" si="4"/>
        <v>#N/A</v>
      </c>
      <c r="J57" s="18" t="e">
        <f t="shared" si="5"/>
        <v>#N/A</v>
      </c>
      <c r="K57" s="18" t="e">
        <f t="shared" si="6"/>
        <v>#N/A</v>
      </c>
      <c r="L57" s="18" t="e">
        <f t="shared" si="7"/>
        <v>#N/A</v>
      </c>
    </row>
    <row r="58" spans="1:12" x14ac:dyDescent="0.4">
      <c r="A58" s="18">
        <v>49</v>
      </c>
      <c r="B58" s="304"/>
      <c r="C58" s="305"/>
      <c r="D58" s="303" t="e">
        <f t="shared" si="0"/>
        <v>#N/A</v>
      </c>
      <c r="E58" s="18" t="e">
        <f t="shared" si="1"/>
        <v>#N/A</v>
      </c>
      <c r="F58" s="18" t="e">
        <f t="shared" si="2"/>
        <v>#N/A</v>
      </c>
      <c r="G58" s="18" t="e">
        <f t="shared" si="3"/>
        <v>#N/A</v>
      </c>
      <c r="H58" s="18" t="e">
        <f t="shared" si="4"/>
        <v>#N/A</v>
      </c>
      <c r="J58" s="18" t="e">
        <f t="shared" si="5"/>
        <v>#N/A</v>
      </c>
      <c r="K58" s="18" t="e">
        <f t="shared" si="6"/>
        <v>#N/A</v>
      </c>
      <c r="L58" s="18" t="e">
        <f t="shared" si="7"/>
        <v>#N/A</v>
      </c>
    </row>
    <row r="59" spans="1:12" ht="12.6" thickBot="1" x14ac:dyDescent="0.45">
      <c r="A59" s="18">
        <v>50</v>
      </c>
      <c r="B59" s="306"/>
      <c r="C59" s="307"/>
      <c r="D59" s="303" t="e">
        <f t="shared" si="0"/>
        <v>#N/A</v>
      </c>
      <c r="E59" s="18" t="e">
        <f t="shared" si="1"/>
        <v>#N/A</v>
      </c>
      <c r="F59" s="18" t="e">
        <f t="shared" si="2"/>
        <v>#N/A</v>
      </c>
      <c r="G59" s="18" t="e">
        <f t="shared" si="3"/>
        <v>#N/A</v>
      </c>
      <c r="H59" s="18" t="e">
        <f t="shared" si="4"/>
        <v>#N/A</v>
      </c>
      <c r="J59" s="18" t="e">
        <f t="shared" si="5"/>
        <v>#N/A</v>
      </c>
      <c r="K59" s="18" t="e">
        <f t="shared" si="6"/>
        <v>#N/A</v>
      </c>
      <c r="L59" s="18" t="e">
        <f t="shared" si="7"/>
        <v>#N/A</v>
      </c>
    </row>
    <row r="60" spans="1:12" x14ac:dyDescent="0.4">
      <c r="A60" s="44"/>
      <c r="B60" s="44"/>
      <c r="C60" s="44"/>
      <c r="D60" s="44"/>
      <c r="E60" s="44"/>
      <c r="F60" s="44"/>
      <c r="G60" s="44"/>
      <c r="H60" s="44"/>
    </row>
    <row r="61" spans="1:12" x14ac:dyDescent="0.4">
      <c r="A61" s="44"/>
      <c r="B61" s="44"/>
      <c r="C61" s="44"/>
      <c r="D61" s="44"/>
      <c r="E61" s="44"/>
      <c r="F61" s="44"/>
      <c r="G61" s="44"/>
      <c r="H61" s="44"/>
    </row>
    <row r="62" spans="1:12" x14ac:dyDescent="0.4">
      <c r="A62" s="44"/>
      <c r="B62" s="44"/>
      <c r="C62" s="44"/>
      <c r="D62" s="44"/>
      <c r="E62" s="44"/>
      <c r="F62" s="44"/>
      <c r="G62" s="44"/>
      <c r="H62" s="44"/>
    </row>
    <row r="63" spans="1:12" x14ac:dyDescent="0.4">
      <c r="A63" s="44"/>
      <c r="B63" s="44"/>
      <c r="C63" s="44"/>
      <c r="D63" s="44"/>
      <c r="E63" s="44"/>
      <c r="F63" s="44"/>
      <c r="G63" s="44"/>
      <c r="H63" s="44"/>
    </row>
    <row r="64" spans="1:12" x14ac:dyDescent="0.4">
      <c r="A64" s="44"/>
      <c r="B64" s="44"/>
      <c r="C64" s="44"/>
      <c r="D64" s="44"/>
      <c r="E64" s="44"/>
      <c r="F64" s="44"/>
      <c r="G64" s="44"/>
      <c r="H64" s="44"/>
    </row>
    <row r="65" spans="1:8" x14ac:dyDescent="0.4">
      <c r="A65" s="44"/>
      <c r="B65" s="44"/>
      <c r="C65" s="44"/>
      <c r="D65" s="44"/>
      <c r="E65" s="44"/>
      <c r="F65" s="44"/>
      <c r="G65" s="44"/>
      <c r="H65" s="44"/>
    </row>
    <row r="66" spans="1:8" x14ac:dyDescent="0.4">
      <c r="A66" s="44"/>
      <c r="B66" s="44"/>
      <c r="C66" s="44"/>
      <c r="D66" s="44"/>
      <c r="E66" s="44"/>
      <c r="F66" s="44"/>
      <c r="G66" s="44"/>
      <c r="H66" s="44"/>
    </row>
    <row r="67" spans="1:8" x14ac:dyDescent="0.4">
      <c r="A67" s="44"/>
      <c r="B67" s="44"/>
      <c r="C67" s="44"/>
      <c r="D67" s="44"/>
      <c r="E67" s="44"/>
      <c r="F67" s="44"/>
      <c r="G67" s="44"/>
      <c r="H67" s="44"/>
    </row>
  </sheetData>
  <mergeCells count="2">
    <mergeCell ref="C5:D5"/>
    <mergeCell ref="C6:D6"/>
  </mergeCells>
  <dataValidations count="1">
    <dataValidation type="whole" allowBlank="1" showInputMessage="1" showErrorMessage="1" errorTitle="Input Error!" error="The cell entry must be a whole number." sqref="B10:C59 IX10:IY59 ST10:SU59 ACP10:ACQ59 AML10:AMM59 AWH10:AWI59 BGD10:BGE59 BPZ10:BQA59 BZV10:BZW59 CJR10:CJS59 CTN10:CTO59 DDJ10:DDK59 DNF10:DNG59 DXB10:DXC59 EGX10:EGY59 EQT10:EQU59 FAP10:FAQ59 FKL10:FKM59 FUH10:FUI59 GED10:GEE59 GNZ10:GOA59 GXV10:GXW59 HHR10:HHS59 HRN10:HRO59 IBJ10:IBK59 ILF10:ILG59 IVB10:IVC59 JEX10:JEY59 JOT10:JOU59 JYP10:JYQ59 KIL10:KIM59 KSH10:KSI59 LCD10:LCE59 LLZ10:LMA59 LVV10:LVW59 MFR10:MFS59 MPN10:MPO59 MZJ10:MZK59 NJF10:NJG59 NTB10:NTC59 OCX10:OCY59 OMT10:OMU59 OWP10:OWQ59 PGL10:PGM59 PQH10:PQI59 QAD10:QAE59 QJZ10:QKA59 QTV10:QTW59 RDR10:RDS59 RNN10:RNO59 RXJ10:RXK59 SHF10:SHG59 SRB10:SRC59 TAX10:TAY59 TKT10:TKU59 TUP10:TUQ59 UEL10:UEM59 UOH10:UOI59 UYD10:UYE59 VHZ10:VIA59 VRV10:VRW59 WBR10:WBS59 WLN10:WLO59 WVJ10:WVK59 B65546:C65595 IX65546:IY65595 ST65546:SU65595 ACP65546:ACQ65595 AML65546:AMM65595 AWH65546:AWI65595 BGD65546:BGE65595 BPZ65546:BQA65595 BZV65546:BZW65595 CJR65546:CJS65595 CTN65546:CTO65595 DDJ65546:DDK65595 DNF65546:DNG65595 DXB65546:DXC65595 EGX65546:EGY65595 EQT65546:EQU65595 FAP65546:FAQ65595 FKL65546:FKM65595 FUH65546:FUI65595 GED65546:GEE65595 GNZ65546:GOA65595 GXV65546:GXW65595 HHR65546:HHS65595 HRN65546:HRO65595 IBJ65546:IBK65595 ILF65546:ILG65595 IVB65546:IVC65595 JEX65546:JEY65595 JOT65546:JOU65595 JYP65546:JYQ65595 KIL65546:KIM65595 KSH65546:KSI65595 LCD65546:LCE65595 LLZ65546:LMA65595 LVV65546:LVW65595 MFR65546:MFS65595 MPN65546:MPO65595 MZJ65546:MZK65595 NJF65546:NJG65595 NTB65546:NTC65595 OCX65546:OCY65595 OMT65546:OMU65595 OWP65546:OWQ65595 PGL65546:PGM65595 PQH65546:PQI65595 QAD65546:QAE65595 QJZ65546:QKA65595 QTV65546:QTW65595 RDR65546:RDS65595 RNN65546:RNO65595 RXJ65546:RXK65595 SHF65546:SHG65595 SRB65546:SRC65595 TAX65546:TAY65595 TKT65546:TKU65595 TUP65546:TUQ65595 UEL65546:UEM65595 UOH65546:UOI65595 UYD65546:UYE65595 VHZ65546:VIA65595 VRV65546:VRW65595 WBR65546:WBS65595 WLN65546:WLO65595 WVJ65546:WVK65595 B131082:C131131 IX131082:IY131131 ST131082:SU131131 ACP131082:ACQ131131 AML131082:AMM131131 AWH131082:AWI131131 BGD131082:BGE131131 BPZ131082:BQA131131 BZV131082:BZW131131 CJR131082:CJS131131 CTN131082:CTO131131 DDJ131082:DDK131131 DNF131082:DNG131131 DXB131082:DXC131131 EGX131082:EGY131131 EQT131082:EQU131131 FAP131082:FAQ131131 FKL131082:FKM131131 FUH131082:FUI131131 GED131082:GEE131131 GNZ131082:GOA131131 GXV131082:GXW131131 HHR131082:HHS131131 HRN131082:HRO131131 IBJ131082:IBK131131 ILF131082:ILG131131 IVB131082:IVC131131 JEX131082:JEY131131 JOT131082:JOU131131 JYP131082:JYQ131131 KIL131082:KIM131131 KSH131082:KSI131131 LCD131082:LCE131131 LLZ131082:LMA131131 LVV131082:LVW131131 MFR131082:MFS131131 MPN131082:MPO131131 MZJ131082:MZK131131 NJF131082:NJG131131 NTB131082:NTC131131 OCX131082:OCY131131 OMT131082:OMU131131 OWP131082:OWQ131131 PGL131082:PGM131131 PQH131082:PQI131131 QAD131082:QAE131131 QJZ131082:QKA131131 QTV131082:QTW131131 RDR131082:RDS131131 RNN131082:RNO131131 RXJ131082:RXK131131 SHF131082:SHG131131 SRB131082:SRC131131 TAX131082:TAY131131 TKT131082:TKU131131 TUP131082:TUQ131131 UEL131082:UEM131131 UOH131082:UOI131131 UYD131082:UYE131131 VHZ131082:VIA131131 VRV131082:VRW131131 WBR131082:WBS131131 WLN131082:WLO131131 WVJ131082:WVK131131 B196618:C196667 IX196618:IY196667 ST196618:SU196667 ACP196618:ACQ196667 AML196618:AMM196667 AWH196618:AWI196667 BGD196618:BGE196667 BPZ196618:BQA196667 BZV196618:BZW196667 CJR196618:CJS196667 CTN196618:CTO196667 DDJ196618:DDK196667 DNF196618:DNG196667 DXB196618:DXC196667 EGX196618:EGY196667 EQT196618:EQU196667 FAP196618:FAQ196667 FKL196618:FKM196667 FUH196618:FUI196667 GED196618:GEE196667 GNZ196618:GOA196667 GXV196618:GXW196667 HHR196618:HHS196667 HRN196618:HRO196667 IBJ196618:IBK196667 ILF196618:ILG196667 IVB196618:IVC196667 JEX196618:JEY196667 JOT196618:JOU196667 JYP196618:JYQ196667 KIL196618:KIM196667 KSH196618:KSI196667 LCD196618:LCE196667 LLZ196618:LMA196667 LVV196618:LVW196667 MFR196618:MFS196667 MPN196618:MPO196667 MZJ196618:MZK196667 NJF196618:NJG196667 NTB196618:NTC196667 OCX196618:OCY196667 OMT196618:OMU196667 OWP196618:OWQ196667 PGL196618:PGM196667 PQH196618:PQI196667 QAD196618:QAE196667 QJZ196618:QKA196667 QTV196618:QTW196667 RDR196618:RDS196667 RNN196618:RNO196667 RXJ196618:RXK196667 SHF196618:SHG196667 SRB196618:SRC196667 TAX196618:TAY196667 TKT196618:TKU196667 TUP196618:TUQ196667 UEL196618:UEM196667 UOH196618:UOI196667 UYD196618:UYE196667 VHZ196618:VIA196667 VRV196618:VRW196667 WBR196618:WBS196667 WLN196618:WLO196667 WVJ196618:WVK196667 B262154:C262203 IX262154:IY262203 ST262154:SU262203 ACP262154:ACQ262203 AML262154:AMM262203 AWH262154:AWI262203 BGD262154:BGE262203 BPZ262154:BQA262203 BZV262154:BZW262203 CJR262154:CJS262203 CTN262154:CTO262203 DDJ262154:DDK262203 DNF262154:DNG262203 DXB262154:DXC262203 EGX262154:EGY262203 EQT262154:EQU262203 FAP262154:FAQ262203 FKL262154:FKM262203 FUH262154:FUI262203 GED262154:GEE262203 GNZ262154:GOA262203 GXV262154:GXW262203 HHR262154:HHS262203 HRN262154:HRO262203 IBJ262154:IBK262203 ILF262154:ILG262203 IVB262154:IVC262203 JEX262154:JEY262203 JOT262154:JOU262203 JYP262154:JYQ262203 KIL262154:KIM262203 KSH262154:KSI262203 LCD262154:LCE262203 LLZ262154:LMA262203 LVV262154:LVW262203 MFR262154:MFS262203 MPN262154:MPO262203 MZJ262154:MZK262203 NJF262154:NJG262203 NTB262154:NTC262203 OCX262154:OCY262203 OMT262154:OMU262203 OWP262154:OWQ262203 PGL262154:PGM262203 PQH262154:PQI262203 QAD262154:QAE262203 QJZ262154:QKA262203 QTV262154:QTW262203 RDR262154:RDS262203 RNN262154:RNO262203 RXJ262154:RXK262203 SHF262154:SHG262203 SRB262154:SRC262203 TAX262154:TAY262203 TKT262154:TKU262203 TUP262154:TUQ262203 UEL262154:UEM262203 UOH262154:UOI262203 UYD262154:UYE262203 VHZ262154:VIA262203 VRV262154:VRW262203 WBR262154:WBS262203 WLN262154:WLO262203 WVJ262154:WVK262203 B327690:C327739 IX327690:IY327739 ST327690:SU327739 ACP327690:ACQ327739 AML327690:AMM327739 AWH327690:AWI327739 BGD327690:BGE327739 BPZ327690:BQA327739 BZV327690:BZW327739 CJR327690:CJS327739 CTN327690:CTO327739 DDJ327690:DDK327739 DNF327690:DNG327739 DXB327690:DXC327739 EGX327690:EGY327739 EQT327690:EQU327739 FAP327690:FAQ327739 FKL327690:FKM327739 FUH327690:FUI327739 GED327690:GEE327739 GNZ327690:GOA327739 GXV327690:GXW327739 HHR327690:HHS327739 HRN327690:HRO327739 IBJ327690:IBK327739 ILF327690:ILG327739 IVB327690:IVC327739 JEX327690:JEY327739 JOT327690:JOU327739 JYP327690:JYQ327739 KIL327690:KIM327739 KSH327690:KSI327739 LCD327690:LCE327739 LLZ327690:LMA327739 LVV327690:LVW327739 MFR327690:MFS327739 MPN327690:MPO327739 MZJ327690:MZK327739 NJF327690:NJG327739 NTB327690:NTC327739 OCX327690:OCY327739 OMT327690:OMU327739 OWP327690:OWQ327739 PGL327690:PGM327739 PQH327690:PQI327739 QAD327690:QAE327739 QJZ327690:QKA327739 QTV327690:QTW327739 RDR327690:RDS327739 RNN327690:RNO327739 RXJ327690:RXK327739 SHF327690:SHG327739 SRB327690:SRC327739 TAX327690:TAY327739 TKT327690:TKU327739 TUP327690:TUQ327739 UEL327690:UEM327739 UOH327690:UOI327739 UYD327690:UYE327739 VHZ327690:VIA327739 VRV327690:VRW327739 WBR327690:WBS327739 WLN327690:WLO327739 WVJ327690:WVK327739 B393226:C393275 IX393226:IY393275 ST393226:SU393275 ACP393226:ACQ393275 AML393226:AMM393275 AWH393226:AWI393275 BGD393226:BGE393275 BPZ393226:BQA393275 BZV393226:BZW393275 CJR393226:CJS393275 CTN393226:CTO393275 DDJ393226:DDK393275 DNF393226:DNG393275 DXB393226:DXC393275 EGX393226:EGY393275 EQT393226:EQU393275 FAP393226:FAQ393275 FKL393226:FKM393275 FUH393226:FUI393275 GED393226:GEE393275 GNZ393226:GOA393275 GXV393226:GXW393275 HHR393226:HHS393275 HRN393226:HRO393275 IBJ393226:IBK393275 ILF393226:ILG393275 IVB393226:IVC393275 JEX393226:JEY393275 JOT393226:JOU393275 JYP393226:JYQ393275 KIL393226:KIM393275 KSH393226:KSI393275 LCD393226:LCE393275 LLZ393226:LMA393275 LVV393226:LVW393275 MFR393226:MFS393275 MPN393226:MPO393275 MZJ393226:MZK393275 NJF393226:NJG393275 NTB393226:NTC393275 OCX393226:OCY393275 OMT393226:OMU393275 OWP393226:OWQ393275 PGL393226:PGM393275 PQH393226:PQI393275 QAD393226:QAE393275 QJZ393226:QKA393275 QTV393226:QTW393275 RDR393226:RDS393275 RNN393226:RNO393275 RXJ393226:RXK393275 SHF393226:SHG393275 SRB393226:SRC393275 TAX393226:TAY393275 TKT393226:TKU393275 TUP393226:TUQ393275 UEL393226:UEM393275 UOH393226:UOI393275 UYD393226:UYE393275 VHZ393226:VIA393275 VRV393226:VRW393275 WBR393226:WBS393275 WLN393226:WLO393275 WVJ393226:WVK393275 B458762:C458811 IX458762:IY458811 ST458762:SU458811 ACP458762:ACQ458811 AML458762:AMM458811 AWH458762:AWI458811 BGD458762:BGE458811 BPZ458762:BQA458811 BZV458762:BZW458811 CJR458762:CJS458811 CTN458762:CTO458811 DDJ458762:DDK458811 DNF458762:DNG458811 DXB458762:DXC458811 EGX458762:EGY458811 EQT458762:EQU458811 FAP458762:FAQ458811 FKL458762:FKM458811 FUH458762:FUI458811 GED458762:GEE458811 GNZ458762:GOA458811 GXV458762:GXW458811 HHR458762:HHS458811 HRN458762:HRO458811 IBJ458762:IBK458811 ILF458762:ILG458811 IVB458762:IVC458811 JEX458762:JEY458811 JOT458762:JOU458811 JYP458762:JYQ458811 KIL458762:KIM458811 KSH458762:KSI458811 LCD458762:LCE458811 LLZ458762:LMA458811 LVV458762:LVW458811 MFR458762:MFS458811 MPN458762:MPO458811 MZJ458762:MZK458811 NJF458762:NJG458811 NTB458762:NTC458811 OCX458762:OCY458811 OMT458762:OMU458811 OWP458762:OWQ458811 PGL458762:PGM458811 PQH458762:PQI458811 QAD458762:QAE458811 QJZ458762:QKA458811 QTV458762:QTW458811 RDR458762:RDS458811 RNN458762:RNO458811 RXJ458762:RXK458811 SHF458762:SHG458811 SRB458762:SRC458811 TAX458762:TAY458811 TKT458762:TKU458811 TUP458762:TUQ458811 UEL458762:UEM458811 UOH458762:UOI458811 UYD458762:UYE458811 VHZ458762:VIA458811 VRV458762:VRW458811 WBR458762:WBS458811 WLN458762:WLO458811 WVJ458762:WVK458811 B524298:C524347 IX524298:IY524347 ST524298:SU524347 ACP524298:ACQ524347 AML524298:AMM524347 AWH524298:AWI524347 BGD524298:BGE524347 BPZ524298:BQA524347 BZV524298:BZW524347 CJR524298:CJS524347 CTN524298:CTO524347 DDJ524298:DDK524347 DNF524298:DNG524347 DXB524298:DXC524347 EGX524298:EGY524347 EQT524298:EQU524347 FAP524298:FAQ524347 FKL524298:FKM524347 FUH524298:FUI524347 GED524298:GEE524347 GNZ524298:GOA524347 GXV524298:GXW524347 HHR524298:HHS524347 HRN524298:HRO524347 IBJ524298:IBK524347 ILF524298:ILG524347 IVB524298:IVC524347 JEX524298:JEY524347 JOT524298:JOU524347 JYP524298:JYQ524347 KIL524298:KIM524347 KSH524298:KSI524347 LCD524298:LCE524347 LLZ524298:LMA524347 LVV524298:LVW524347 MFR524298:MFS524347 MPN524298:MPO524347 MZJ524298:MZK524347 NJF524298:NJG524347 NTB524298:NTC524347 OCX524298:OCY524347 OMT524298:OMU524347 OWP524298:OWQ524347 PGL524298:PGM524347 PQH524298:PQI524347 QAD524298:QAE524347 QJZ524298:QKA524347 QTV524298:QTW524347 RDR524298:RDS524347 RNN524298:RNO524347 RXJ524298:RXK524347 SHF524298:SHG524347 SRB524298:SRC524347 TAX524298:TAY524347 TKT524298:TKU524347 TUP524298:TUQ524347 UEL524298:UEM524347 UOH524298:UOI524347 UYD524298:UYE524347 VHZ524298:VIA524347 VRV524298:VRW524347 WBR524298:WBS524347 WLN524298:WLO524347 WVJ524298:WVK524347 B589834:C589883 IX589834:IY589883 ST589834:SU589883 ACP589834:ACQ589883 AML589834:AMM589883 AWH589834:AWI589883 BGD589834:BGE589883 BPZ589834:BQA589883 BZV589834:BZW589883 CJR589834:CJS589883 CTN589834:CTO589883 DDJ589834:DDK589883 DNF589834:DNG589883 DXB589834:DXC589883 EGX589834:EGY589883 EQT589834:EQU589883 FAP589834:FAQ589883 FKL589834:FKM589883 FUH589834:FUI589883 GED589834:GEE589883 GNZ589834:GOA589883 GXV589834:GXW589883 HHR589834:HHS589883 HRN589834:HRO589883 IBJ589834:IBK589883 ILF589834:ILG589883 IVB589834:IVC589883 JEX589834:JEY589883 JOT589834:JOU589883 JYP589834:JYQ589883 KIL589834:KIM589883 KSH589834:KSI589883 LCD589834:LCE589883 LLZ589834:LMA589883 LVV589834:LVW589883 MFR589834:MFS589883 MPN589834:MPO589883 MZJ589834:MZK589883 NJF589834:NJG589883 NTB589834:NTC589883 OCX589834:OCY589883 OMT589834:OMU589883 OWP589834:OWQ589883 PGL589834:PGM589883 PQH589834:PQI589883 QAD589834:QAE589883 QJZ589834:QKA589883 QTV589834:QTW589883 RDR589834:RDS589883 RNN589834:RNO589883 RXJ589834:RXK589883 SHF589834:SHG589883 SRB589834:SRC589883 TAX589834:TAY589883 TKT589834:TKU589883 TUP589834:TUQ589883 UEL589834:UEM589883 UOH589834:UOI589883 UYD589834:UYE589883 VHZ589834:VIA589883 VRV589834:VRW589883 WBR589834:WBS589883 WLN589834:WLO589883 WVJ589834:WVK589883 B655370:C655419 IX655370:IY655419 ST655370:SU655419 ACP655370:ACQ655419 AML655370:AMM655419 AWH655370:AWI655419 BGD655370:BGE655419 BPZ655370:BQA655419 BZV655370:BZW655419 CJR655370:CJS655419 CTN655370:CTO655419 DDJ655370:DDK655419 DNF655370:DNG655419 DXB655370:DXC655419 EGX655370:EGY655419 EQT655370:EQU655419 FAP655370:FAQ655419 FKL655370:FKM655419 FUH655370:FUI655419 GED655370:GEE655419 GNZ655370:GOA655419 GXV655370:GXW655419 HHR655370:HHS655419 HRN655370:HRO655419 IBJ655370:IBK655419 ILF655370:ILG655419 IVB655370:IVC655419 JEX655370:JEY655419 JOT655370:JOU655419 JYP655370:JYQ655419 KIL655370:KIM655419 KSH655370:KSI655419 LCD655370:LCE655419 LLZ655370:LMA655419 LVV655370:LVW655419 MFR655370:MFS655419 MPN655370:MPO655419 MZJ655370:MZK655419 NJF655370:NJG655419 NTB655370:NTC655419 OCX655370:OCY655419 OMT655370:OMU655419 OWP655370:OWQ655419 PGL655370:PGM655419 PQH655370:PQI655419 QAD655370:QAE655419 QJZ655370:QKA655419 QTV655370:QTW655419 RDR655370:RDS655419 RNN655370:RNO655419 RXJ655370:RXK655419 SHF655370:SHG655419 SRB655370:SRC655419 TAX655370:TAY655419 TKT655370:TKU655419 TUP655370:TUQ655419 UEL655370:UEM655419 UOH655370:UOI655419 UYD655370:UYE655419 VHZ655370:VIA655419 VRV655370:VRW655419 WBR655370:WBS655419 WLN655370:WLO655419 WVJ655370:WVK655419 B720906:C720955 IX720906:IY720955 ST720906:SU720955 ACP720906:ACQ720955 AML720906:AMM720955 AWH720906:AWI720955 BGD720906:BGE720955 BPZ720906:BQA720955 BZV720906:BZW720955 CJR720906:CJS720955 CTN720906:CTO720955 DDJ720906:DDK720955 DNF720906:DNG720955 DXB720906:DXC720955 EGX720906:EGY720955 EQT720906:EQU720955 FAP720906:FAQ720955 FKL720906:FKM720955 FUH720906:FUI720955 GED720906:GEE720955 GNZ720906:GOA720955 GXV720906:GXW720955 HHR720906:HHS720955 HRN720906:HRO720955 IBJ720906:IBK720955 ILF720906:ILG720955 IVB720906:IVC720955 JEX720906:JEY720955 JOT720906:JOU720955 JYP720906:JYQ720955 KIL720906:KIM720955 KSH720906:KSI720955 LCD720906:LCE720955 LLZ720906:LMA720955 LVV720906:LVW720955 MFR720906:MFS720955 MPN720906:MPO720955 MZJ720906:MZK720955 NJF720906:NJG720955 NTB720906:NTC720955 OCX720906:OCY720955 OMT720906:OMU720955 OWP720906:OWQ720955 PGL720906:PGM720955 PQH720906:PQI720955 QAD720906:QAE720955 QJZ720906:QKA720955 QTV720906:QTW720955 RDR720906:RDS720955 RNN720906:RNO720955 RXJ720906:RXK720955 SHF720906:SHG720955 SRB720906:SRC720955 TAX720906:TAY720955 TKT720906:TKU720955 TUP720906:TUQ720955 UEL720906:UEM720955 UOH720906:UOI720955 UYD720906:UYE720955 VHZ720906:VIA720955 VRV720906:VRW720955 WBR720906:WBS720955 WLN720906:WLO720955 WVJ720906:WVK720955 B786442:C786491 IX786442:IY786491 ST786442:SU786491 ACP786442:ACQ786491 AML786442:AMM786491 AWH786442:AWI786491 BGD786442:BGE786491 BPZ786442:BQA786491 BZV786442:BZW786491 CJR786442:CJS786491 CTN786442:CTO786491 DDJ786442:DDK786491 DNF786442:DNG786491 DXB786442:DXC786491 EGX786442:EGY786491 EQT786442:EQU786491 FAP786442:FAQ786491 FKL786442:FKM786491 FUH786442:FUI786491 GED786442:GEE786491 GNZ786442:GOA786491 GXV786442:GXW786491 HHR786442:HHS786491 HRN786442:HRO786491 IBJ786442:IBK786491 ILF786442:ILG786491 IVB786442:IVC786491 JEX786442:JEY786491 JOT786442:JOU786491 JYP786442:JYQ786491 KIL786442:KIM786491 KSH786442:KSI786491 LCD786442:LCE786491 LLZ786442:LMA786491 LVV786442:LVW786491 MFR786442:MFS786491 MPN786442:MPO786491 MZJ786442:MZK786491 NJF786442:NJG786491 NTB786442:NTC786491 OCX786442:OCY786491 OMT786442:OMU786491 OWP786442:OWQ786491 PGL786442:PGM786491 PQH786442:PQI786491 QAD786442:QAE786491 QJZ786442:QKA786491 QTV786442:QTW786491 RDR786442:RDS786491 RNN786442:RNO786491 RXJ786442:RXK786491 SHF786442:SHG786491 SRB786442:SRC786491 TAX786442:TAY786491 TKT786442:TKU786491 TUP786442:TUQ786491 UEL786442:UEM786491 UOH786442:UOI786491 UYD786442:UYE786491 VHZ786442:VIA786491 VRV786442:VRW786491 WBR786442:WBS786491 WLN786442:WLO786491 WVJ786442:WVK786491 B851978:C852027 IX851978:IY852027 ST851978:SU852027 ACP851978:ACQ852027 AML851978:AMM852027 AWH851978:AWI852027 BGD851978:BGE852027 BPZ851978:BQA852027 BZV851978:BZW852027 CJR851978:CJS852027 CTN851978:CTO852027 DDJ851978:DDK852027 DNF851978:DNG852027 DXB851978:DXC852027 EGX851978:EGY852027 EQT851978:EQU852027 FAP851978:FAQ852027 FKL851978:FKM852027 FUH851978:FUI852027 GED851978:GEE852027 GNZ851978:GOA852027 GXV851978:GXW852027 HHR851978:HHS852027 HRN851978:HRO852027 IBJ851978:IBK852027 ILF851978:ILG852027 IVB851978:IVC852027 JEX851978:JEY852027 JOT851978:JOU852027 JYP851978:JYQ852027 KIL851978:KIM852027 KSH851978:KSI852027 LCD851978:LCE852027 LLZ851978:LMA852027 LVV851978:LVW852027 MFR851978:MFS852027 MPN851978:MPO852027 MZJ851978:MZK852027 NJF851978:NJG852027 NTB851978:NTC852027 OCX851978:OCY852027 OMT851978:OMU852027 OWP851978:OWQ852027 PGL851978:PGM852027 PQH851978:PQI852027 QAD851978:QAE852027 QJZ851978:QKA852027 QTV851978:QTW852027 RDR851978:RDS852027 RNN851978:RNO852027 RXJ851978:RXK852027 SHF851978:SHG852027 SRB851978:SRC852027 TAX851978:TAY852027 TKT851978:TKU852027 TUP851978:TUQ852027 UEL851978:UEM852027 UOH851978:UOI852027 UYD851978:UYE852027 VHZ851978:VIA852027 VRV851978:VRW852027 WBR851978:WBS852027 WLN851978:WLO852027 WVJ851978:WVK852027 B917514:C917563 IX917514:IY917563 ST917514:SU917563 ACP917514:ACQ917563 AML917514:AMM917563 AWH917514:AWI917563 BGD917514:BGE917563 BPZ917514:BQA917563 BZV917514:BZW917563 CJR917514:CJS917563 CTN917514:CTO917563 DDJ917514:DDK917563 DNF917514:DNG917563 DXB917514:DXC917563 EGX917514:EGY917563 EQT917514:EQU917563 FAP917514:FAQ917563 FKL917514:FKM917563 FUH917514:FUI917563 GED917514:GEE917563 GNZ917514:GOA917563 GXV917514:GXW917563 HHR917514:HHS917563 HRN917514:HRO917563 IBJ917514:IBK917563 ILF917514:ILG917563 IVB917514:IVC917563 JEX917514:JEY917563 JOT917514:JOU917563 JYP917514:JYQ917563 KIL917514:KIM917563 KSH917514:KSI917563 LCD917514:LCE917563 LLZ917514:LMA917563 LVV917514:LVW917563 MFR917514:MFS917563 MPN917514:MPO917563 MZJ917514:MZK917563 NJF917514:NJG917563 NTB917514:NTC917563 OCX917514:OCY917563 OMT917514:OMU917563 OWP917514:OWQ917563 PGL917514:PGM917563 PQH917514:PQI917563 QAD917514:QAE917563 QJZ917514:QKA917563 QTV917514:QTW917563 RDR917514:RDS917563 RNN917514:RNO917563 RXJ917514:RXK917563 SHF917514:SHG917563 SRB917514:SRC917563 TAX917514:TAY917563 TKT917514:TKU917563 TUP917514:TUQ917563 UEL917514:UEM917563 UOH917514:UOI917563 UYD917514:UYE917563 VHZ917514:VIA917563 VRV917514:VRW917563 WBR917514:WBS917563 WLN917514:WLO917563 WVJ917514:WVK917563 B983050:C983099 IX983050:IY983099 ST983050:SU983099 ACP983050:ACQ983099 AML983050:AMM983099 AWH983050:AWI983099 BGD983050:BGE983099 BPZ983050:BQA983099 BZV983050:BZW983099 CJR983050:CJS983099 CTN983050:CTO983099 DDJ983050:DDK983099 DNF983050:DNG983099 DXB983050:DXC983099 EGX983050:EGY983099 EQT983050:EQU983099 FAP983050:FAQ983099 FKL983050:FKM983099 FUH983050:FUI983099 GED983050:GEE983099 GNZ983050:GOA983099 GXV983050:GXW983099 HHR983050:HHS983099 HRN983050:HRO983099 IBJ983050:IBK983099 ILF983050:ILG983099 IVB983050:IVC983099 JEX983050:JEY983099 JOT983050:JOU983099 JYP983050:JYQ983099 KIL983050:KIM983099 KSH983050:KSI983099 LCD983050:LCE983099 LLZ983050:LMA983099 LVV983050:LVW983099 MFR983050:MFS983099 MPN983050:MPO983099 MZJ983050:MZK983099 NJF983050:NJG983099 NTB983050:NTC983099 OCX983050:OCY983099 OMT983050:OMU983099 OWP983050:OWQ983099 PGL983050:PGM983099 PQH983050:PQI983099 QAD983050:QAE983099 QJZ983050:QKA983099 QTV983050:QTW983099 RDR983050:RDS983099 RNN983050:RNO983099 RXJ983050:RXK983099 SHF983050:SHG983099 SRB983050:SRC983099 TAX983050:TAY983099 TKT983050:TKU983099 TUP983050:TUQ983099 UEL983050:UEM983099 UOH983050:UOI983099 UYD983050:UYE983099 VHZ983050:VIA983099 VRV983050:VRW983099 WBR983050:WBS983099 WLN983050:WLO983099 WVJ983050:WVK983099" xr:uid="{00000000-0002-0000-1300-000000000000}">
      <formula1>0</formula1>
      <formula2>999999</formula2>
    </dataValidation>
  </dataValidations>
  <hyperlinks>
    <hyperlink ref="N1" location="Menu!A1" display="Return to menu" xr:uid="{00000000-0004-0000-1300-000000000000}"/>
  </hyperlinks>
  <pageMargins left="0.75" right="0.75" top="1" bottom="1" header="0.5" footer="0.5"/>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P1"/>
  <sheetViews>
    <sheetView workbookViewId="0">
      <selection activeCell="P1" sqref="P1"/>
    </sheetView>
  </sheetViews>
  <sheetFormatPr defaultColWidth="9.1015625" defaultRowHeight="12.3" x14ac:dyDescent="0.4"/>
  <cols>
    <col min="1" max="15" width="9.1015625" style="18"/>
    <col min="16" max="16" width="36.26171875" style="18" bestFit="1" customWidth="1"/>
    <col min="17" max="16384" width="9.1015625" style="18"/>
  </cols>
  <sheetData>
    <row r="1" spans="16:16" ht="35.700000000000003" x14ac:dyDescent="1.3">
      <c r="P1" s="63" t="s">
        <v>20</v>
      </c>
    </row>
  </sheetData>
  <hyperlinks>
    <hyperlink ref="P1" location="Menu!A1" display="Return to menu" xr:uid="{00000000-0004-0000-1400-000000000000}"/>
  </hyperlinks>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P1"/>
  <sheetViews>
    <sheetView workbookViewId="0">
      <selection activeCell="P1" sqref="P1"/>
    </sheetView>
  </sheetViews>
  <sheetFormatPr defaultColWidth="9.1015625" defaultRowHeight="12.3" x14ac:dyDescent="0.4"/>
  <cols>
    <col min="1" max="15" width="9.1015625" style="18"/>
    <col min="16" max="16" width="36.26171875" style="18" bestFit="1" customWidth="1"/>
    <col min="17" max="16384" width="9.1015625" style="18"/>
  </cols>
  <sheetData>
    <row r="1" spans="16:16" ht="35.700000000000003" x14ac:dyDescent="1.3">
      <c r="P1" s="63" t="s">
        <v>20</v>
      </c>
    </row>
  </sheetData>
  <hyperlinks>
    <hyperlink ref="P1" location="Menu!A1" display="Return to menu" xr:uid="{00000000-0004-0000-1500-000000000000}"/>
  </hyperlinks>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pageSetUpPr fitToPage="1"/>
  </sheetPr>
  <dimension ref="A1:O25"/>
  <sheetViews>
    <sheetView zoomScaleNormal="100" workbookViewId="0">
      <selection activeCell="O1" sqref="O1"/>
    </sheetView>
  </sheetViews>
  <sheetFormatPr defaultRowHeight="12.3" x14ac:dyDescent="0.4"/>
  <cols>
    <col min="1" max="1" width="10.734375" style="18" customWidth="1"/>
    <col min="2" max="2" width="12" style="18" customWidth="1"/>
    <col min="3" max="3" width="12.3671875" style="18" customWidth="1"/>
    <col min="4" max="4" width="14" style="18" customWidth="1"/>
    <col min="5" max="14" width="9.1015625" style="18"/>
    <col min="15" max="15" width="21.26171875" style="18" bestFit="1" customWidth="1"/>
    <col min="16" max="255" width="9.1015625" style="18"/>
    <col min="256" max="256" width="10.734375" style="18" customWidth="1"/>
    <col min="257" max="257" width="13.89453125" style="18" customWidth="1"/>
    <col min="258" max="258" width="12" style="18" customWidth="1"/>
    <col min="259" max="259" width="0" style="18" hidden="1" customWidth="1"/>
    <col min="260" max="260" width="14" style="18" customWidth="1"/>
    <col min="261" max="511" width="9.1015625" style="18"/>
    <col min="512" max="512" width="10.734375" style="18" customWidth="1"/>
    <col min="513" max="513" width="13.89453125" style="18" customWidth="1"/>
    <col min="514" max="514" width="12" style="18" customWidth="1"/>
    <col min="515" max="515" width="0" style="18" hidden="1" customWidth="1"/>
    <col min="516" max="516" width="14" style="18" customWidth="1"/>
    <col min="517" max="767" width="9.1015625" style="18"/>
    <col min="768" max="768" width="10.734375" style="18" customWidth="1"/>
    <col min="769" max="769" width="13.89453125" style="18" customWidth="1"/>
    <col min="770" max="770" width="12" style="18" customWidth="1"/>
    <col min="771" max="771" width="0" style="18" hidden="1" customWidth="1"/>
    <col min="772" max="772" width="14" style="18" customWidth="1"/>
    <col min="773" max="1023" width="9.1015625" style="18"/>
    <col min="1024" max="1024" width="10.734375" style="18" customWidth="1"/>
    <col min="1025" max="1025" width="13.89453125" style="18" customWidth="1"/>
    <col min="1026" max="1026" width="12" style="18" customWidth="1"/>
    <col min="1027" max="1027" width="0" style="18" hidden="1" customWidth="1"/>
    <col min="1028" max="1028" width="14" style="18" customWidth="1"/>
    <col min="1029" max="1279" width="9.1015625" style="18"/>
    <col min="1280" max="1280" width="10.734375" style="18" customWidth="1"/>
    <col min="1281" max="1281" width="13.89453125" style="18" customWidth="1"/>
    <col min="1282" max="1282" width="12" style="18" customWidth="1"/>
    <col min="1283" max="1283" width="0" style="18" hidden="1" customWidth="1"/>
    <col min="1284" max="1284" width="14" style="18" customWidth="1"/>
    <col min="1285" max="1535" width="9.1015625" style="18"/>
    <col min="1536" max="1536" width="10.734375" style="18" customWidth="1"/>
    <col min="1537" max="1537" width="13.89453125" style="18" customWidth="1"/>
    <col min="1538" max="1538" width="12" style="18" customWidth="1"/>
    <col min="1539" max="1539" width="0" style="18" hidden="1" customWidth="1"/>
    <col min="1540" max="1540" width="14" style="18" customWidth="1"/>
    <col min="1541" max="1791" width="9.1015625" style="18"/>
    <col min="1792" max="1792" width="10.734375" style="18" customWidth="1"/>
    <col min="1793" max="1793" width="13.89453125" style="18" customWidth="1"/>
    <col min="1794" max="1794" width="12" style="18" customWidth="1"/>
    <col min="1795" max="1795" width="0" style="18" hidden="1" customWidth="1"/>
    <col min="1796" max="1796" width="14" style="18" customWidth="1"/>
    <col min="1797" max="2047" width="9.1015625" style="18"/>
    <col min="2048" max="2048" width="10.734375" style="18" customWidth="1"/>
    <col min="2049" max="2049" width="13.89453125" style="18" customWidth="1"/>
    <col min="2050" max="2050" width="12" style="18" customWidth="1"/>
    <col min="2051" max="2051" width="0" style="18" hidden="1" customWidth="1"/>
    <col min="2052" max="2052" width="14" style="18" customWidth="1"/>
    <col min="2053" max="2303" width="9.1015625" style="18"/>
    <col min="2304" max="2304" width="10.734375" style="18" customWidth="1"/>
    <col min="2305" max="2305" width="13.89453125" style="18" customWidth="1"/>
    <col min="2306" max="2306" width="12" style="18" customWidth="1"/>
    <col min="2307" max="2307" width="0" style="18" hidden="1" customWidth="1"/>
    <col min="2308" max="2308" width="14" style="18" customWidth="1"/>
    <col min="2309" max="2559" width="9.1015625" style="18"/>
    <col min="2560" max="2560" width="10.734375" style="18" customWidth="1"/>
    <col min="2561" max="2561" width="13.89453125" style="18" customWidth="1"/>
    <col min="2562" max="2562" width="12" style="18" customWidth="1"/>
    <col min="2563" max="2563" width="0" style="18" hidden="1" customWidth="1"/>
    <col min="2564" max="2564" width="14" style="18" customWidth="1"/>
    <col min="2565" max="2815" width="9.1015625" style="18"/>
    <col min="2816" max="2816" width="10.734375" style="18" customWidth="1"/>
    <col min="2817" max="2817" width="13.89453125" style="18" customWidth="1"/>
    <col min="2818" max="2818" width="12" style="18" customWidth="1"/>
    <col min="2819" max="2819" width="0" style="18" hidden="1" customWidth="1"/>
    <col min="2820" max="2820" width="14" style="18" customWidth="1"/>
    <col min="2821" max="3071" width="9.1015625" style="18"/>
    <col min="3072" max="3072" width="10.734375" style="18" customWidth="1"/>
    <col min="3073" max="3073" width="13.89453125" style="18" customWidth="1"/>
    <col min="3074" max="3074" width="12" style="18" customWidth="1"/>
    <col min="3075" max="3075" width="0" style="18" hidden="1" customWidth="1"/>
    <col min="3076" max="3076" width="14" style="18" customWidth="1"/>
    <col min="3077" max="3327" width="9.1015625" style="18"/>
    <col min="3328" max="3328" width="10.734375" style="18" customWidth="1"/>
    <col min="3329" max="3329" width="13.89453125" style="18" customWidth="1"/>
    <col min="3330" max="3330" width="12" style="18" customWidth="1"/>
    <col min="3331" max="3331" width="0" style="18" hidden="1" customWidth="1"/>
    <col min="3332" max="3332" width="14" style="18" customWidth="1"/>
    <col min="3333" max="3583" width="9.1015625" style="18"/>
    <col min="3584" max="3584" width="10.734375" style="18" customWidth="1"/>
    <col min="3585" max="3585" width="13.89453125" style="18" customWidth="1"/>
    <col min="3586" max="3586" width="12" style="18" customWidth="1"/>
    <col min="3587" max="3587" width="0" style="18" hidden="1" customWidth="1"/>
    <col min="3588" max="3588" width="14" style="18" customWidth="1"/>
    <col min="3589" max="3839" width="9.1015625" style="18"/>
    <col min="3840" max="3840" width="10.734375" style="18" customWidth="1"/>
    <col min="3841" max="3841" width="13.89453125" style="18" customWidth="1"/>
    <col min="3842" max="3842" width="12" style="18" customWidth="1"/>
    <col min="3843" max="3843" width="0" style="18" hidden="1" customWidth="1"/>
    <col min="3844" max="3844" width="14" style="18" customWidth="1"/>
    <col min="3845" max="4095" width="9.1015625" style="18"/>
    <col min="4096" max="4096" width="10.734375" style="18" customWidth="1"/>
    <col min="4097" max="4097" width="13.89453125" style="18" customWidth="1"/>
    <col min="4098" max="4098" width="12" style="18" customWidth="1"/>
    <col min="4099" max="4099" width="0" style="18" hidden="1" customWidth="1"/>
    <col min="4100" max="4100" width="14" style="18" customWidth="1"/>
    <col min="4101" max="4351" width="9.1015625" style="18"/>
    <col min="4352" max="4352" width="10.734375" style="18" customWidth="1"/>
    <col min="4353" max="4353" width="13.89453125" style="18" customWidth="1"/>
    <col min="4354" max="4354" width="12" style="18" customWidth="1"/>
    <col min="4355" max="4355" width="0" style="18" hidden="1" customWidth="1"/>
    <col min="4356" max="4356" width="14" style="18" customWidth="1"/>
    <col min="4357" max="4607" width="9.1015625" style="18"/>
    <col min="4608" max="4608" width="10.734375" style="18" customWidth="1"/>
    <col min="4609" max="4609" width="13.89453125" style="18" customWidth="1"/>
    <col min="4610" max="4610" width="12" style="18" customWidth="1"/>
    <col min="4611" max="4611" width="0" style="18" hidden="1" customWidth="1"/>
    <col min="4612" max="4612" width="14" style="18" customWidth="1"/>
    <col min="4613" max="4863" width="9.1015625" style="18"/>
    <col min="4864" max="4864" width="10.734375" style="18" customWidth="1"/>
    <col min="4865" max="4865" width="13.89453125" style="18" customWidth="1"/>
    <col min="4866" max="4866" width="12" style="18" customWidth="1"/>
    <col min="4867" max="4867" width="0" style="18" hidden="1" customWidth="1"/>
    <col min="4868" max="4868" width="14" style="18" customWidth="1"/>
    <col min="4869" max="5119" width="9.1015625" style="18"/>
    <col min="5120" max="5120" width="10.734375" style="18" customWidth="1"/>
    <col min="5121" max="5121" width="13.89453125" style="18" customWidth="1"/>
    <col min="5122" max="5122" width="12" style="18" customWidth="1"/>
    <col min="5123" max="5123" width="0" style="18" hidden="1" customWidth="1"/>
    <col min="5124" max="5124" width="14" style="18" customWidth="1"/>
    <col min="5125" max="5375" width="9.1015625" style="18"/>
    <col min="5376" max="5376" width="10.734375" style="18" customWidth="1"/>
    <col min="5377" max="5377" width="13.89453125" style="18" customWidth="1"/>
    <col min="5378" max="5378" width="12" style="18" customWidth="1"/>
    <col min="5379" max="5379" width="0" style="18" hidden="1" customWidth="1"/>
    <col min="5380" max="5380" width="14" style="18" customWidth="1"/>
    <col min="5381" max="5631" width="9.1015625" style="18"/>
    <col min="5632" max="5632" width="10.734375" style="18" customWidth="1"/>
    <col min="5633" max="5633" width="13.89453125" style="18" customWidth="1"/>
    <col min="5634" max="5634" width="12" style="18" customWidth="1"/>
    <col min="5635" max="5635" width="0" style="18" hidden="1" customWidth="1"/>
    <col min="5636" max="5636" width="14" style="18" customWidth="1"/>
    <col min="5637" max="5887" width="9.1015625" style="18"/>
    <col min="5888" max="5888" width="10.734375" style="18" customWidth="1"/>
    <col min="5889" max="5889" width="13.89453125" style="18" customWidth="1"/>
    <col min="5890" max="5890" width="12" style="18" customWidth="1"/>
    <col min="5891" max="5891" width="0" style="18" hidden="1" customWidth="1"/>
    <col min="5892" max="5892" width="14" style="18" customWidth="1"/>
    <col min="5893" max="6143" width="9.1015625" style="18"/>
    <col min="6144" max="6144" width="10.734375" style="18" customWidth="1"/>
    <col min="6145" max="6145" width="13.89453125" style="18" customWidth="1"/>
    <col min="6146" max="6146" width="12" style="18" customWidth="1"/>
    <col min="6147" max="6147" width="0" style="18" hidden="1" customWidth="1"/>
    <col min="6148" max="6148" width="14" style="18" customWidth="1"/>
    <col min="6149" max="6399" width="9.1015625" style="18"/>
    <col min="6400" max="6400" width="10.734375" style="18" customWidth="1"/>
    <col min="6401" max="6401" width="13.89453125" style="18" customWidth="1"/>
    <col min="6402" max="6402" width="12" style="18" customWidth="1"/>
    <col min="6403" max="6403" width="0" style="18" hidden="1" customWidth="1"/>
    <col min="6404" max="6404" width="14" style="18" customWidth="1"/>
    <col min="6405" max="6655" width="9.1015625" style="18"/>
    <col min="6656" max="6656" width="10.734375" style="18" customWidth="1"/>
    <col min="6657" max="6657" width="13.89453125" style="18" customWidth="1"/>
    <col min="6658" max="6658" width="12" style="18" customWidth="1"/>
    <col min="6659" max="6659" width="0" style="18" hidden="1" customWidth="1"/>
    <col min="6660" max="6660" width="14" style="18" customWidth="1"/>
    <col min="6661" max="6911" width="9.1015625" style="18"/>
    <col min="6912" max="6912" width="10.734375" style="18" customWidth="1"/>
    <col min="6913" max="6913" width="13.89453125" style="18" customWidth="1"/>
    <col min="6914" max="6914" width="12" style="18" customWidth="1"/>
    <col min="6915" max="6915" width="0" style="18" hidden="1" customWidth="1"/>
    <col min="6916" max="6916" width="14" style="18" customWidth="1"/>
    <col min="6917" max="7167" width="9.1015625" style="18"/>
    <col min="7168" max="7168" width="10.734375" style="18" customWidth="1"/>
    <col min="7169" max="7169" width="13.89453125" style="18" customWidth="1"/>
    <col min="7170" max="7170" width="12" style="18" customWidth="1"/>
    <col min="7171" max="7171" width="0" style="18" hidden="1" customWidth="1"/>
    <col min="7172" max="7172" width="14" style="18" customWidth="1"/>
    <col min="7173" max="7423" width="9.1015625" style="18"/>
    <col min="7424" max="7424" width="10.734375" style="18" customWidth="1"/>
    <col min="7425" max="7425" width="13.89453125" style="18" customWidth="1"/>
    <col min="7426" max="7426" width="12" style="18" customWidth="1"/>
    <col min="7427" max="7427" width="0" style="18" hidden="1" customWidth="1"/>
    <col min="7428" max="7428" width="14" style="18" customWidth="1"/>
    <col min="7429" max="7679" width="9.1015625" style="18"/>
    <col min="7680" max="7680" width="10.734375" style="18" customWidth="1"/>
    <col min="7681" max="7681" width="13.89453125" style="18" customWidth="1"/>
    <col min="7682" max="7682" width="12" style="18" customWidth="1"/>
    <col min="7683" max="7683" width="0" style="18" hidden="1" customWidth="1"/>
    <col min="7684" max="7684" width="14" style="18" customWidth="1"/>
    <col min="7685" max="7935" width="9.1015625" style="18"/>
    <col min="7936" max="7936" width="10.734375" style="18" customWidth="1"/>
    <col min="7937" max="7937" width="13.89453125" style="18" customWidth="1"/>
    <col min="7938" max="7938" width="12" style="18" customWidth="1"/>
    <col min="7939" max="7939" width="0" style="18" hidden="1" customWidth="1"/>
    <col min="7940" max="7940" width="14" style="18" customWidth="1"/>
    <col min="7941" max="8191" width="9.1015625" style="18"/>
    <col min="8192" max="8192" width="10.734375" style="18" customWidth="1"/>
    <col min="8193" max="8193" width="13.89453125" style="18" customWidth="1"/>
    <col min="8194" max="8194" width="12" style="18" customWidth="1"/>
    <col min="8195" max="8195" width="0" style="18" hidden="1" customWidth="1"/>
    <col min="8196" max="8196" width="14" style="18" customWidth="1"/>
    <col min="8197" max="8447" width="9.1015625" style="18"/>
    <col min="8448" max="8448" width="10.734375" style="18" customWidth="1"/>
    <col min="8449" max="8449" width="13.89453125" style="18" customWidth="1"/>
    <col min="8450" max="8450" width="12" style="18" customWidth="1"/>
    <col min="8451" max="8451" width="0" style="18" hidden="1" customWidth="1"/>
    <col min="8452" max="8452" width="14" style="18" customWidth="1"/>
    <col min="8453" max="8703" width="9.1015625" style="18"/>
    <col min="8704" max="8704" width="10.734375" style="18" customWidth="1"/>
    <col min="8705" max="8705" width="13.89453125" style="18" customWidth="1"/>
    <col min="8706" max="8706" width="12" style="18" customWidth="1"/>
    <col min="8707" max="8707" width="0" style="18" hidden="1" customWidth="1"/>
    <col min="8708" max="8708" width="14" style="18" customWidth="1"/>
    <col min="8709" max="8959" width="9.1015625" style="18"/>
    <col min="8960" max="8960" width="10.734375" style="18" customWidth="1"/>
    <col min="8961" max="8961" width="13.89453125" style="18" customWidth="1"/>
    <col min="8962" max="8962" width="12" style="18" customWidth="1"/>
    <col min="8963" max="8963" width="0" style="18" hidden="1" customWidth="1"/>
    <col min="8964" max="8964" width="14" style="18" customWidth="1"/>
    <col min="8965" max="9215" width="9.1015625" style="18"/>
    <col min="9216" max="9216" width="10.734375" style="18" customWidth="1"/>
    <col min="9217" max="9217" width="13.89453125" style="18" customWidth="1"/>
    <col min="9218" max="9218" width="12" style="18" customWidth="1"/>
    <col min="9219" max="9219" width="0" style="18" hidden="1" customWidth="1"/>
    <col min="9220" max="9220" width="14" style="18" customWidth="1"/>
    <col min="9221" max="9471" width="9.1015625" style="18"/>
    <col min="9472" max="9472" width="10.734375" style="18" customWidth="1"/>
    <col min="9473" max="9473" width="13.89453125" style="18" customWidth="1"/>
    <col min="9474" max="9474" width="12" style="18" customWidth="1"/>
    <col min="9475" max="9475" width="0" style="18" hidden="1" customWidth="1"/>
    <col min="9476" max="9476" width="14" style="18" customWidth="1"/>
    <col min="9477" max="9727" width="9.1015625" style="18"/>
    <col min="9728" max="9728" width="10.734375" style="18" customWidth="1"/>
    <col min="9729" max="9729" width="13.89453125" style="18" customWidth="1"/>
    <col min="9730" max="9730" width="12" style="18" customWidth="1"/>
    <col min="9731" max="9731" width="0" style="18" hidden="1" customWidth="1"/>
    <col min="9732" max="9732" width="14" style="18" customWidth="1"/>
    <col min="9733" max="9983" width="9.1015625" style="18"/>
    <col min="9984" max="9984" width="10.734375" style="18" customWidth="1"/>
    <col min="9985" max="9985" width="13.89453125" style="18" customWidth="1"/>
    <col min="9986" max="9986" width="12" style="18" customWidth="1"/>
    <col min="9987" max="9987" width="0" style="18" hidden="1" customWidth="1"/>
    <col min="9988" max="9988" width="14" style="18" customWidth="1"/>
    <col min="9989" max="10239" width="9.1015625" style="18"/>
    <col min="10240" max="10240" width="10.734375" style="18" customWidth="1"/>
    <col min="10241" max="10241" width="13.89453125" style="18" customWidth="1"/>
    <col min="10242" max="10242" width="12" style="18" customWidth="1"/>
    <col min="10243" max="10243" width="0" style="18" hidden="1" customWidth="1"/>
    <col min="10244" max="10244" width="14" style="18" customWidth="1"/>
    <col min="10245" max="10495" width="9.1015625" style="18"/>
    <col min="10496" max="10496" width="10.734375" style="18" customWidth="1"/>
    <col min="10497" max="10497" width="13.89453125" style="18" customWidth="1"/>
    <col min="10498" max="10498" width="12" style="18" customWidth="1"/>
    <col min="10499" max="10499" width="0" style="18" hidden="1" customWidth="1"/>
    <col min="10500" max="10500" width="14" style="18" customWidth="1"/>
    <col min="10501" max="10751" width="9.1015625" style="18"/>
    <col min="10752" max="10752" width="10.734375" style="18" customWidth="1"/>
    <col min="10753" max="10753" width="13.89453125" style="18" customWidth="1"/>
    <col min="10754" max="10754" width="12" style="18" customWidth="1"/>
    <col min="10755" max="10755" width="0" style="18" hidden="1" customWidth="1"/>
    <col min="10756" max="10756" width="14" style="18" customWidth="1"/>
    <col min="10757" max="11007" width="9.1015625" style="18"/>
    <col min="11008" max="11008" width="10.734375" style="18" customWidth="1"/>
    <col min="11009" max="11009" width="13.89453125" style="18" customWidth="1"/>
    <col min="11010" max="11010" width="12" style="18" customWidth="1"/>
    <col min="11011" max="11011" width="0" style="18" hidden="1" customWidth="1"/>
    <col min="11012" max="11012" width="14" style="18" customWidth="1"/>
    <col min="11013" max="11263" width="9.1015625" style="18"/>
    <col min="11264" max="11264" width="10.734375" style="18" customWidth="1"/>
    <col min="11265" max="11265" width="13.89453125" style="18" customWidth="1"/>
    <col min="11266" max="11266" width="12" style="18" customWidth="1"/>
    <col min="11267" max="11267" width="0" style="18" hidden="1" customWidth="1"/>
    <col min="11268" max="11268" width="14" style="18" customWidth="1"/>
    <col min="11269" max="11519" width="9.1015625" style="18"/>
    <col min="11520" max="11520" width="10.734375" style="18" customWidth="1"/>
    <col min="11521" max="11521" width="13.89453125" style="18" customWidth="1"/>
    <col min="11522" max="11522" width="12" style="18" customWidth="1"/>
    <col min="11523" max="11523" width="0" style="18" hidden="1" customWidth="1"/>
    <col min="11524" max="11524" width="14" style="18" customWidth="1"/>
    <col min="11525" max="11775" width="9.1015625" style="18"/>
    <col min="11776" max="11776" width="10.734375" style="18" customWidth="1"/>
    <col min="11777" max="11777" width="13.89453125" style="18" customWidth="1"/>
    <col min="11778" max="11778" width="12" style="18" customWidth="1"/>
    <col min="11779" max="11779" width="0" style="18" hidden="1" customWidth="1"/>
    <col min="11780" max="11780" width="14" style="18" customWidth="1"/>
    <col min="11781" max="12031" width="9.1015625" style="18"/>
    <col min="12032" max="12032" width="10.734375" style="18" customWidth="1"/>
    <col min="12033" max="12033" width="13.89453125" style="18" customWidth="1"/>
    <col min="12034" max="12034" width="12" style="18" customWidth="1"/>
    <col min="12035" max="12035" width="0" style="18" hidden="1" customWidth="1"/>
    <col min="12036" max="12036" width="14" style="18" customWidth="1"/>
    <col min="12037" max="12287" width="9.1015625" style="18"/>
    <col min="12288" max="12288" width="10.734375" style="18" customWidth="1"/>
    <col min="12289" max="12289" width="13.89453125" style="18" customWidth="1"/>
    <col min="12290" max="12290" width="12" style="18" customWidth="1"/>
    <col min="12291" max="12291" width="0" style="18" hidden="1" customWidth="1"/>
    <col min="12292" max="12292" width="14" style="18" customWidth="1"/>
    <col min="12293" max="12543" width="9.1015625" style="18"/>
    <col min="12544" max="12544" width="10.734375" style="18" customWidth="1"/>
    <col min="12545" max="12545" width="13.89453125" style="18" customWidth="1"/>
    <col min="12546" max="12546" width="12" style="18" customWidth="1"/>
    <col min="12547" max="12547" width="0" style="18" hidden="1" customWidth="1"/>
    <col min="12548" max="12548" width="14" style="18" customWidth="1"/>
    <col min="12549" max="12799" width="9.1015625" style="18"/>
    <col min="12800" max="12800" width="10.734375" style="18" customWidth="1"/>
    <col min="12801" max="12801" width="13.89453125" style="18" customWidth="1"/>
    <col min="12802" max="12802" width="12" style="18" customWidth="1"/>
    <col min="12803" max="12803" width="0" style="18" hidden="1" customWidth="1"/>
    <col min="12804" max="12804" width="14" style="18" customWidth="1"/>
    <col min="12805" max="13055" width="9.1015625" style="18"/>
    <col min="13056" max="13056" width="10.734375" style="18" customWidth="1"/>
    <col min="13057" max="13057" width="13.89453125" style="18" customWidth="1"/>
    <col min="13058" max="13058" width="12" style="18" customWidth="1"/>
    <col min="13059" max="13059" width="0" style="18" hidden="1" customWidth="1"/>
    <col min="13060" max="13060" width="14" style="18" customWidth="1"/>
    <col min="13061" max="13311" width="9.1015625" style="18"/>
    <col min="13312" max="13312" width="10.734375" style="18" customWidth="1"/>
    <col min="13313" max="13313" width="13.89453125" style="18" customWidth="1"/>
    <col min="13314" max="13314" width="12" style="18" customWidth="1"/>
    <col min="13315" max="13315" width="0" style="18" hidden="1" customWidth="1"/>
    <col min="13316" max="13316" width="14" style="18" customWidth="1"/>
    <col min="13317" max="13567" width="9.1015625" style="18"/>
    <col min="13568" max="13568" width="10.734375" style="18" customWidth="1"/>
    <col min="13569" max="13569" width="13.89453125" style="18" customWidth="1"/>
    <col min="13570" max="13570" width="12" style="18" customWidth="1"/>
    <col min="13571" max="13571" width="0" style="18" hidden="1" customWidth="1"/>
    <col min="13572" max="13572" width="14" style="18" customWidth="1"/>
    <col min="13573" max="13823" width="9.1015625" style="18"/>
    <col min="13824" max="13824" width="10.734375" style="18" customWidth="1"/>
    <col min="13825" max="13825" width="13.89453125" style="18" customWidth="1"/>
    <col min="13826" max="13826" width="12" style="18" customWidth="1"/>
    <col min="13827" max="13827" width="0" style="18" hidden="1" customWidth="1"/>
    <col min="13828" max="13828" width="14" style="18" customWidth="1"/>
    <col min="13829" max="14079" width="9.1015625" style="18"/>
    <col min="14080" max="14080" width="10.734375" style="18" customWidth="1"/>
    <col min="14081" max="14081" width="13.89453125" style="18" customWidth="1"/>
    <col min="14082" max="14082" width="12" style="18" customWidth="1"/>
    <col min="14083" max="14083" width="0" style="18" hidden="1" customWidth="1"/>
    <col min="14084" max="14084" width="14" style="18" customWidth="1"/>
    <col min="14085" max="14335" width="9.1015625" style="18"/>
    <col min="14336" max="14336" width="10.734375" style="18" customWidth="1"/>
    <col min="14337" max="14337" width="13.89453125" style="18" customWidth="1"/>
    <col min="14338" max="14338" width="12" style="18" customWidth="1"/>
    <col min="14339" max="14339" width="0" style="18" hidden="1" customWidth="1"/>
    <col min="14340" max="14340" width="14" style="18" customWidth="1"/>
    <col min="14341" max="14591" width="9.1015625" style="18"/>
    <col min="14592" max="14592" width="10.734375" style="18" customWidth="1"/>
    <col min="14593" max="14593" width="13.89453125" style="18" customWidth="1"/>
    <col min="14594" max="14594" width="12" style="18" customWidth="1"/>
    <col min="14595" max="14595" width="0" style="18" hidden="1" customWidth="1"/>
    <col min="14596" max="14596" width="14" style="18" customWidth="1"/>
    <col min="14597" max="14847" width="9.1015625" style="18"/>
    <col min="14848" max="14848" width="10.734375" style="18" customWidth="1"/>
    <col min="14849" max="14849" width="13.89453125" style="18" customWidth="1"/>
    <col min="14850" max="14850" width="12" style="18" customWidth="1"/>
    <col min="14851" max="14851" width="0" style="18" hidden="1" customWidth="1"/>
    <col min="14852" max="14852" width="14" style="18" customWidth="1"/>
    <col min="14853" max="15103" width="9.1015625" style="18"/>
    <col min="15104" max="15104" width="10.734375" style="18" customWidth="1"/>
    <col min="15105" max="15105" width="13.89453125" style="18" customWidth="1"/>
    <col min="15106" max="15106" width="12" style="18" customWidth="1"/>
    <col min="15107" max="15107" width="0" style="18" hidden="1" customWidth="1"/>
    <col min="15108" max="15108" width="14" style="18" customWidth="1"/>
    <col min="15109" max="15359" width="9.1015625" style="18"/>
    <col min="15360" max="15360" width="10.734375" style="18" customWidth="1"/>
    <col min="15361" max="15361" width="13.89453125" style="18" customWidth="1"/>
    <col min="15362" max="15362" width="12" style="18" customWidth="1"/>
    <col min="15363" max="15363" width="0" style="18" hidden="1" customWidth="1"/>
    <col min="15364" max="15364" width="14" style="18" customWidth="1"/>
    <col min="15365" max="15615" width="9.1015625" style="18"/>
    <col min="15616" max="15616" width="10.734375" style="18" customWidth="1"/>
    <col min="15617" max="15617" width="13.89453125" style="18" customWidth="1"/>
    <col min="15618" max="15618" width="12" style="18" customWidth="1"/>
    <col min="15619" max="15619" width="0" style="18" hidden="1" customWidth="1"/>
    <col min="15620" max="15620" width="14" style="18" customWidth="1"/>
    <col min="15621" max="15871" width="9.1015625" style="18"/>
    <col min="15872" max="15872" width="10.734375" style="18" customWidth="1"/>
    <col min="15873" max="15873" width="13.89453125" style="18" customWidth="1"/>
    <col min="15874" max="15874" width="12" style="18" customWidth="1"/>
    <col min="15875" max="15875" width="0" style="18" hidden="1" customWidth="1"/>
    <col min="15876" max="15876" width="14" style="18" customWidth="1"/>
    <col min="15877" max="16127" width="9.1015625" style="18"/>
    <col min="16128" max="16128" width="10.734375" style="18" customWidth="1"/>
    <col min="16129" max="16129" width="13.89453125" style="18" customWidth="1"/>
    <col min="16130" max="16130" width="12" style="18" customWidth="1"/>
    <col min="16131" max="16131" width="0" style="18" hidden="1" customWidth="1"/>
    <col min="16132" max="16132" width="14" style="18" customWidth="1"/>
    <col min="16133" max="16384" width="9.1015625" style="18"/>
  </cols>
  <sheetData>
    <row r="1" spans="1:15" ht="20.399999999999999" x14ac:dyDescent="0.75">
      <c r="A1" s="136" t="s">
        <v>252</v>
      </c>
      <c r="B1" s="137"/>
      <c r="C1" s="137"/>
      <c r="O1" s="7" t="s">
        <v>20</v>
      </c>
    </row>
    <row r="2" spans="1:15" x14ac:dyDescent="0.4">
      <c r="A2" s="45" t="s">
        <v>56</v>
      </c>
      <c r="B2" s="45" t="s">
        <v>57</v>
      </c>
      <c r="C2" s="45" t="s">
        <v>58</v>
      </c>
      <c r="D2" s="45" t="s">
        <v>59</v>
      </c>
    </row>
    <row r="3" spans="1:15" ht="14.4" x14ac:dyDescent="0.55000000000000004">
      <c r="A3" s="49" t="s">
        <v>60</v>
      </c>
      <c r="B3" s="49">
        <v>90</v>
      </c>
      <c r="C3" s="46">
        <f t="shared" ref="C3:C19" si="0">B3/$B$20</f>
        <v>0.2608695652173913</v>
      </c>
      <c r="D3" s="47">
        <f>C3</f>
        <v>0.2608695652173913</v>
      </c>
      <c r="E3" s="18" t="s">
        <v>175</v>
      </c>
    </row>
    <row r="4" spans="1:15" ht="14.4" x14ac:dyDescent="0.55000000000000004">
      <c r="A4" s="49" t="s">
        <v>61</v>
      </c>
      <c r="B4" s="49">
        <v>87</v>
      </c>
      <c r="C4" s="46">
        <f t="shared" si="0"/>
        <v>0.25217391304347825</v>
      </c>
      <c r="D4" s="47">
        <f>C4+D3</f>
        <v>0.51304347826086949</v>
      </c>
    </row>
    <row r="5" spans="1:15" ht="14.4" x14ac:dyDescent="0.55000000000000004">
      <c r="A5" s="49" t="s">
        <v>62</v>
      </c>
      <c r="B5" s="49">
        <v>45</v>
      </c>
      <c r="C5" s="46">
        <f t="shared" si="0"/>
        <v>0.13043478260869565</v>
      </c>
      <c r="D5" s="47">
        <f>C5+D4</f>
        <v>0.64347826086956517</v>
      </c>
    </row>
    <row r="6" spans="1:15" ht="14.4" x14ac:dyDescent="0.55000000000000004">
      <c r="A6" s="49" t="s">
        <v>63</v>
      </c>
      <c r="B6" s="49">
        <v>33</v>
      </c>
      <c r="C6" s="46">
        <f t="shared" si="0"/>
        <v>9.5652173913043481E-2</v>
      </c>
      <c r="D6" s="47">
        <f>C6+D5</f>
        <v>0.73913043478260865</v>
      </c>
    </row>
    <row r="7" spans="1:15" ht="14.4" x14ac:dyDescent="0.55000000000000004">
      <c r="A7" s="49" t="s">
        <v>64</v>
      </c>
      <c r="B7" s="49">
        <v>23</v>
      </c>
      <c r="C7" s="46">
        <f t="shared" si="0"/>
        <v>6.6666666666666666E-2</v>
      </c>
      <c r="D7" s="47">
        <f t="shared" ref="D7:D19" si="1">C7+D6</f>
        <v>0.8057971014492753</v>
      </c>
    </row>
    <row r="8" spans="1:15" ht="14.4" x14ac:dyDescent="0.55000000000000004">
      <c r="A8" s="49" t="s">
        <v>65</v>
      </c>
      <c r="B8" s="49">
        <v>18</v>
      </c>
      <c r="C8" s="46">
        <f t="shared" si="0"/>
        <v>5.2173913043478258E-2</v>
      </c>
      <c r="D8" s="47">
        <f t="shared" si="1"/>
        <v>0.85797101449275359</v>
      </c>
    </row>
    <row r="9" spans="1:15" ht="14.4" x14ac:dyDescent="0.55000000000000004">
      <c r="A9" s="49" t="s">
        <v>66</v>
      </c>
      <c r="B9" s="49">
        <v>14</v>
      </c>
      <c r="C9" s="46">
        <f t="shared" si="0"/>
        <v>4.0579710144927533E-2</v>
      </c>
      <c r="D9" s="47">
        <f t="shared" si="1"/>
        <v>0.89855072463768115</v>
      </c>
    </row>
    <row r="10" spans="1:15" ht="14.4" x14ac:dyDescent="0.55000000000000004">
      <c r="A10" s="49" t="s">
        <v>67</v>
      </c>
      <c r="B10" s="49">
        <v>13</v>
      </c>
      <c r="C10" s="46">
        <f t="shared" si="0"/>
        <v>3.7681159420289857E-2</v>
      </c>
      <c r="D10" s="47">
        <f t="shared" si="1"/>
        <v>0.93623188405797098</v>
      </c>
    </row>
    <row r="11" spans="1:15" ht="14.4" x14ac:dyDescent="0.55000000000000004">
      <c r="A11" s="49" t="s">
        <v>68</v>
      </c>
      <c r="B11" s="49">
        <v>5</v>
      </c>
      <c r="C11" s="46">
        <f t="shared" si="0"/>
        <v>1.4492753623188406E-2</v>
      </c>
      <c r="D11" s="47">
        <f t="shared" si="1"/>
        <v>0.95072463768115933</v>
      </c>
    </row>
    <row r="12" spans="1:15" ht="14.4" x14ac:dyDescent="0.55000000000000004">
      <c r="A12" s="49" t="s">
        <v>69</v>
      </c>
      <c r="B12" s="49">
        <v>4</v>
      </c>
      <c r="C12" s="46">
        <f t="shared" si="0"/>
        <v>1.1594202898550725E-2</v>
      </c>
      <c r="D12" s="47">
        <f t="shared" si="1"/>
        <v>0.96231884057971007</v>
      </c>
    </row>
    <row r="13" spans="1:15" ht="14.4" x14ac:dyDescent="0.55000000000000004">
      <c r="A13" s="49" t="s">
        <v>66</v>
      </c>
      <c r="B13" s="49">
        <v>3</v>
      </c>
      <c r="C13" s="46">
        <f t="shared" si="0"/>
        <v>8.6956521739130436E-3</v>
      </c>
      <c r="D13" s="47">
        <f t="shared" si="1"/>
        <v>0.97101449275362306</v>
      </c>
    </row>
    <row r="14" spans="1:15" ht="14.4" x14ac:dyDescent="0.55000000000000004">
      <c r="A14" s="49" t="s">
        <v>67</v>
      </c>
      <c r="B14" s="49">
        <v>3</v>
      </c>
      <c r="C14" s="46">
        <f t="shared" si="0"/>
        <v>8.6956521739130436E-3</v>
      </c>
      <c r="D14" s="47">
        <f t="shared" si="1"/>
        <v>0.97971014492753605</v>
      </c>
    </row>
    <row r="15" spans="1:15" ht="14.4" x14ac:dyDescent="0.55000000000000004">
      <c r="A15" s="49" t="s">
        <v>68</v>
      </c>
      <c r="B15" s="49">
        <v>2</v>
      </c>
      <c r="C15" s="46">
        <f t="shared" si="0"/>
        <v>5.7971014492753624E-3</v>
      </c>
      <c r="D15" s="47">
        <f t="shared" si="1"/>
        <v>0.98550724637681142</v>
      </c>
    </row>
    <row r="16" spans="1:15" ht="14.4" x14ac:dyDescent="0.55000000000000004">
      <c r="A16" s="49" t="s">
        <v>69</v>
      </c>
      <c r="B16" s="49">
        <v>2</v>
      </c>
      <c r="C16" s="46">
        <f t="shared" si="0"/>
        <v>5.7971014492753624E-3</v>
      </c>
      <c r="D16" s="47">
        <f t="shared" si="1"/>
        <v>0.99130434782608678</v>
      </c>
    </row>
    <row r="17" spans="1:4" ht="14.4" x14ac:dyDescent="0.55000000000000004">
      <c r="A17" s="49" t="s">
        <v>66</v>
      </c>
      <c r="B17" s="49">
        <v>1</v>
      </c>
      <c r="C17" s="46">
        <f t="shared" si="0"/>
        <v>2.8985507246376812E-3</v>
      </c>
      <c r="D17" s="47">
        <f t="shared" si="1"/>
        <v>0.99420289855072441</v>
      </c>
    </row>
    <row r="18" spans="1:4" ht="14.4" x14ac:dyDescent="0.55000000000000004">
      <c r="A18" s="49" t="s">
        <v>67</v>
      </c>
      <c r="B18" s="49">
        <v>1</v>
      </c>
      <c r="C18" s="46">
        <f t="shared" si="0"/>
        <v>2.8985507246376812E-3</v>
      </c>
      <c r="D18" s="47">
        <f t="shared" si="1"/>
        <v>0.99710144927536204</v>
      </c>
    </row>
    <row r="19" spans="1:4" ht="14.4" x14ac:dyDescent="0.55000000000000004">
      <c r="A19" s="49" t="s">
        <v>68</v>
      </c>
      <c r="B19" s="49">
        <v>1</v>
      </c>
      <c r="C19" s="46">
        <f t="shared" si="0"/>
        <v>2.8985507246376812E-3</v>
      </c>
      <c r="D19" s="47">
        <f t="shared" si="1"/>
        <v>0.99999999999999967</v>
      </c>
    </row>
    <row r="20" spans="1:4" x14ac:dyDescent="0.4">
      <c r="A20" s="45" t="s">
        <v>70</v>
      </c>
      <c r="B20" s="45">
        <f>SUM(B3:B19)</f>
        <v>345</v>
      </c>
    </row>
    <row r="23" spans="1:4" ht="18.3" x14ac:dyDescent="0.7">
      <c r="A23" s="136" t="s">
        <v>249</v>
      </c>
    </row>
    <row r="24" spans="1:4" ht="18.3" x14ac:dyDescent="0.7">
      <c r="A24" s="136" t="s">
        <v>251</v>
      </c>
    </row>
    <row r="25" spans="1:4" ht="18.3" x14ac:dyDescent="0.7">
      <c r="A25" s="136" t="s">
        <v>250</v>
      </c>
    </row>
  </sheetData>
  <hyperlinks>
    <hyperlink ref="O1" location="Menu!A1" display="Return to menu" xr:uid="{00000000-0004-0000-1600-000000000000}"/>
  </hyperlinks>
  <pageMargins left="0.75" right="0.75" top="1" bottom="1" header="0.5" footer="0.5"/>
  <pageSetup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M83"/>
  <sheetViews>
    <sheetView zoomScale="85" zoomScaleNormal="85" workbookViewId="0">
      <selection activeCell="M1" sqref="M1"/>
    </sheetView>
  </sheetViews>
  <sheetFormatPr defaultRowHeight="12.3" x14ac:dyDescent="0.4"/>
  <cols>
    <col min="1" max="4" width="14.26171875" style="18" customWidth="1"/>
    <col min="5" max="5" width="19.26171875" style="18" bestFit="1" customWidth="1"/>
    <col min="6" max="6" width="16.734375" style="18" customWidth="1"/>
    <col min="7" max="7" width="12.3671875" style="43" customWidth="1"/>
    <col min="8" max="11" width="12.3671875" style="44" customWidth="1"/>
    <col min="12" max="12" width="9.1015625" style="18"/>
    <col min="13" max="13" width="21.62890625" style="18" bestFit="1" customWidth="1"/>
    <col min="14" max="257" width="9.1015625" style="18"/>
    <col min="258" max="260" width="14.26171875" style="18" customWidth="1"/>
    <col min="261" max="261" width="12.3671875" style="18" customWidth="1"/>
    <col min="262" max="262" width="14.26171875" style="18" customWidth="1"/>
    <col min="263" max="267" width="12.3671875" style="18" customWidth="1"/>
    <col min="268" max="513" width="9.1015625" style="18"/>
    <col min="514" max="516" width="14.26171875" style="18" customWidth="1"/>
    <col min="517" max="517" width="12.3671875" style="18" customWidth="1"/>
    <col min="518" max="518" width="14.26171875" style="18" customWidth="1"/>
    <col min="519" max="523" width="12.3671875" style="18" customWidth="1"/>
    <col min="524" max="769" width="9.1015625" style="18"/>
    <col min="770" max="772" width="14.26171875" style="18" customWidth="1"/>
    <col min="773" max="773" width="12.3671875" style="18" customWidth="1"/>
    <col min="774" max="774" width="14.26171875" style="18" customWidth="1"/>
    <col min="775" max="779" width="12.3671875" style="18" customWidth="1"/>
    <col min="780" max="1025" width="9.1015625" style="18"/>
    <col min="1026" max="1028" width="14.26171875" style="18" customWidth="1"/>
    <col min="1029" max="1029" width="12.3671875" style="18" customWidth="1"/>
    <col min="1030" max="1030" width="14.26171875" style="18" customWidth="1"/>
    <col min="1031" max="1035" width="12.3671875" style="18" customWidth="1"/>
    <col min="1036" max="1281" width="9.1015625" style="18"/>
    <col min="1282" max="1284" width="14.26171875" style="18" customWidth="1"/>
    <col min="1285" max="1285" width="12.3671875" style="18" customWidth="1"/>
    <col min="1286" max="1286" width="14.26171875" style="18" customWidth="1"/>
    <col min="1287" max="1291" width="12.3671875" style="18" customWidth="1"/>
    <col min="1292" max="1537" width="9.1015625" style="18"/>
    <col min="1538" max="1540" width="14.26171875" style="18" customWidth="1"/>
    <col min="1541" max="1541" width="12.3671875" style="18" customWidth="1"/>
    <col min="1542" max="1542" width="14.26171875" style="18" customWidth="1"/>
    <col min="1543" max="1547" width="12.3671875" style="18" customWidth="1"/>
    <col min="1548" max="1793" width="9.1015625" style="18"/>
    <col min="1794" max="1796" width="14.26171875" style="18" customWidth="1"/>
    <col min="1797" max="1797" width="12.3671875" style="18" customWidth="1"/>
    <col min="1798" max="1798" width="14.26171875" style="18" customWidth="1"/>
    <col min="1799" max="1803" width="12.3671875" style="18" customWidth="1"/>
    <col min="1804" max="2049" width="9.1015625" style="18"/>
    <col min="2050" max="2052" width="14.26171875" style="18" customWidth="1"/>
    <col min="2053" max="2053" width="12.3671875" style="18" customWidth="1"/>
    <col min="2054" max="2054" width="14.26171875" style="18" customWidth="1"/>
    <col min="2055" max="2059" width="12.3671875" style="18" customWidth="1"/>
    <col min="2060" max="2305" width="9.1015625" style="18"/>
    <col min="2306" max="2308" width="14.26171875" style="18" customWidth="1"/>
    <col min="2309" max="2309" width="12.3671875" style="18" customWidth="1"/>
    <col min="2310" max="2310" width="14.26171875" style="18" customWidth="1"/>
    <col min="2311" max="2315" width="12.3671875" style="18" customWidth="1"/>
    <col min="2316" max="2561" width="9.1015625" style="18"/>
    <col min="2562" max="2564" width="14.26171875" style="18" customWidth="1"/>
    <col min="2565" max="2565" width="12.3671875" style="18" customWidth="1"/>
    <col min="2566" max="2566" width="14.26171875" style="18" customWidth="1"/>
    <col min="2567" max="2571" width="12.3671875" style="18" customWidth="1"/>
    <col min="2572" max="2817" width="9.1015625" style="18"/>
    <col min="2818" max="2820" width="14.26171875" style="18" customWidth="1"/>
    <col min="2821" max="2821" width="12.3671875" style="18" customWidth="1"/>
    <col min="2822" max="2822" width="14.26171875" style="18" customWidth="1"/>
    <col min="2823" max="2827" width="12.3671875" style="18" customWidth="1"/>
    <col min="2828" max="3073" width="9.1015625" style="18"/>
    <col min="3074" max="3076" width="14.26171875" style="18" customWidth="1"/>
    <col min="3077" max="3077" width="12.3671875" style="18" customWidth="1"/>
    <col min="3078" max="3078" width="14.26171875" style="18" customWidth="1"/>
    <col min="3079" max="3083" width="12.3671875" style="18" customWidth="1"/>
    <col min="3084" max="3329" width="9.1015625" style="18"/>
    <col min="3330" max="3332" width="14.26171875" style="18" customWidth="1"/>
    <col min="3333" max="3333" width="12.3671875" style="18" customWidth="1"/>
    <col min="3334" max="3334" width="14.26171875" style="18" customWidth="1"/>
    <col min="3335" max="3339" width="12.3671875" style="18" customWidth="1"/>
    <col min="3340" max="3585" width="9.1015625" style="18"/>
    <col min="3586" max="3588" width="14.26171875" style="18" customWidth="1"/>
    <col min="3589" max="3589" width="12.3671875" style="18" customWidth="1"/>
    <col min="3590" max="3590" width="14.26171875" style="18" customWidth="1"/>
    <col min="3591" max="3595" width="12.3671875" style="18" customWidth="1"/>
    <col min="3596" max="3841" width="9.1015625" style="18"/>
    <col min="3842" max="3844" width="14.26171875" style="18" customWidth="1"/>
    <col min="3845" max="3845" width="12.3671875" style="18" customWidth="1"/>
    <col min="3846" max="3846" width="14.26171875" style="18" customWidth="1"/>
    <col min="3847" max="3851" width="12.3671875" style="18" customWidth="1"/>
    <col min="3852" max="4097" width="9.1015625" style="18"/>
    <col min="4098" max="4100" width="14.26171875" style="18" customWidth="1"/>
    <col min="4101" max="4101" width="12.3671875" style="18" customWidth="1"/>
    <col min="4102" max="4102" width="14.26171875" style="18" customWidth="1"/>
    <col min="4103" max="4107" width="12.3671875" style="18" customWidth="1"/>
    <col min="4108" max="4353" width="9.1015625" style="18"/>
    <col min="4354" max="4356" width="14.26171875" style="18" customWidth="1"/>
    <col min="4357" max="4357" width="12.3671875" style="18" customWidth="1"/>
    <col min="4358" max="4358" width="14.26171875" style="18" customWidth="1"/>
    <col min="4359" max="4363" width="12.3671875" style="18" customWidth="1"/>
    <col min="4364" max="4609" width="9.1015625" style="18"/>
    <col min="4610" max="4612" width="14.26171875" style="18" customWidth="1"/>
    <col min="4613" max="4613" width="12.3671875" style="18" customWidth="1"/>
    <col min="4614" max="4614" width="14.26171875" style="18" customWidth="1"/>
    <col min="4615" max="4619" width="12.3671875" style="18" customWidth="1"/>
    <col min="4620" max="4865" width="9.1015625" style="18"/>
    <col min="4866" max="4868" width="14.26171875" style="18" customWidth="1"/>
    <col min="4869" max="4869" width="12.3671875" style="18" customWidth="1"/>
    <col min="4870" max="4870" width="14.26171875" style="18" customWidth="1"/>
    <col min="4871" max="4875" width="12.3671875" style="18" customWidth="1"/>
    <col min="4876" max="5121" width="9.1015625" style="18"/>
    <col min="5122" max="5124" width="14.26171875" style="18" customWidth="1"/>
    <col min="5125" max="5125" width="12.3671875" style="18" customWidth="1"/>
    <col min="5126" max="5126" width="14.26171875" style="18" customWidth="1"/>
    <col min="5127" max="5131" width="12.3671875" style="18" customWidth="1"/>
    <col min="5132" max="5377" width="9.1015625" style="18"/>
    <col min="5378" max="5380" width="14.26171875" style="18" customWidth="1"/>
    <col min="5381" max="5381" width="12.3671875" style="18" customWidth="1"/>
    <col min="5382" max="5382" width="14.26171875" style="18" customWidth="1"/>
    <col min="5383" max="5387" width="12.3671875" style="18" customWidth="1"/>
    <col min="5388" max="5633" width="9.1015625" style="18"/>
    <col min="5634" max="5636" width="14.26171875" style="18" customWidth="1"/>
    <col min="5637" max="5637" width="12.3671875" style="18" customWidth="1"/>
    <col min="5638" max="5638" width="14.26171875" style="18" customWidth="1"/>
    <col min="5639" max="5643" width="12.3671875" style="18" customWidth="1"/>
    <col min="5644" max="5889" width="9.1015625" style="18"/>
    <col min="5890" max="5892" width="14.26171875" style="18" customWidth="1"/>
    <col min="5893" max="5893" width="12.3671875" style="18" customWidth="1"/>
    <col min="5894" max="5894" width="14.26171875" style="18" customWidth="1"/>
    <col min="5895" max="5899" width="12.3671875" style="18" customWidth="1"/>
    <col min="5900" max="6145" width="9.1015625" style="18"/>
    <col min="6146" max="6148" width="14.26171875" style="18" customWidth="1"/>
    <col min="6149" max="6149" width="12.3671875" style="18" customWidth="1"/>
    <col min="6150" max="6150" width="14.26171875" style="18" customWidth="1"/>
    <col min="6151" max="6155" width="12.3671875" style="18" customWidth="1"/>
    <col min="6156" max="6401" width="9.1015625" style="18"/>
    <col min="6402" max="6404" width="14.26171875" style="18" customWidth="1"/>
    <col min="6405" max="6405" width="12.3671875" style="18" customWidth="1"/>
    <col min="6406" max="6406" width="14.26171875" style="18" customWidth="1"/>
    <col min="6407" max="6411" width="12.3671875" style="18" customWidth="1"/>
    <col min="6412" max="6657" width="9.1015625" style="18"/>
    <col min="6658" max="6660" width="14.26171875" style="18" customWidth="1"/>
    <col min="6661" max="6661" width="12.3671875" style="18" customWidth="1"/>
    <col min="6662" max="6662" width="14.26171875" style="18" customWidth="1"/>
    <col min="6663" max="6667" width="12.3671875" style="18" customWidth="1"/>
    <col min="6668" max="6913" width="9.1015625" style="18"/>
    <col min="6914" max="6916" width="14.26171875" style="18" customWidth="1"/>
    <col min="6917" max="6917" width="12.3671875" style="18" customWidth="1"/>
    <col min="6918" max="6918" width="14.26171875" style="18" customWidth="1"/>
    <col min="6919" max="6923" width="12.3671875" style="18" customWidth="1"/>
    <col min="6924" max="7169" width="9.1015625" style="18"/>
    <col min="7170" max="7172" width="14.26171875" style="18" customWidth="1"/>
    <col min="7173" max="7173" width="12.3671875" style="18" customWidth="1"/>
    <col min="7174" max="7174" width="14.26171875" style="18" customWidth="1"/>
    <col min="7175" max="7179" width="12.3671875" style="18" customWidth="1"/>
    <col min="7180" max="7425" width="9.1015625" style="18"/>
    <col min="7426" max="7428" width="14.26171875" style="18" customWidth="1"/>
    <col min="7429" max="7429" width="12.3671875" style="18" customWidth="1"/>
    <col min="7430" max="7430" width="14.26171875" style="18" customWidth="1"/>
    <col min="7431" max="7435" width="12.3671875" style="18" customWidth="1"/>
    <col min="7436" max="7681" width="9.1015625" style="18"/>
    <col min="7682" max="7684" width="14.26171875" style="18" customWidth="1"/>
    <col min="7685" max="7685" width="12.3671875" style="18" customWidth="1"/>
    <col min="7686" max="7686" width="14.26171875" style="18" customWidth="1"/>
    <col min="7687" max="7691" width="12.3671875" style="18" customWidth="1"/>
    <col min="7692" max="7937" width="9.1015625" style="18"/>
    <col min="7938" max="7940" width="14.26171875" style="18" customWidth="1"/>
    <col min="7941" max="7941" width="12.3671875" style="18" customWidth="1"/>
    <col min="7942" max="7942" width="14.26171875" style="18" customWidth="1"/>
    <col min="7943" max="7947" width="12.3671875" style="18" customWidth="1"/>
    <col min="7948" max="8193" width="9.1015625" style="18"/>
    <col min="8194" max="8196" width="14.26171875" style="18" customWidth="1"/>
    <col min="8197" max="8197" width="12.3671875" style="18" customWidth="1"/>
    <col min="8198" max="8198" width="14.26171875" style="18" customWidth="1"/>
    <col min="8199" max="8203" width="12.3671875" style="18" customWidth="1"/>
    <col min="8204" max="8449" width="9.1015625" style="18"/>
    <col min="8450" max="8452" width="14.26171875" style="18" customWidth="1"/>
    <col min="8453" max="8453" width="12.3671875" style="18" customWidth="1"/>
    <col min="8454" max="8454" width="14.26171875" style="18" customWidth="1"/>
    <col min="8455" max="8459" width="12.3671875" style="18" customWidth="1"/>
    <col min="8460" max="8705" width="9.1015625" style="18"/>
    <col min="8706" max="8708" width="14.26171875" style="18" customWidth="1"/>
    <col min="8709" max="8709" width="12.3671875" style="18" customWidth="1"/>
    <col min="8710" max="8710" width="14.26171875" style="18" customWidth="1"/>
    <col min="8711" max="8715" width="12.3671875" style="18" customWidth="1"/>
    <col min="8716" max="8961" width="9.1015625" style="18"/>
    <col min="8962" max="8964" width="14.26171875" style="18" customWidth="1"/>
    <col min="8965" max="8965" width="12.3671875" style="18" customWidth="1"/>
    <col min="8966" max="8966" width="14.26171875" style="18" customWidth="1"/>
    <col min="8967" max="8971" width="12.3671875" style="18" customWidth="1"/>
    <col min="8972" max="9217" width="9.1015625" style="18"/>
    <col min="9218" max="9220" width="14.26171875" style="18" customWidth="1"/>
    <col min="9221" max="9221" width="12.3671875" style="18" customWidth="1"/>
    <col min="9222" max="9222" width="14.26171875" style="18" customWidth="1"/>
    <col min="9223" max="9227" width="12.3671875" style="18" customWidth="1"/>
    <col min="9228" max="9473" width="9.1015625" style="18"/>
    <col min="9474" max="9476" width="14.26171875" style="18" customWidth="1"/>
    <col min="9477" max="9477" width="12.3671875" style="18" customWidth="1"/>
    <col min="9478" max="9478" width="14.26171875" style="18" customWidth="1"/>
    <col min="9479" max="9483" width="12.3671875" style="18" customWidth="1"/>
    <col min="9484" max="9729" width="9.1015625" style="18"/>
    <col min="9730" max="9732" width="14.26171875" style="18" customWidth="1"/>
    <col min="9733" max="9733" width="12.3671875" style="18" customWidth="1"/>
    <col min="9734" max="9734" width="14.26171875" style="18" customWidth="1"/>
    <col min="9735" max="9739" width="12.3671875" style="18" customWidth="1"/>
    <col min="9740" max="9985" width="9.1015625" style="18"/>
    <col min="9986" max="9988" width="14.26171875" style="18" customWidth="1"/>
    <col min="9989" max="9989" width="12.3671875" style="18" customWidth="1"/>
    <col min="9990" max="9990" width="14.26171875" style="18" customWidth="1"/>
    <col min="9991" max="9995" width="12.3671875" style="18" customWidth="1"/>
    <col min="9996" max="10241" width="9.1015625" style="18"/>
    <col min="10242" max="10244" width="14.26171875" style="18" customWidth="1"/>
    <col min="10245" max="10245" width="12.3671875" style="18" customWidth="1"/>
    <col min="10246" max="10246" width="14.26171875" style="18" customWidth="1"/>
    <col min="10247" max="10251" width="12.3671875" style="18" customWidth="1"/>
    <col min="10252" max="10497" width="9.1015625" style="18"/>
    <col min="10498" max="10500" width="14.26171875" style="18" customWidth="1"/>
    <col min="10501" max="10501" width="12.3671875" style="18" customWidth="1"/>
    <col min="10502" max="10502" width="14.26171875" style="18" customWidth="1"/>
    <col min="10503" max="10507" width="12.3671875" style="18" customWidth="1"/>
    <col min="10508" max="10753" width="9.1015625" style="18"/>
    <col min="10754" max="10756" width="14.26171875" style="18" customWidth="1"/>
    <col min="10757" max="10757" width="12.3671875" style="18" customWidth="1"/>
    <col min="10758" max="10758" width="14.26171875" style="18" customWidth="1"/>
    <col min="10759" max="10763" width="12.3671875" style="18" customWidth="1"/>
    <col min="10764" max="11009" width="9.1015625" style="18"/>
    <col min="11010" max="11012" width="14.26171875" style="18" customWidth="1"/>
    <col min="11013" max="11013" width="12.3671875" style="18" customWidth="1"/>
    <col min="11014" max="11014" width="14.26171875" style="18" customWidth="1"/>
    <col min="11015" max="11019" width="12.3671875" style="18" customWidth="1"/>
    <col min="11020" max="11265" width="9.1015625" style="18"/>
    <col min="11266" max="11268" width="14.26171875" style="18" customWidth="1"/>
    <col min="11269" max="11269" width="12.3671875" style="18" customWidth="1"/>
    <col min="11270" max="11270" width="14.26171875" style="18" customWidth="1"/>
    <col min="11271" max="11275" width="12.3671875" style="18" customWidth="1"/>
    <col min="11276" max="11521" width="9.1015625" style="18"/>
    <col min="11522" max="11524" width="14.26171875" style="18" customWidth="1"/>
    <col min="11525" max="11525" width="12.3671875" style="18" customWidth="1"/>
    <col min="11526" max="11526" width="14.26171875" style="18" customWidth="1"/>
    <col min="11527" max="11531" width="12.3671875" style="18" customWidth="1"/>
    <col min="11532" max="11777" width="9.1015625" style="18"/>
    <col min="11778" max="11780" width="14.26171875" style="18" customWidth="1"/>
    <col min="11781" max="11781" width="12.3671875" style="18" customWidth="1"/>
    <col min="11782" max="11782" width="14.26171875" style="18" customWidth="1"/>
    <col min="11783" max="11787" width="12.3671875" style="18" customWidth="1"/>
    <col min="11788" max="12033" width="9.1015625" style="18"/>
    <col min="12034" max="12036" width="14.26171875" style="18" customWidth="1"/>
    <col min="12037" max="12037" width="12.3671875" style="18" customWidth="1"/>
    <col min="12038" max="12038" width="14.26171875" style="18" customWidth="1"/>
    <col min="12039" max="12043" width="12.3671875" style="18" customWidth="1"/>
    <col min="12044" max="12289" width="9.1015625" style="18"/>
    <col min="12290" max="12292" width="14.26171875" style="18" customWidth="1"/>
    <col min="12293" max="12293" width="12.3671875" style="18" customWidth="1"/>
    <col min="12294" max="12294" width="14.26171875" style="18" customWidth="1"/>
    <col min="12295" max="12299" width="12.3671875" style="18" customWidth="1"/>
    <col min="12300" max="12545" width="9.1015625" style="18"/>
    <col min="12546" max="12548" width="14.26171875" style="18" customWidth="1"/>
    <col min="12549" max="12549" width="12.3671875" style="18" customWidth="1"/>
    <col min="12550" max="12550" width="14.26171875" style="18" customWidth="1"/>
    <col min="12551" max="12555" width="12.3671875" style="18" customWidth="1"/>
    <col min="12556" max="12801" width="9.1015625" style="18"/>
    <col min="12802" max="12804" width="14.26171875" style="18" customWidth="1"/>
    <col min="12805" max="12805" width="12.3671875" style="18" customWidth="1"/>
    <col min="12806" max="12806" width="14.26171875" style="18" customWidth="1"/>
    <col min="12807" max="12811" width="12.3671875" style="18" customWidth="1"/>
    <col min="12812" max="13057" width="9.1015625" style="18"/>
    <col min="13058" max="13060" width="14.26171875" style="18" customWidth="1"/>
    <col min="13061" max="13061" width="12.3671875" style="18" customWidth="1"/>
    <col min="13062" max="13062" width="14.26171875" style="18" customWidth="1"/>
    <col min="13063" max="13067" width="12.3671875" style="18" customWidth="1"/>
    <col min="13068" max="13313" width="9.1015625" style="18"/>
    <col min="13314" max="13316" width="14.26171875" style="18" customWidth="1"/>
    <col min="13317" max="13317" width="12.3671875" style="18" customWidth="1"/>
    <col min="13318" max="13318" width="14.26171875" style="18" customWidth="1"/>
    <col min="13319" max="13323" width="12.3671875" style="18" customWidth="1"/>
    <col min="13324" max="13569" width="9.1015625" style="18"/>
    <col min="13570" max="13572" width="14.26171875" style="18" customWidth="1"/>
    <col min="13573" max="13573" width="12.3671875" style="18" customWidth="1"/>
    <col min="13574" max="13574" width="14.26171875" style="18" customWidth="1"/>
    <col min="13575" max="13579" width="12.3671875" style="18" customWidth="1"/>
    <col min="13580" max="13825" width="9.1015625" style="18"/>
    <col min="13826" max="13828" width="14.26171875" style="18" customWidth="1"/>
    <col min="13829" max="13829" width="12.3671875" style="18" customWidth="1"/>
    <col min="13830" max="13830" width="14.26171875" style="18" customWidth="1"/>
    <col min="13831" max="13835" width="12.3671875" style="18" customWidth="1"/>
    <col min="13836" max="14081" width="9.1015625" style="18"/>
    <col min="14082" max="14084" width="14.26171875" style="18" customWidth="1"/>
    <col min="14085" max="14085" width="12.3671875" style="18" customWidth="1"/>
    <col min="14086" max="14086" width="14.26171875" style="18" customWidth="1"/>
    <col min="14087" max="14091" width="12.3671875" style="18" customWidth="1"/>
    <col min="14092" max="14337" width="9.1015625" style="18"/>
    <col min="14338" max="14340" width="14.26171875" style="18" customWidth="1"/>
    <col min="14341" max="14341" width="12.3671875" style="18" customWidth="1"/>
    <col min="14342" max="14342" width="14.26171875" style="18" customWidth="1"/>
    <col min="14343" max="14347" width="12.3671875" style="18" customWidth="1"/>
    <col min="14348" max="14593" width="9.1015625" style="18"/>
    <col min="14594" max="14596" width="14.26171875" style="18" customWidth="1"/>
    <col min="14597" max="14597" width="12.3671875" style="18" customWidth="1"/>
    <col min="14598" max="14598" width="14.26171875" style="18" customWidth="1"/>
    <col min="14599" max="14603" width="12.3671875" style="18" customWidth="1"/>
    <col min="14604" max="14849" width="9.1015625" style="18"/>
    <col min="14850" max="14852" width="14.26171875" style="18" customWidth="1"/>
    <col min="14853" max="14853" width="12.3671875" style="18" customWidth="1"/>
    <col min="14854" max="14854" width="14.26171875" style="18" customWidth="1"/>
    <col min="14855" max="14859" width="12.3671875" style="18" customWidth="1"/>
    <col min="14860" max="15105" width="9.1015625" style="18"/>
    <col min="15106" max="15108" width="14.26171875" style="18" customWidth="1"/>
    <col min="15109" max="15109" width="12.3671875" style="18" customWidth="1"/>
    <col min="15110" max="15110" width="14.26171875" style="18" customWidth="1"/>
    <col min="15111" max="15115" width="12.3671875" style="18" customWidth="1"/>
    <col min="15116" max="15361" width="9.1015625" style="18"/>
    <col min="15362" max="15364" width="14.26171875" style="18" customWidth="1"/>
    <col min="15365" max="15365" width="12.3671875" style="18" customWidth="1"/>
    <col min="15366" max="15366" width="14.26171875" style="18" customWidth="1"/>
    <col min="15367" max="15371" width="12.3671875" style="18" customWidth="1"/>
    <col min="15372" max="15617" width="9.1015625" style="18"/>
    <col min="15618" max="15620" width="14.26171875" style="18" customWidth="1"/>
    <col min="15621" max="15621" width="12.3671875" style="18" customWidth="1"/>
    <col min="15622" max="15622" width="14.26171875" style="18" customWidth="1"/>
    <col min="15623" max="15627" width="12.3671875" style="18" customWidth="1"/>
    <col min="15628" max="15873" width="9.1015625" style="18"/>
    <col min="15874" max="15876" width="14.26171875" style="18" customWidth="1"/>
    <col min="15877" max="15877" width="12.3671875" style="18" customWidth="1"/>
    <col min="15878" max="15878" width="14.26171875" style="18" customWidth="1"/>
    <col min="15879" max="15883" width="12.3671875" style="18" customWidth="1"/>
    <col min="15884" max="16129" width="9.1015625" style="18"/>
    <col min="16130" max="16132" width="14.26171875" style="18" customWidth="1"/>
    <col min="16133" max="16133" width="12.3671875" style="18" customWidth="1"/>
    <col min="16134" max="16134" width="14.26171875" style="18" customWidth="1"/>
    <col min="16135" max="16139" width="12.3671875" style="18" customWidth="1"/>
    <col min="16140" max="16384" width="9.1015625" style="18"/>
  </cols>
  <sheetData>
    <row r="1" spans="1:13" s="19" customFormat="1" ht="20.399999999999999" x14ac:dyDescent="0.75">
      <c r="A1" s="19" t="s">
        <v>52</v>
      </c>
      <c r="B1" s="18"/>
      <c r="C1" s="18"/>
      <c r="D1" s="18"/>
      <c r="F1" s="18"/>
      <c r="G1" s="20"/>
      <c r="H1" s="21"/>
      <c r="I1" s="21"/>
      <c r="J1" s="21"/>
      <c r="K1" s="21"/>
      <c r="M1" s="7" t="s">
        <v>20</v>
      </c>
    </row>
    <row r="2" spans="1:13" s="23" customFormat="1" ht="15" x14ac:dyDescent="0.5">
      <c r="A2" s="18"/>
      <c r="B2" s="18"/>
      <c r="C2" s="18"/>
      <c r="D2" s="18"/>
      <c r="E2" s="22"/>
      <c r="F2" s="18"/>
      <c r="G2" s="685" t="s">
        <v>255</v>
      </c>
      <c r="H2" s="685"/>
      <c r="I2" s="685"/>
      <c r="J2" s="685"/>
      <c r="K2" s="685"/>
    </row>
    <row r="3" spans="1:13" s="28" customFormat="1" ht="10.5" x14ac:dyDescent="0.4">
      <c r="A3" s="24" t="s">
        <v>253</v>
      </c>
      <c r="B3" s="24" t="s">
        <v>54</v>
      </c>
      <c r="C3" s="24" t="s">
        <v>254</v>
      </c>
      <c r="D3" s="24" t="s">
        <v>256</v>
      </c>
      <c r="E3" s="25" t="s">
        <v>257</v>
      </c>
      <c r="F3" s="25" t="s">
        <v>257</v>
      </c>
      <c r="G3" s="26" t="s">
        <v>53</v>
      </c>
      <c r="H3" s="27" t="s">
        <v>53</v>
      </c>
      <c r="I3" s="27" t="s">
        <v>53</v>
      </c>
      <c r="J3" s="27" t="s">
        <v>53</v>
      </c>
      <c r="K3" s="27" t="s">
        <v>53</v>
      </c>
    </row>
    <row r="4" spans="1:13" s="28" customFormat="1" ht="10.5" x14ac:dyDescent="0.4">
      <c r="A4" s="24"/>
      <c r="B4" s="24"/>
      <c r="C4" s="24" t="s">
        <v>55</v>
      </c>
      <c r="D4" s="24"/>
      <c r="E4" s="25" t="s">
        <v>258</v>
      </c>
      <c r="F4" s="25" t="s">
        <v>259</v>
      </c>
      <c r="G4" s="26">
        <v>1000000</v>
      </c>
      <c r="H4" s="26">
        <v>100000</v>
      </c>
      <c r="I4" s="26">
        <v>10000</v>
      </c>
      <c r="J4" s="27">
        <v>1000</v>
      </c>
      <c r="K4" s="27">
        <v>100</v>
      </c>
    </row>
    <row r="5" spans="1:13" s="28" customFormat="1" ht="10.5" x14ac:dyDescent="0.4">
      <c r="A5" s="31">
        <f t="shared" ref="A5:A36" si="0">C5-0.5</f>
        <v>1.5</v>
      </c>
      <c r="B5" s="29">
        <f t="shared" ref="B5:B36" si="1">NORMSDIST(F5)</f>
        <v>0.99999660232687526</v>
      </c>
      <c r="C5" s="30">
        <f>E5/3</f>
        <v>2</v>
      </c>
      <c r="D5" s="29">
        <f>NORMSDIST(E5)</f>
        <v>0.9999999990134123</v>
      </c>
      <c r="E5" s="32">
        <v>6</v>
      </c>
      <c r="F5" s="33">
        <f t="shared" ref="F5:F55" si="2">E5-1.5</f>
        <v>4.5</v>
      </c>
      <c r="G5" s="34">
        <f>(1-B5)*1000000</f>
        <v>3.3976731247387093</v>
      </c>
      <c r="H5" s="34">
        <f t="shared" ref="H5:J28" si="3">G5/10</f>
        <v>0.33976731247387093</v>
      </c>
      <c r="I5" s="35">
        <f>H5/10</f>
        <v>3.3976731247387093E-2</v>
      </c>
      <c r="J5" s="36">
        <f>I5/10</f>
        <v>3.3976731247387093E-3</v>
      </c>
      <c r="K5" s="37">
        <f t="shared" ref="K5:K28" si="4">J5/10</f>
        <v>3.3976731247387093E-4</v>
      </c>
    </row>
    <row r="6" spans="1:13" s="28" customFormat="1" ht="10.5" x14ac:dyDescent="0.4">
      <c r="A6" s="31">
        <f t="shared" si="0"/>
        <v>1.4333333333333333</v>
      </c>
      <c r="B6" s="29">
        <f t="shared" si="1"/>
        <v>0.99999146009452899</v>
      </c>
      <c r="C6" s="30">
        <f t="shared" ref="C6:C55" si="5">E6/3</f>
        <v>1.9333333333333333</v>
      </c>
      <c r="D6" s="29">
        <f t="shared" ref="D6:D69" si="6">NORMSDIST(E6)</f>
        <v>0.99999999668425399</v>
      </c>
      <c r="E6" s="32">
        <v>5.8</v>
      </c>
      <c r="F6" s="33">
        <f t="shared" si="2"/>
        <v>4.3</v>
      </c>
      <c r="G6" s="38">
        <f>(1-B6)*1000000</f>
        <v>8.5399054710055822</v>
      </c>
      <c r="H6" s="34">
        <f t="shared" si="3"/>
        <v>0.85399054710055822</v>
      </c>
      <c r="I6" s="35">
        <f t="shared" si="3"/>
        <v>8.5399054710055822E-2</v>
      </c>
      <c r="J6" s="35">
        <f t="shared" si="3"/>
        <v>8.5399054710055822E-3</v>
      </c>
      <c r="K6" s="36">
        <f t="shared" si="4"/>
        <v>8.5399054710055822E-4</v>
      </c>
    </row>
    <row r="7" spans="1:13" s="28" customFormat="1" ht="10.5" x14ac:dyDescent="0.4">
      <c r="A7" s="31">
        <f t="shared" si="0"/>
        <v>1.3666666666666665</v>
      </c>
      <c r="B7" s="29">
        <f t="shared" si="1"/>
        <v>0.99997934249308751</v>
      </c>
      <c r="C7" s="30">
        <f t="shared" si="5"/>
        <v>1.8666666666666665</v>
      </c>
      <c r="D7" s="29">
        <f t="shared" si="6"/>
        <v>0.99999998928240974</v>
      </c>
      <c r="E7" s="32">
        <v>5.6</v>
      </c>
      <c r="F7" s="33">
        <f t="shared" si="2"/>
        <v>4.0999999999999996</v>
      </c>
      <c r="G7" s="38">
        <f>(1-B7)*1000000</f>
        <v>20.657506912491463</v>
      </c>
      <c r="H7" s="39">
        <f t="shared" si="3"/>
        <v>2.0657506912491463</v>
      </c>
      <c r="I7" s="35">
        <f t="shared" si="3"/>
        <v>0.20657506912491463</v>
      </c>
      <c r="J7" s="40">
        <f t="shared" si="3"/>
        <v>2.0657506912491463E-2</v>
      </c>
      <c r="K7" s="35">
        <f t="shared" si="4"/>
        <v>2.0657506912491463E-3</v>
      </c>
    </row>
    <row r="8" spans="1:13" s="28" customFormat="1" ht="10.5" x14ac:dyDescent="0.4">
      <c r="A8" s="31">
        <f t="shared" si="0"/>
        <v>1.3333333333333333</v>
      </c>
      <c r="B8" s="29">
        <f t="shared" si="1"/>
        <v>0.99996832875816688</v>
      </c>
      <c r="C8" s="30">
        <f t="shared" si="5"/>
        <v>1.8333333333333333</v>
      </c>
      <c r="D8" s="29">
        <f t="shared" si="6"/>
        <v>0.99999998101043752</v>
      </c>
      <c r="E8" s="32">
        <v>5.5</v>
      </c>
      <c r="F8" s="33">
        <f t="shared" si="2"/>
        <v>4</v>
      </c>
      <c r="G8" s="38">
        <f>(1-B8)*1000000</f>
        <v>31.671241833119979</v>
      </c>
      <c r="H8" s="39">
        <f t="shared" si="3"/>
        <v>3.1671241833119979</v>
      </c>
      <c r="I8" s="35">
        <f t="shared" si="3"/>
        <v>0.31671241833119979</v>
      </c>
      <c r="J8" s="40">
        <f t="shared" si="3"/>
        <v>3.1671241833119979E-2</v>
      </c>
      <c r="K8" s="35">
        <f t="shared" si="4"/>
        <v>3.1671241833119979E-3</v>
      </c>
    </row>
    <row r="9" spans="1:13" s="28" customFormat="1" ht="10.5" x14ac:dyDescent="0.4">
      <c r="A9" s="31">
        <f t="shared" si="0"/>
        <v>1.3</v>
      </c>
      <c r="B9" s="29">
        <f t="shared" si="1"/>
        <v>0.99995190365598241</v>
      </c>
      <c r="C9" s="30">
        <f t="shared" si="5"/>
        <v>1.8</v>
      </c>
      <c r="D9" s="29">
        <f t="shared" si="6"/>
        <v>0.99999996667955149</v>
      </c>
      <c r="E9" s="32">
        <v>5.4</v>
      </c>
      <c r="F9" s="33">
        <f t="shared" si="2"/>
        <v>3.9000000000000004</v>
      </c>
      <c r="G9" s="38">
        <f>(1-B9)*1000000</f>
        <v>48.096344017589665</v>
      </c>
      <c r="H9" s="39">
        <f t="shared" si="3"/>
        <v>4.8096344017589665</v>
      </c>
      <c r="I9" s="35">
        <f t="shared" si="3"/>
        <v>0.48096344017589665</v>
      </c>
      <c r="J9" s="40">
        <f t="shared" si="3"/>
        <v>4.8096344017589665E-2</v>
      </c>
      <c r="K9" s="35">
        <f t="shared" si="4"/>
        <v>4.8096344017589665E-3</v>
      </c>
    </row>
    <row r="10" spans="1:13" s="28" customFormat="1" ht="10.5" x14ac:dyDescent="0.4">
      <c r="A10" s="31">
        <f t="shared" si="0"/>
        <v>1.2333333333333334</v>
      </c>
      <c r="B10" s="29">
        <f t="shared" si="1"/>
        <v>0.99989220026652259</v>
      </c>
      <c r="C10" s="30">
        <f t="shared" si="5"/>
        <v>1.7333333333333334</v>
      </c>
      <c r="D10" s="29">
        <f t="shared" si="6"/>
        <v>0.99999990035573683</v>
      </c>
      <c r="E10" s="32">
        <v>5.2</v>
      </c>
      <c r="F10" s="33">
        <f t="shared" si="2"/>
        <v>3.7</v>
      </c>
      <c r="G10" s="38">
        <f t="shared" ref="G10:G41" si="7">TRUNC((1-B10)*1000000,-1)</f>
        <v>100</v>
      </c>
      <c r="H10" s="39">
        <f t="shared" si="3"/>
        <v>10</v>
      </c>
      <c r="I10" s="39">
        <f t="shared" si="3"/>
        <v>1</v>
      </c>
      <c r="J10" s="40">
        <f t="shared" si="3"/>
        <v>0.1</v>
      </c>
      <c r="K10" s="35">
        <f t="shared" si="4"/>
        <v>0.01</v>
      </c>
    </row>
    <row r="11" spans="1:13" s="28" customFormat="1" ht="10.5" x14ac:dyDescent="0.4">
      <c r="A11" s="31">
        <f t="shared" si="0"/>
        <v>1.1666666666666667</v>
      </c>
      <c r="B11" s="29">
        <f t="shared" si="1"/>
        <v>0.99976737092096446</v>
      </c>
      <c r="C11" s="30">
        <f t="shared" si="5"/>
        <v>1.6666666666666667</v>
      </c>
      <c r="D11" s="29">
        <f t="shared" si="6"/>
        <v>0.99999971334842808</v>
      </c>
      <c r="E11" s="32">
        <v>5</v>
      </c>
      <c r="F11" s="33">
        <f t="shared" si="2"/>
        <v>3.5</v>
      </c>
      <c r="G11" s="38">
        <f t="shared" si="7"/>
        <v>230</v>
      </c>
      <c r="H11" s="39">
        <f t="shared" si="3"/>
        <v>23</v>
      </c>
      <c r="I11" s="39">
        <f t="shared" si="3"/>
        <v>2.2999999999999998</v>
      </c>
      <c r="J11" s="40">
        <f t="shared" si="3"/>
        <v>0.22999999999999998</v>
      </c>
      <c r="K11" s="35">
        <f t="shared" si="4"/>
        <v>2.3E-2</v>
      </c>
    </row>
    <row r="12" spans="1:13" s="28" customFormat="1" ht="10.5" x14ac:dyDescent="0.4">
      <c r="A12" s="31">
        <f t="shared" si="0"/>
        <v>1.0999999999999999</v>
      </c>
      <c r="B12" s="29">
        <f t="shared" si="1"/>
        <v>0.99951657585761622</v>
      </c>
      <c r="C12" s="30">
        <f t="shared" si="5"/>
        <v>1.5999999999999999</v>
      </c>
      <c r="D12" s="29">
        <f t="shared" si="6"/>
        <v>0.99999920667184805</v>
      </c>
      <c r="E12" s="32">
        <v>4.8</v>
      </c>
      <c r="F12" s="33">
        <f t="shared" si="2"/>
        <v>3.3</v>
      </c>
      <c r="G12" s="38">
        <f t="shared" si="7"/>
        <v>480</v>
      </c>
      <c r="H12" s="39">
        <f t="shared" si="3"/>
        <v>48</v>
      </c>
      <c r="I12" s="41">
        <f t="shared" si="3"/>
        <v>4.8</v>
      </c>
      <c r="J12" s="40">
        <f t="shared" si="3"/>
        <v>0.48</v>
      </c>
      <c r="K12" s="35">
        <f t="shared" si="4"/>
        <v>4.8000000000000001E-2</v>
      </c>
    </row>
    <row r="13" spans="1:13" s="28" customFormat="1" ht="10.5" x14ac:dyDescent="0.4">
      <c r="A13" s="31">
        <f t="shared" si="0"/>
        <v>1.033333333333335</v>
      </c>
      <c r="B13" s="29">
        <f t="shared" si="1"/>
        <v>0.99903239678678168</v>
      </c>
      <c r="C13" s="30">
        <f t="shared" si="5"/>
        <v>1.533333333333335</v>
      </c>
      <c r="D13" s="29">
        <f t="shared" si="6"/>
        <v>0.9999978875452975</v>
      </c>
      <c r="E13" s="32">
        <v>4.600000000000005</v>
      </c>
      <c r="F13" s="33">
        <f t="shared" si="2"/>
        <v>3.100000000000005</v>
      </c>
      <c r="G13" s="38">
        <f t="shared" si="7"/>
        <v>960</v>
      </c>
      <c r="H13" s="39">
        <f t="shared" si="3"/>
        <v>96</v>
      </c>
      <c r="I13" s="41">
        <f t="shared" si="3"/>
        <v>9.6</v>
      </c>
      <c r="J13" s="40">
        <f t="shared" si="3"/>
        <v>0.96</v>
      </c>
      <c r="K13" s="35">
        <f t="shared" si="4"/>
        <v>9.6000000000000002E-2</v>
      </c>
    </row>
    <row r="14" spans="1:13" s="28" customFormat="1" ht="10.5" x14ac:dyDescent="0.4">
      <c r="A14" s="31">
        <f t="shared" si="0"/>
        <v>1.0000000000000018</v>
      </c>
      <c r="B14" s="29">
        <f t="shared" si="1"/>
        <v>0.9986501019683699</v>
      </c>
      <c r="C14" s="30">
        <f t="shared" si="5"/>
        <v>1.5000000000000018</v>
      </c>
      <c r="D14" s="29">
        <f t="shared" si="6"/>
        <v>0.99999660232687526</v>
      </c>
      <c r="E14" s="32">
        <v>4.5000000000000053</v>
      </c>
      <c r="F14" s="33">
        <f t="shared" si="2"/>
        <v>3.0000000000000053</v>
      </c>
      <c r="G14" s="38">
        <f t="shared" si="7"/>
        <v>1340</v>
      </c>
      <c r="H14" s="39">
        <f t="shared" si="3"/>
        <v>134</v>
      </c>
      <c r="I14" s="41">
        <f t="shared" si="3"/>
        <v>13.4</v>
      </c>
      <c r="J14" s="39">
        <f t="shared" si="3"/>
        <v>1.34</v>
      </c>
      <c r="K14" s="35">
        <f t="shared" si="4"/>
        <v>0.13400000000000001</v>
      </c>
    </row>
    <row r="15" spans="1:13" s="28" customFormat="1" ht="10.5" x14ac:dyDescent="0.4">
      <c r="A15" s="31">
        <f t="shared" si="0"/>
        <v>0.96666666666666856</v>
      </c>
      <c r="B15" s="29">
        <f t="shared" si="1"/>
        <v>0.99813418669961596</v>
      </c>
      <c r="C15" s="30">
        <f t="shared" si="5"/>
        <v>1.4666666666666686</v>
      </c>
      <c r="D15" s="29">
        <f t="shared" si="6"/>
        <v>0.99999458745609227</v>
      </c>
      <c r="E15" s="32">
        <v>4.4000000000000057</v>
      </c>
      <c r="F15" s="33">
        <f t="shared" si="2"/>
        <v>2.9000000000000057</v>
      </c>
      <c r="G15" s="38">
        <f t="shared" si="7"/>
        <v>1860</v>
      </c>
      <c r="H15" s="39">
        <f t="shared" si="3"/>
        <v>186</v>
      </c>
      <c r="I15" s="41">
        <f t="shared" si="3"/>
        <v>18.600000000000001</v>
      </c>
      <c r="J15" s="39">
        <f t="shared" si="3"/>
        <v>1.86</v>
      </c>
      <c r="K15" s="35">
        <f t="shared" si="4"/>
        <v>0.186</v>
      </c>
    </row>
    <row r="16" spans="1:13" s="28" customFormat="1" ht="10.5" x14ac:dyDescent="0.4">
      <c r="A16" s="31">
        <f t="shared" si="0"/>
        <v>0.90000000000000213</v>
      </c>
      <c r="B16" s="29">
        <f t="shared" si="1"/>
        <v>0.99653302619695938</v>
      </c>
      <c r="C16" s="42">
        <f t="shared" si="5"/>
        <v>1.4000000000000021</v>
      </c>
      <c r="D16" s="29">
        <f t="shared" si="6"/>
        <v>0.9999866542509841</v>
      </c>
      <c r="E16" s="32">
        <v>4.2000000000000064</v>
      </c>
      <c r="F16" s="33">
        <f t="shared" si="2"/>
        <v>2.7000000000000064</v>
      </c>
      <c r="G16" s="38">
        <f t="shared" si="7"/>
        <v>3460</v>
      </c>
      <c r="H16" s="39">
        <f t="shared" si="3"/>
        <v>346</v>
      </c>
      <c r="I16" s="41">
        <f t="shared" si="3"/>
        <v>34.6</v>
      </c>
      <c r="J16" s="39">
        <f t="shared" si="3"/>
        <v>3.46</v>
      </c>
      <c r="K16" s="35">
        <f t="shared" si="4"/>
        <v>0.34599999999999997</v>
      </c>
    </row>
    <row r="17" spans="1:11" s="28" customFormat="1" ht="10.5" x14ac:dyDescent="0.4">
      <c r="A17" s="31">
        <f t="shared" si="0"/>
        <v>0.8333333333333357</v>
      </c>
      <c r="B17" s="29">
        <f t="shared" si="1"/>
        <v>0.99379033467422395</v>
      </c>
      <c r="C17" s="42">
        <f t="shared" si="5"/>
        <v>1.3333333333333357</v>
      </c>
      <c r="D17" s="29">
        <f t="shared" si="6"/>
        <v>0.99996832875816688</v>
      </c>
      <c r="E17" s="32">
        <v>4.0000000000000071</v>
      </c>
      <c r="F17" s="33">
        <f t="shared" si="2"/>
        <v>2.5000000000000071</v>
      </c>
      <c r="G17" s="38">
        <f t="shared" si="7"/>
        <v>6200</v>
      </c>
      <c r="H17" s="39">
        <f t="shared" si="3"/>
        <v>620</v>
      </c>
      <c r="I17" s="39">
        <f t="shared" si="3"/>
        <v>62</v>
      </c>
      <c r="J17" s="39">
        <f t="shared" si="3"/>
        <v>6.2</v>
      </c>
      <c r="K17" s="35">
        <f t="shared" si="4"/>
        <v>0.62</v>
      </c>
    </row>
    <row r="18" spans="1:11" s="28" customFormat="1" ht="10.5" x14ac:dyDescent="0.4">
      <c r="A18" s="31">
        <f t="shared" si="0"/>
        <v>0.76666666666666927</v>
      </c>
      <c r="B18" s="29">
        <f t="shared" si="1"/>
        <v>0.98927588997832439</v>
      </c>
      <c r="C18" s="42">
        <f t="shared" si="5"/>
        <v>1.2666666666666693</v>
      </c>
      <c r="D18" s="29">
        <f t="shared" si="6"/>
        <v>0.99992765195607491</v>
      </c>
      <c r="E18" s="32">
        <v>3.8000000000000078</v>
      </c>
      <c r="F18" s="33">
        <f t="shared" si="2"/>
        <v>2.3000000000000078</v>
      </c>
      <c r="G18" s="38">
        <f t="shared" si="7"/>
        <v>10720</v>
      </c>
      <c r="H18" s="39">
        <f t="shared" si="3"/>
        <v>1072</v>
      </c>
      <c r="I18" s="39">
        <f t="shared" si="3"/>
        <v>107.2</v>
      </c>
      <c r="J18" s="39">
        <f t="shared" si="3"/>
        <v>10.72</v>
      </c>
      <c r="K18" s="41">
        <f t="shared" si="4"/>
        <v>1.0720000000000001</v>
      </c>
    </row>
    <row r="19" spans="1:11" s="28" customFormat="1" ht="10.5" x14ac:dyDescent="0.4">
      <c r="A19" s="31">
        <f t="shared" si="0"/>
        <v>0.73333333333333606</v>
      </c>
      <c r="B19" s="29">
        <f t="shared" si="1"/>
        <v>0.98609655248650163</v>
      </c>
      <c r="C19" s="42">
        <f t="shared" si="5"/>
        <v>1.2333333333333361</v>
      </c>
      <c r="D19" s="29">
        <f t="shared" si="6"/>
        <v>0.99989220026652259</v>
      </c>
      <c r="E19" s="32">
        <v>3.7000000000000082</v>
      </c>
      <c r="F19" s="33">
        <f t="shared" si="2"/>
        <v>2.2000000000000082</v>
      </c>
      <c r="G19" s="38">
        <f t="shared" si="7"/>
        <v>13900</v>
      </c>
      <c r="H19" s="39">
        <f t="shared" si="3"/>
        <v>1390</v>
      </c>
      <c r="I19" s="39">
        <f t="shared" si="3"/>
        <v>139</v>
      </c>
      <c r="J19" s="39">
        <f t="shared" si="3"/>
        <v>13.9</v>
      </c>
      <c r="K19" s="41">
        <f t="shared" si="4"/>
        <v>1.3900000000000001</v>
      </c>
    </row>
    <row r="20" spans="1:11" s="28" customFormat="1" ht="10.5" x14ac:dyDescent="0.4">
      <c r="A20" s="31">
        <f t="shared" si="0"/>
        <v>0.70000000000000284</v>
      </c>
      <c r="B20" s="29">
        <f t="shared" si="1"/>
        <v>0.98213557943718388</v>
      </c>
      <c r="C20" s="42">
        <f t="shared" si="5"/>
        <v>1.2000000000000028</v>
      </c>
      <c r="D20" s="29">
        <f t="shared" si="6"/>
        <v>0.99984089140984245</v>
      </c>
      <c r="E20" s="32">
        <v>3.6000000000000085</v>
      </c>
      <c r="F20" s="33">
        <f t="shared" si="2"/>
        <v>2.1000000000000085</v>
      </c>
      <c r="G20" s="38">
        <f t="shared" si="7"/>
        <v>17860</v>
      </c>
      <c r="H20" s="39">
        <f t="shared" si="3"/>
        <v>1786</v>
      </c>
      <c r="I20" s="39">
        <f t="shared" si="3"/>
        <v>178.6</v>
      </c>
      <c r="J20" s="39">
        <f t="shared" si="3"/>
        <v>17.86</v>
      </c>
      <c r="K20" s="41">
        <f t="shared" si="4"/>
        <v>1.786</v>
      </c>
    </row>
    <row r="21" spans="1:11" s="28" customFormat="1" ht="10.5" x14ac:dyDescent="0.4">
      <c r="A21" s="31">
        <f t="shared" si="0"/>
        <v>0.66666666666666963</v>
      </c>
      <c r="B21" s="29">
        <f t="shared" si="1"/>
        <v>0.97724986805182124</v>
      </c>
      <c r="C21" s="42">
        <f t="shared" si="5"/>
        <v>1.1666666666666696</v>
      </c>
      <c r="D21" s="29">
        <f t="shared" si="6"/>
        <v>0.99976737092096446</v>
      </c>
      <c r="E21" s="32">
        <v>3.5000000000000089</v>
      </c>
      <c r="F21" s="33">
        <f t="shared" si="2"/>
        <v>2.0000000000000089</v>
      </c>
      <c r="G21" s="38">
        <f t="shared" si="7"/>
        <v>22750</v>
      </c>
      <c r="H21" s="39">
        <f t="shared" si="3"/>
        <v>2275</v>
      </c>
      <c r="I21" s="39">
        <f t="shared" si="3"/>
        <v>227.5</v>
      </c>
      <c r="J21" s="39">
        <f t="shared" si="3"/>
        <v>22.75</v>
      </c>
      <c r="K21" s="41">
        <f t="shared" si="4"/>
        <v>2.2749999999999999</v>
      </c>
    </row>
    <row r="22" spans="1:11" s="28" customFormat="1" ht="10.5" x14ac:dyDescent="0.4">
      <c r="A22" s="31">
        <f t="shared" si="0"/>
        <v>0.63333333333333641</v>
      </c>
      <c r="B22" s="29">
        <f t="shared" si="1"/>
        <v>0.97128344018399881</v>
      </c>
      <c r="C22" s="42">
        <f t="shared" si="5"/>
        <v>1.1333333333333364</v>
      </c>
      <c r="D22" s="29">
        <f t="shared" si="6"/>
        <v>0.99966307073432314</v>
      </c>
      <c r="E22" s="32">
        <v>3.4000000000000092</v>
      </c>
      <c r="F22" s="33">
        <f t="shared" si="2"/>
        <v>1.9000000000000092</v>
      </c>
      <c r="G22" s="38">
        <f t="shared" si="7"/>
        <v>28710</v>
      </c>
      <c r="H22" s="39">
        <f t="shared" si="3"/>
        <v>2871</v>
      </c>
      <c r="I22" s="39">
        <f t="shared" si="3"/>
        <v>287.10000000000002</v>
      </c>
      <c r="J22" s="39">
        <f t="shared" si="3"/>
        <v>28.71</v>
      </c>
      <c r="K22" s="41">
        <f t="shared" si="4"/>
        <v>2.871</v>
      </c>
    </row>
    <row r="23" spans="1:11" s="28" customFormat="1" ht="10.5" x14ac:dyDescent="0.4">
      <c r="A23" s="31">
        <f t="shared" si="0"/>
        <v>0.6000000000000032</v>
      </c>
      <c r="B23" s="29">
        <f t="shared" si="1"/>
        <v>0.96406968088707501</v>
      </c>
      <c r="C23" s="42">
        <f t="shared" si="5"/>
        <v>1.1000000000000032</v>
      </c>
      <c r="D23" s="29">
        <f t="shared" si="6"/>
        <v>0.99951657585761622</v>
      </c>
      <c r="E23" s="32">
        <v>3.3000000000000096</v>
      </c>
      <c r="F23" s="33">
        <f t="shared" si="2"/>
        <v>1.8000000000000096</v>
      </c>
      <c r="G23" s="38">
        <f t="shared" si="7"/>
        <v>35930</v>
      </c>
      <c r="H23" s="39">
        <f t="shared" si="3"/>
        <v>3593</v>
      </c>
      <c r="I23" s="39">
        <f t="shared" si="3"/>
        <v>359.3</v>
      </c>
      <c r="J23" s="39">
        <f t="shared" si="3"/>
        <v>35.93</v>
      </c>
      <c r="K23" s="41">
        <f t="shared" si="4"/>
        <v>3.593</v>
      </c>
    </row>
    <row r="24" spans="1:11" s="28" customFormat="1" ht="10.5" x14ac:dyDescent="0.4">
      <c r="A24" s="31">
        <f t="shared" si="0"/>
        <v>0.56666666666666998</v>
      </c>
      <c r="B24" s="29">
        <f t="shared" si="1"/>
        <v>0.95543453724145788</v>
      </c>
      <c r="C24" s="42">
        <f t="shared" si="5"/>
        <v>1.06666666666667</v>
      </c>
      <c r="D24" s="29">
        <f t="shared" si="6"/>
        <v>0.99931286206208414</v>
      </c>
      <c r="E24" s="32">
        <v>3.2000000000000099</v>
      </c>
      <c r="F24" s="33">
        <f t="shared" si="2"/>
        <v>1.7000000000000099</v>
      </c>
      <c r="G24" s="38">
        <f t="shared" si="7"/>
        <v>44560</v>
      </c>
      <c r="H24" s="39">
        <f t="shared" si="3"/>
        <v>4456</v>
      </c>
      <c r="I24" s="39">
        <f t="shared" si="3"/>
        <v>445.6</v>
      </c>
      <c r="J24" s="39">
        <f t="shared" si="3"/>
        <v>44.56</v>
      </c>
      <c r="K24" s="41">
        <f t="shared" si="4"/>
        <v>4.4560000000000004</v>
      </c>
    </row>
    <row r="25" spans="1:11" s="28" customFormat="1" ht="10.5" x14ac:dyDescent="0.4">
      <c r="A25" s="31">
        <f t="shared" si="0"/>
        <v>0.53333333333333677</v>
      </c>
      <c r="B25" s="29">
        <f t="shared" si="1"/>
        <v>0.94520070830044312</v>
      </c>
      <c r="C25" s="42">
        <f t="shared" si="5"/>
        <v>1.0333333333333368</v>
      </c>
      <c r="D25" s="29">
        <f t="shared" si="6"/>
        <v>0.99903239678678168</v>
      </c>
      <c r="E25" s="32">
        <v>3.1000000000000103</v>
      </c>
      <c r="F25" s="33">
        <f t="shared" si="2"/>
        <v>1.6000000000000103</v>
      </c>
      <c r="G25" s="38">
        <f t="shared" si="7"/>
        <v>54790</v>
      </c>
      <c r="H25" s="39">
        <f t="shared" si="3"/>
        <v>5479</v>
      </c>
      <c r="I25" s="39">
        <f t="shared" si="3"/>
        <v>547.9</v>
      </c>
      <c r="J25" s="39">
        <f t="shared" si="3"/>
        <v>54.79</v>
      </c>
      <c r="K25" s="41">
        <f t="shared" si="4"/>
        <v>5.4790000000000001</v>
      </c>
    </row>
    <row r="26" spans="1:11" s="28" customFormat="1" ht="10.5" x14ac:dyDescent="0.4">
      <c r="A26" s="31">
        <f t="shared" si="0"/>
        <v>0.50000000000000355</v>
      </c>
      <c r="B26" s="29">
        <f t="shared" si="1"/>
        <v>0.93319279873114336</v>
      </c>
      <c r="C26" s="42">
        <f t="shared" si="5"/>
        <v>1.0000000000000036</v>
      </c>
      <c r="D26" s="29">
        <f t="shared" si="6"/>
        <v>0.99865010196837001</v>
      </c>
      <c r="E26" s="32">
        <v>3.0000000000000107</v>
      </c>
      <c r="F26" s="33">
        <f t="shared" si="2"/>
        <v>1.5000000000000107</v>
      </c>
      <c r="G26" s="38">
        <f t="shared" si="7"/>
        <v>66800</v>
      </c>
      <c r="H26" s="39">
        <f t="shared" si="3"/>
        <v>6680</v>
      </c>
      <c r="I26" s="39">
        <f t="shared" si="3"/>
        <v>668</v>
      </c>
      <c r="J26" s="39">
        <f t="shared" si="3"/>
        <v>66.8</v>
      </c>
      <c r="K26" s="41">
        <f t="shared" si="4"/>
        <v>6.68</v>
      </c>
    </row>
    <row r="27" spans="1:11" s="28" customFormat="1" ht="10.5" x14ac:dyDescent="0.4">
      <c r="A27" s="31">
        <f t="shared" si="0"/>
        <v>0.46666666666667034</v>
      </c>
      <c r="B27" s="29">
        <f t="shared" si="1"/>
        <v>0.9192433407662306</v>
      </c>
      <c r="C27" s="42">
        <f t="shared" si="5"/>
        <v>0.96666666666667034</v>
      </c>
      <c r="D27" s="29">
        <f t="shared" si="6"/>
        <v>0.99813418669961607</v>
      </c>
      <c r="E27" s="32">
        <v>2.900000000000011</v>
      </c>
      <c r="F27" s="33">
        <f t="shared" si="2"/>
        <v>1.400000000000011</v>
      </c>
      <c r="G27" s="38">
        <f t="shared" si="7"/>
        <v>80750</v>
      </c>
      <c r="H27" s="39">
        <f t="shared" si="3"/>
        <v>8075</v>
      </c>
      <c r="I27" s="39">
        <f t="shared" si="3"/>
        <v>807.5</v>
      </c>
      <c r="J27" s="39">
        <f t="shared" si="3"/>
        <v>80.75</v>
      </c>
      <c r="K27" s="41">
        <f t="shared" si="4"/>
        <v>8.0749999999999993</v>
      </c>
    </row>
    <row r="28" spans="1:11" s="28" customFormat="1" ht="10.5" x14ac:dyDescent="0.4">
      <c r="A28" s="31">
        <f t="shared" si="0"/>
        <v>0.43333333333333712</v>
      </c>
      <c r="B28" s="29">
        <f t="shared" si="1"/>
        <v>0.90319951541439158</v>
      </c>
      <c r="C28" s="42">
        <f t="shared" si="5"/>
        <v>0.93333333333333712</v>
      </c>
      <c r="D28" s="29">
        <f t="shared" si="6"/>
        <v>0.99744486966957213</v>
      </c>
      <c r="E28" s="32">
        <v>2.8000000000000114</v>
      </c>
      <c r="F28" s="33">
        <f t="shared" si="2"/>
        <v>1.3000000000000114</v>
      </c>
      <c r="G28" s="38">
        <f t="shared" si="7"/>
        <v>96800</v>
      </c>
      <c r="H28" s="39">
        <f t="shared" si="3"/>
        <v>9680</v>
      </c>
      <c r="I28" s="39">
        <f t="shared" si="3"/>
        <v>968</v>
      </c>
      <c r="J28" s="39">
        <f t="shared" si="3"/>
        <v>96.8</v>
      </c>
      <c r="K28" s="41">
        <f t="shared" si="4"/>
        <v>9.68</v>
      </c>
    </row>
    <row r="29" spans="1:11" s="28" customFormat="1" ht="10.5" x14ac:dyDescent="0.4">
      <c r="A29" s="31">
        <f t="shared" si="0"/>
        <v>0.40000000000000391</v>
      </c>
      <c r="B29" s="29">
        <f t="shared" si="1"/>
        <v>0.884930329778294</v>
      </c>
      <c r="C29" s="42">
        <f t="shared" si="5"/>
        <v>0.90000000000000391</v>
      </c>
      <c r="D29" s="29">
        <f t="shared" si="6"/>
        <v>0.99653302619695949</v>
      </c>
      <c r="E29" s="32">
        <v>2.7000000000000117</v>
      </c>
      <c r="F29" s="33">
        <f t="shared" si="2"/>
        <v>1.2000000000000117</v>
      </c>
      <c r="G29" s="38">
        <f t="shared" si="7"/>
        <v>115060</v>
      </c>
      <c r="H29" s="39">
        <f t="shared" ref="H29:K44" si="8">G29/10</f>
        <v>11506</v>
      </c>
      <c r="I29" s="39">
        <f t="shared" si="8"/>
        <v>1150.5999999999999</v>
      </c>
      <c r="J29" s="39">
        <f t="shared" si="8"/>
        <v>115.05999999999999</v>
      </c>
      <c r="K29" s="41">
        <f t="shared" si="8"/>
        <v>11.505999999999998</v>
      </c>
    </row>
    <row r="30" spans="1:11" s="28" customFormat="1" ht="10.5" x14ac:dyDescent="0.4">
      <c r="A30" s="31">
        <f t="shared" si="0"/>
        <v>0.36666666666667069</v>
      </c>
      <c r="B30" s="29">
        <f t="shared" si="1"/>
        <v>0.86433393905361999</v>
      </c>
      <c r="C30" s="42">
        <f t="shared" si="5"/>
        <v>0.86666666666667069</v>
      </c>
      <c r="D30" s="29">
        <f t="shared" si="6"/>
        <v>0.99533881197628138</v>
      </c>
      <c r="E30" s="32">
        <v>2.6000000000000121</v>
      </c>
      <c r="F30" s="33">
        <f t="shared" si="2"/>
        <v>1.1000000000000121</v>
      </c>
      <c r="G30" s="38">
        <f t="shared" si="7"/>
        <v>135660</v>
      </c>
      <c r="H30" s="39">
        <f t="shared" si="8"/>
        <v>13566</v>
      </c>
      <c r="I30" s="39">
        <f t="shared" si="8"/>
        <v>1356.6</v>
      </c>
      <c r="J30" s="39">
        <f t="shared" si="8"/>
        <v>135.66</v>
      </c>
      <c r="K30" s="41">
        <f t="shared" si="8"/>
        <v>13.565999999999999</v>
      </c>
    </row>
    <row r="31" spans="1:11" s="28" customFormat="1" ht="10.5" x14ac:dyDescent="0.4">
      <c r="A31" s="31">
        <f t="shared" si="0"/>
        <v>0.33333333333333748</v>
      </c>
      <c r="B31" s="29">
        <f t="shared" si="1"/>
        <v>0.84134474606854592</v>
      </c>
      <c r="C31" s="42">
        <f t="shared" si="5"/>
        <v>0.83333333333333748</v>
      </c>
      <c r="D31" s="29">
        <f t="shared" si="6"/>
        <v>0.99379033467422406</v>
      </c>
      <c r="E31" s="32">
        <v>2.5000000000000124</v>
      </c>
      <c r="F31" s="33">
        <f t="shared" si="2"/>
        <v>1.0000000000000124</v>
      </c>
      <c r="G31" s="38">
        <f t="shared" si="7"/>
        <v>158650</v>
      </c>
      <c r="H31" s="39">
        <f t="shared" si="8"/>
        <v>15865</v>
      </c>
      <c r="I31" s="39">
        <f t="shared" si="8"/>
        <v>1586.5</v>
      </c>
      <c r="J31" s="39">
        <f t="shared" si="8"/>
        <v>158.65</v>
      </c>
      <c r="K31" s="41">
        <f t="shared" si="8"/>
        <v>15.865</v>
      </c>
    </row>
    <row r="32" spans="1:11" s="28" customFormat="1" ht="10.5" x14ac:dyDescent="0.4">
      <c r="A32" s="31">
        <f t="shared" si="0"/>
        <v>0.30000000000000426</v>
      </c>
      <c r="B32" s="29">
        <f t="shared" si="1"/>
        <v>0.81593987465324391</v>
      </c>
      <c r="C32" s="42">
        <f t="shared" si="5"/>
        <v>0.80000000000000426</v>
      </c>
      <c r="D32" s="29">
        <f t="shared" si="6"/>
        <v>0.99180246407540418</v>
      </c>
      <c r="E32" s="32">
        <v>2.4000000000000128</v>
      </c>
      <c r="F32" s="33">
        <f t="shared" si="2"/>
        <v>0.90000000000001279</v>
      </c>
      <c r="G32" s="38">
        <f t="shared" si="7"/>
        <v>184060</v>
      </c>
      <c r="H32" s="39">
        <f t="shared" si="8"/>
        <v>18406</v>
      </c>
      <c r="I32" s="39">
        <f t="shared" si="8"/>
        <v>1840.6</v>
      </c>
      <c r="J32" s="39">
        <f t="shared" si="8"/>
        <v>184.06</v>
      </c>
      <c r="K32" s="41">
        <f t="shared" si="8"/>
        <v>18.405999999999999</v>
      </c>
    </row>
    <row r="33" spans="1:11" s="28" customFormat="1" ht="10.5" x14ac:dyDescent="0.4">
      <c r="A33" s="31">
        <f t="shared" si="0"/>
        <v>0.26666666666667105</v>
      </c>
      <c r="B33" s="29">
        <f t="shared" si="1"/>
        <v>0.78814460141660714</v>
      </c>
      <c r="C33" s="42">
        <f t="shared" si="5"/>
        <v>0.76666666666667105</v>
      </c>
      <c r="D33" s="29">
        <f t="shared" si="6"/>
        <v>0.98927588997832461</v>
      </c>
      <c r="E33" s="32">
        <v>2.3000000000000131</v>
      </c>
      <c r="F33" s="33">
        <f t="shared" si="2"/>
        <v>0.80000000000001315</v>
      </c>
      <c r="G33" s="38">
        <f t="shared" si="7"/>
        <v>211850</v>
      </c>
      <c r="H33" s="39">
        <f t="shared" si="8"/>
        <v>21185</v>
      </c>
      <c r="I33" s="39">
        <f t="shared" si="8"/>
        <v>2118.5</v>
      </c>
      <c r="J33" s="39">
        <f t="shared" si="8"/>
        <v>211.85</v>
      </c>
      <c r="K33" s="41">
        <f t="shared" si="8"/>
        <v>21.184999999999999</v>
      </c>
    </row>
    <row r="34" spans="1:11" s="28" customFormat="1" ht="10.5" x14ac:dyDescent="0.4">
      <c r="A34" s="31">
        <f t="shared" si="0"/>
        <v>0.23333333333333783</v>
      </c>
      <c r="B34" s="29">
        <f t="shared" si="1"/>
        <v>0.75803634777693119</v>
      </c>
      <c r="C34" s="42">
        <f t="shared" si="5"/>
        <v>0.73333333333333783</v>
      </c>
      <c r="D34" s="29">
        <f t="shared" si="6"/>
        <v>0.98609655248650185</v>
      </c>
      <c r="E34" s="32">
        <v>2.2000000000000135</v>
      </c>
      <c r="F34" s="33">
        <f t="shared" si="2"/>
        <v>0.7000000000000135</v>
      </c>
      <c r="G34" s="38">
        <f t="shared" si="7"/>
        <v>241960</v>
      </c>
      <c r="H34" s="39">
        <f t="shared" si="8"/>
        <v>24196</v>
      </c>
      <c r="I34" s="39">
        <f t="shared" si="8"/>
        <v>2419.6</v>
      </c>
      <c r="J34" s="39">
        <f t="shared" si="8"/>
        <v>241.95999999999998</v>
      </c>
      <c r="K34" s="41">
        <f t="shared" si="8"/>
        <v>24.195999999999998</v>
      </c>
    </row>
    <row r="35" spans="1:11" s="28" customFormat="1" ht="10.5" x14ac:dyDescent="0.4">
      <c r="A35" s="31">
        <f t="shared" si="0"/>
        <v>0.20000000000000462</v>
      </c>
      <c r="B35" s="29">
        <f t="shared" si="1"/>
        <v>0.72574688224993111</v>
      </c>
      <c r="C35" s="42">
        <f t="shared" si="5"/>
        <v>0.70000000000000462</v>
      </c>
      <c r="D35" s="29">
        <f t="shared" si="6"/>
        <v>0.9821355794371841</v>
      </c>
      <c r="E35" s="32">
        <v>2.1000000000000139</v>
      </c>
      <c r="F35" s="33">
        <f t="shared" si="2"/>
        <v>0.60000000000001386</v>
      </c>
      <c r="G35" s="38">
        <f t="shared" si="7"/>
        <v>274250</v>
      </c>
      <c r="H35" s="39">
        <f t="shared" si="8"/>
        <v>27425</v>
      </c>
      <c r="I35" s="39">
        <f t="shared" si="8"/>
        <v>2742.5</v>
      </c>
      <c r="J35" s="39">
        <f t="shared" si="8"/>
        <v>274.25</v>
      </c>
      <c r="K35" s="41">
        <f t="shared" si="8"/>
        <v>27.425000000000001</v>
      </c>
    </row>
    <row r="36" spans="1:11" s="28" customFormat="1" ht="10.5" x14ac:dyDescent="0.4">
      <c r="A36" s="31">
        <f t="shared" si="0"/>
        <v>0.1666666666666714</v>
      </c>
      <c r="B36" s="29">
        <f t="shared" si="1"/>
        <v>0.69146246127401811</v>
      </c>
      <c r="C36" s="42">
        <f t="shared" si="5"/>
        <v>0.6666666666666714</v>
      </c>
      <c r="D36" s="29">
        <f t="shared" si="6"/>
        <v>0.97724986805182157</v>
      </c>
      <c r="E36" s="32">
        <v>2.0000000000000142</v>
      </c>
      <c r="F36" s="33">
        <f t="shared" si="2"/>
        <v>0.50000000000001421</v>
      </c>
      <c r="G36" s="38">
        <f t="shared" si="7"/>
        <v>308530</v>
      </c>
      <c r="H36" s="39">
        <f t="shared" si="8"/>
        <v>30853</v>
      </c>
      <c r="I36" s="39">
        <f t="shared" si="8"/>
        <v>3085.3</v>
      </c>
      <c r="J36" s="39">
        <f t="shared" si="8"/>
        <v>308.53000000000003</v>
      </c>
      <c r="K36" s="41">
        <f t="shared" si="8"/>
        <v>30.853000000000002</v>
      </c>
    </row>
    <row r="37" spans="1:11" s="28" customFormat="1" ht="10.5" x14ac:dyDescent="0.4">
      <c r="A37" s="31">
        <f t="shared" ref="A37:A68" si="9">C37-0.5</f>
        <v>0.13333333333333819</v>
      </c>
      <c r="B37" s="29">
        <f t="shared" ref="B37:B68" si="10">NORMSDIST(F37)</f>
        <v>0.65542174161032962</v>
      </c>
      <c r="C37" s="42">
        <f t="shared" si="5"/>
        <v>0.63333333333333819</v>
      </c>
      <c r="D37" s="29">
        <f t="shared" si="6"/>
        <v>0.97128344018399915</v>
      </c>
      <c r="E37" s="32">
        <v>1.9000000000000146</v>
      </c>
      <c r="F37" s="33">
        <f t="shared" si="2"/>
        <v>0.40000000000001457</v>
      </c>
      <c r="G37" s="38">
        <f t="shared" si="7"/>
        <v>344570</v>
      </c>
      <c r="H37" s="39">
        <f t="shared" si="8"/>
        <v>34457</v>
      </c>
      <c r="I37" s="39">
        <f t="shared" si="8"/>
        <v>3445.7</v>
      </c>
      <c r="J37" s="39">
        <f t="shared" si="8"/>
        <v>344.57</v>
      </c>
      <c r="K37" s="41">
        <f t="shared" si="8"/>
        <v>34.457000000000001</v>
      </c>
    </row>
    <row r="38" spans="1:11" s="28" customFormat="1" ht="10.5" x14ac:dyDescent="0.4">
      <c r="A38" s="31">
        <f t="shared" si="9"/>
        <v>0.10000000000000497</v>
      </c>
      <c r="B38" s="29">
        <f t="shared" si="10"/>
        <v>0.61791142218895834</v>
      </c>
      <c r="C38" s="42">
        <f t="shared" si="5"/>
        <v>0.60000000000000497</v>
      </c>
      <c r="D38" s="29">
        <f t="shared" si="6"/>
        <v>0.96406968088707534</v>
      </c>
      <c r="E38" s="32">
        <v>1.8000000000000149</v>
      </c>
      <c r="F38" s="33">
        <f t="shared" si="2"/>
        <v>0.30000000000001492</v>
      </c>
      <c r="G38" s="38">
        <f t="shared" si="7"/>
        <v>382080</v>
      </c>
      <c r="H38" s="39">
        <f t="shared" si="8"/>
        <v>38208</v>
      </c>
      <c r="I38" s="39">
        <f t="shared" si="8"/>
        <v>3820.8</v>
      </c>
      <c r="J38" s="39">
        <f t="shared" si="8"/>
        <v>382.08000000000004</v>
      </c>
      <c r="K38" s="41">
        <f t="shared" si="8"/>
        <v>38.208000000000006</v>
      </c>
    </row>
    <row r="39" spans="1:11" s="28" customFormat="1" ht="10.5" x14ac:dyDescent="0.4">
      <c r="A39" s="31">
        <f t="shared" si="9"/>
        <v>6.6666666666671759E-2</v>
      </c>
      <c r="B39" s="29">
        <f t="shared" si="10"/>
        <v>0.57925970943910898</v>
      </c>
      <c r="C39" s="42">
        <f t="shared" si="5"/>
        <v>0.56666666666667176</v>
      </c>
      <c r="D39" s="29">
        <f t="shared" si="6"/>
        <v>0.95543453724145844</v>
      </c>
      <c r="E39" s="32">
        <v>1.7000000000000153</v>
      </c>
      <c r="F39" s="33">
        <f t="shared" si="2"/>
        <v>0.20000000000001528</v>
      </c>
      <c r="G39" s="38">
        <f t="shared" si="7"/>
        <v>420740</v>
      </c>
      <c r="H39" s="39">
        <f t="shared" si="8"/>
        <v>42074</v>
      </c>
      <c r="I39" s="39">
        <f t="shared" si="8"/>
        <v>4207.3999999999996</v>
      </c>
      <c r="J39" s="39">
        <f t="shared" si="8"/>
        <v>420.73999999999995</v>
      </c>
      <c r="K39" s="39">
        <f t="shared" si="8"/>
        <v>42.073999999999998</v>
      </c>
    </row>
    <row r="40" spans="1:11" s="28" customFormat="1" ht="10.5" x14ac:dyDescent="0.4">
      <c r="A40" s="31">
        <f t="shared" si="9"/>
        <v>3.3333333333338544E-2</v>
      </c>
      <c r="B40" s="29">
        <f t="shared" si="10"/>
        <v>0.53982783727703521</v>
      </c>
      <c r="C40" s="42">
        <f t="shared" si="5"/>
        <v>0.53333333333333854</v>
      </c>
      <c r="D40" s="29">
        <f t="shared" si="6"/>
        <v>0.94520070830044378</v>
      </c>
      <c r="E40" s="32">
        <v>1.6000000000000156</v>
      </c>
      <c r="F40" s="33">
        <f t="shared" si="2"/>
        <v>0.10000000000001563</v>
      </c>
      <c r="G40" s="38">
        <f t="shared" si="7"/>
        <v>460170</v>
      </c>
      <c r="H40" s="39">
        <f t="shared" si="8"/>
        <v>46017</v>
      </c>
      <c r="I40" s="39">
        <f t="shared" si="8"/>
        <v>4601.7</v>
      </c>
      <c r="J40" s="39">
        <f t="shared" si="8"/>
        <v>460.16999999999996</v>
      </c>
      <c r="K40" s="39">
        <f t="shared" si="8"/>
        <v>46.016999999999996</v>
      </c>
    </row>
    <row r="41" spans="1:11" s="28" customFormat="1" ht="10.5" x14ac:dyDescent="0.4">
      <c r="A41" s="31">
        <f t="shared" si="9"/>
        <v>5.3290705182007514E-15</v>
      </c>
      <c r="B41" s="29">
        <f t="shared" si="10"/>
        <v>0.50000000000000644</v>
      </c>
      <c r="C41" s="42">
        <f t="shared" si="5"/>
        <v>0.50000000000000533</v>
      </c>
      <c r="D41" s="29">
        <f t="shared" si="6"/>
        <v>0.93319279873114402</v>
      </c>
      <c r="E41" s="32">
        <v>1.500000000000016</v>
      </c>
      <c r="F41" s="33">
        <f t="shared" si="2"/>
        <v>1.5987211554602254E-14</v>
      </c>
      <c r="G41" s="38">
        <f t="shared" si="7"/>
        <v>499990</v>
      </c>
      <c r="H41" s="39">
        <f t="shared" si="8"/>
        <v>49999</v>
      </c>
      <c r="I41" s="39">
        <f t="shared" si="8"/>
        <v>4999.8999999999996</v>
      </c>
      <c r="J41" s="39">
        <f t="shared" si="8"/>
        <v>499.98999999999995</v>
      </c>
      <c r="K41" s="39">
        <f t="shared" si="8"/>
        <v>49.998999999999995</v>
      </c>
    </row>
    <row r="42" spans="1:11" s="28" customFormat="1" ht="10.5" x14ac:dyDescent="0.4">
      <c r="A42" s="31">
        <f t="shared" si="9"/>
        <v>-3.3333333333327886E-2</v>
      </c>
      <c r="B42" s="29">
        <f t="shared" si="10"/>
        <v>0.46017216272297751</v>
      </c>
      <c r="C42" s="42">
        <f t="shared" si="5"/>
        <v>0.46666666666667211</v>
      </c>
      <c r="D42" s="29">
        <f t="shared" si="6"/>
        <v>0.91924334076623138</v>
      </c>
      <c r="E42" s="32">
        <v>1.4000000000000163</v>
      </c>
      <c r="F42" s="33">
        <f t="shared" si="2"/>
        <v>-9.9999999999983658E-2</v>
      </c>
      <c r="G42" s="38">
        <f t="shared" ref="G42:G73" si="11">TRUNC((1-B42)*1000000,-1)</f>
        <v>539820</v>
      </c>
      <c r="H42" s="39">
        <f t="shared" si="8"/>
        <v>53982</v>
      </c>
      <c r="I42" s="39">
        <f t="shared" si="8"/>
        <v>5398.2</v>
      </c>
      <c r="J42" s="39">
        <f t="shared" si="8"/>
        <v>539.81999999999994</v>
      </c>
      <c r="K42" s="39">
        <f t="shared" si="8"/>
        <v>53.981999999999992</v>
      </c>
    </row>
    <row r="43" spans="1:11" s="28" customFormat="1" ht="10.5" x14ac:dyDescent="0.4">
      <c r="A43" s="31">
        <f t="shared" si="9"/>
        <v>-6.6666666666661101E-2</v>
      </c>
      <c r="B43" s="29">
        <f t="shared" si="10"/>
        <v>0.42074029056090351</v>
      </c>
      <c r="C43" s="42">
        <f t="shared" si="5"/>
        <v>0.4333333333333389</v>
      </c>
      <c r="D43" s="29">
        <f t="shared" si="6"/>
        <v>0.90319951541439258</v>
      </c>
      <c r="E43" s="32">
        <v>1.3000000000000167</v>
      </c>
      <c r="F43" s="33">
        <f t="shared" si="2"/>
        <v>-0.1999999999999833</v>
      </c>
      <c r="G43" s="38">
        <f t="shared" si="11"/>
        <v>579250</v>
      </c>
      <c r="H43" s="39">
        <f t="shared" si="8"/>
        <v>57925</v>
      </c>
      <c r="I43" s="39">
        <f t="shared" si="8"/>
        <v>5792.5</v>
      </c>
      <c r="J43" s="39">
        <f t="shared" si="8"/>
        <v>579.25</v>
      </c>
      <c r="K43" s="39">
        <f t="shared" si="8"/>
        <v>57.924999999999997</v>
      </c>
    </row>
    <row r="44" spans="1:11" s="28" customFormat="1" ht="10.5" x14ac:dyDescent="0.4">
      <c r="A44" s="31">
        <f t="shared" si="9"/>
        <v>-9.9999999999994316E-2</v>
      </c>
      <c r="B44" s="29">
        <f t="shared" si="10"/>
        <v>0.38208857781105388</v>
      </c>
      <c r="C44" s="42">
        <f t="shared" si="5"/>
        <v>0.40000000000000568</v>
      </c>
      <c r="D44" s="29">
        <f t="shared" si="6"/>
        <v>0.884930329778295</v>
      </c>
      <c r="E44" s="32">
        <v>1.2000000000000171</v>
      </c>
      <c r="F44" s="33">
        <f t="shared" si="2"/>
        <v>-0.29999999999998295</v>
      </c>
      <c r="G44" s="38">
        <f t="shared" si="11"/>
        <v>617910</v>
      </c>
      <c r="H44" s="39">
        <f t="shared" si="8"/>
        <v>61791</v>
      </c>
      <c r="I44" s="39">
        <f t="shared" si="8"/>
        <v>6179.1</v>
      </c>
      <c r="J44" s="39">
        <f t="shared" si="8"/>
        <v>617.91000000000008</v>
      </c>
      <c r="K44" s="39">
        <f t="shared" si="8"/>
        <v>61.791000000000011</v>
      </c>
    </row>
    <row r="45" spans="1:11" s="28" customFormat="1" ht="10.5" x14ac:dyDescent="0.4">
      <c r="A45" s="31">
        <f t="shared" si="9"/>
        <v>-0.13333333333332753</v>
      </c>
      <c r="B45" s="29">
        <f t="shared" si="10"/>
        <v>0.3445782583896822</v>
      </c>
      <c r="C45" s="42">
        <f t="shared" si="5"/>
        <v>0.36666666666667247</v>
      </c>
      <c r="D45" s="29">
        <f t="shared" si="6"/>
        <v>0.8643339390536211</v>
      </c>
      <c r="E45" s="32">
        <v>1.1000000000000174</v>
      </c>
      <c r="F45" s="33">
        <f t="shared" si="2"/>
        <v>-0.39999999999998259</v>
      </c>
      <c r="G45" s="38">
        <f t="shared" si="11"/>
        <v>655420</v>
      </c>
      <c r="H45" s="39">
        <f t="shared" ref="H45:K55" si="12">G45/10</f>
        <v>65542</v>
      </c>
      <c r="I45" s="39">
        <f t="shared" si="12"/>
        <v>6554.2</v>
      </c>
      <c r="J45" s="39">
        <f t="shared" si="12"/>
        <v>655.42</v>
      </c>
      <c r="K45" s="39">
        <f t="shared" si="12"/>
        <v>65.542000000000002</v>
      </c>
    </row>
    <row r="46" spans="1:11" s="28" customFormat="1" ht="10.5" x14ac:dyDescent="0.4">
      <c r="A46" s="31">
        <f t="shared" si="9"/>
        <v>-0.16666666666666075</v>
      </c>
      <c r="B46" s="29">
        <f t="shared" si="10"/>
        <v>0.3085375387259931</v>
      </c>
      <c r="C46" s="42">
        <f t="shared" si="5"/>
        <v>0.33333333333333925</v>
      </c>
      <c r="D46" s="29">
        <f t="shared" si="6"/>
        <v>0.84134474606854726</v>
      </c>
      <c r="E46" s="32">
        <v>1.0000000000000178</v>
      </c>
      <c r="F46" s="33">
        <f t="shared" si="2"/>
        <v>-0.49999999999998224</v>
      </c>
      <c r="G46" s="38">
        <f t="shared" si="11"/>
        <v>691460</v>
      </c>
      <c r="H46" s="39">
        <f t="shared" si="12"/>
        <v>69146</v>
      </c>
      <c r="I46" s="39">
        <f t="shared" si="12"/>
        <v>6914.6</v>
      </c>
      <c r="J46" s="39">
        <f t="shared" si="12"/>
        <v>691.46</v>
      </c>
      <c r="K46" s="39">
        <f t="shared" si="12"/>
        <v>69.146000000000001</v>
      </c>
    </row>
    <row r="47" spans="1:11" s="28" customFormat="1" ht="10.5" x14ac:dyDescent="0.4">
      <c r="A47" s="31">
        <f t="shared" si="9"/>
        <v>-0.19999999999999396</v>
      </c>
      <c r="B47" s="29">
        <f t="shared" si="10"/>
        <v>0.2742531177500796</v>
      </c>
      <c r="C47" s="42">
        <f t="shared" si="5"/>
        <v>0.30000000000000604</v>
      </c>
      <c r="D47" s="29">
        <f t="shared" si="6"/>
        <v>0.81593987465324536</v>
      </c>
      <c r="E47" s="32">
        <v>0.90000000000001812</v>
      </c>
      <c r="F47" s="33">
        <f t="shared" si="2"/>
        <v>-0.59999999999998188</v>
      </c>
      <c r="G47" s="38">
        <f t="shared" si="11"/>
        <v>725740</v>
      </c>
      <c r="H47" s="39">
        <f t="shared" si="12"/>
        <v>72574</v>
      </c>
      <c r="I47" s="39">
        <f t="shared" si="12"/>
        <v>7257.4</v>
      </c>
      <c r="J47" s="39">
        <f t="shared" si="12"/>
        <v>725.74</v>
      </c>
      <c r="K47" s="39">
        <f t="shared" si="12"/>
        <v>72.573999999999998</v>
      </c>
    </row>
    <row r="48" spans="1:11" s="28" customFormat="1" ht="10.5" x14ac:dyDescent="0.4">
      <c r="A48" s="31">
        <f t="shared" si="9"/>
        <v>-0.23333333333332718</v>
      </c>
      <c r="B48" s="29">
        <f t="shared" si="10"/>
        <v>0.24196365222307875</v>
      </c>
      <c r="C48" s="42">
        <f t="shared" si="5"/>
        <v>0.26666666666667282</v>
      </c>
      <c r="D48" s="29">
        <f t="shared" si="6"/>
        <v>0.78814460141660869</v>
      </c>
      <c r="E48" s="32">
        <v>0.80000000000001847</v>
      </c>
      <c r="F48" s="33">
        <f t="shared" si="2"/>
        <v>-0.69999999999998153</v>
      </c>
      <c r="G48" s="38">
        <f t="shared" si="11"/>
        <v>758030</v>
      </c>
      <c r="H48" s="39">
        <f t="shared" si="12"/>
        <v>75803</v>
      </c>
      <c r="I48" s="39">
        <f t="shared" si="12"/>
        <v>7580.3</v>
      </c>
      <c r="J48" s="39">
        <f t="shared" si="12"/>
        <v>758.03</v>
      </c>
      <c r="K48" s="39">
        <f t="shared" si="12"/>
        <v>75.802999999999997</v>
      </c>
    </row>
    <row r="49" spans="1:11" s="28" customFormat="1" ht="10.5" x14ac:dyDescent="0.4">
      <c r="A49" s="31">
        <f t="shared" si="9"/>
        <v>-0.26666666666666039</v>
      </c>
      <c r="B49" s="29">
        <f t="shared" si="10"/>
        <v>0.21185539858340216</v>
      </c>
      <c r="C49" s="42">
        <f t="shared" si="5"/>
        <v>0.23333333333333961</v>
      </c>
      <c r="D49" s="29">
        <f t="shared" si="6"/>
        <v>0.75803634777693296</v>
      </c>
      <c r="E49" s="32">
        <v>0.70000000000001883</v>
      </c>
      <c r="F49" s="33">
        <f t="shared" si="2"/>
        <v>-0.79999999999998117</v>
      </c>
      <c r="G49" s="38">
        <f t="shared" si="11"/>
        <v>788140</v>
      </c>
      <c r="H49" s="39">
        <f t="shared" si="12"/>
        <v>78814</v>
      </c>
      <c r="I49" s="39">
        <f t="shared" si="12"/>
        <v>7881.4</v>
      </c>
      <c r="J49" s="39">
        <f t="shared" si="12"/>
        <v>788.14</v>
      </c>
      <c r="K49" s="39">
        <f t="shared" si="12"/>
        <v>78.813999999999993</v>
      </c>
    </row>
    <row r="50" spans="1:11" s="28" customFormat="1" ht="10.5" x14ac:dyDescent="0.4">
      <c r="A50" s="31">
        <f t="shared" si="9"/>
        <v>-0.29999999999999361</v>
      </c>
      <c r="B50" s="29">
        <f t="shared" si="10"/>
        <v>0.18406012534676452</v>
      </c>
      <c r="C50" s="42">
        <f t="shared" si="5"/>
        <v>0.20000000000000639</v>
      </c>
      <c r="D50" s="29">
        <f t="shared" si="6"/>
        <v>0.72574688224993289</v>
      </c>
      <c r="E50" s="32">
        <v>0.60000000000001918</v>
      </c>
      <c r="F50" s="33">
        <f t="shared" si="2"/>
        <v>-0.89999999999998082</v>
      </c>
      <c r="G50" s="38">
        <f t="shared" si="11"/>
        <v>815930</v>
      </c>
      <c r="H50" s="39">
        <f t="shared" si="12"/>
        <v>81593</v>
      </c>
      <c r="I50" s="39">
        <f t="shared" si="12"/>
        <v>8159.3</v>
      </c>
      <c r="J50" s="39">
        <f t="shared" si="12"/>
        <v>815.93000000000006</v>
      </c>
      <c r="K50" s="39">
        <f t="shared" si="12"/>
        <v>81.593000000000004</v>
      </c>
    </row>
    <row r="51" spans="1:11" s="28" customFormat="1" ht="10.5" x14ac:dyDescent="0.4">
      <c r="A51" s="31">
        <f t="shared" si="9"/>
        <v>-0.33333333333332682</v>
      </c>
      <c r="B51" s="29">
        <f t="shared" si="10"/>
        <v>0.15865525393146171</v>
      </c>
      <c r="C51" s="42">
        <f t="shared" si="5"/>
        <v>0.16666666666667318</v>
      </c>
      <c r="D51" s="29">
        <f t="shared" si="6"/>
        <v>0.69146246127402</v>
      </c>
      <c r="E51" s="32">
        <v>0.50000000000001954</v>
      </c>
      <c r="F51" s="33">
        <f t="shared" si="2"/>
        <v>-0.99999999999998046</v>
      </c>
      <c r="G51" s="38">
        <f t="shared" si="11"/>
        <v>841340</v>
      </c>
      <c r="H51" s="39">
        <f t="shared" si="12"/>
        <v>84134</v>
      </c>
      <c r="I51" s="39">
        <f t="shared" si="12"/>
        <v>8413.4</v>
      </c>
      <c r="J51" s="39">
        <f t="shared" si="12"/>
        <v>841.33999999999992</v>
      </c>
      <c r="K51" s="39">
        <f t="shared" si="12"/>
        <v>84.133999999999986</v>
      </c>
    </row>
    <row r="52" spans="1:11" s="28" customFormat="1" ht="10.5" x14ac:dyDescent="0.4">
      <c r="A52" s="31">
        <f t="shared" si="9"/>
        <v>-0.36666666666666003</v>
      </c>
      <c r="B52" s="29">
        <f t="shared" si="10"/>
        <v>0.135666060946387</v>
      </c>
      <c r="C52" s="42">
        <f t="shared" si="5"/>
        <v>0.13333333333333997</v>
      </c>
      <c r="D52" s="29">
        <f t="shared" si="6"/>
        <v>0.65542174161033151</v>
      </c>
      <c r="E52" s="32">
        <v>0.4000000000000199</v>
      </c>
      <c r="F52" s="33">
        <f t="shared" si="2"/>
        <v>-1.0999999999999801</v>
      </c>
      <c r="G52" s="38">
        <f t="shared" si="11"/>
        <v>864330</v>
      </c>
      <c r="H52" s="39">
        <f t="shared" si="12"/>
        <v>86433</v>
      </c>
      <c r="I52" s="39">
        <f t="shared" si="12"/>
        <v>8643.2999999999993</v>
      </c>
      <c r="J52" s="39">
        <f t="shared" si="12"/>
        <v>864.32999999999993</v>
      </c>
      <c r="K52" s="39">
        <f t="shared" si="12"/>
        <v>86.432999999999993</v>
      </c>
    </row>
    <row r="53" spans="1:11" s="28" customFormat="1" ht="10.5" x14ac:dyDescent="0.4">
      <c r="A53" s="31">
        <f t="shared" si="9"/>
        <v>-0.39999999999999325</v>
      </c>
      <c r="B53" s="29">
        <f t="shared" si="10"/>
        <v>0.11506967022171216</v>
      </c>
      <c r="C53" s="42">
        <f t="shared" si="5"/>
        <v>0.10000000000000675</v>
      </c>
      <c r="D53" s="29">
        <f t="shared" si="6"/>
        <v>0.61791142218896034</v>
      </c>
      <c r="E53" s="32">
        <v>0.30000000000002025</v>
      </c>
      <c r="F53" s="33">
        <f t="shared" si="2"/>
        <v>-1.1999999999999797</v>
      </c>
      <c r="G53" s="38">
        <f t="shared" si="11"/>
        <v>884930</v>
      </c>
      <c r="H53" s="39">
        <f t="shared" si="12"/>
        <v>88493</v>
      </c>
      <c r="I53" s="39">
        <f t="shared" si="12"/>
        <v>8849.2999999999993</v>
      </c>
      <c r="J53" s="39">
        <f t="shared" si="12"/>
        <v>884.93</v>
      </c>
      <c r="K53" s="39">
        <f t="shared" si="12"/>
        <v>88.492999999999995</v>
      </c>
    </row>
    <row r="54" spans="1:11" s="28" customFormat="1" ht="10.5" x14ac:dyDescent="0.4">
      <c r="A54" s="31">
        <f t="shared" si="9"/>
        <v>-0.43333333333332646</v>
      </c>
      <c r="B54" s="29">
        <f t="shared" si="10"/>
        <v>9.6800484585613841E-2</v>
      </c>
      <c r="C54" s="42">
        <f t="shared" si="5"/>
        <v>6.6666666666673535E-2</v>
      </c>
      <c r="D54" s="29">
        <f t="shared" si="6"/>
        <v>0.57925970943911109</v>
      </c>
      <c r="E54" s="32">
        <v>0.20000000000002061</v>
      </c>
      <c r="F54" s="33">
        <f t="shared" si="2"/>
        <v>-1.2999999999999794</v>
      </c>
      <c r="G54" s="38">
        <f t="shared" si="11"/>
        <v>903190</v>
      </c>
      <c r="H54" s="39">
        <f t="shared" si="12"/>
        <v>90319</v>
      </c>
      <c r="I54" s="39">
        <f t="shared" si="12"/>
        <v>9031.9</v>
      </c>
      <c r="J54" s="39">
        <f t="shared" si="12"/>
        <v>903.18999999999994</v>
      </c>
      <c r="K54" s="39">
        <f t="shared" si="12"/>
        <v>90.318999999999988</v>
      </c>
    </row>
    <row r="55" spans="1:11" s="28" customFormat="1" ht="10.5" x14ac:dyDescent="0.4">
      <c r="A55" s="31">
        <f t="shared" si="9"/>
        <v>-0.46666666666665968</v>
      </c>
      <c r="B55" s="29">
        <f t="shared" si="10"/>
        <v>8.0756659233774147E-2</v>
      </c>
      <c r="C55" s="42">
        <f t="shared" si="5"/>
        <v>3.333333333334032E-2</v>
      </c>
      <c r="D55" s="29">
        <f t="shared" si="6"/>
        <v>0.53982783727703731</v>
      </c>
      <c r="E55" s="32">
        <v>0.10000000000002096</v>
      </c>
      <c r="F55" s="33">
        <f t="shared" si="2"/>
        <v>-1.399999999999979</v>
      </c>
      <c r="G55" s="38">
        <f t="shared" si="11"/>
        <v>919240</v>
      </c>
      <c r="H55" s="39">
        <f t="shared" si="12"/>
        <v>91924</v>
      </c>
      <c r="I55" s="39">
        <f t="shared" si="12"/>
        <v>9192.4</v>
      </c>
      <c r="J55" s="39">
        <f t="shared" si="12"/>
        <v>919.24</v>
      </c>
      <c r="K55" s="39">
        <f t="shared" si="12"/>
        <v>91.924000000000007</v>
      </c>
    </row>
    <row r="56" spans="1:11" x14ac:dyDescent="0.4">
      <c r="A56" s="31">
        <f t="shared" si="9"/>
        <v>-0.49999999999999284</v>
      </c>
      <c r="B56" s="29">
        <f t="shared" si="10"/>
        <v>6.6807201268860861E-2</v>
      </c>
      <c r="C56" s="42">
        <f t="shared" ref="C56:C75" si="13">E56/3</f>
        <v>7.1794422259093335E-15</v>
      </c>
      <c r="D56" s="29">
        <f t="shared" si="6"/>
        <v>0.50000000000000866</v>
      </c>
      <c r="E56" s="316">
        <v>2.1538326677727999E-14</v>
      </c>
      <c r="F56" s="33">
        <f t="shared" ref="F56:F75" si="14">E56-1.5</f>
        <v>-1.4999999999999785</v>
      </c>
      <c r="G56" s="38">
        <f t="shared" si="11"/>
        <v>933190</v>
      </c>
      <c r="H56" s="39">
        <f t="shared" ref="H56:H75" si="15">G56/10</f>
        <v>93319</v>
      </c>
      <c r="I56" s="39">
        <f t="shared" ref="I56:I75" si="16">H56/10</f>
        <v>9331.9</v>
      </c>
      <c r="J56" s="39">
        <f t="shared" ref="J56:J75" si="17">I56/10</f>
        <v>933.18999999999994</v>
      </c>
      <c r="K56" s="39">
        <f t="shared" ref="K56:K75" si="18">J56/10</f>
        <v>93.318999999999988</v>
      </c>
    </row>
    <row r="57" spans="1:11" x14ac:dyDescent="0.4">
      <c r="A57" s="31">
        <f t="shared" si="9"/>
        <v>-0.53333333333332611</v>
      </c>
      <c r="B57" s="29">
        <f t="shared" si="10"/>
        <v>5.4799291699560396E-2</v>
      </c>
      <c r="C57" s="42">
        <f t="shared" si="13"/>
        <v>-3.333333333332613E-2</v>
      </c>
      <c r="D57" s="29">
        <f t="shared" si="6"/>
        <v>0.46017216272297956</v>
      </c>
      <c r="E57" s="32">
        <v>-9.9999999999978398E-2</v>
      </c>
      <c r="F57" s="33">
        <f t="shared" si="14"/>
        <v>-1.5999999999999783</v>
      </c>
      <c r="G57" s="38">
        <f t="shared" si="11"/>
        <v>945200</v>
      </c>
      <c r="H57" s="39">
        <f t="shared" si="15"/>
        <v>94520</v>
      </c>
      <c r="I57" s="39">
        <f t="shared" si="16"/>
        <v>9452</v>
      </c>
      <c r="J57" s="39">
        <f t="shared" si="17"/>
        <v>945.2</v>
      </c>
      <c r="K57" s="39">
        <f t="shared" si="18"/>
        <v>94.52000000000001</v>
      </c>
    </row>
    <row r="58" spans="1:11" x14ac:dyDescent="0.4">
      <c r="A58" s="31">
        <f t="shared" si="9"/>
        <v>-0.56666666666665932</v>
      </c>
      <c r="B58" s="29">
        <f t="shared" si="10"/>
        <v>4.4565462758545109E-2</v>
      </c>
      <c r="C58" s="42">
        <f t="shared" si="13"/>
        <v>-6.6666666666659338E-2</v>
      </c>
      <c r="D58" s="29">
        <f t="shared" si="6"/>
        <v>0.42074029056090556</v>
      </c>
      <c r="E58" s="32">
        <v>-0.199999999999978</v>
      </c>
      <c r="F58" s="33">
        <f t="shared" si="14"/>
        <v>-1.699999999999978</v>
      </c>
      <c r="G58" s="38">
        <f t="shared" si="11"/>
        <v>955430</v>
      </c>
      <c r="H58" s="39">
        <f t="shared" si="15"/>
        <v>95543</v>
      </c>
      <c r="I58" s="39">
        <f t="shared" si="16"/>
        <v>9554.2999999999993</v>
      </c>
      <c r="J58" s="39">
        <f t="shared" si="17"/>
        <v>955.43</v>
      </c>
      <c r="K58" s="39">
        <f t="shared" si="18"/>
        <v>95.542999999999992</v>
      </c>
    </row>
    <row r="59" spans="1:11" x14ac:dyDescent="0.4">
      <c r="A59" s="31">
        <f t="shared" si="9"/>
        <v>-0.59999999999999265</v>
      </c>
      <c r="B59" s="29">
        <f t="shared" si="10"/>
        <v>3.5930319112927524E-2</v>
      </c>
      <c r="C59" s="42">
        <f t="shared" si="13"/>
        <v>-9.9999999999992664E-2</v>
      </c>
      <c r="D59" s="29">
        <f t="shared" si="6"/>
        <v>0.38208857781105576</v>
      </c>
      <c r="E59" s="32">
        <v>-0.29999999999997801</v>
      </c>
      <c r="F59" s="33">
        <f t="shared" si="14"/>
        <v>-1.7999999999999781</v>
      </c>
      <c r="G59" s="38">
        <f t="shared" si="11"/>
        <v>964060</v>
      </c>
      <c r="H59" s="39">
        <f t="shared" si="15"/>
        <v>96406</v>
      </c>
      <c r="I59" s="39">
        <f t="shared" si="16"/>
        <v>9640.6</v>
      </c>
      <c r="J59" s="39">
        <f t="shared" si="17"/>
        <v>964.06000000000006</v>
      </c>
      <c r="K59" s="39">
        <f t="shared" si="18"/>
        <v>96.406000000000006</v>
      </c>
    </row>
    <row r="60" spans="1:11" x14ac:dyDescent="0.4">
      <c r="A60" s="31">
        <f t="shared" si="9"/>
        <v>-0.63333333333332564</v>
      </c>
      <c r="B60" s="29">
        <f t="shared" si="10"/>
        <v>2.8716559816003306E-2</v>
      </c>
      <c r="C60" s="42">
        <f t="shared" si="13"/>
        <v>-0.13333333333332567</v>
      </c>
      <c r="D60" s="29">
        <f t="shared" si="6"/>
        <v>0.34457825838968431</v>
      </c>
      <c r="E60" s="32">
        <v>-0.39999999999997699</v>
      </c>
      <c r="F60" s="33">
        <f t="shared" si="14"/>
        <v>-1.899999999999977</v>
      </c>
      <c r="G60" s="38">
        <f t="shared" si="11"/>
        <v>971280</v>
      </c>
      <c r="H60" s="39">
        <f t="shared" si="15"/>
        <v>97128</v>
      </c>
      <c r="I60" s="39">
        <f t="shared" si="16"/>
        <v>9712.7999999999993</v>
      </c>
      <c r="J60" s="39">
        <f t="shared" si="17"/>
        <v>971.28</v>
      </c>
      <c r="K60" s="39">
        <f t="shared" si="18"/>
        <v>97.128</v>
      </c>
    </row>
    <row r="61" spans="1:11" x14ac:dyDescent="0.4">
      <c r="A61" s="31">
        <f t="shared" si="9"/>
        <v>-0.66666666666665864</v>
      </c>
      <c r="B61" s="29">
        <f t="shared" si="10"/>
        <v>2.2750131948180492E-2</v>
      </c>
      <c r="C61" s="42">
        <f t="shared" si="13"/>
        <v>-0.16666666666665866</v>
      </c>
      <c r="D61" s="29">
        <f t="shared" si="6"/>
        <v>0.30853753872599526</v>
      </c>
      <c r="E61" s="32">
        <v>-0.49999999999997602</v>
      </c>
      <c r="F61" s="33">
        <f t="shared" si="14"/>
        <v>-1.999999999999976</v>
      </c>
      <c r="G61" s="38">
        <f t="shared" si="11"/>
        <v>977240</v>
      </c>
      <c r="H61" s="39">
        <f t="shared" si="15"/>
        <v>97724</v>
      </c>
      <c r="I61" s="39">
        <f t="shared" si="16"/>
        <v>9772.4</v>
      </c>
      <c r="J61" s="39">
        <f t="shared" si="17"/>
        <v>977.24</v>
      </c>
      <c r="K61" s="39">
        <f t="shared" si="18"/>
        <v>97.724000000000004</v>
      </c>
    </row>
    <row r="62" spans="1:11" x14ac:dyDescent="0.4">
      <c r="A62" s="31">
        <f t="shared" si="9"/>
        <v>-0.69999999999999363</v>
      </c>
      <c r="B62" s="29">
        <f t="shared" si="10"/>
        <v>1.7864420562817396E-2</v>
      </c>
      <c r="C62" s="42">
        <f t="shared" si="13"/>
        <v>-0.19999999999999366</v>
      </c>
      <c r="D62" s="29">
        <f t="shared" si="6"/>
        <v>0.27425311775007988</v>
      </c>
      <c r="E62" s="32">
        <v>-0.59999999999998099</v>
      </c>
      <c r="F62" s="33">
        <f t="shared" si="14"/>
        <v>-2.099999999999981</v>
      </c>
      <c r="G62" s="38">
        <f t="shared" si="11"/>
        <v>982130</v>
      </c>
      <c r="H62" s="39">
        <f t="shared" si="15"/>
        <v>98213</v>
      </c>
      <c r="I62" s="39">
        <f t="shared" si="16"/>
        <v>9821.2999999999993</v>
      </c>
      <c r="J62" s="39">
        <f t="shared" si="17"/>
        <v>982.12999999999988</v>
      </c>
      <c r="K62" s="39">
        <f t="shared" si="18"/>
        <v>98.212999999999994</v>
      </c>
    </row>
    <row r="63" spans="1:11" x14ac:dyDescent="0.4">
      <c r="A63" s="31">
        <f t="shared" si="9"/>
        <v>-0.73333333333332662</v>
      </c>
      <c r="B63" s="29">
        <f t="shared" si="10"/>
        <v>1.3903447513499321E-2</v>
      </c>
      <c r="C63" s="42">
        <f t="shared" si="13"/>
        <v>-0.23333333333332665</v>
      </c>
      <c r="D63" s="29">
        <f t="shared" si="6"/>
        <v>0.24196365222307925</v>
      </c>
      <c r="E63" s="32">
        <v>-0.69999999999997997</v>
      </c>
      <c r="F63" s="33">
        <f t="shared" si="14"/>
        <v>-2.1999999999999797</v>
      </c>
      <c r="G63" s="38">
        <f t="shared" si="11"/>
        <v>986090</v>
      </c>
      <c r="H63" s="39">
        <f t="shared" si="15"/>
        <v>98609</v>
      </c>
      <c r="I63" s="39">
        <f t="shared" si="16"/>
        <v>9860.9</v>
      </c>
      <c r="J63" s="39">
        <f t="shared" si="17"/>
        <v>986.08999999999992</v>
      </c>
      <c r="K63" s="39">
        <f t="shared" si="18"/>
        <v>98.608999999999995</v>
      </c>
    </row>
    <row r="64" spans="1:11" x14ac:dyDescent="0.4">
      <c r="A64" s="31">
        <f t="shared" si="9"/>
        <v>-0.76666666666666039</v>
      </c>
      <c r="B64" s="29">
        <f t="shared" si="10"/>
        <v>1.0724110021676333E-2</v>
      </c>
      <c r="C64" s="42">
        <f t="shared" si="13"/>
        <v>-0.26666666666666033</v>
      </c>
      <c r="D64" s="29">
        <f t="shared" si="6"/>
        <v>0.21185539858340219</v>
      </c>
      <c r="E64" s="32">
        <v>-0.79999999999998095</v>
      </c>
      <c r="F64" s="33">
        <f t="shared" si="14"/>
        <v>-2.2999999999999812</v>
      </c>
      <c r="G64" s="38">
        <f t="shared" si="11"/>
        <v>989270</v>
      </c>
      <c r="H64" s="39">
        <f t="shared" si="15"/>
        <v>98927</v>
      </c>
      <c r="I64" s="39">
        <f t="shared" si="16"/>
        <v>9892.7000000000007</v>
      </c>
      <c r="J64" s="39">
        <f t="shared" si="17"/>
        <v>989.2700000000001</v>
      </c>
      <c r="K64" s="39">
        <f t="shared" si="18"/>
        <v>98.927000000000007</v>
      </c>
    </row>
    <row r="65" spans="1:11" x14ac:dyDescent="0.4">
      <c r="A65" s="31">
        <f t="shared" si="9"/>
        <v>-0.79999999999999338</v>
      </c>
      <c r="B65" s="29">
        <f t="shared" si="10"/>
        <v>8.1975359245965752E-3</v>
      </c>
      <c r="C65" s="42">
        <f t="shared" si="13"/>
        <v>-0.29999999999999333</v>
      </c>
      <c r="D65" s="29">
        <f t="shared" si="6"/>
        <v>0.18406012534676477</v>
      </c>
      <c r="E65" s="32">
        <v>-0.89999999999998004</v>
      </c>
      <c r="F65" s="33">
        <f t="shared" si="14"/>
        <v>-2.3999999999999799</v>
      </c>
      <c r="G65" s="38">
        <f t="shared" si="11"/>
        <v>991800</v>
      </c>
      <c r="H65" s="39">
        <f t="shared" si="15"/>
        <v>99180</v>
      </c>
      <c r="I65" s="39">
        <f t="shared" si="16"/>
        <v>9918</v>
      </c>
      <c r="J65" s="39">
        <f t="shared" si="17"/>
        <v>991.8</v>
      </c>
      <c r="K65" s="39">
        <f t="shared" si="18"/>
        <v>99.179999999999993</v>
      </c>
    </row>
    <row r="66" spans="1:11" x14ac:dyDescent="0.4">
      <c r="A66" s="31">
        <f t="shared" si="9"/>
        <v>-0.83333333333332327</v>
      </c>
      <c r="B66" s="29">
        <f t="shared" si="10"/>
        <v>6.2096653257766622E-3</v>
      </c>
      <c r="C66" s="42">
        <f t="shared" si="13"/>
        <v>-0.33333333333332332</v>
      </c>
      <c r="D66" s="29">
        <f t="shared" si="6"/>
        <v>0.15865525393146429</v>
      </c>
      <c r="E66" s="32">
        <v>-0.99999999999997002</v>
      </c>
      <c r="F66" s="33">
        <f t="shared" si="14"/>
        <v>-2.4999999999999698</v>
      </c>
      <c r="G66" s="38">
        <f t="shared" si="11"/>
        <v>993790</v>
      </c>
      <c r="H66" s="39">
        <f t="shared" si="15"/>
        <v>99379</v>
      </c>
      <c r="I66" s="39">
        <f t="shared" si="16"/>
        <v>9937.9</v>
      </c>
      <c r="J66" s="39">
        <f t="shared" si="17"/>
        <v>993.79</v>
      </c>
      <c r="K66" s="39">
        <f t="shared" si="18"/>
        <v>99.378999999999991</v>
      </c>
    </row>
    <row r="67" spans="1:11" x14ac:dyDescent="0.4">
      <c r="A67" s="31">
        <f t="shared" si="9"/>
        <v>-0.8666666666666567</v>
      </c>
      <c r="B67" s="29">
        <f t="shared" si="10"/>
        <v>4.661188023719157E-3</v>
      </c>
      <c r="C67" s="42">
        <f t="shared" si="13"/>
        <v>-0.36666666666665665</v>
      </c>
      <c r="D67" s="29">
        <f t="shared" si="6"/>
        <v>0.13566606094638917</v>
      </c>
      <c r="E67" s="32">
        <v>-1.0999999999999699</v>
      </c>
      <c r="F67" s="33">
        <f t="shared" si="14"/>
        <v>-2.5999999999999699</v>
      </c>
      <c r="G67" s="38">
        <f t="shared" si="11"/>
        <v>995330</v>
      </c>
      <c r="H67" s="39">
        <f t="shared" si="15"/>
        <v>99533</v>
      </c>
      <c r="I67" s="39">
        <f t="shared" si="16"/>
        <v>9953.2999999999993</v>
      </c>
      <c r="J67" s="39">
        <f t="shared" si="17"/>
        <v>995.32999999999993</v>
      </c>
      <c r="K67" s="39">
        <f t="shared" si="18"/>
        <v>99.532999999999987</v>
      </c>
    </row>
    <row r="68" spans="1:11" x14ac:dyDescent="0.4">
      <c r="A68" s="31">
        <f t="shared" si="9"/>
        <v>-0.89999999999998992</v>
      </c>
      <c r="B68" s="29">
        <f t="shared" si="10"/>
        <v>3.4669738030409783E-3</v>
      </c>
      <c r="C68" s="42">
        <f t="shared" si="13"/>
        <v>-0.39999999999998997</v>
      </c>
      <c r="D68" s="29">
        <f t="shared" si="6"/>
        <v>0.11506967022171406</v>
      </c>
      <c r="E68" s="32">
        <v>-1.19999999999997</v>
      </c>
      <c r="F68" s="33">
        <f t="shared" si="14"/>
        <v>-2.69999999999997</v>
      </c>
      <c r="G68" s="38">
        <f t="shared" si="11"/>
        <v>996530</v>
      </c>
      <c r="H68" s="39">
        <f t="shared" si="15"/>
        <v>99653</v>
      </c>
      <c r="I68" s="39">
        <f t="shared" si="16"/>
        <v>9965.2999999999993</v>
      </c>
      <c r="J68" s="39">
        <f t="shared" si="17"/>
        <v>996.53</v>
      </c>
      <c r="K68" s="39">
        <f t="shared" si="18"/>
        <v>99.652999999999992</v>
      </c>
    </row>
    <row r="69" spans="1:11" x14ac:dyDescent="0.4">
      <c r="A69" s="31">
        <f t="shared" ref="A69:A83" si="19">C69-0.5</f>
        <v>-0.93333333333332336</v>
      </c>
      <c r="B69" s="29">
        <f t="shared" ref="B69:B83" si="20">NORMSDIST(F69)</f>
        <v>2.5551303304281671E-3</v>
      </c>
      <c r="C69" s="42">
        <f t="shared" si="13"/>
        <v>-0.43333333333332336</v>
      </c>
      <c r="D69" s="29">
        <f t="shared" si="6"/>
        <v>9.6800484585615465E-2</v>
      </c>
      <c r="E69" s="32">
        <v>-1.2999999999999701</v>
      </c>
      <c r="F69" s="33">
        <f t="shared" si="14"/>
        <v>-2.7999999999999701</v>
      </c>
      <c r="G69" s="38">
        <f t="shared" si="11"/>
        <v>997440</v>
      </c>
      <c r="H69" s="39">
        <f t="shared" si="15"/>
        <v>99744</v>
      </c>
      <c r="I69" s="39">
        <f t="shared" si="16"/>
        <v>9974.4</v>
      </c>
      <c r="J69" s="39">
        <f t="shared" si="17"/>
        <v>997.43999999999994</v>
      </c>
      <c r="K69" s="39">
        <f t="shared" si="18"/>
        <v>99.744</v>
      </c>
    </row>
    <row r="70" spans="1:11" x14ac:dyDescent="0.4">
      <c r="A70" s="31">
        <f t="shared" si="19"/>
        <v>-0.96666666666665657</v>
      </c>
      <c r="B70" s="29">
        <f t="shared" si="20"/>
        <v>1.8658133003842138E-3</v>
      </c>
      <c r="C70" s="42">
        <f t="shared" si="13"/>
        <v>-0.46666666666665663</v>
      </c>
      <c r="D70" s="29">
        <f t="shared" ref="D70:D83" si="21">NORMSDIST(E70)</f>
        <v>8.0756659233775535E-2</v>
      </c>
      <c r="E70" s="32">
        <v>-1.3999999999999699</v>
      </c>
      <c r="F70" s="33">
        <f t="shared" si="14"/>
        <v>-2.8999999999999702</v>
      </c>
      <c r="G70" s="38">
        <f t="shared" si="11"/>
        <v>998130</v>
      </c>
      <c r="H70" s="39">
        <f t="shared" si="15"/>
        <v>99813</v>
      </c>
      <c r="I70" s="39">
        <f t="shared" si="16"/>
        <v>9981.2999999999993</v>
      </c>
      <c r="J70" s="39">
        <f t="shared" si="17"/>
        <v>998.12999999999988</v>
      </c>
      <c r="K70" s="39">
        <f t="shared" si="18"/>
        <v>99.812999999999988</v>
      </c>
    </row>
    <row r="71" spans="1:11" x14ac:dyDescent="0.4">
      <c r="A71" s="31">
        <f t="shared" si="19"/>
        <v>-0.99999999999999001</v>
      </c>
      <c r="B71" s="29">
        <f t="shared" si="20"/>
        <v>1.3498980316302268E-3</v>
      </c>
      <c r="C71" s="42">
        <f t="shared" si="13"/>
        <v>-0.49999999999999001</v>
      </c>
      <c r="D71" s="29">
        <f t="shared" si="21"/>
        <v>6.6807201268861929E-2</v>
      </c>
      <c r="E71" s="32">
        <v>-1.49999999999997</v>
      </c>
      <c r="F71" s="33">
        <f t="shared" si="14"/>
        <v>-2.9999999999999698</v>
      </c>
      <c r="G71" s="38">
        <f t="shared" si="11"/>
        <v>998650</v>
      </c>
      <c r="H71" s="39">
        <f t="shared" si="15"/>
        <v>99865</v>
      </c>
      <c r="I71" s="39">
        <f t="shared" si="16"/>
        <v>9986.5</v>
      </c>
      <c r="J71" s="39">
        <f t="shared" si="17"/>
        <v>998.65</v>
      </c>
      <c r="K71" s="39">
        <f t="shared" si="18"/>
        <v>99.864999999999995</v>
      </c>
    </row>
    <row r="72" spans="1:11" x14ac:dyDescent="0.4">
      <c r="A72" s="31">
        <f t="shared" si="19"/>
        <v>-1.0333333333333234</v>
      </c>
      <c r="B72" s="29">
        <f t="shared" si="20"/>
        <v>9.6760321321845454E-4</v>
      </c>
      <c r="C72" s="42">
        <f t="shared" si="13"/>
        <v>-0.53333333333332333</v>
      </c>
      <c r="D72" s="29">
        <f t="shared" si="21"/>
        <v>5.4799291699561305E-2</v>
      </c>
      <c r="E72" s="32">
        <v>-1.5999999999999699</v>
      </c>
      <c r="F72" s="33">
        <f t="shared" si="14"/>
        <v>-3.0999999999999699</v>
      </c>
      <c r="G72" s="38">
        <f t="shared" si="11"/>
        <v>999030</v>
      </c>
      <c r="H72" s="39">
        <f t="shared" si="15"/>
        <v>99903</v>
      </c>
      <c r="I72" s="39">
        <f t="shared" si="16"/>
        <v>9990.2999999999993</v>
      </c>
      <c r="J72" s="39">
        <f t="shared" si="17"/>
        <v>999.03</v>
      </c>
      <c r="K72" s="39">
        <f t="shared" si="18"/>
        <v>99.902999999999992</v>
      </c>
    </row>
    <row r="73" spans="1:11" x14ac:dyDescent="0.4">
      <c r="A73" s="31">
        <f t="shared" si="19"/>
        <v>-1.0666666666666567</v>
      </c>
      <c r="B73" s="29">
        <f t="shared" si="20"/>
        <v>6.8713793791591918E-4</v>
      </c>
      <c r="C73" s="42">
        <f t="shared" si="13"/>
        <v>-0.56666666666665666</v>
      </c>
      <c r="D73" s="29">
        <f t="shared" si="21"/>
        <v>4.4565462758545858E-2</v>
      </c>
      <c r="E73" s="32">
        <v>-1.69999999999997</v>
      </c>
      <c r="F73" s="33">
        <f t="shared" si="14"/>
        <v>-3.19999999999997</v>
      </c>
      <c r="G73" s="38">
        <f t="shared" si="11"/>
        <v>999310</v>
      </c>
      <c r="H73" s="39">
        <f t="shared" si="15"/>
        <v>99931</v>
      </c>
      <c r="I73" s="39">
        <f t="shared" si="16"/>
        <v>9993.1</v>
      </c>
      <c r="J73" s="39">
        <f t="shared" si="17"/>
        <v>999.31000000000006</v>
      </c>
      <c r="K73" s="39">
        <f t="shared" si="18"/>
        <v>99.931000000000012</v>
      </c>
    </row>
    <row r="74" spans="1:11" x14ac:dyDescent="0.4">
      <c r="A74" s="31">
        <f t="shared" si="19"/>
        <v>-1.0999999999999899</v>
      </c>
      <c r="B74" s="29">
        <f t="shared" si="20"/>
        <v>4.8342414238382856E-4</v>
      </c>
      <c r="C74" s="42">
        <f t="shared" si="13"/>
        <v>-0.59999999999998999</v>
      </c>
      <c r="D74" s="29">
        <f t="shared" si="21"/>
        <v>3.5930319112928169E-2</v>
      </c>
      <c r="E74" s="32">
        <v>-1.7999999999999701</v>
      </c>
      <c r="F74" s="33">
        <f t="shared" si="14"/>
        <v>-3.2999999999999701</v>
      </c>
      <c r="G74" s="38">
        <f t="shared" ref="G74:G83" si="22">TRUNC((1-B74)*1000000,-1)</f>
        <v>999510</v>
      </c>
      <c r="H74" s="39">
        <f t="shared" si="15"/>
        <v>99951</v>
      </c>
      <c r="I74" s="39">
        <f t="shared" si="16"/>
        <v>9995.1</v>
      </c>
      <c r="J74" s="39">
        <f t="shared" si="17"/>
        <v>999.51</v>
      </c>
      <c r="K74" s="39">
        <f t="shared" si="18"/>
        <v>99.950999999999993</v>
      </c>
    </row>
    <row r="75" spans="1:11" x14ac:dyDescent="0.4">
      <c r="A75" s="31">
        <f t="shared" si="19"/>
        <v>-1.1333333333333233</v>
      </c>
      <c r="B75" s="29">
        <f t="shared" si="20"/>
        <v>3.3692926567691723E-4</v>
      </c>
      <c r="C75" s="42">
        <f t="shared" si="13"/>
        <v>-0.63333333333332331</v>
      </c>
      <c r="D75" s="29">
        <f t="shared" si="21"/>
        <v>2.8716559816003746E-2</v>
      </c>
      <c r="E75" s="32">
        <v>-1.8999999999999699</v>
      </c>
      <c r="F75" s="33">
        <f t="shared" si="14"/>
        <v>-3.3999999999999702</v>
      </c>
      <c r="G75" s="38">
        <f t="shared" si="22"/>
        <v>999660</v>
      </c>
      <c r="H75" s="39">
        <f t="shared" si="15"/>
        <v>99966</v>
      </c>
      <c r="I75" s="39">
        <f t="shared" si="16"/>
        <v>9996.6</v>
      </c>
      <c r="J75" s="39">
        <f t="shared" si="17"/>
        <v>999.66000000000008</v>
      </c>
      <c r="K75" s="39">
        <f t="shared" si="18"/>
        <v>99.966000000000008</v>
      </c>
    </row>
    <row r="76" spans="1:11" x14ac:dyDescent="0.4">
      <c r="A76" s="31">
        <f t="shared" si="19"/>
        <v>-1.1666666666666567</v>
      </c>
      <c r="B76" s="29">
        <f t="shared" si="20"/>
        <v>2.3262907903555144E-4</v>
      </c>
      <c r="C76" s="42">
        <f t="shared" ref="C76:C82" si="23">E76/3</f>
        <v>-0.66666666666665664</v>
      </c>
      <c r="D76" s="29">
        <f t="shared" si="21"/>
        <v>2.2750131948180811E-2</v>
      </c>
      <c r="E76" s="32">
        <v>-1.99999999999997</v>
      </c>
      <c r="F76" s="33">
        <f t="shared" ref="F76:F82" si="24">E76-1.5</f>
        <v>-3.4999999999999698</v>
      </c>
      <c r="G76" s="38">
        <f t="shared" si="22"/>
        <v>999760</v>
      </c>
      <c r="H76" s="39">
        <f t="shared" ref="H76:H82" si="25">G76/10</f>
        <v>99976</v>
      </c>
      <c r="I76" s="39">
        <f t="shared" ref="I76:I82" si="26">H76/10</f>
        <v>9997.6</v>
      </c>
      <c r="J76" s="39">
        <f t="shared" ref="J76:J82" si="27">I76/10</f>
        <v>999.76</v>
      </c>
      <c r="K76" s="39">
        <f t="shared" ref="K76:K82" si="28">J76/10</f>
        <v>99.975999999999999</v>
      </c>
    </row>
    <row r="77" spans="1:11" x14ac:dyDescent="0.4">
      <c r="A77" s="31">
        <f t="shared" si="19"/>
        <v>-1.19999999999999</v>
      </c>
      <c r="B77" s="29">
        <f t="shared" si="20"/>
        <v>1.5910859015755204E-4</v>
      </c>
      <c r="C77" s="42">
        <f t="shared" si="23"/>
        <v>-0.69999999999998996</v>
      </c>
      <c r="D77" s="29">
        <f t="shared" si="21"/>
        <v>1.7864420562817875E-2</v>
      </c>
      <c r="E77" s="32">
        <v>-2.0999999999999699</v>
      </c>
      <c r="F77" s="33">
        <f t="shared" si="24"/>
        <v>-3.5999999999999699</v>
      </c>
      <c r="G77" s="38">
        <f t="shared" si="22"/>
        <v>999840</v>
      </c>
      <c r="H77" s="39">
        <f t="shared" si="25"/>
        <v>99984</v>
      </c>
      <c r="I77" s="39">
        <f t="shared" si="26"/>
        <v>9998.4</v>
      </c>
      <c r="J77" s="39">
        <f t="shared" si="27"/>
        <v>999.83999999999992</v>
      </c>
      <c r="K77" s="39">
        <f t="shared" si="28"/>
        <v>99.983999999999995</v>
      </c>
    </row>
    <row r="78" spans="1:11" x14ac:dyDescent="0.4">
      <c r="A78" s="31">
        <f t="shared" si="19"/>
        <v>-1.2333333333333232</v>
      </c>
      <c r="B78" s="29">
        <f t="shared" si="20"/>
        <v>1.0779973347740102E-4</v>
      </c>
      <c r="C78" s="42">
        <f t="shared" si="23"/>
        <v>-0.73333333333332329</v>
      </c>
      <c r="D78" s="29">
        <f t="shared" si="21"/>
        <v>1.3903447513499664E-2</v>
      </c>
      <c r="E78" s="32">
        <v>-2.19999999999997</v>
      </c>
      <c r="F78" s="33">
        <f t="shared" si="24"/>
        <v>-3.69999999999997</v>
      </c>
      <c r="G78" s="38">
        <f t="shared" si="22"/>
        <v>999890</v>
      </c>
      <c r="H78" s="39">
        <f t="shared" si="25"/>
        <v>99989</v>
      </c>
      <c r="I78" s="39">
        <f t="shared" si="26"/>
        <v>9998.9</v>
      </c>
      <c r="J78" s="39">
        <f t="shared" si="27"/>
        <v>999.89</v>
      </c>
      <c r="K78" s="39">
        <f t="shared" si="28"/>
        <v>99.989000000000004</v>
      </c>
    </row>
    <row r="79" spans="1:11" x14ac:dyDescent="0.4">
      <c r="A79" s="31">
        <f t="shared" si="19"/>
        <v>-1.2666666666666568</v>
      </c>
      <c r="B79" s="29">
        <f t="shared" si="20"/>
        <v>7.2348043925128596E-5</v>
      </c>
      <c r="C79" s="42">
        <f t="shared" si="23"/>
        <v>-0.76666666666665673</v>
      </c>
      <c r="D79" s="29">
        <f t="shared" si="21"/>
        <v>1.0724110021676645E-2</v>
      </c>
      <c r="E79" s="32">
        <v>-2.2999999999999701</v>
      </c>
      <c r="F79" s="33">
        <f t="shared" si="24"/>
        <v>-3.7999999999999701</v>
      </c>
      <c r="G79" s="38">
        <f t="shared" si="22"/>
        <v>999920</v>
      </c>
      <c r="H79" s="39">
        <f t="shared" si="25"/>
        <v>99992</v>
      </c>
      <c r="I79" s="39">
        <f t="shared" si="26"/>
        <v>9999.2000000000007</v>
      </c>
      <c r="J79" s="39">
        <f t="shared" si="27"/>
        <v>999.92000000000007</v>
      </c>
      <c r="K79" s="39">
        <f t="shared" si="28"/>
        <v>99.992000000000004</v>
      </c>
    </row>
    <row r="80" spans="1:11" x14ac:dyDescent="0.4">
      <c r="A80" s="31">
        <f t="shared" si="19"/>
        <v>-1.2999999999999901</v>
      </c>
      <c r="B80" s="29">
        <f t="shared" si="20"/>
        <v>4.8096344017608632E-5</v>
      </c>
      <c r="C80" s="42">
        <f t="shared" si="23"/>
        <v>-0.79999999999999005</v>
      </c>
      <c r="D80" s="29">
        <f t="shared" si="21"/>
        <v>8.1975359245967903E-3</v>
      </c>
      <c r="E80" s="32">
        <v>-2.3999999999999702</v>
      </c>
      <c r="F80" s="33">
        <f t="shared" si="24"/>
        <v>-3.8999999999999702</v>
      </c>
      <c r="G80" s="38">
        <f t="shared" si="22"/>
        <v>999950</v>
      </c>
      <c r="H80" s="39">
        <f t="shared" si="25"/>
        <v>99995</v>
      </c>
      <c r="I80" s="39">
        <f t="shared" si="26"/>
        <v>9999.5</v>
      </c>
      <c r="J80" s="39">
        <f t="shared" si="27"/>
        <v>999.95</v>
      </c>
      <c r="K80" s="39">
        <f t="shared" si="28"/>
        <v>99.995000000000005</v>
      </c>
    </row>
    <row r="81" spans="1:11" x14ac:dyDescent="0.4">
      <c r="A81" s="31">
        <f t="shared" si="19"/>
        <v>-1.3333333333333233</v>
      </c>
      <c r="B81" s="29">
        <f t="shared" si="20"/>
        <v>3.1671241833123929E-5</v>
      </c>
      <c r="C81" s="42">
        <f t="shared" si="23"/>
        <v>-0.83333333333332327</v>
      </c>
      <c r="D81" s="29">
        <f t="shared" si="21"/>
        <v>6.2096653257766622E-3</v>
      </c>
      <c r="E81" s="32">
        <v>-2.4999999999999698</v>
      </c>
      <c r="F81" s="33">
        <f t="shared" si="24"/>
        <v>-3.9999999999999698</v>
      </c>
      <c r="G81" s="38">
        <f t="shared" si="22"/>
        <v>999960</v>
      </c>
      <c r="H81" s="39">
        <f t="shared" si="25"/>
        <v>99996</v>
      </c>
      <c r="I81" s="39">
        <f t="shared" si="26"/>
        <v>9999.6</v>
      </c>
      <c r="J81" s="39">
        <f t="shared" si="27"/>
        <v>999.96</v>
      </c>
      <c r="K81" s="39">
        <f t="shared" si="28"/>
        <v>99.996000000000009</v>
      </c>
    </row>
    <row r="82" spans="1:11" x14ac:dyDescent="0.4">
      <c r="A82" s="31">
        <f t="shared" si="19"/>
        <v>-1.3666666666666565</v>
      </c>
      <c r="B82" s="29">
        <f t="shared" si="20"/>
        <v>2.0657506912549417E-5</v>
      </c>
      <c r="C82" s="42">
        <f t="shared" si="23"/>
        <v>-0.86666666666665659</v>
      </c>
      <c r="D82" s="29">
        <f t="shared" si="21"/>
        <v>4.661188023719157E-3</v>
      </c>
      <c r="E82" s="32">
        <v>-2.5999999999999699</v>
      </c>
      <c r="F82" s="33">
        <f t="shared" si="24"/>
        <v>-4.0999999999999694</v>
      </c>
      <c r="G82" s="38">
        <f t="shared" si="22"/>
        <v>999970</v>
      </c>
      <c r="H82" s="39">
        <f t="shared" si="25"/>
        <v>99997</v>
      </c>
      <c r="I82" s="39">
        <f t="shared" si="26"/>
        <v>9999.7000000000007</v>
      </c>
      <c r="J82" s="39">
        <f t="shared" si="27"/>
        <v>999.97</v>
      </c>
      <c r="K82" s="39">
        <f t="shared" si="28"/>
        <v>99.997</v>
      </c>
    </row>
    <row r="83" spans="1:11" x14ac:dyDescent="0.4">
      <c r="A83" s="31">
        <f t="shared" si="19"/>
        <v>-1.3999999999999901</v>
      </c>
      <c r="B83" s="29">
        <f t="shared" si="20"/>
        <v>1.3345749015908077E-5</v>
      </c>
      <c r="C83" s="42">
        <f>E83/3</f>
        <v>-0.89999999999999003</v>
      </c>
      <c r="D83" s="29">
        <f t="shared" si="21"/>
        <v>3.4669738030409783E-3</v>
      </c>
      <c r="E83" s="32">
        <v>-2.69999999999997</v>
      </c>
      <c r="F83" s="33">
        <f t="shared" ref="F83" si="29">E83-1.5</f>
        <v>-4.19999999999997</v>
      </c>
      <c r="G83" s="38">
        <f t="shared" si="22"/>
        <v>999980</v>
      </c>
      <c r="H83" s="39">
        <f t="shared" ref="H83" si="30">G83/10</f>
        <v>99998</v>
      </c>
      <c r="I83" s="39">
        <f t="shared" ref="I83" si="31">H83/10</f>
        <v>9999.7999999999993</v>
      </c>
      <c r="J83" s="39">
        <f t="shared" ref="J83" si="32">I83/10</f>
        <v>999.9799999999999</v>
      </c>
      <c r="K83" s="39">
        <f t="shared" ref="K83" si="33">J83/10</f>
        <v>99.99799999999999</v>
      </c>
    </row>
  </sheetData>
  <mergeCells count="1">
    <mergeCell ref="G2:K2"/>
  </mergeCells>
  <hyperlinks>
    <hyperlink ref="M1" location="Menu!A1" display="Return to menu" xr:uid="{00000000-0004-0000-1700-000000000000}"/>
  </hyperlinks>
  <pageMargins left="0.75" right="0.75" top="1" bottom="1" header="0.5" footer="0.5"/>
  <pageSetup orientation="portrait" r:id="rId1"/>
  <headerFooter alignWithMargins="0">
    <oddFooter>&amp;CNote: Zst is assumed to be Zlt + 1.5.  Yield is assumed to be long term data.
Subtract 1.5 to get long term Z (Process Sigma).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fitToPage="1"/>
  </sheetPr>
  <dimension ref="B1:AG75"/>
  <sheetViews>
    <sheetView workbookViewId="0">
      <selection activeCell="V1" sqref="V1"/>
    </sheetView>
  </sheetViews>
  <sheetFormatPr defaultRowHeight="12.3" x14ac:dyDescent="0.4"/>
  <cols>
    <col min="1" max="1" width="14.62890625" style="18" customWidth="1"/>
    <col min="2" max="2" width="4.26171875" style="44" customWidth="1"/>
    <col min="3" max="3" width="20.1015625" style="18" bestFit="1" customWidth="1"/>
    <col min="4" max="4" width="4.3671875" style="18" customWidth="1"/>
    <col min="5" max="5" width="5.734375" style="18" customWidth="1"/>
    <col min="6" max="16" width="4.734375" style="18" customWidth="1"/>
    <col min="17" max="17" width="3.62890625" style="18" customWidth="1"/>
    <col min="18" max="18" width="3.1015625" style="18" customWidth="1"/>
    <col min="19" max="19" width="4" style="18" customWidth="1"/>
    <col min="20" max="20" width="3.89453125" style="18" customWidth="1"/>
    <col min="21" max="21" width="3.3671875" style="18" customWidth="1"/>
    <col min="22" max="22" width="20.734375" style="18" bestFit="1" customWidth="1"/>
    <col min="23" max="26" width="4.26171875" style="18" bestFit="1" customWidth="1"/>
    <col min="27" max="30" width="4.26171875" style="18" customWidth="1"/>
    <col min="31" max="31" width="3" style="18" customWidth="1"/>
    <col min="32" max="32" width="15.734375" style="18" bestFit="1" customWidth="1"/>
    <col min="33" max="256" width="9.1015625" style="18"/>
    <col min="257" max="257" width="14.62890625" style="18" customWidth="1"/>
    <col min="258" max="258" width="4.26171875" style="18" customWidth="1"/>
    <col min="259" max="259" width="20.1015625" style="18" bestFit="1" customWidth="1"/>
    <col min="260" max="260" width="4.3671875" style="18" customWidth="1"/>
    <col min="261" max="261" width="5.734375" style="18" customWidth="1"/>
    <col min="262" max="272" width="4.734375" style="18" customWidth="1"/>
    <col min="273" max="273" width="3.62890625" style="18" customWidth="1"/>
    <col min="274" max="274" width="3.1015625" style="18" customWidth="1"/>
    <col min="275" max="275" width="4" style="18" customWidth="1"/>
    <col min="276" max="276" width="3.89453125" style="18" customWidth="1"/>
    <col min="277" max="277" width="3.3671875" style="18" customWidth="1"/>
    <col min="278" max="278" width="24.734375" style="18" bestFit="1" customWidth="1"/>
    <col min="279" max="282" width="4.26171875" style="18" bestFit="1" customWidth="1"/>
    <col min="283" max="286" width="4.26171875" style="18" customWidth="1"/>
    <col min="287" max="287" width="3" style="18" customWidth="1"/>
    <col min="288" max="288" width="15.734375" style="18" bestFit="1" customWidth="1"/>
    <col min="289" max="512" width="9.1015625" style="18"/>
    <col min="513" max="513" width="14.62890625" style="18" customWidth="1"/>
    <col min="514" max="514" width="4.26171875" style="18" customWidth="1"/>
    <col min="515" max="515" width="20.1015625" style="18" bestFit="1" customWidth="1"/>
    <col min="516" max="516" width="4.3671875" style="18" customWidth="1"/>
    <col min="517" max="517" width="5.734375" style="18" customWidth="1"/>
    <col min="518" max="528" width="4.734375" style="18" customWidth="1"/>
    <col min="529" max="529" width="3.62890625" style="18" customWidth="1"/>
    <col min="530" max="530" width="3.1015625" style="18" customWidth="1"/>
    <col min="531" max="531" width="4" style="18" customWidth="1"/>
    <col min="532" max="532" width="3.89453125" style="18" customWidth="1"/>
    <col min="533" max="533" width="3.3671875" style="18" customWidth="1"/>
    <col min="534" max="534" width="24.734375" style="18" bestFit="1" customWidth="1"/>
    <col min="535" max="538" width="4.26171875" style="18" bestFit="1" customWidth="1"/>
    <col min="539" max="542" width="4.26171875" style="18" customWidth="1"/>
    <col min="543" max="543" width="3" style="18" customWidth="1"/>
    <col min="544" max="544" width="15.734375" style="18" bestFit="1" customWidth="1"/>
    <col min="545" max="768" width="9.1015625" style="18"/>
    <col min="769" max="769" width="14.62890625" style="18" customWidth="1"/>
    <col min="770" max="770" width="4.26171875" style="18" customWidth="1"/>
    <col min="771" max="771" width="20.1015625" style="18" bestFit="1" customWidth="1"/>
    <col min="772" max="772" width="4.3671875" style="18" customWidth="1"/>
    <col min="773" max="773" width="5.734375" style="18" customWidth="1"/>
    <col min="774" max="784" width="4.734375" style="18" customWidth="1"/>
    <col min="785" max="785" width="3.62890625" style="18" customWidth="1"/>
    <col min="786" max="786" width="3.1015625" style="18" customWidth="1"/>
    <col min="787" max="787" width="4" style="18" customWidth="1"/>
    <col min="788" max="788" width="3.89453125" style="18" customWidth="1"/>
    <col min="789" max="789" width="3.3671875" style="18" customWidth="1"/>
    <col min="790" max="790" width="24.734375" style="18" bestFit="1" customWidth="1"/>
    <col min="791" max="794" width="4.26171875" style="18" bestFit="1" customWidth="1"/>
    <col min="795" max="798" width="4.26171875" style="18" customWidth="1"/>
    <col min="799" max="799" width="3" style="18" customWidth="1"/>
    <col min="800" max="800" width="15.734375" style="18" bestFit="1" customWidth="1"/>
    <col min="801" max="1024" width="9.1015625" style="18"/>
    <col min="1025" max="1025" width="14.62890625" style="18" customWidth="1"/>
    <col min="1026" max="1026" width="4.26171875" style="18" customWidth="1"/>
    <col min="1027" max="1027" width="20.1015625" style="18" bestFit="1" customWidth="1"/>
    <col min="1028" max="1028" width="4.3671875" style="18" customWidth="1"/>
    <col min="1029" max="1029" width="5.734375" style="18" customWidth="1"/>
    <col min="1030" max="1040" width="4.734375" style="18" customWidth="1"/>
    <col min="1041" max="1041" width="3.62890625" style="18" customWidth="1"/>
    <col min="1042" max="1042" width="3.1015625" style="18" customWidth="1"/>
    <col min="1043" max="1043" width="4" style="18" customWidth="1"/>
    <col min="1044" max="1044" width="3.89453125" style="18" customWidth="1"/>
    <col min="1045" max="1045" width="3.3671875" style="18" customWidth="1"/>
    <col min="1046" max="1046" width="24.734375" style="18" bestFit="1" customWidth="1"/>
    <col min="1047" max="1050" width="4.26171875" style="18" bestFit="1" customWidth="1"/>
    <col min="1051" max="1054" width="4.26171875" style="18" customWidth="1"/>
    <col min="1055" max="1055" width="3" style="18" customWidth="1"/>
    <col min="1056" max="1056" width="15.734375" style="18" bestFit="1" customWidth="1"/>
    <col min="1057" max="1280" width="9.1015625" style="18"/>
    <col min="1281" max="1281" width="14.62890625" style="18" customWidth="1"/>
    <col min="1282" max="1282" width="4.26171875" style="18" customWidth="1"/>
    <col min="1283" max="1283" width="20.1015625" style="18" bestFit="1" customWidth="1"/>
    <col min="1284" max="1284" width="4.3671875" style="18" customWidth="1"/>
    <col min="1285" max="1285" width="5.734375" style="18" customWidth="1"/>
    <col min="1286" max="1296" width="4.734375" style="18" customWidth="1"/>
    <col min="1297" max="1297" width="3.62890625" style="18" customWidth="1"/>
    <col min="1298" max="1298" width="3.1015625" style="18" customWidth="1"/>
    <col min="1299" max="1299" width="4" style="18" customWidth="1"/>
    <col min="1300" max="1300" width="3.89453125" style="18" customWidth="1"/>
    <col min="1301" max="1301" width="3.3671875" style="18" customWidth="1"/>
    <col min="1302" max="1302" width="24.734375" style="18" bestFit="1" customWidth="1"/>
    <col min="1303" max="1306" width="4.26171875" style="18" bestFit="1" customWidth="1"/>
    <col min="1307" max="1310" width="4.26171875" style="18" customWidth="1"/>
    <col min="1311" max="1311" width="3" style="18" customWidth="1"/>
    <col min="1312" max="1312" width="15.734375" style="18" bestFit="1" customWidth="1"/>
    <col min="1313" max="1536" width="9.1015625" style="18"/>
    <col min="1537" max="1537" width="14.62890625" style="18" customWidth="1"/>
    <col min="1538" max="1538" width="4.26171875" style="18" customWidth="1"/>
    <col min="1539" max="1539" width="20.1015625" style="18" bestFit="1" customWidth="1"/>
    <col min="1540" max="1540" width="4.3671875" style="18" customWidth="1"/>
    <col min="1541" max="1541" width="5.734375" style="18" customWidth="1"/>
    <col min="1542" max="1552" width="4.734375" style="18" customWidth="1"/>
    <col min="1553" max="1553" width="3.62890625" style="18" customWidth="1"/>
    <col min="1554" max="1554" width="3.1015625" style="18" customWidth="1"/>
    <col min="1555" max="1555" width="4" style="18" customWidth="1"/>
    <col min="1556" max="1556" width="3.89453125" style="18" customWidth="1"/>
    <col min="1557" max="1557" width="3.3671875" style="18" customWidth="1"/>
    <col min="1558" max="1558" width="24.734375" style="18" bestFit="1" customWidth="1"/>
    <col min="1559" max="1562" width="4.26171875" style="18" bestFit="1" customWidth="1"/>
    <col min="1563" max="1566" width="4.26171875" style="18" customWidth="1"/>
    <col min="1567" max="1567" width="3" style="18" customWidth="1"/>
    <col min="1568" max="1568" width="15.734375" style="18" bestFit="1" customWidth="1"/>
    <col min="1569" max="1792" width="9.1015625" style="18"/>
    <col min="1793" max="1793" width="14.62890625" style="18" customWidth="1"/>
    <col min="1794" max="1794" width="4.26171875" style="18" customWidth="1"/>
    <col min="1795" max="1795" width="20.1015625" style="18" bestFit="1" customWidth="1"/>
    <col min="1796" max="1796" width="4.3671875" style="18" customWidth="1"/>
    <col min="1797" max="1797" width="5.734375" style="18" customWidth="1"/>
    <col min="1798" max="1808" width="4.734375" style="18" customWidth="1"/>
    <col min="1809" max="1809" width="3.62890625" style="18" customWidth="1"/>
    <col min="1810" max="1810" width="3.1015625" style="18" customWidth="1"/>
    <col min="1811" max="1811" width="4" style="18" customWidth="1"/>
    <col min="1812" max="1812" width="3.89453125" style="18" customWidth="1"/>
    <col min="1813" max="1813" width="3.3671875" style="18" customWidth="1"/>
    <col min="1814" max="1814" width="24.734375" style="18" bestFit="1" customWidth="1"/>
    <col min="1815" max="1818" width="4.26171875" style="18" bestFit="1" customWidth="1"/>
    <col min="1819" max="1822" width="4.26171875" style="18" customWidth="1"/>
    <col min="1823" max="1823" width="3" style="18" customWidth="1"/>
    <col min="1824" max="1824" width="15.734375" style="18" bestFit="1" customWidth="1"/>
    <col min="1825" max="2048" width="9.1015625" style="18"/>
    <col min="2049" max="2049" width="14.62890625" style="18" customWidth="1"/>
    <col min="2050" max="2050" width="4.26171875" style="18" customWidth="1"/>
    <col min="2051" max="2051" width="20.1015625" style="18" bestFit="1" customWidth="1"/>
    <col min="2052" max="2052" width="4.3671875" style="18" customWidth="1"/>
    <col min="2053" max="2053" width="5.734375" style="18" customWidth="1"/>
    <col min="2054" max="2064" width="4.734375" style="18" customWidth="1"/>
    <col min="2065" max="2065" width="3.62890625" style="18" customWidth="1"/>
    <col min="2066" max="2066" width="3.1015625" style="18" customWidth="1"/>
    <col min="2067" max="2067" width="4" style="18" customWidth="1"/>
    <col min="2068" max="2068" width="3.89453125" style="18" customWidth="1"/>
    <col min="2069" max="2069" width="3.3671875" style="18" customWidth="1"/>
    <col min="2070" max="2070" width="24.734375" style="18" bestFit="1" customWidth="1"/>
    <col min="2071" max="2074" width="4.26171875" style="18" bestFit="1" customWidth="1"/>
    <col min="2075" max="2078" width="4.26171875" style="18" customWidth="1"/>
    <col min="2079" max="2079" width="3" style="18" customWidth="1"/>
    <col min="2080" max="2080" width="15.734375" style="18" bestFit="1" customWidth="1"/>
    <col min="2081" max="2304" width="9.1015625" style="18"/>
    <col min="2305" max="2305" width="14.62890625" style="18" customWidth="1"/>
    <col min="2306" max="2306" width="4.26171875" style="18" customWidth="1"/>
    <col min="2307" max="2307" width="20.1015625" style="18" bestFit="1" customWidth="1"/>
    <col min="2308" max="2308" width="4.3671875" style="18" customWidth="1"/>
    <col min="2309" max="2309" width="5.734375" style="18" customWidth="1"/>
    <col min="2310" max="2320" width="4.734375" style="18" customWidth="1"/>
    <col min="2321" max="2321" width="3.62890625" style="18" customWidth="1"/>
    <col min="2322" max="2322" width="3.1015625" style="18" customWidth="1"/>
    <col min="2323" max="2323" width="4" style="18" customWidth="1"/>
    <col min="2324" max="2324" width="3.89453125" style="18" customWidth="1"/>
    <col min="2325" max="2325" width="3.3671875" style="18" customWidth="1"/>
    <col min="2326" max="2326" width="24.734375" style="18" bestFit="1" customWidth="1"/>
    <col min="2327" max="2330" width="4.26171875" style="18" bestFit="1" customWidth="1"/>
    <col min="2331" max="2334" width="4.26171875" style="18" customWidth="1"/>
    <col min="2335" max="2335" width="3" style="18" customWidth="1"/>
    <col min="2336" max="2336" width="15.734375" style="18" bestFit="1" customWidth="1"/>
    <col min="2337" max="2560" width="9.1015625" style="18"/>
    <col min="2561" max="2561" width="14.62890625" style="18" customWidth="1"/>
    <col min="2562" max="2562" width="4.26171875" style="18" customWidth="1"/>
    <col min="2563" max="2563" width="20.1015625" style="18" bestFit="1" customWidth="1"/>
    <col min="2564" max="2564" width="4.3671875" style="18" customWidth="1"/>
    <col min="2565" max="2565" width="5.734375" style="18" customWidth="1"/>
    <col min="2566" max="2576" width="4.734375" style="18" customWidth="1"/>
    <col min="2577" max="2577" width="3.62890625" style="18" customWidth="1"/>
    <col min="2578" max="2578" width="3.1015625" style="18" customWidth="1"/>
    <col min="2579" max="2579" width="4" style="18" customWidth="1"/>
    <col min="2580" max="2580" width="3.89453125" style="18" customWidth="1"/>
    <col min="2581" max="2581" width="3.3671875" style="18" customWidth="1"/>
    <col min="2582" max="2582" width="24.734375" style="18" bestFit="1" customWidth="1"/>
    <col min="2583" max="2586" width="4.26171875" style="18" bestFit="1" customWidth="1"/>
    <col min="2587" max="2590" width="4.26171875" style="18" customWidth="1"/>
    <col min="2591" max="2591" width="3" style="18" customWidth="1"/>
    <col min="2592" max="2592" width="15.734375" style="18" bestFit="1" customWidth="1"/>
    <col min="2593" max="2816" width="9.1015625" style="18"/>
    <col min="2817" max="2817" width="14.62890625" style="18" customWidth="1"/>
    <col min="2818" max="2818" width="4.26171875" style="18" customWidth="1"/>
    <col min="2819" max="2819" width="20.1015625" style="18" bestFit="1" customWidth="1"/>
    <col min="2820" max="2820" width="4.3671875" style="18" customWidth="1"/>
    <col min="2821" max="2821" width="5.734375" style="18" customWidth="1"/>
    <col min="2822" max="2832" width="4.734375" style="18" customWidth="1"/>
    <col min="2833" max="2833" width="3.62890625" style="18" customWidth="1"/>
    <col min="2834" max="2834" width="3.1015625" style="18" customWidth="1"/>
    <col min="2835" max="2835" width="4" style="18" customWidth="1"/>
    <col min="2836" max="2836" width="3.89453125" style="18" customWidth="1"/>
    <col min="2837" max="2837" width="3.3671875" style="18" customWidth="1"/>
    <col min="2838" max="2838" width="24.734375" style="18" bestFit="1" customWidth="1"/>
    <col min="2839" max="2842" width="4.26171875" style="18" bestFit="1" customWidth="1"/>
    <col min="2843" max="2846" width="4.26171875" style="18" customWidth="1"/>
    <col min="2847" max="2847" width="3" style="18" customWidth="1"/>
    <col min="2848" max="2848" width="15.734375" style="18" bestFit="1" customWidth="1"/>
    <col min="2849" max="3072" width="9.1015625" style="18"/>
    <col min="3073" max="3073" width="14.62890625" style="18" customWidth="1"/>
    <col min="3074" max="3074" width="4.26171875" style="18" customWidth="1"/>
    <col min="3075" max="3075" width="20.1015625" style="18" bestFit="1" customWidth="1"/>
    <col min="3076" max="3076" width="4.3671875" style="18" customWidth="1"/>
    <col min="3077" max="3077" width="5.734375" style="18" customWidth="1"/>
    <col min="3078" max="3088" width="4.734375" style="18" customWidth="1"/>
    <col min="3089" max="3089" width="3.62890625" style="18" customWidth="1"/>
    <col min="3090" max="3090" width="3.1015625" style="18" customWidth="1"/>
    <col min="3091" max="3091" width="4" style="18" customWidth="1"/>
    <col min="3092" max="3092" width="3.89453125" style="18" customWidth="1"/>
    <col min="3093" max="3093" width="3.3671875" style="18" customWidth="1"/>
    <col min="3094" max="3094" width="24.734375" style="18" bestFit="1" customWidth="1"/>
    <col min="3095" max="3098" width="4.26171875" style="18" bestFit="1" customWidth="1"/>
    <col min="3099" max="3102" width="4.26171875" style="18" customWidth="1"/>
    <col min="3103" max="3103" width="3" style="18" customWidth="1"/>
    <col min="3104" max="3104" width="15.734375" style="18" bestFit="1" customWidth="1"/>
    <col min="3105" max="3328" width="9.1015625" style="18"/>
    <col min="3329" max="3329" width="14.62890625" style="18" customWidth="1"/>
    <col min="3330" max="3330" width="4.26171875" style="18" customWidth="1"/>
    <col min="3331" max="3331" width="20.1015625" style="18" bestFit="1" customWidth="1"/>
    <col min="3332" max="3332" width="4.3671875" style="18" customWidth="1"/>
    <col min="3333" max="3333" width="5.734375" style="18" customWidth="1"/>
    <col min="3334" max="3344" width="4.734375" style="18" customWidth="1"/>
    <col min="3345" max="3345" width="3.62890625" style="18" customWidth="1"/>
    <col min="3346" max="3346" width="3.1015625" style="18" customWidth="1"/>
    <col min="3347" max="3347" width="4" style="18" customWidth="1"/>
    <col min="3348" max="3348" width="3.89453125" style="18" customWidth="1"/>
    <col min="3349" max="3349" width="3.3671875" style="18" customWidth="1"/>
    <col min="3350" max="3350" width="24.734375" style="18" bestFit="1" customWidth="1"/>
    <col min="3351" max="3354" width="4.26171875" style="18" bestFit="1" customWidth="1"/>
    <col min="3355" max="3358" width="4.26171875" style="18" customWidth="1"/>
    <col min="3359" max="3359" width="3" style="18" customWidth="1"/>
    <col min="3360" max="3360" width="15.734375" style="18" bestFit="1" customWidth="1"/>
    <col min="3361" max="3584" width="9.1015625" style="18"/>
    <col min="3585" max="3585" width="14.62890625" style="18" customWidth="1"/>
    <col min="3586" max="3586" width="4.26171875" style="18" customWidth="1"/>
    <col min="3587" max="3587" width="20.1015625" style="18" bestFit="1" customWidth="1"/>
    <col min="3588" max="3588" width="4.3671875" style="18" customWidth="1"/>
    <col min="3589" max="3589" width="5.734375" style="18" customWidth="1"/>
    <col min="3590" max="3600" width="4.734375" style="18" customWidth="1"/>
    <col min="3601" max="3601" width="3.62890625" style="18" customWidth="1"/>
    <col min="3602" max="3602" width="3.1015625" style="18" customWidth="1"/>
    <col min="3603" max="3603" width="4" style="18" customWidth="1"/>
    <col min="3604" max="3604" width="3.89453125" style="18" customWidth="1"/>
    <col min="3605" max="3605" width="3.3671875" style="18" customWidth="1"/>
    <col min="3606" max="3606" width="24.734375" style="18" bestFit="1" customWidth="1"/>
    <col min="3607" max="3610" width="4.26171875" style="18" bestFit="1" customWidth="1"/>
    <col min="3611" max="3614" width="4.26171875" style="18" customWidth="1"/>
    <col min="3615" max="3615" width="3" style="18" customWidth="1"/>
    <col min="3616" max="3616" width="15.734375" style="18" bestFit="1" customWidth="1"/>
    <col min="3617" max="3840" width="9.1015625" style="18"/>
    <col min="3841" max="3841" width="14.62890625" style="18" customWidth="1"/>
    <col min="3842" max="3842" width="4.26171875" style="18" customWidth="1"/>
    <col min="3843" max="3843" width="20.1015625" style="18" bestFit="1" customWidth="1"/>
    <col min="3844" max="3844" width="4.3671875" style="18" customWidth="1"/>
    <col min="3845" max="3845" width="5.734375" style="18" customWidth="1"/>
    <col min="3846" max="3856" width="4.734375" style="18" customWidth="1"/>
    <col min="3857" max="3857" width="3.62890625" style="18" customWidth="1"/>
    <col min="3858" max="3858" width="3.1015625" style="18" customWidth="1"/>
    <col min="3859" max="3859" width="4" style="18" customWidth="1"/>
    <col min="3860" max="3860" width="3.89453125" style="18" customWidth="1"/>
    <col min="3861" max="3861" width="3.3671875" style="18" customWidth="1"/>
    <col min="3862" max="3862" width="24.734375" style="18" bestFit="1" customWidth="1"/>
    <col min="3863" max="3866" width="4.26171875" style="18" bestFit="1" customWidth="1"/>
    <col min="3867" max="3870" width="4.26171875" style="18" customWidth="1"/>
    <col min="3871" max="3871" width="3" style="18" customWidth="1"/>
    <col min="3872" max="3872" width="15.734375" style="18" bestFit="1" customWidth="1"/>
    <col min="3873" max="4096" width="9.1015625" style="18"/>
    <col min="4097" max="4097" width="14.62890625" style="18" customWidth="1"/>
    <col min="4098" max="4098" width="4.26171875" style="18" customWidth="1"/>
    <col min="4099" max="4099" width="20.1015625" style="18" bestFit="1" customWidth="1"/>
    <col min="4100" max="4100" width="4.3671875" style="18" customWidth="1"/>
    <col min="4101" max="4101" width="5.734375" style="18" customWidth="1"/>
    <col min="4102" max="4112" width="4.734375" style="18" customWidth="1"/>
    <col min="4113" max="4113" width="3.62890625" style="18" customWidth="1"/>
    <col min="4114" max="4114" width="3.1015625" style="18" customWidth="1"/>
    <col min="4115" max="4115" width="4" style="18" customWidth="1"/>
    <col min="4116" max="4116" width="3.89453125" style="18" customWidth="1"/>
    <col min="4117" max="4117" width="3.3671875" style="18" customWidth="1"/>
    <col min="4118" max="4118" width="24.734375" style="18" bestFit="1" customWidth="1"/>
    <col min="4119" max="4122" width="4.26171875" style="18" bestFit="1" customWidth="1"/>
    <col min="4123" max="4126" width="4.26171875" style="18" customWidth="1"/>
    <col min="4127" max="4127" width="3" style="18" customWidth="1"/>
    <col min="4128" max="4128" width="15.734375" style="18" bestFit="1" customWidth="1"/>
    <col min="4129" max="4352" width="9.1015625" style="18"/>
    <col min="4353" max="4353" width="14.62890625" style="18" customWidth="1"/>
    <col min="4354" max="4354" width="4.26171875" style="18" customWidth="1"/>
    <col min="4355" max="4355" width="20.1015625" style="18" bestFit="1" customWidth="1"/>
    <col min="4356" max="4356" width="4.3671875" style="18" customWidth="1"/>
    <col min="4357" max="4357" width="5.734375" style="18" customWidth="1"/>
    <col min="4358" max="4368" width="4.734375" style="18" customWidth="1"/>
    <col min="4369" max="4369" width="3.62890625" style="18" customWidth="1"/>
    <col min="4370" max="4370" width="3.1015625" style="18" customWidth="1"/>
    <col min="4371" max="4371" width="4" style="18" customWidth="1"/>
    <col min="4372" max="4372" width="3.89453125" style="18" customWidth="1"/>
    <col min="4373" max="4373" width="3.3671875" style="18" customWidth="1"/>
    <col min="4374" max="4374" width="24.734375" style="18" bestFit="1" customWidth="1"/>
    <col min="4375" max="4378" width="4.26171875" style="18" bestFit="1" customWidth="1"/>
    <col min="4379" max="4382" width="4.26171875" style="18" customWidth="1"/>
    <col min="4383" max="4383" width="3" style="18" customWidth="1"/>
    <col min="4384" max="4384" width="15.734375" style="18" bestFit="1" customWidth="1"/>
    <col min="4385" max="4608" width="9.1015625" style="18"/>
    <col min="4609" max="4609" width="14.62890625" style="18" customWidth="1"/>
    <col min="4610" max="4610" width="4.26171875" style="18" customWidth="1"/>
    <col min="4611" max="4611" width="20.1015625" style="18" bestFit="1" customWidth="1"/>
    <col min="4612" max="4612" width="4.3671875" style="18" customWidth="1"/>
    <col min="4613" max="4613" width="5.734375" style="18" customWidth="1"/>
    <col min="4614" max="4624" width="4.734375" style="18" customWidth="1"/>
    <col min="4625" max="4625" width="3.62890625" style="18" customWidth="1"/>
    <col min="4626" max="4626" width="3.1015625" style="18" customWidth="1"/>
    <col min="4627" max="4627" width="4" style="18" customWidth="1"/>
    <col min="4628" max="4628" width="3.89453125" style="18" customWidth="1"/>
    <col min="4629" max="4629" width="3.3671875" style="18" customWidth="1"/>
    <col min="4630" max="4630" width="24.734375" style="18" bestFit="1" customWidth="1"/>
    <col min="4631" max="4634" width="4.26171875" style="18" bestFit="1" customWidth="1"/>
    <col min="4635" max="4638" width="4.26171875" style="18" customWidth="1"/>
    <col min="4639" max="4639" width="3" style="18" customWidth="1"/>
    <col min="4640" max="4640" width="15.734375" style="18" bestFit="1" customWidth="1"/>
    <col min="4641" max="4864" width="9.1015625" style="18"/>
    <col min="4865" max="4865" width="14.62890625" style="18" customWidth="1"/>
    <col min="4866" max="4866" width="4.26171875" style="18" customWidth="1"/>
    <col min="4867" max="4867" width="20.1015625" style="18" bestFit="1" customWidth="1"/>
    <col min="4868" max="4868" width="4.3671875" style="18" customWidth="1"/>
    <col min="4869" max="4869" width="5.734375" style="18" customWidth="1"/>
    <col min="4870" max="4880" width="4.734375" style="18" customWidth="1"/>
    <col min="4881" max="4881" width="3.62890625" style="18" customWidth="1"/>
    <col min="4882" max="4882" width="3.1015625" style="18" customWidth="1"/>
    <col min="4883" max="4883" width="4" style="18" customWidth="1"/>
    <col min="4884" max="4884" width="3.89453125" style="18" customWidth="1"/>
    <col min="4885" max="4885" width="3.3671875" style="18" customWidth="1"/>
    <col min="4886" max="4886" width="24.734375" style="18" bestFit="1" customWidth="1"/>
    <col min="4887" max="4890" width="4.26171875" style="18" bestFit="1" customWidth="1"/>
    <col min="4891" max="4894" width="4.26171875" style="18" customWidth="1"/>
    <col min="4895" max="4895" width="3" style="18" customWidth="1"/>
    <col min="4896" max="4896" width="15.734375" style="18" bestFit="1" customWidth="1"/>
    <col min="4897" max="5120" width="9.1015625" style="18"/>
    <col min="5121" max="5121" width="14.62890625" style="18" customWidth="1"/>
    <col min="5122" max="5122" width="4.26171875" style="18" customWidth="1"/>
    <col min="5123" max="5123" width="20.1015625" style="18" bestFit="1" customWidth="1"/>
    <col min="5124" max="5124" width="4.3671875" style="18" customWidth="1"/>
    <col min="5125" max="5125" width="5.734375" style="18" customWidth="1"/>
    <col min="5126" max="5136" width="4.734375" style="18" customWidth="1"/>
    <col min="5137" max="5137" width="3.62890625" style="18" customWidth="1"/>
    <col min="5138" max="5138" width="3.1015625" style="18" customWidth="1"/>
    <col min="5139" max="5139" width="4" style="18" customWidth="1"/>
    <col min="5140" max="5140" width="3.89453125" style="18" customWidth="1"/>
    <col min="5141" max="5141" width="3.3671875" style="18" customWidth="1"/>
    <col min="5142" max="5142" width="24.734375" style="18" bestFit="1" customWidth="1"/>
    <col min="5143" max="5146" width="4.26171875" style="18" bestFit="1" customWidth="1"/>
    <col min="5147" max="5150" width="4.26171875" style="18" customWidth="1"/>
    <col min="5151" max="5151" width="3" style="18" customWidth="1"/>
    <col min="5152" max="5152" width="15.734375" style="18" bestFit="1" customWidth="1"/>
    <col min="5153" max="5376" width="9.1015625" style="18"/>
    <col min="5377" max="5377" width="14.62890625" style="18" customWidth="1"/>
    <col min="5378" max="5378" width="4.26171875" style="18" customWidth="1"/>
    <col min="5379" max="5379" width="20.1015625" style="18" bestFit="1" customWidth="1"/>
    <col min="5380" max="5380" width="4.3671875" style="18" customWidth="1"/>
    <col min="5381" max="5381" width="5.734375" style="18" customWidth="1"/>
    <col min="5382" max="5392" width="4.734375" style="18" customWidth="1"/>
    <col min="5393" max="5393" width="3.62890625" style="18" customWidth="1"/>
    <col min="5394" max="5394" width="3.1015625" style="18" customWidth="1"/>
    <col min="5395" max="5395" width="4" style="18" customWidth="1"/>
    <col min="5396" max="5396" width="3.89453125" style="18" customWidth="1"/>
    <col min="5397" max="5397" width="3.3671875" style="18" customWidth="1"/>
    <col min="5398" max="5398" width="24.734375" style="18" bestFit="1" customWidth="1"/>
    <col min="5399" max="5402" width="4.26171875" style="18" bestFit="1" customWidth="1"/>
    <col min="5403" max="5406" width="4.26171875" style="18" customWidth="1"/>
    <col min="5407" max="5407" width="3" style="18" customWidth="1"/>
    <col min="5408" max="5408" width="15.734375" style="18" bestFit="1" customWidth="1"/>
    <col min="5409" max="5632" width="9.1015625" style="18"/>
    <col min="5633" max="5633" width="14.62890625" style="18" customWidth="1"/>
    <col min="5634" max="5634" width="4.26171875" style="18" customWidth="1"/>
    <col min="5635" max="5635" width="20.1015625" style="18" bestFit="1" customWidth="1"/>
    <col min="5636" max="5636" width="4.3671875" style="18" customWidth="1"/>
    <col min="5637" max="5637" width="5.734375" style="18" customWidth="1"/>
    <col min="5638" max="5648" width="4.734375" style="18" customWidth="1"/>
    <col min="5649" max="5649" width="3.62890625" style="18" customWidth="1"/>
    <col min="5650" max="5650" width="3.1015625" style="18" customWidth="1"/>
    <col min="5651" max="5651" width="4" style="18" customWidth="1"/>
    <col min="5652" max="5652" width="3.89453125" style="18" customWidth="1"/>
    <col min="5653" max="5653" width="3.3671875" style="18" customWidth="1"/>
    <col min="5654" max="5654" width="24.734375" style="18" bestFit="1" customWidth="1"/>
    <col min="5655" max="5658" width="4.26171875" style="18" bestFit="1" customWidth="1"/>
    <col min="5659" max="5662" width="4.26171875" style="18" customWidth="1"/>
    <col min="5663" max="5663" width="3" style="18" customWidth="1"/>
    <col min="5664" max="5664" width="15.734375" style="18" bestFit="1" customWidth="1"/>
    <col min="5665" max="5888" width="9.1015625" style="18"/>
    <col min="5889" max="5889" width="14.62890625" style="18" customWidth="1"/>
    <col min="5890" max="5890" width="4.26171875" style="18" customWidth="1"/>
    <col min="5891" max="5891" width="20.1015625" style="18" bestFit="1" customWidth="1"/>
    <col min="5892" max="5892" width="4.3671875" style="18" customWidth="1"/>
    <col min="5893" max="5893" width="5.734375" style="18" customWidth="1"/>
    <col min="5894" max="5904" width="4.734375" style="18" customWidth="1"/>
    <col min="5905" max="5905" width="3.62890625" style="18" customWidth="1"/>
    <col min="5906" max="5906" width="3.1015625" style="18" customWidth="1"/>
    <col min="5907" max="5907" width="4" style="18" customWidth="1"/>
    <col min="5908" max="5908" width="3.89453125" style="18" customWidth="1"/>
    <col min="5909" max="5909" width="3.3671875" style="18" customWidth="1"/>
    <col min="5910" max="5910" width="24.734375" style="18" bestFit="1" customWidth="1"/>
    <col min="5911" max="5914" width="4.26171875" style="18" bestFit="1" customWidth="1"/>
    <col min="5915" max="5918" width="4.26171875" style="18" customWidth="1"/>
    <col min="5919" max="5919" width="3" style="18" customWidth="1"/>
    <col min="5920" max="5920" width="15.734375" style="18" bestFit="1" customWidth="1"/>
    <col min="5921" max="6144" width="9.1015625" style="18"/>
    <col min="6145" max="6145" width="14.62890625" style="18" customWidth="1"/>
    <col min="6146" max="6146" width="4.26171875" style="18" customWidth="1"/>
    <col min="6147" max="6147" width="20.1015625" style="18" bestFit="1" customWidth="1"/>
    <col min="6148" max="6148" width="4.3671875" style="18" customWidth="1"/>
    <col min="6149" max="6149" width="5.734375" style="18" customWidth="1"/>
    <col min="6150" max="6160" width="4.734375" style="18" customWidth="1"/>
    <col min="6161" max="6161" width="3.62890625" style="18" customWidth="1"/>
    <col min="6162" max="6162" width="3.1015625" style="18" customWidth="1"/>
    <col min="6163" max="6163" width="4" style="18" customWidth="1"/>
    <col min="6164" max="6164" width="3.89453125" style="18" customWidth="1"/>
    <col min="6165" max="6165" width="3.3671875" style="18" customWidth="1"/>
    <col min="6166" max="6166" width="24.734375" style="18" bestFit="1" customWidth="1"/>
    <col min="6167" max="6170" width="4.26171875" style="18" bestFit="1" customWidth="1"/>
    <col min="6171" max="6174" width="4.26171875" style="18" customWidth="1"/>
    <col min="6175" max="6175" width="3" style="18" customWidth="1"/>
    <col min="6176" max="6176" width="15.734375" style="18" bestFit="1" customWidth="1"/>
    <col min="6177" max="6400" width="9.1015625" style="18"/>
    <col min="6401" max="6401" width="14.62890625" style="18" customWidth="1"/>
    <col min="6402" max="6402" width="4.26171875" style="18" customWidth="1"/>
    <col min="6403" max="6403" width="20.1015625" style="18" bestFit="1" customWidth="1"/>
    <col min="6404" max="6404" width="4.3671875" style="18" customWidth="1"/>
    <col min="6405" max="6405" width="5.734375" style="18" customWidth="1"/>
    <col min="6406" max="6416" width="4.734375" style="18" customWidth="1"/>
    <col min="6417" max="6417" width="3.62890625" style="18" customWidth="1"/>
    <col min="6418" max="6418" width="3.1015625" style="18" customWidth="1"/>
    <col min="6419" max="6419" width="4" style="18" customWidth="1"/>
    <col min="6420" max="6420" width="3.89453125" style="18" customWidth="1"/>
    <col min="6421" max="6421" width="3.3671875" style="18" customWidth="1"/>
    <col min="6422" max="6422" width="24.734375" style="18" bestFit="1" customWidth="1"/>
    <col min="6423" max="6426" width="4.26171875" style="18" bestFit="1" customWidth="1"/>
    <col min="6427" max="6430" width="4.26171875" style="18" customWidth="1"/>
    <col min="6431" max="6431" width="3" style="18" customWidth="1"/>
    <col min="6432" max="6432" width="15.734375" style="18" bestFit="1" customWidth="1"/>
    <col min="6433" max="6656" width="9.1015625" style="18"/>
    <col min="6657" max="6657" width="14.62890625" style="18" customWidth="1"/>
    <col min="6658" max="6658" width="4.26171875" style="18" customWidth="1"/>
    <col min="6659" max="6659" width="20.1015625" style="18" bestFit="1" customWidth="1"/>
    <col min="6660" max="6660" width="4.3671875" style="18" customWidth="1"/>
    <col min="6661" max="6661" width="5.734375" style="18" customWidth="1"/>
    <col min="6662" max="6672" width="4.734375" style="18" customWidth="1"/>
    <col min="6673" max="6673" width="3.62890625" style="18" customWidth="1"/>
    <col min="6674" max="6674" width="3.1015625" style="18" customWidth="1"/>
    <col min="6675" max="6675" width="4" style="18" customWidth="1"/>
    <col min="6676" max="6676" width="3.89453125" style="18" customWidth="1"/>
    <col min="6677" max="6677" width="3.3671875" style="18" customWidth="1"/>
    <col min="6678" max="6678" width="24.734375" style="18" bestFit="1" customWidth="1"/>
    <col min="6679" max="6682" width="4.26171875" style="18" bestFit="1" customWidth="1"/>
    <col min="6683" max="6686" width="4.26171875" style="18" customWidth="1"/>
    <col min="6687" max="6687" width="3" style="18" customWidth="1"/>
    <col min="6688" max="6688" width="15.734375" style="18" bestFit="1" customWidth="1"/>
    <col min="6689" max="6912" width="9.1015625" style="18"/>
    <col min="6913" max="6913" width="14.62890625" style="18" customWidth="1"/>
    <col min="6914" max="6914" width="4.26171875" style="18" customWidth="1"/>
    <col min="6915" max="6915" width="20.1015625" style="18" bestFit="1" customWidth="1"/>
    <col min="6916" max="6916" width="4.3671875" style="18" customWidth="1"/>
    <col min="6917" max="6917" width="5.734375" style="18" customWidth="1"/>
    <col min="6918" max="6928" width="4.734375" style="18" customWidth="1"/>
    <col min="6929" max="6929" width="3.62890625" style="18" customWidth="1"/>
    <col min="6930" max="6930" width="3.1015625" style="18" customWidth="1"/>
    <col min="6931" max="6931" width="4" style="18" customWidth="1"/>
    <col min="6932" max="6932" width="3.89453125" style="18" customWidth="1"/>
    <col min="6933" max="6933" width="3.3671875" style="18" customWidth="1"/>
    <col min="6934" max="6934" width="24.734375" style="18" bestFit="1" customWidth="1"/>
    <col min="6935" max="6938" width="4.26171875" style="18" bestFit="1" customWidth="1"/>
    <col min="6939" max="6942" width="4.26171875" style="18" customWidth="1"/>
    <col min="6943" max="6943" width="3" style="18" customWidth="1"/>
    <col min="6944" max="6944" width="15.734375" style="18" bestFit="1" customWidth="1"/>
    <col min="6945" max="7168" width="9.1015625" style="18"/>
    <col min="7169" max="7169" width="14.62890625" style="18" customWidth="1"/>
    <col min="7170" max="7170" width="4.26171875" style="18" customWidth="1"/>
    <col min="7171" max="7171" width="20.1015625" style="18" bestFit="1" customWidth="1"/>
    <col min="7172" max="7172" width="4.3671875" style="18" customWidth="1"/>
    <col min="7173" max="7173" width="5.734375" style="18" customWidth="1"/>
    <col min="7174" max="7184" width="4.734375" style="18" customWidth="1"/>
    <col min="7185" max="7185" width="3.62890625" style="18" customWidth="1"/>
    <col min="7186" max="7186" width="3.1015625" style="18" customWidth="1"/>
    <col min="7187" max="7187" width="4" style="18" customWidth="1"/>
    <col min="7188" max="7188" width="3.89453125" style="18" customWidth="1"/>
    <col min="7189" max="7189" width="3.3671875" style="18" customWidth="1"/>
    <col min="7190" max="7190" width="24.734375" style="18" bestFit="1" customWidth="1"/>
    <col min="7191" max="7194" width="4.26171875" style="18" bestFit="1" customWidth="1"/>
    <col min="7195" max="7198" width="4.26171875" style="18" customWidth="1"/>
    <col min="7199" max="7199" width="3" style="18" customWidth="1"/>
    <col min="7200" max="7200" width="15.734375" style="18" bestFit="1" customWidth="1"/>
    <col min="7201" max="7424" width="9.1015625" style="18"/>
    <col min="7425" max="7425" width="14.62890625" style="18" customWidth="1"/>
    <col min="7426" max="7426" width="4.26171875" style="18" customWidth="1"/>
    <col min="7427" max="7427" width="20.1015625" style="18" bestFit="1" customWidth="1"/>
    <col min="7428" max="7428" width="4.3671875" style="18" customWidth="1"/>
    <col min="7429" max="7429" width="5.734375" style="18" customWidth="1"/>
    <col min="7430" max="7440" width="4.734375" style="18" customWidth="1"/>
    <col min="7441" max="7441" width="3.62890625" style="18" customWidth="1"/>
    <col min="7442" max="7442" width="3.1015625" style="18" customWidth="1"/>
    <col min="7443" max="7443" width="4" style="18" customWidth="1"/>
    <col min="7444" max="7444" width="3.89453125" style="18" customWidth="1"/>
    <col min="7445" max="7445" width="3.3671875" style="18" customWidth="1"/>
    <col min="7446" max="7446" width="24.734375" style="18" bestFit="1" customWidth="1"/>
    <col min="7447" max="7450" width="4.26171875" style="18" bestFit="1" customWidth="1"/>
    <col min="7451" max="7454" width="4.26171875" style="18" customWidth="1"/>
    <col min="7455" max="7455" width="3" style="18" customWidth="1"/>
    <col min="7456" max="7456" width="15.734375" style="18" bestFit="1" customWidth="1"/>
    <col min="7457" max="7680" width="9.1015625" style="18"/>
    <col min="7681" max="7681" width="14.62890625" style="18" customWidth="1"/>
    <col min="7682" max="7682" width="4.26171875" style="18" customWidth="1"/>
    <col min="7683" max="7683" width="20.1015625" style="18" bestFit="1" customWidth="1"/>
    <col min="7684" max="7684" width="4.3671875" style="18" customWidth="1"/>
    <col min="7685" max="7685" width="5.734375" style="18" customWidth="1"/>
    <col min="7686" max="7696" width="4.734375" style="18" customWidth="1"/>
    <col min="7697" max="7697" width="3.62890625" style="18" customWidth="1"/>
    <col min="7698" max="7698" width="3.1015625" style="18" customWidth="1"/>
    <col min="7699" max="7699" width="4" style="18" customWidth="1"/>
    <col min="7700" max="7700" width="3.89453125" style="18" customWidth="1"/>
    <col min="7701" max="7701" width="3.3671875" style="18" customWidth="1"/>
    <col min="7702" max="7702" width="24.734375" style="18" bestFit="1" customWidth="1"/>
    <col min="7703" max="7706" width="4.26171875" style="18" bestFit="1" customWidth="1"/>
    <col min="7707" max="7710" width="4.26171875" style="18" customWidth="1"/>
    <col min="7711" max="7711" width="3" style="18" customWidth="1"/>
    <col min="7712" max="7712" width="15.734375" style="18" bestFit="1" customWidth="1"/>
    <col min="7713" max="7936" width="9.1015625" style="18"/>
    <col min="7937" max="7937" width="14.62890625" style="18" customWidth="1"/>
    <col min="7938" max="7938" width="4.26171875" style="18" customWidth="1"/>
    <col min="7939" max="7939" width="20.1015625" style="18" bestFit="1" customWidth="1"/>
    <col min="7940" max="7940" width="4.3671875" style="18" customWidth="1"/>
    <col min="7941" max="7941" width="5.734375" style="18" customWidth="1"/>
    <col min="7942" max="7952" width="4.734375" style="18" customWidth="1"/>
    <col min="7953" max="7953" width="3.62890625" style="18" customWidth="1"/>
    <col min="7954" max="7954" width="3.1015625" style="18" customWidth="1"/>
    <col min="7955" max="7955" width="4" style="18" customWidth="1"/>
    <col min="7956" max="7956" width="3.89453125" style="18" customWidth="1"/>
    <col min="7957" max="7957" width="3.3671875" style="18" customWidth="1"/>
    <col min="7958" max="7958" width="24.734375" style="18" bestFit="1" customWidth="1"/>
    <col min="7959" max="7962" width="4.26171875" style="18" bestFit="1" customWidth="1"/>
    <col min="7963" max="7966" width="4.26171875" style="18" customWidth="1"/>
    <col min="7967" max="7967" width="3" style="18" customWidth="1"/>
    <col min="7968" max="7968" width="15.734375" style="18" bestFit="1" customWidth="1"/>
    <col min="7969" max="8192" width="9.1015625" style="18"/>
    <col min="8193" max="8193" width="14.62890625" style="18" customWidth="1"/>
    <col min="8194" max="8194" width="4.26171875" style="18" customWidth="1"/>
    <col min="8195" max="8195" width="20.1015625" style="18" bestFit="1" customWidth="1"/>
    <col min="8196" max="8196" width="4.3671875" style="18" customWidth="1"/>
    <col min="8197" max="8197" width="5.734375" style="18" customWidth="1"/>
    <col min="8198" max="8208" width="4.734375" style="18" customWidth="1"/>
    <col min="8209" max="8209" width="3.62890625" style="18" customWidth="1"/>
    <col min="8210" max="8210" width="3.1015625" style="18" customWidth="1"/>
    <col min="8211" max="8211" width="4" style="18" customWidth="1"/>
    <col min="8212" max="8212" width="3.89453125" style="18" customWidth="1"/>
    <col min="8213" max="8213" width="3.3671875" style="18" customWidth="1"/>
    <col min="8214" max="8214" width="24.734375" style="18" bestFit="1" customWidth="1"/>
    <col min="8215" max="8218" width="4.26171875" style="18" bestFit="1" customWidth="1"/>
    <col min="8219" max="8222" width="4.26171875" style="18" customWidth="1"/>
    <col min="8223" max="8223" width="3" style="18" customWidth="1"/>
    <col min="8224" max="8224" width="15.734375" style="18" bestFit="1" customWidth="1"/>
    <col min="8225" max="8448" width="9.1015625" style="18"/>
    <col min="8449" max="8449" width="14.62890625" style="18" customWidth="1"/>
    <col min="8450" max="8450" width="4.26171875" style="18" customWidth="1"/>
    <col min="8451" max="8451" width="20.1015625" style="18" bestFit="1" customWidth="1"/>
    <col min="8452" max="8452" width="4.3671875" style="18" customWidth="1"/>
    <col min="8453" max="8453" width="5.734375" style="18" customWidth="1"/>
    <col min="8454" max="8464" width="4.734375" style="18" customWidth="1"/>
    <col min="8465" max="8465" width="3.62890625" style="18" customWidth="1"/>
    <col min="8466" max="8466" width="3.1015625" style="18" customWidth="1"/>
    <col min="8467" max="8467" width="4" style="18" customWidth="1"/>
    <col min="8468" max="8468" width="3.89453125" style="18" customWidth="1"/>
    <col min="8469" max="8469" width="3.3671875" style="18" customWidth="1"/>
    <col min="8470" max="8470" width="24.734375" style="18" bestFit="1" customWidth="1"/>
    <col min="8471" max="8474" width="4.26171875" style="18" bestFit="1" customWidth="1"/>
    <col min="8475" max="8478" width="4.26171875" style="18" customWidth="1"/>
    <col min="8479" max="8479" width="3" style="18" customWidth="1"/>
    <col min="8480" max="8480" width="15.734375" style="18" bestFit="1" customWidth="1"/>
    <col min="8481" max="8704" width="9.1015625" style="18"/>
    <col min="8705" max="8705" width="14.62890625" style="18" customWidth="1"/>
    <col min="8706" max="8706" width="4.26171875" style="18" customWidth="1"/>
    <col min="8707" max="8707" width="20.1015625" style="18" bestFit="1" customWidth="1"/>
    <col min="8708" max="8708" width="4.3671875" style="18" customWidth="1"/>
    <col min="8709" max="8709" width="5.734375" style="18" customWidth="1"/>
    <col min="8710" max="8720" width="4.734375" style="18" customWidth="1"/>
    <col min="8721" max="8721" width="3.62890625" style="18" customWidth="1"/>
    <col min="8722" max="8722" width="3.1015625" style="18" customWidth="1"/>
    <col min="8723" max="8723" width="4" style="18" customWidth="1"/>
    <col min="8724" max="8724" width="3.89453125" style="18" customWidth="1"/>
    <col min="8725" max="8725" width="3.3671875" style="18" customWidth="1"/>
    <col min="8726" max="8726" width="24.734375" style="18" bestFit="1" customWidth="1"/>
    <col min="8727" max="8730" width="4.26171875" style="18" bestFit="1" customWidth="1"/>
    <col min="8731" max="8734" width="4.26171875" style="18" customWidth="1"/>
    <col min="8735" max="8735" width="3" style="18" customWidth="1"/>
    <col min="8736" max="8736" width="15.734375" style="18" bestFit="1" customWidth="1"/>
    <col min="8737" max="8960" width="9.1015625" style="18"/>
    <col min="8961" max="8961" width="14.62890625" style="18" customWidth="1"/>
    <col min="8962" max="8962" width="4.26171875" style="18" customWidth="1"/>
    <col min="8963" max="8963" width="20.1015625" style="18" bestFit="1" customWidth="1"/>
    <col min="8964" max="8964" width="4.3671875" style="18" customWidth="1"/>
    <col min="8965" max="8965" width="5.734375" style="18" customWidth="1"/>
    <col min="8966" max="8976" width="4.734375" style="18" customWidth="1"/>
    <col min="8977" max="8977" width="3.62890625" style="18" customWidth="1"/>
    <col min="8978" max="8978" width="3.1015625" style="18" customWidth="1"/>
    <col min="8979" max="8979" width="4" style="18" customWidth="1"/>
    <col min="8980" max="8980" width="3.89453125" style="18" customWidth="1"/>
    <col min="8981" max="8981" width="3.3671875" style="18" customWidth="1"/>
    <col min="8982" max="8982" width="24.734375" style="18" bestFit="1" customWidth="1"/>
    <col min="8983" max="8986" width="4.26171875" style="18" bestFit="1" customWidth="1"/>
    <col min="8987" max="8990" width="4.26171875" style="18" customWidth="1"/>
    <col min="8991" max="8991" width="3" style="18" customWidth="1"/>
    <col min="8992" max="8992" width="15.734375" style="18" bestFit="1" customWidth="1"/>
    <col min="8993" max="9216" width="9.1015625" style="18"/>
    <col min="9217" max="9217" width="14.62890625" style="18" customWidth="1"/>
    <col min="9218" max="9218" width="4.26171875" style="18" customWidth="1"/>
    <col min="9219" max="9219" width="20.1015625" style="18" bestFit="1" customWidth="1"/>
    <col min="9220" max="9220" width="4.3671875" style="18" customWidth="1"/>
    <col min="9221" max="9221" width="5.734375" style="18" customWidth="1"/>
    <col min="9222" max="9232" width="4.734375" style="18" customWidth="1"/>
    <col min="9233" max="9233" width="3.62890625" style="18" customWidth="1"/>
    <col min="9234" max="9234" width="3.1015625" style="18" customWidth="1"/>
    <col min="9235" max="9235" width="4" style="18" customWidth="1"/>
    <col min="9236" max="9236" width="3.89453125" style="18" customWidth="1"/>
    <col min="9237" max="9237" width="3.3671875" style="18" customWidth="1"/>
    <col min="9238" max="9238" width="24.734375" style="18" bestFit="1" customWidth="1"/>
    <col min="9239" max="9242" width="4.26171875" style="18" bestFit="1" customWidth="1"/>
    <col min="9243" max="9246" width="4.26171875" style="18" customWidth="1"/>
    <col min="9247" max="9247" width="3" style="18" customWidth="1"/>
    <col min="9248" max="9248" width="15.734375" style="18" bestFit="1" customWidth="1"/>
    <col min="9249" max="9472" width="9.1015625" style="18"/>
    <col min="9473" max="9473" width="14.62890625" style="18" customWidth="1"/>
    <col min="9474" max="9474" width="4.26171875" style="18" customWidth="1"/>
    <col min="9475" max="9475" width="20.1015625" style="18" bestFit="1" customWidth="1"/>
    <col min="9476" max="9476" width="4.3671875" style="18" customWidth="1"/>
    <col min="9477" max="9477" width="5.734375" style="18" customWidth="1"/>
    <col min="9478" max="9488" width="4.734375" style="18" customWidth="1"/>
    <col min="9489" max="9489" width="3.62890625" style="18" customWidth="1"/>
    <col min="9490" max="9490" width="3.1015625" style="18" customWidth="1"/>
    <col min="9491" max="9491" width="4" style="18" customWidth="1"/>
    <col min="9492" max="9492" width="3.89453125" style="18" customWidth="1"/>
    <col min="9493" max="9493" width="3.3671875" style="18" customWidth="1"/>
    <col min="9494" max="9494" width="24.734375" style="18" bestFit="1" customWidth="1"/>
    <col min="9495" max="9498" width="4.26171875" style="18" bestFit="1" customWidth="1"/>
    <col min="9499" max="9502" width="4.26171875" style="18" customWidth="1"/>
    <col min="9503" max="9503" width="3" style="18" customWidth="1"/>
    <col min="9504" max="9504" width="15.734375" style="18" bestFit="1" customWidth="1"/>
    <col min="9505" max="9728" width="9.1015625" style="18"/>
    <col min="9729" max="9729" width="14.62890625" style="18" customWidth="1"/>
    <col min="9730" max="9730" width="4.26171875" style="18" customWidth="1"/>
    <col min="9731" max="9731" width="20.1015625" style="18" bestFit="1" customWidth="1"/>
    <col min="9732" max="9732" width="4.3671875" style="18" customWidth="1"/>
    <col min="9733" max="9733" width="5.734375" style="18" customWidth="1"/>
    <col min="9734" max="9744" width="4.734375" style="18" customWidth="1"/>
    <col min="9745" max="9745" width="3.62890625" style="18" customWidth="1"/>
    <col min="9746" max="9746" width="3.1015625" style="18" customWidth="1"/>
    <col min="9747" max="9747" width="4" style="18" customWidth="1"/>
    <col min="9748" max="9748" width="3.89453125" style="18" customWidth="1"/>
    <col min="9749" max="9749" width="3.3671875" style="18" customWidth="1"/>
    <col min="9750" max="9750" width="24.734375" style="18" bestFit="1" customWidth="1"/>
    <col min="9751" max="9754" width="4.26171875" style="18" bestFit="1" customWidth="1"/>
    <col min="9755" max="9758" width="4.26171875" style="18" customWidth="1"/>
    <col min="9759" max="9759" width="3" style="18" customWidth="1"/>
    <col min="9760" max="9760" width="15.734375" style="18" bestFit="1" customWidth="1"/>
    <col min="9761" max="9984" width="9.1015625" style="18"/>
    <col min="9985" max="9985" width="14.62890625" style="18" customWidth="1"/>
    <col min="9986" max="9986" width="4.26171875" style="18" customWidth="1"/>
    <col min="9987" max="9987" width="20.1015625" style="18" bestFit="1" customWidth="1"/>
    <col min="9988" max="9988" width="4.3671875" style="18" customWidth="1"/>
    <col min="9989" max="9989" width="5.734375" style="18" customWidth="1"/>
    <col min="9990" max="10000" width="4.734375" style="18" customWidth="1"/>
    <col min="10001" max="10001" width="3.62890625" style="18" customWidth="1"/>
    <col min="10002" max="10002" width="3.1015625" style="18" customWidth="1"/>
    <col min="10003" max="10003" width="4" style="18" customWidth="1"/>
    <col min="10004" max="10004" width="3.89453125" style="18" customWidth="1"/>
    <col min="10005" max="10005" width="3.3671875" style="18" customWidth="1"/>
    <col min="10006" max="10006" width="24.734375" style="18" bestFit="1" customWidth="1"/>
    <col min="10007" max="10010" width="4.26171875" style="18" bestFit="1" customWidth="1"/>
    <col min="10011" max="10014" width="4.26171875" style="18" customWidth="1"/>
    <col min="10015" max="10015" width="3" style="18" customWidth="1"/>
    <col min="10016" max="10016" width="15.734375" style="18" bestFit="1" customWidth="1"/>
    <col min="10017" max="10240" width="9.1015625" style="18"/>
    <col min="10241" max="10241" width="14.62890625" style="18" customWidth="1"/>
    <col min="10242" max="10242" width="4.26171875" style="18" customWidth="1"/>
    <col min="10243" max="10243" width="20.1015625" style="18" bestFit="1" customWidth="1"/>
    <col min="10244" max="10244" width="4.3671875" style="18" customWidth="1"/>
    <col min="10245" max="10245" width="5.734375" style="18" customWidth="1"/>
    <col min="10246" max="10256" width="4.734375" style="18" customWidth="1"/>
    <col min="10257" max="10257" width="3.62890625" style="18" customWidth="1"/>
    <col min="10258" max="10258" width="3.1015625" style="18" customWidth="1"/>
    <col min="10259" max="10259" width="4" style="18" customWidth="1"/>
    <col min="10260" max="10260" width="3.89453125" style="18" customWidth="1"/>
    <col min="10261" max="10261" width="3.3671875" style="18" customWidth="1"/>
    <col min="10262" max="10262" width="24.734375" style="18" bestFit="1" customWidth="1"/>
    <col min="10263" max="10266" width="4.26171875" style="18" bestFit="1" customWidth="1"/>
    <col min="10267" max="10270" width="4.26171875" style="18" customWidth="1"/>
    <col min="10271" max="10271" width="3" style="18" customWidth="1"/>
    <col min="10272" max="10272" width="15.734375" style="18" bestFit="1" customWidth="1"/>
    <col min="10273" max="10496" width="9.1015625" style="18"/>
    <col min="10497" max="10497" width="14.62890625" style="18" customWidth="1"/>
    <col min="10498" max="10498" width="4.26171875" style="18" customWidth="1"/>
    <col min="10499" max="10499" width="20.1015625" style="18" bestFit="1" customWidth="1"/>
    <col min="10500" max="10500" width="4.3671875" style="18" customWidth="1"/>
    <col min="10501" max="10501" width="5.734375" style="18" customWidth="1"/>
    <col min="10502" max="10512" width="4.734375" style="18" customWidth="1"/>
    <col min="10513" max="10513" width="3.62890625" style="18" customWidth="1"/>
    <col min="10514" max="10514" width="3.1015625" style="18" customWidth="1"/>
    <col min="10515" max="10515" width="4" style="18" customWidth="1"/>
    <col min="10516" max="10516" width="3.89453125" style="18" customWidth="1"/>
    <col min="10517" max="10517" width="3.3671875" style="18" customWidth="1"/>
    <col min="10518" max="10518" width="24.734375" style="18" bestFit="1" customWidth="1"/>
    <col min="10519" max="10522" width="4.26171875" style="18" bestFit="1" customWidth="1"/>
    <col min="10523" max="10526" width="4.26171875" style="18" customWidth="1"/>
    <col min="10527" max="10527" width="3" style="18" customWidth="1"/>
    <col min="10528" max="10528" width="15.734375" style="18" bestFit="1" customWidth="1"/>
    <col min="10529" max="10752" width="9.1015625" style="18"/>
    <col min="10753" max="10753" width="14.62890625" style="18" customWidth="1"/>
    <col min="10754" max="10754" width="4.26171875" style="18" customWidth="1"/>
    <col min="10755" max="10755" width="20.1015625" style="18" bestFit="1" customWidth="1"/>
    <col min="10756" max="10756" width="4.3671875" style="18" customWidth="1"/>
    <col min="10757" max="10757" width="5.734375" style="18" customWidth="1"/>
    <col min="10758" max="10768" width="4.734375" style="18" customWidth="1"/>
    <col min="10769" max="10769" width="3.62890625" style="18" customWidth="1"/>
    <col min="10770" max="10770" width="3.1015625" style="18" customWidth="1"/>
    <col min="10771" max="10771" width="4" style="18" customWidth="1"/>
    <col min="10772" max="10772" width="3.89453125" style="18" customWidth="1"/>
    <col min="10773" max="10773" width="3.3671875" style="18" customWidth="1"/>
    <col min="10774" max="10774" width="24.734375" style="18" bestFit="1" customWidth="1"/>
    <col min="10775" max="10778" width="4.26171875" style="18" bestFit="1" customWidth="1"/>
    <col min="10779" max="10782" width="4.26171875" style="18" customWidth="1"/>
    <col min="10783" max="10783" width="3" style="18" customWidth="1"/>
    <col min="10784" max="10784" width="15.734375" style="18" bestFit="1" customWidth="1"/>
    <col min="10785" max="11008" width="9.1015625" style="18"/>
    <col min="11009" max="11009" width="14.62890625" style="18" customWidth="1"/>
    <col min="11010" max="11010" width="4.26171875" style="18" customWidth="1"/>
    <col min="11011" max="11011" width="20.1015625" style="18" bestFit="1" customWidth="1"/>
    <col min="11012" max="11012" width="4.3671875" style="18" customWidth="1"/>
    <col min="11013" max="11013" width="5.734375" style="18" customWidth="1"/>
    <col min="11014" max="11024" width="4.734375" style="18" customWidth="1"/>
    <col min="11025" max="11025" width="3.62890625" style="18" customWidth="1"/>
    <col min="11026" max="11026" width="3.1015625" style="18" customWidth="1"/>
    <col min="11027" max="11027" width="4" style="18" customWidth="1"/>
    <col min="11028" max="11028" width="3.89453125" style="18" customWidth="1"/>
    <col min="11029" max="11029" width="3.3671875" style="18" customWidth="1"/>
    <col min="11030" max="11030" width="24.734375" style="18" bestFit="1" customWidth="1"/>
    <col min="11031" max="11034" width="4.26171875" style="18" bestFit="1" customWidth="1"/>
    <col min="11035" max="11038" width="4.26171875" style="18" customWidth="1"/>
    <col min="11039" max="11039" width="3" style="18" customWidth="1"/>
    <col min="11040" max="11040" width="15.734375" style="18" bestFit="1" customWidth="1"/>
    <col min="11041" max="11264" width="9.1015625" style="18"/>
    <col min="11265" max="11265" width="14.62890625" style="18" customWidth="1"/>
    <col min="11266" max="11266" width="4.26171875" style="18" customWidth="1"/>
    <col min="11267" max="11267" width="20.1015625" style="18" bestFit="1" customWidth="1"/>
    <col min="11268" max="11268" width="4.3671875" style="18" customWidth="1"/>
    <col min="11269" max="11269" width="5.734375" style="18" customWidth="1"/>
    <col min="11270" max="11280" width="4.734375" style="18" customWidth="1"/>
    <col min="11281" max="11281" width="3.62890625" style="18" customWidth="1"/>
    <col min="11282" max="11282" width="3.1015625" style="18" customWidth="1"/>
    <col min="11283" max="11283" width="4" style="18" customWidth="1"/>
    <col min="11284" max="11284" width="3.89453125" style="18" customWidth="1"/>
    <col min="11285" max="11285" width="3.3671875" style="18" customWidth="1"/>
    <col min="11286" max="11286" width="24.734375" style="18" bestFit="1" customWidth="1"/>
    <col min="11287" max="11290" width="4.26171875" style="18" bestFit="1" customWidth="1"/>
    <col min="11291" max="11294" width="4.26171875" style="18" customWidth="1"/>
    <col min="11295" max="11295" width="3" style="18" customWidth="1"/>
    <col min="11296" max="11296" width="15.734375" style="18" bestFit="1" customWidth="1"/>
    <col min="11297" max="11520" width="9.1015625" style="18"/>
    <col min="11521" max="11521" width="14.62890625" style="18" customWidth="1"/>
    <col min="11522" max="11522" width="4.26171875" style="18" customWidth="1"/>
    <col min="11523" max="11523" width="20.1015625" style="18" bestFit="1" customWidth="1"/>
    <col min="11524" max="11524" width="4.3671875" style="18" customWidth="1"/>
    <col min="11525" max="11525" width="5.734375" style="18" customWidth="1"/>
    <col min="11526" max="11536" width="4.734375" style="18" customWidth="1"/>
    <col min="11537" max="11537" width="3.62890625" style="18" customWidth="1"/>
    <col min="11538" max="11538" width="3.1015625" style="18" customWidth="1"/>
    <col min="11539" max="11539" width="4" style="18" customWidth="1"/>
    <col min="11540" max="11540" width="3.89453125" style="18" customWidth="1"/>
    <col min="11541" max="11541" width="3.3671875" style="18" customWidth="1"/>
    <col min="11542" max="11542" width="24.734375" style="18" bestFit="1" customWidth="1"/>
    <col min="11543" max="11546" width="4.26171875" style="18" bestFit="1" customWidth="1"/>
    <col min="11547" max="11550" width="4.26171875" style="18" customWidth="1"/>
    <col min="11551" max="11551" width="3" style="18" customWidth="1"/>
    <col min="11552" max="11552" width="15.734375" style="18" bestFit="1" customWidth="1"/>
    <col min="11553" max="11776" width="9.1015625" style="18"/>
    <col min="11777" max="11777" width="14.62890625" style="18" customWidth="1"/>
    <col min="11778" max="11778" width="4.26171875" style="18" customWidth="1"/>
    <col min="11779" max="11779" width="20.1015625" style="18" bestFit="1" customWidth="1"/>
    <col min="11780" max="11780" width="4.3671875" style="18" customWidth="1"/>
    <col min="11781" max="11781" width="5.734375" style="18" customWidth="1"/>
    <col min="11782" max="11792" width="4.734375" style="18" customWidth="1"/>
    <col min="11793" max="11793" width="3.62890625" style="18" customWidth="1"/>
    <col min="11794" max="11794" width="3.1015625" style="18" customWidth="1"/>
    <col min="11795" max="11795" width="4" style="18" customWidth="1"/>
    <col min="11796" max="11796" width="3.89453125" style="18" customWidth="1"/>
    <col min="11797" max="11797" width="3.3671875" style="18" customWidth="1"/>
    <col min="11798" max="11798" width="24.734375" style="18" bestFit="1" customWidth="1"/>
    <col min="11799" max="11802" width="4.26171875" style="18" bestFit="1" customWidth="1"/>
    <col min="11803" max="11806" width="4.26171875" style="18" customWidth="1"/>
    <col min="11807" max="11807" width="3" style="18" customWidth="1"/>
    <col min="11808" max="11808" width="15.734375" style="18" bestFit="1" customWidth="1"/>
    <col min="11809" max="12032" width="9.1015625" style="18"/>
    <col min="12033" max="12033" width="14.62890625" style="18" customWidth="1"/>
    <col min="12034" max="12034" width="4.26171875" style="18" customWidth="1"/>
    <col min="12035" max="12035" width="20.1015625" style="18" bestFit="1" customWidth="1"/>
    <col min="12036" max="12036" width="4.3671875" style="18" customWidth="1"/>
    <col min="12037" max="12037" width="5.734375" style="18" customWidth="1"/>
    <col min="12038" max="12048" width="4.734375" style="18" customWidth="1"/>
    <col min="12049" max="12049" width="3.62890625" style="18" customWidth="1"/>
    <col min="12050" max="12050" width="3.1015625" style="18" customWidth="1"/>
    <col min="12051" max="12051" width="4" style="18" customWidth="1"/>
    <col min="12052" max="12052" width="3.89453125" style="18" customWidth="1"/>
    <col min="12053" max="12053" width="3.3671875" style="18" customWidth="1"/>
    <col min="12054" max="12054" width="24.734375" style="18" bestFit="1" customWidth="1"/>
    <col min="12055" max="12058" width="4.26171875" style="18" bestFit="1" customWidth="1"/>
    <col min="12059" max="12062" width="4.26171875" style="18" customWidth="1"/>
    <col min="12063" max="12063" width="3" style="18" customWidth="1"/>
    <col min="12064" max="12064" width="15.734375" style="18" bestFit="1" customWidth="1"/>
    <col min="12065" max="12288" width="9.1015625" style="18"/>
    <col min="12289" max="12289" width="14.62890625" style="18" customWidth="1"/>
    <col min="12290" max="12290" width="4.26171875" style="18" customWidth="1"/>
    <col min="12291" max="12291" width="20.1015625" style="18" bestFit="1" customWidth="1"/>
    <col min="12292" max="12292" width="4.3671875" style="18" customWidth="1"/>
    <col min="12293" max="12293" width="5.734375" style="18" customWidth="1"/>
    <col min="12294" max="12304" width="4.734375" style="18" customWidth="1"/>
    <col min="12305" max="12305" width="3.62890625" style="18" customWidth="1"/>
    <col min="12306" max="12306" width="3.1015625" style="18" customWidth="1"/>
    <col min="12307" max="12307" width="4" style="18" customWidth="1"/>
    <col min="12308" max="12308" width="3.89453125" style="18" customWidth="1"/>
    <col min="12309" max="12309" width="3.3671875" style="18" customWidth="1"/>
    <col min="12310" max="12310" width="24.734375" style="18" bestFit="1" customWidth="1"/>
    <col min="12311" max="12314" width="4.26171875" style="18" bestFit="1" customWidth="1"/>
    <col min="12315" max="12318" width="4.26171875" style="18" customWidth="1"/>
    <col min="12319" max="12319" width="3" style="18" customWidth="1"/>
    <col min="12320" max="12320" width="15.734375" style="18" bestFit="1" customWidth="1"/>
    <col min="12321" max="12544" width="9.1015625" style="18"/>
    <col min="12545" max="12545" width="14.62890625" style="18" customWidth="1"/>
    <col min="12546" max="12546" width="4.26171875" style="18" customWidth="1"/>
    <col min="12547" max="12547" width="20.1015625" style="18" bestFit="1" customWidth="1"/>
    <col min="12548" max="12548" width="4.3671875" style="18" customWidth="1"/>
    <col min="12549" max="12549" width="5.734375" style="18" customWidth="1"/>
    <col min="12550" max="12560" width="4.734375" style="18" customWidth="1"/>
    <col min="12561" max="12561" width="3.62890625" style="18" customWidth="1"/>
    <col min="12562" max="12562" width="3.1015625" style="18" customWidth="1"/>
    <col min="12563" max="12563" width="4" style="18" customWidth="1"/>
    <col min="12564" max="12564" width="3.89453125" style="18" customWidth="1"/>
    <col min="12565" max="12565" width="3.3671875" style="18" customWidth="1"/>
    <col min="12566" max="12566" width="24.734375" style="18" bestFit="1" customWidth="1"/>
    <col min="12567" max="12570" width="4.26171875" style="18" bestFit="1" customWidth="1"/>
    <col min="12571" max="12574" width="4.26171875" style="18" customWidth="1"/>
    <col min="12575" max="12575" width="3" style="18" customWidth="1"/>
    <col min="12576" max="12576" width="15.734375" style="18" bestFit="1" customWidth="1"/>
    <col min="12577" max="12800" width="9.1015625" style="18"/>
    <col min="12801" max="12801" width="14.62890625" style="18" customWidth="1"/>
    <col min="12802" max="12802" width="4.26171875" style="18" customWidth="1"/>
    <col min="12803" max="12803" width="20.1015625" style="18" bestFit="1" customWidth="1"/>
    <col min="12804" max="12804" width="4.3671875" style="18" customWidth="1"/>
    <col min="12805" max="12805" width="5.734375" style="18" customWidth="1"/>
    <col min="12806" max="12816" width="4.734375" style="18" customWidth="1"/>
    <col min="12817" max="12817" width="3.62890625" style="18" customWidth="1"/>
    <col min="12818" max="12818" width="3.1015625" style="18" customWidth="1"/>
    <col min="12819" max="12819" width="4" style="18" customWidth="1"/>
    <col min="12820" max="12820" width="3.89453125" style="18" customWidth="1"/>
    <col min="12821" max="12821" width="3.3671875" style="18" customWidth="1"/>
    <col min="12822" max="12822" width="24.734375" style="18" bestFit="1" customWidth="1"/>
    <col min="12823" max="12826" width="4.26171875" style="18" bestFit="1" customWidth="1"/>
    <col min="12827" max="12830" width="4.26171875" style="18" customWidth="1"/>
    <col min="12831" max="12831" width="3" style="18" customWidth="1"/>
    <col min="12832" max="12832" width="15.734375" style="18" bestFit="1" customWidth="1"/>
    <col min="12833" max="13056" width="9.1015625" style="18"/>
    <col min="13057" max="13057" width="14.62890625" style="18" customWidth="1"/>
    <col min="13058" max="13058" width="4.26171875" style="18" customWidth="1"/>
    <col min="13059" max="13059" width="20.1015625" style="18" bestFit="1" customWidth="1"/>
    <col min="13060" max="13060" width="4.3671875" style="18" customWidth="1"/>
    <col min="13061" max="13061" width="5.734375" style="18" customWidth="1"/>
    <col min="13062" max="13072" width="4.734375" style="18" customWidth="1"/>
    <col min="13073" max="13073" width="3.62890625" style="18" customWidth="1"/>
    <col min="13074" max="13074" width="3.1015625" style="18" customWidth="1"/>
    <col min="13075" max="13075" width="4" style="18" customWidth="1"/>
    <col min="13076" max="13076" width="3.89453125" style="18" customWidth="1"/>
    <col min="13077" max="13077" width="3.3671875" style="18" customWidth="1"/>
    <col min="13078" max="13078" width="24.734375" style="18" bestFit="1" customWidth="1"/>
    <col min="13079" max="13082" width="4.26171875" style="18" bestFit="1" customWidth="1"/>
    <col min="13083" max="13086" width="4.26171875" style="18" customWidth="1"/>
    <col min="13087" max="13087" width="3" style="18" customWidth="1"/>
    <col min="13088" max="13088" width="15.734375" style="18" bestFit="1" customWidth="1"/>
    <col min="13089" max="13312" width="9.1015625" style="18"/>
    <col min="13313" max="13313" width="14.62890625" style="18" customWidth="1"/>
    <col min="13314" max="13314" width="4.26171875" style="18" customWidth="1"/>
    <col min="13315" max="13315" width="20.1015625" style="18" bestFit="1" customWidth="1"/>
    <col min="13316" max="13316" width="4.3671875" style="18" customWidth="1"/>
    <col min="13317" max="13317" width="5.734375" style="18" customWidth="1"/>
    <col min="13318" max="13328" width="4.734375" style="18" customWidth="1"/>
    <col min="13329" max="13329" width="3.62890625" style="18" customWidth="1"/>
    <col min="13330" max="13330" width="3.1015625" style="18" customWidth="1"/>
    <col min="13331" max="13331" width="4" style="18" customWidth="1"/>
    <col min="13332" max="13332" width="3.89453125" style="18" customWidth="1"/>
    <col min="13333" max="13333" width="3.3671875" style="18" customWidth="1"/>
    <col min="13334" max="13334" width="24.734375" style="18" bestFit="1" customWidth="1"/>
    <col min="13335" max="13338" width="4.26171875" style="18" bestFit="1" customWidth="1"/>
    <col min="13339" max="13342" width="4.26171875" style="18" customWidth="1"/>
    <col min="13343" max="13343" width="3" style="18" customWidth="1"/>
    <col min="13344" max="13344" width="15.734375" style="18" bestFit="1" customWidth="1"/>
    <col min="13345" max="13568" width="9.1015625" style="18"/>
    <col min="13569" max="13569" width="14.62890625" style="18" customWidth="1"/>
    <col min="13570" max="13570" width="4.26171875" style="18" customWidth="1"/>
    <col min="13571" max="13571" width="20.1015625" style="18" bestFit="1" customWidth="1"/>
    <col min="13572" max="13572" width="4.3671875" style="18" customWidth="1"/>
    <col min="13573" max="13573" width="5.734375" style="18" customWidth="1"/>
    <col min="13574" max="13584" width="4.734375" style="18" customWidth="1"/>
    <col min="13585" max="13585" width="3.62890625" style="18" customWidth="1"/>
    <col min="13586" max="13586" width="3.1015625" style="18" customWidth="1"/>
    <col min="13587" max="13587" width="4" style="18" customWidth="1"/>
    <col min="13588" max="13588" width="3.89453125" style="18" customWidth="1"/>
    <col min="13589" max="13589" width="3.3671875" style="18" customWidth="1"/>
    <col min="13590" max="13590" width="24.734375" style="18" bestFit="1" customWidth="1"/>
    <col min="13591" max="13594" width="4.26171875" style="18" bestFit="1" customWidth="1"/>
    <col min="13595" max="13598" width="4.26171875" style="18" customWidth="1"/>
    <col min="13599" max="13599" width="3" style="18" customWidth="1"/>
    <col min="13600" max="13600" width="15.734375" style="18" bestFit="1" customWidth="1"/>
    <col min="13601" max="13824" width="9.1015625" style="18"/>
    <col min="13825" max="13825" width="14.62890625" style="18" customWidth="1"/>
    <col min="13826" max="13826" width="4.26171875" style="18" customWidth="1"/>
    <col min="13827" max="13827" width="20.1015625" style="18" bestFit="1" customWidth="1"/>
    <col min="13828" max="13828" width="4.3671875" style="18" customWidth="1"/>
    <col min="13829" max="13829" width="5.734375" style="18" customWidth="1"/>
    <col min="13830" max="13840" width="4.734375" style="18" customWidth="1"/>
    <col min="13841" max="13841" width="3.62890625" style="18" customWidth="1"/>
    <col min="13842" max="13842" width="3.1015625" style="18" customWidth="1"/>
    <col min="13843" max="13843" width="4" style="18" customWidth="1"/>
    <col min="13844" max="13844" width="3.89453125" style="18" customWidth="1"/>
    <col min="13845" max="13845" width="3.3671875" style="18" customWidth="1"/>
    <col min="13846" max="13846" width="24.734375" style="18" bestFit="1" customWidth="1"/>
    <col min="13847" max="13850" width="4.26171875" style="18" bestFit="1" customWidth="1"/>
    <col min="13851" max="13854" width="4.26171875" style="18" customWidth="1"/>
    <col min="13855" max="13855" width="3" style="18" customWidth="1"/>
    <col min="13856" max="13856" width="15.734375" style="18" bestFit="1" customWidth="1"/>
    <col min="13857" max="14080" width="9.1015625" style="18"/>
    <col min="14081" max="14081" width="14.62890625" style="18" customWidth="1"/>
    <col min="14082" max="14082" width="4.26171875" style="18" customWidth="1"/>
    <col min="14083" max="14083" width="20.1015625" style="18" bestFit="1" customWidth="1"/>
    <col min="14084" max="14084" width="4.3671875" style="18" customWidth="1"/>
    <col min="14085" max="14085" width="5.734375" style="18" customWidth="1"/>
    <col min="14086" max="14096" width="4.734375" style="18" customWidth="1"/>
    <col min="14097" max="14097" width="3.62890625" style="18" customWidth="1"/>
    <col min="14098" max="14098" width="3.1015625" style="18" customWidth="1"/>
    <col min="14099" max="14099" width="4" style="18" customWidth="1"/>
    <col min="14100" max="14100" width="3.89453125" style="18" customWidth="1"/>
    <col min="14101" max="14101" width="3.3671875" style="18" customWidth="1"/>
    <col min="14102" max="14102" width="24.734375" style="18" bestFit="1" customWidth="1"/>
    <col min="14103" max="14106" width="4.26171875" style="18" bestFit="1" customWidth="1"/>
    <col min="14107" max="14110" width="4.26171875" style="18" customWidth="1"/>
    <col min="14111" max="14111" width="3" style="18" customWidth="1"/>
    <col min="14112" max="14112" width="15.734375" style="18" bestFit="1" customWidth="1"/>
    <col min="14113" max="14336" width="9.1015625" style="18"/>
    <col min="14337" max="14337" width="14.62890625" style="18" customWidth="1"/>
    <col min="14338" max="14338" width="4.26171875" style="18" customWidth="1"/>
    <col min="14339" max="14339" width="20.1015625" style="18" bestFit="1" customWidth="1"/>
    <col min="14340" max="14340" width="4.3671875" style="18" customWidth="1"/>
    <col min="14341" max="14341" width="5.734375" style="18" customWidth="1"/>
    <col min="14342" max="14352" width="4.734375" style="18" customWidth="1"/>
    <col min="14353" max="14353" width="3.62890625" style="18" customWidth="1"/>
    <col min="14354" max="14354" width="3.1015625" style="18" customWidth="1"/>
    <col min="14355" max="14355" width="4" style="18" customWidth="1"/>
    <col min="14356" max="14356" width="3.89453125" style="18" customWidth="1"/>
    <col min="14357" max="14357" width="3.3671875" style="18" customWidth="1"/>
    <col min="14358" max="14358" width="24.734375" style="18" bestFit="1" customWidth="1"/>
    <col min="14359" max="14362" width="4.26171875" style="18" bestFit="1" customWidth="1"/>
    <col min="14363" max="14366" width="4.26171875" style="18" customWidth="1"/>
    <col min="14367" max="14367" width="3" style="18" customWidth="1"/>
    <col min="14368" max="14368" width="15.734375" style="18" bestFit="1" customWidth="1"/>
    <col min="14369" max="14592" width="9.1015625" style="18"/>
    <col min="14593" max="14593" width="14.62890625" style="18" customWidth="1"/>
    <col min="14594" max="14594" width="4.26171875" style="18" customWidth="1"/>
    <col min="14595" max="14595" width="20.1015625" style="18" bestFit="1" customWidth="1"/>
    <col min="14596" max="14596" width="4.3671875" style="18" customWidth="1"/>
    <col min="14597" max="14597" width="5.734375" style="18" customWidth="1"/>
    <col min="14598" max="14608" width="4.734375" style="18" customWidth="1"/>
    <col min="14609" max="14609" width="3.62890625" style="18" customWidth="1"/>
    <col min="14610" max="14610" width="3.1015625" style="18" customWidth="1"/>
    <col min="14611" max="14611" width="4" style="18" customWidth="1"/>
    <col min="14612" max="14612" width="3.89453125" style="18" customWidth="1"/>
    <col min="14613" max="14613" width="3.3671875" style="18" customWidth="1"/>
    <col min="14614" max="14614" width="24.734375" style="18" bestFit="1" customWidth="1"/>
    <col min="14615" max="14618" width="4.26171875" style="18" bestFit="1" customWidth="1"/>
    <col min="14619" max="14622" width="4.26171875" style="18" customWidth="1"/>
    <col min="14623" max="14623" width="3" style="18" customWidth="1"/>
    <col min="14624" max="14624" width="15.734375" style="18" bestFit="1" customWidth="1"/>
    <col min="14625" max="14848" width="9.1015625" style="18"/>
    <col min="14849" max="14849" width="14.62890625" style="18" customWidth="1"/>
    <col min="14850" max="14850" width="4.26171875" style="18" customWidth="1"/>
    <col min="14851" max="14851" width="20.1015625" style="18" bestFit="1" customWidth="1"/>
    <col min="14852" max="14852" width="4.3671875" style="18" customWidth="1"/>
    <col min="14853" max="14853" width="5.734375" style="18" customWidth="1"/>
    <col min="14854" max="14864" width="4.734375" style="18" customWidth="1"/>
    <col min="14865" max="14865" width="3.62890625" style="18" customWidth="1"/>
    <col min="14866" max="14866" width="3.1015625" style="18" customWidth="1"/>
    <col min="14867" max="14867" width="4" style="18" customWidth="1"/>
    <col min="14868" max="14868" width="3.89453125" style="18" customWidth="1"/>
    <col min="14869" max="14869" width="3.3671875" style="18" customWidth="1"/>
    <col min="14870" max="14870" width="24.734375" style="18" bestFit="1" customWidth="1"/>
    <col min="14871" max="14874" width="4.26171875" style="18" bestFit="1" customWidth="1"/>
    <col min="14875" max="14878" width="4.26171875" style="18" customWidth="1"/>
    <col min="14879" max="14879" width="3" style="18" customWidth="1"/>
    <col min="14880" max="14880" width="15.734375" style="18" bestFit="1" customWidth="1"/>
    <col min="14881" max="15104" width="9.1015625" style="18"/>
    <col min="15105" max="15105" width="14.62890625" style="18" customWidth="1"/>
    <col min="15106" max="15106" width="4.26171875" style="18" customWidth="1"/>
    <col min="15107" max="15107" width="20.1015625" style="18" bestFit="1" customWidth="1"/>
    <col min="15108" max="15108" width="4.3671875" style="18" customWidth="1"/>
    <col min="15109" max="15109" width="5.734375" style="18" customWidth="1"/>
    <col min="15110" max="15120" width="4.734375" style="18" customWidth="1"/>
    <col min="15121" max="15121" width="3.62890625" style="18" customWidth="1"/>
    <col min="15122" max="15122" width="3.1015625" style="18" customWidth="1"/>
    <col min="15123" max="15123" width="4" style="18" customWidth="1"/>
    <col min="15124" max="15124" width="3.89453125" style="18" customWidth="1"/>
    <col min="15125" max="15125" width="3.3671875" style="18" customWidth="1"/>
    <col min="15126" max="15126" width="24.734375" style="18" bestFit="1" customWidth="1"/>
    <col min="15127" max="15130" width="4.26171875" style="18" bestFit="1" customWidth="1"/>
    <col min="15131" max="15134" width="4.26171875" style="18" customWidth="1"/>
    <col min="15135" max="15135" width="3" style="18" customWidth="1"/>
    <col min="15136" max="15136" width="15.734375" style="18" bestFit="1" customWidth="1"/>
    <col min="15137" max="15360" width="9.1015625" style="18"/>
    <col min="15361" max="15361" width="14.62890625" style="18" customWidth="1"/>
    <col min="15362" max="15362" width="4.26171875" style="18" customWidth="1"/>
    <col min="15363" max="15363" width="20.1015625" style="18" bestFit="1" customWidth="1"/>
    <col min="15364" max="15364" width="4.3671875" style="18" customWidth="1"/>
    <col min="15365" max="15365" width="5.734375" style="18" customWidth="1"/>
    <col min="15366" max="15376" width="4.734375" style="18" customWidth="1"/>
    <col min="15377" max="15377" width="3.62890625" style="18" customWidth="1"/>
    <col min="15378" max="15378" width="3.1015625" style="18" customWidth="1"/>
    <col min="15379" max="15379" width="4" style="18" customWidth="1"/>
    <col min="15380" max="15380" width="3.89453125" style="18" customWidth="1"/>
    <col min="15381" max="15381" width="3.3671875" style="18" customWidth="1"/>
    <col min="15382" max="15382" width="24.734375" style="18" bestFit="1" customWidth="1"/>
    <col min="15383" max="15386" width="4.26171875" style="18" bestFit="1" customWidth="1"/>
    <col min="15387" max="15390" width="4.26171875" style="18" customWidth="1"/>
    <col min="15391" max="15391" width="3" style="18" customWidth="1"/>
    <col min="15392" max="15392" width="15.734375" style="18" bestFit="1" customWidth="1"/>
    <col min="15393" max="15616" width="9.1015625" style="18"/>
    <col min="15617" max="15617" width="14.62890625" style="18" customWidth="1"/>
    <col min="15618" max="15618" width="4.26171875" style="18" customWidth="1"/>
    <col min="15619" max="15619" width="20.1015625" style="18" bestFit="1" customWidth="1"/>
    <col min="15620" max="15620" width="4.3671875" style="18" customWidth="1"/>
    <col min="15621" max="15621" width="5.734375" style="18" customWidth="1"/>
    <col min="15622" max="15632" width="4.734375" style="18" customWidth="1"/>
    <col min="15633" max="15633" width="3.62890625" style="18" customWidth="1"/>
    <col min="15634" max="15634" width="3.1015625" style="18" customWidth="1"/>
    <col min="15635" max="15635" width="4" style="18" customWidth="1"/>
    <col min="15636" max="15636" width="3.89453125" style="18" customWidth="1"/>
    <col min="15637" max="15637" width="3.3671875" style="18" customWidth="1"/>
    <col min="15638" max="15638" width="24.734375" style="18" bestFit="1" customWidth="1"/>
    <col min="15639" max="15642" width="4.26171875" style="18" bestFit="1" customWidth="1"/>
    <col min="15643" max="15646" width="4.26171875" style="18" customWidth="1"/>
    <col min="15647" max="15647" width="3" style="18" customWidth="1"/>
    <col min="15648" max="15648" width="15.734375" style="18" bestFit="1" customWidth="1"/>
    <col min="15649" max="15872" width="9.1015625" style="18"/>
    <col min="15873" max="15873" width="14.62890625" style="18" customWidth="1"/>
    <col min="15874" max="15874" width="4.26171875" style="18" customWidth="1"/>
    <col min="15875" max="15875" width="20.1015625" style="18" bestFit="1" customWidth="1"/>
    <col min="15876" max="15876" width="4.3671875" style="18" customWidth="1"/>
    <col min="15877" max="15877" width="5.734375" style="18" customWidth="1"/>
    <col min="15878" max="15888" width="4.734375" style="18" customWidth="1"/>
    <col min="15889" max="15889" width="3.62890625" style="18" customWidth="1"/>
    <col min="15890" max="15890" width="3.1015625" style="18" customWidth="1"/>
    <col min="15891" max="15891" width="4" style="18" customWidth="1"/>
    <col min="15892" max="15892" width="3.89453125" style="18" customWidth="1"/>
    <col min="15893" max="15893" width="3.3671875" style="18" customWidth="1"/>
    <col min="15894" max="15894" width="24.734375" style="18" bestFit="1" customWidth="1"/>
    <col min="15895" max="15898" width="4.26171875" style="18" bestFit="1" customWidth="1"/>
    <col min="15899" max="15902" width="4.26171875" style="18" customWidth="1"/>
    <col min="15903" max="15903" width="3" style="18" customWidth="1"/>
    <col min="15904" max="15904" width="15.734375" style="18" bestFit="1" customWidth="1"/>
    <col min="15905" max="16128" width="9.1015625" style="18"/>
    <col min="16129" max="16129" width="14.62890625" style="18" customWidth="1"/>
    <col min="16130" max="16130" width="4.26171875" style="18" customWidth="1"/>
    <col min="16131" max="16131" width="20.1015625" style="18" bestFit="1" customWidth="1"/>
    <col min="16132" max="16132" width="4.3671875" style="18" customWidth="1"/>
    <col min="16133" max="16133" width="5.734375" style="18" customWidth="1"/>
    <col min="16134" max="16144" width="4.734375" style="18" customWidth="1"/>
    <col min="16145" max="16145" width="3.62890625" style="18" customWidth="1"/>
    <col min="16146" max="16146" width="3.1015625" style="18" customWidth="1"/>
    <col min="16147" max="16147" width="4" style="18" customWidth="1"/>
    <col min="16148" max="16148" width="3.89453125" style="18" customWidth="1"/>
    <col min="16149" max="16149" width="3.3671875" style="18" customWidth="1"/>
    <col min="16150" max="16150" width="24.734375" style="18" bestFit="1" customWidth="1"/>
    <col min="16151" max="16154" width="4.26171875" style="18" bestFit="1" customWidth="1"/>
    <col min="16155" max="16158" width="4.26171875" style="18" customWidth="1"/>
    <col min="16159" max="16159" width="3" style="18" customWidth="1"/>
    <col min="16160" max="16160" width="15.734375" style="18" bestFit="1" customWidth="1"/>
    <col min="16161" max="16384" width="9.1015625" style="18"/>
  </cols>
  <sheetData>
    <row r="1" spans="2:32" ht="20.399999999999999" x14ac:dyDescent="0.75">
      <c r="C1" s="197" t="s">
        <v>159</v>
      </c>
      <c r="D1" s="198"/>
      <c r="E1" s="199"/>
      <c r="F1" s="198"/>
      <c r="G1" s="198"/>
      <c r="H1" s="198"/>
      <c r="I1" s="198"/>
      <c r="K1" s="198"/>
      <c r="V1" s="7" t="s">
        <v>20</v>
      </c>
      <c r="W1" s="200"/>
      <c r="X1" s="201"/>
      <c r="Y1" s="201"/>
      <c r="Z1" s="201"/>
      <c r="AA1" s="201"/>
      <c r="AB1" s="201"/>
      <c r="AC1" s="201"/>
      <c r="AD1" s="201"/>
      <c r="AE1" s="201"/>
      <c r="AF1" s="201"/>
    </row>
    <row r="2" spans="2:32" x14ac:dyDescent="0.4">
      <c r="C2" s="197" t="s">
        <v>160</v>
      </c>
      <c r="D2" s="198"/>
      <c r="E2" s="199"/>
      <c r="F2" s="198"/>
      <c r="G2" s="198"/>
      <c r="H2" s="198"/>
      <c r="I2" s="198"/>
      <c r="K2" s="198"/>
      <c r="W2" s="202"/>
      <c r="X2" s="203"/>
      <c r="Y2" s="203"/>
      <c r="Z2" s="203"/>
      <c r="AA2" s="203"/>
      <c r="AB2" s="203"/>
      <c r="AC2" s="203"/>
      <c r="AD2" s="203"/>
    </row>
    <row r="3" spans="2:32" x14ac:dyDescent="0.4">
      <c r="C3" s="204" t="s">
        <v>161</v>
      </c>
      <c r="D3" s="198"/>
      <c r="E3" s="199"/>
      <c r="F3" s="198"/>
      <c r="G3" s="198"/>
      <c r="H3" s="198"/>
      <c r="I3" s="198"/>
      <c r="K3" s="198"/>
      <c r="W3" s="202"/>
      <c r="X3" s="203"/>
      <c r="Y3" s="203"/>
      <c r="Z3" s="203"/>
      <c r="AA3" s="203"/>
      <c r="AB3" s="203"/>
      <c r="AC3" s="203"/>
      <c r="AD3" s="203"/>
    </row>
    <row r="4" spans="2:32" ht="12.6" thickBot="1" x14ac:dyDescent="0.45"/>
    <row r="5" spans="2:32" ht="89.7" thickTop="1" thickBot="1" x14ac:dyDescent="0.6">
      <c r="C5" s="205" t="s">
        <v>85</v>
      </c>
      <c r="D5" s="206" t="s">
        <v>84</v>
      </c>
      <c r="E5" s="207" t="s">
        <v>162</v>
      </c>
      <c r="F5" s="208"/>
      <c r="G5" s="208"/>
      <c r="H5" s="208"/>
      <c r="I5" s="208"/>
      <c r="J5" s="208"/>
      <c r="K5" s="208"/>
      <c r="L5" s="208"/>
      <c r="M5" s="208"/>
      <c r="N5" s="208"/>
      <c r="O5" s="208"/>
      <c r="P5" s="209"/>
      <c r="Q5" s="210"/>
      <c r="R5" s="210"/>
      <c r="S5" s="210"/>
      <c r="T5" s="210"/>
      <c r="U5" s="210"/>
      <c r="V5" s="211"/>
      <c r="W5" s="212"/>
      <c r="X5" s="210"/>
      <c r="Y5" s="210"/>
      <c r="Z5" s="210"/>
      <c r="AA5" s="210"/>
      <c r="AB5" s="210"/>
      <c r="AC5" s="210"/>
      <c r="AD5" s="210"/>
      <c r="AE5" s="210"/>
      <c r="AF5" s="201"/>
    </row>
    <row r="6" spans="2:32" s="198" customFormat="1" ht="12.6" thickTop="1" x14ac:dyDescent="0.4">
      <c r="B6" s="213">
        <v>1</v>
      </c>
      <c r="C6" s="214"/>
      <c r="D6" s="215">
        <v>5</v>
      </c>
      <c r="E6" s="216"/>
      <c r="F6" s="217" t="s">
        <v>163</v>
      </c>
      <c r="G6" s="217"/>
      <c r="H6" s="217"/>
      <c r="I6" s="217"/>
      <c r="J6" s="217"/>
      <c r="K6" s="218"/>
      <c r="L6" s="219"/>
      <c r="M6" s="219"/>
      <c r="N6" s="220"/>
      <c r="O6" s="219"/>
      <c r="P6" s="221"/>
      <c r="W6" s="222"/>
      <c r="X6" s="223"/>
      <c r="Y6" s="223"/>
      <c r="Z6" s="223"/>
      <c r="AA6" s="223"/>
      <c r="AB6" s="223"/>
      <c r="AC6" s="223"/>
      <c r="AD6" s="223"/>
    </row>
    <row r="7" spans="2:32" s="198" customFormat="1" x14ac:dyDescent="0.4">
      <c r="B7" s="224">
        <f>B6+1</f>
        <v>2</v>
      </c>
      <c r="C7" s="214"/>
      <c r="D7" s="215">
        <v>6</v>
      </c>
      <c r="E7" s="225"/>
      <c r="F7" s="226"/>
      <c r="G7" s="226" t="s">
        <v>164</v>
      </c>
      <c r="H7" s="226"/>
      <c r="I7" s="226"/>
      <c r="J7" s="226"/>
      <c r="K7" s="226"/>
      <c r="L7" s="227"/>
      <c r="M7" s="227"/>
      <c r="N7" s="228"/>
      <c r="O7" s="227"/>
      <c r="P7" s="229"/>
      <c r="W7" s="222"/>
      <c r="X7" s="223"/>
      <c r="Y7" s="223"/>
      <c r="Z7" s="223"/>
      <c r="AA7" s="223"/>
      <c r="AB7" s="223"/>
      <c r="AC7" s="223"/>
      <c r="AD7" s="223"/>
    </row>
    <row r="8" spans="2:32" s="198" customFormat="1" x14ac:dyDescent="0.4">
      <c r="B8" s="224">
        <f t="shared" ref="B8:B35" si="0">B7+1</f>
        <v>3</v>
      </c>
      <c r="C8" s="214"/>
      <c r="D8" s="215"/>
      <c r="E8" s="216"/>
      <c r="F8" s="226"/>
      <c r="G8" s="226"/>
      <c r="H8" s="226"/>
      <c r="I8" s="226"/>
      <c r="J8" s="226"/>
      <c r="K8" s="226"/>
      <c r="L8" s="227"/>
      <c r="M8" s="227"/>
      <c r="N8" s="228"/>
      <c r="O8" s="227"/>
      <c r="P8" s="229"/>
      <c r="W8" s="222"/>
      <c r="X8" s="223"/>
      <c r="Y8" s="223"/>
      <c r="Z8" s="223"/>
      <c r="AA8" s="223"/>
      <c r="AB8" s="223"/>
      <c r="AC8" s="223"/>
      <c r="AD8" s="223"/>
    </row>
    <row r="9" spans="2:32" s="198" customFormat="1" x14ac:dyDescent="0.4">
      <c r="B9" s="224">
        <f t="shared" si="0"/>
        <v>4</v>
      </c>
      <c r="C9" s="214"/>
      <c r="D9" s="215"/>
      <c r="E9" s="216"/>
      <c r="F9" s="226"/>
      <c r="G9" s="226"/>
      <c r="H9" s="226"/>
      <c r="I9" s="226"/>
      <c r="J9" s="226"/>
      <c r="K9" s="226"/>
      <c r="L9" s="230"/>
      <c r="M9" s="230"/>
      <c r="N9" s="231"/>
      <c r="O9" s="230"/>
      <c r="P9" s="232"/>
      <c r="W9" s="222"/>
      <c r="X9" s="223"/>
      <c r="Y9" s="223"/>
      <c r="Z9" s="223"/>
      <c r="AA9" s="223"/>
      <c r="AB9" s="223"/>
      <c r="AC9" s="223"/>
      <c r="AD9" s="223"/>
    </row>
    <row r="10" spans="2:32" s="198" customFormat="1" x14ac:dyDescent="0.4">
      <c r="B10" s="224">
        <f t="shared" si="0"/>
        <v>5</v>
      </c>
      <c r="C10" s="214"/>
      <c r="D10" s="215"/>
      <c r="E10" s="216"/>
      <c r="F10" s="226"/>
      <c r="G10" s="226"/>
      <c r="H10" s="226"/>
      <c r="I10" s="226"/>
      <c r="J10" s="226"/>
      <c r="K10" s="226"/>
      <c r="L10" s="230"/>
      <c r="M10" s="230"/>
      <c r="N10" s="231"/>
      <c r="O10" s="230"/>
      <c r="P10" s="233"/>
      <c r="W10" s="222"/>
      <c r="X10" s="223"/>
      <c r="Y10" s="223"/>
      <c r="Z10" s="223"/>
      <c r="AA10" s="223"/>
      <c r="AB10" s="223"/>
      <c r="AC10" s="223"/>
      <c r="AD10" s="223"/>
    </row>
    <row r="11" spans="2:32" s="198" customFormat="1" x14ac:dyDescent="0.4">
      <c r="B11" s="224">
        <f t="shared" si="0"/>
        <v>6</v>
      </c>
      <c r="C11" s="214"/>
      <c r="D11" s="215"/>
      <c r="E11" s="216"/>
      <c r="F11" s="226"/>
      <c r="G11" s="226"/>
      <c r="H11" s="226"/>
      <c r="I11" s="226"/>
      <c r="J11" s="226"/>
      <c r="K11" s="226"/>
      <c r="L11" s="227"/>
      <c r="M11" s="227"/>
      <c r="N11" s="228"/>
      <c r="O11" s="227"/>
      <c r="P11" s="229"/>
      <c r="W11" s="222"/>
      <c r="X11" s="223"/>
      <c r="Y11" s="223"/>
      <c r="Z11" s="223"/>
      <c r="AA11" s="223"/>
      <c r="AB11" s="223"/>
      <c r="AC11" s="223"/>
      <c r="AD11" s="223"/>
    </row>
    <row r="12" spans="2:32" s="198" customFormat="1" x14ac:dyDescent="0.4">
      <c r="B12" s="224">
        <f t="shared" si="0"/>
        <v>7</v>
      </c>
      <c r="C12" s="214"/>
      <c r="D12" s="215"/>
      <c r="E12" s="216"/>
      <c r="F12" s="226"/>
      <c r="G12" s="226"/>
      <c r="H12" s="226"/>
      <c r="I12" s="226"/>
      <c r="J12" s="226"/>
      <c r="K12" s="226"/>
      <c r="L12" s="227"/>
      <c r="M12" s="227"/>
      <c r="N12" s="228"/>
      <c r="O12" s="227"/>
      <c r="P12" s="229"/>
      <c r="W12" s="222"/>
      <c r="X12" s="223"/>
      <c r="Y12" s="223"/>
      <c r="Z12" s="223"/>
      <c r="AA12" s="223"/>
      <c r="AB12" s="223"/>
      <c r="AC12" s="223"/>
      <c r="AD12" s="223"/>
    </row>
    <row r="13" spans="2:32" s="198" customFormat="1" x14ac:dyDescent="0.4">
      <c r="B13" s="224">
        <f t="shared" si="0"/>
        <v>8</v>
      </c>
      <c r="C13" s="214"/>
      <c r="D13" s="215"/>
      <c r="E13" s="216"/>
      <c r="F13" s="226"/>
      <c r="G13" s="226"/>
      <c r="H13" s="226"/>
      <c r="I13" s="226"/>
      <c r="J13" s="226"/>
      <c r="K13" s="226"/>
      <c r="L13" s="227"/>
      <c r="M13" s="227"/>
      <c r="N13" s="228"/>
      <c r="O13" s="227"/>
      <c r="P13" s="229"/>
      <c r="W13" s="222"/>
      <c r="X13" s="223"/>
      <c r="Y13" s="223"/>
      <c r="Z13" s="223"/>
      <c r="AA13" s="223"/>
      <c r="AB13" s="223"/>
      <c r="AC13" s="223"/>
      <c r="AD13" s="223"/>
    </row>
    <row r="14" spans="2:32" s="198" customFormat="1" x14ac:dyDescent="0.4">
      <c r="B14" s="224">
        <f t="shared" si="0"/>
        <v>9</v>
      </c>
      <c r="C14" s="214"/>
      <c r="D14" s="215"/>
      <c r="E14" s="216"/>
      <c r="F14" s="226"/>
      <c r="G14" s="226"/>
      <c r="H14" s="226"/>
      <c r="I14" s="226"/>
      <c r="J14" s="226"/>
      <c r="K14" s="226"/>
      <c r="L14" s="227"/>
      <c r="M14" s="227"/>
      <c r="N14" s="228"/>
      <c r="O14" s="227"/>
      <c r="P14" s="229"/>
      <c r="W14" s="222"/>
      <c r="X14" s="223"/>
      <c r="Y14" s="223"/>
      <c r="Z14" s="223"/>
      <c r="AA14" s="223"/>
      <c r="AB14" s="223"/>
      <c r="AC14" s="223"/>
      <c r="AD14" s="223"/>
    </row>
    <row r="15" spans="2:32" s="198" customFormat="1" x14ac:dyDescent="0.4">
      <c r="B15" s="224">
        <f t="shared" si="0"/>
        <v>10</v>
      </c>
      <c r="C15" s="214"/>
      <c r="D15" s="215"/>
      <c r="E15" s="216"/>
      <c r="F15" s="226"/>
      <c r="G15" s="226"/>
      <c r="H15" s="226"/>
      <c r="I15" s="226"/>
      <c r="J15" s="226"/>
      <c r="K15" s="226"/>
      <c r="L15" s="227"/>
      <c r="M15" s="227"/>
      <c r="N15" s="228"/>
      <c r="O15" s="227"/>
      <c r="P15" s="229"/>
      <c r="W15" s="222"/>
      <c r="X15" s="223"/>
      <c r="Y15" s="223"/>
      <c r="Z15" s="223"/>
      <c r="AA15" s="223"/>
      <c r="AB15" s="223"/>
      <c r="AC15" s="223"/>
      <c r="AD15" s="223"/>
    </row>
    <row r="16" spans="2:32" s="198" customFormat="1" x14ac:dyDescent="0.4">
      <c r="B16" s="224">
        <f t="shared" si="0"/>
        <v>11</v>
      </c>
      <c r="C16" s="214"/>
      <c r="D16" s="215"/>
      <c r="E16" s="216"/>
      <c r="F16" s="226"/>
      <c r="G16" s="226"/>
      <c r="H16" s="226"/>
      <c r="I16" s="226"/>
      <c r="J16" s="226"/>
      <c r="K16" s="226"/>
      <c r="L16" s="227"/>
      <c r="M16" s="227"/>
      <c r="N16" s="228"/>
      <c r="O16" s="227"/>
      <c r="P16" s="229"/>
      <c r="W16" s="222"/>
      <c r="X16" s="223"/>
      <c r="Y16" s="223"/>
      <c r="Z16" s="223"/>
      <c r="AA16" s="223"/>
      <c r="AB16" s="223"/>
      <c r="AC16" s="223"/>
      <c r="AD16" s="223"/>
    </row>
    <row r="17" spans="2:30" s="198" customFormat="1" x14ac:dyDescent="0.4">
      <c r="B17" s="224">
        <f t="shared" si="0"/>
        <v>12</v>
      </c>
      <c r="C17" s="214"/>
      <c r="D17" s="215"/>
      <c r="E17" s="216"/>
      <c r="F17" s="226"/>
      <c r="G17" s="226"/>
      <c r="H17" s="226"/>
      <c r="I17" s="226"/>
      <c r="J17" s="226"/>
      <c r="K17" s="226"/>
      <c r="L17" s="227"/>
      <c r="M17" s="227"/>
      <c r="N17" s="228"/>
      <c r="O17" s="227"/>
      <c r="P17" s="229"/>
      <c r="W17" s="222"/>
      <c r="X17" s="223"/>
      <c r="Y17" s="223"/>
      <c r="Z17" s="223"/>
      <c r="AA17" s="223"/>
      <c r="AB17" s="223"/>
      <c r="AC17" s="223"/>
      <c r="AD17" s="223"/>
    </row>
    <row r="18" spans="2:30" s="198" customFormat="1" x14ac:dyDescent="0.4">
      <c r="B18" s="224">
        <f t="shared" si="0"/>
        <v>13</v>
      </c>
      <c r="C18" s="214"/>
      <c r="D18" s="215"/>
      <c r="E18" s="216"/>
      <c r="F18" s="226"/>
      <c r="G18" s="226"/>
      <c r="H18" s="226"/>
      <c r="I18" s="226"/>
      <c r="J18" s="226"/>
      <c r="K18" s="226"/>
      <c r="L18" s="227"/>
      <c r="M18" s="227"/>
      <c r="N18" s="228"/>
      <c r="O18" s="227"/>
      <c r="P18" s="229"/>
      <c r="W18" s="222"/>
      <c r="X18" s="223"/>
      <c r="Y18" s="223"/>
      <c r="Z18" s="223"/>
      <c r="AA18" s="223"/>
      <c r="AB18" s="223"/>
      <c r="AC18" s="223"/>
      <c r="AD18" s="223"/>
    </row>
    <row r="19" spans="2:30" s="198" customFormat="1" x14ac:dyDescent="0.4">
      <c r="B19" s="224">
        <f t="shared" si="0"/>
        <v>14</v>
      </c>
      <c r="C19" s="214"/>
      <c r="D19" s="215"/>
      <c r="E19" s="216"/>
      <c r="F19" s="226"/>
      <c r="G19" s="226"/>
      <c r="H19" s="226"/>
      <c r="I19" s="226"/>
      <c r="J19" s="226"/>
      <c r="K19" s="226"/>
      <c r="L19" s="227"/>
      <c r="M19" s="227"/>
      <c r="N19" s="228"/>
      <c r="O19" s="227"/>
      <c r="P19" s="229"/>
      <c r="W19" s="222"/>
      <c r="X19" s="223"/>
      <c r="Y19" s="223"/>
      <c r="Z19" s="223"/>
      <c r="AA19" s="223"/>
      <c r="AB19" s="223"/>
      <c r="AC19" s="223"/>
      <c r="AD19" s="223"/>
    </row>
    <row r="20" spans="2:30" s="198" customFormat="1" x14ac:dyDescent="0.4">
      <c r="B20" s="224">
        <f t="shared" si="0"/>
        <v>15</v>
      </c>
      <c r="C20" s="214"/>
      <c r="D20" s="215"/>
      <c r="E20" s="216"/>
      <c r="F20" s="226"/>
      <c r="G20" s="226"/>
      <c r="H20" s="226"/>
      <c r="I20" s="226"/>
      <c r="J20" s="226"/>
      <c r="K20" s="226"/>
      <c r="L20" s="227"/>
      <c r="M20" s="227"/>
      <c r="N20" s="228"/>
      <c r="O20" s="227"/>
      <c r="P20" s="229"/>
      <c r="W20" s="222"/>
      <c r="X20" s="223"/>
      <c r="Y20" s="223"/>
      <c r="Z20" s="223"/>
      <c r="AA20" s="223"/>
      <c r="AB20" s="223"/>
      <c r="AC20" s="223"/>
      <c r="AD20" s="223"/>
    </row>
    <row r="21" spans="2:30" s="198" customFormat="1" x14ac:dyDescent="0.4">
      <c r="B21" s="224">
        <f t="shared" si="0"/>
        <v>16</v>
      </c>
      <c r="C21" s="214"/>
      <c r="D21" s="215"/>
      <c r="E21" s="216"/>
      <c r="F21" s="226"/>
      <c r="G21" s="226"/>
      <c r="H21" s="226"/>
      <c r="I21" s="226"/>
      <c r="J21" s="226"/>
      <c r="K21" s="226"/>
      <c r="L21" s="227"/>
      <c r="M21" s="227"/>
      <c r="N21" s="228"/>
      <c r="O21" s="227"/>
      <c r="P21" s="229"/>
      <c r="W21" s="222"/>
      <c r="X21" s="223"/>
      <c r="Y21" s="223"/>
      <c r="Z21" s="223"/>
      <c r="AA21" s="223"/>
      <c r="AB21" s="223"/>
      <c r="AC21" s="223"/>
      <c r="AD21" s="223"/>
    </row>
    <row r="22" spans="2:30" s="198" customFormat="1" x14ac:dyDescent="0.4">
      <c r="B22" s="224">
        <f t="shared" si="0"/>
        <v>17</v>
      </c>
      <c r="C22" s="214"/>
      <c r="D22" s="215"/>
      <c r="E22" s="216"/>
      <c r="F22" s="226"/>
      <c r="G22" s="226"/>
      <c r="H22" s="226"/>
      <c r="I22" s="226"/>
      <c r="J22" s="226"/>
      <c r="K22" s="226"/>
      <c r="L22" s="227"/>
      <c r="M22" s="227"/>
      <c r="N22" s="228"/>
      <c r="O22" s="227"/>
      <c r="P22" s="229"/>
      <c r="W22" s="222"/>
      <c r="X22" s="223"/>
      <c r="Y22" s="223"/>
      <c r="Z22" s="223"/>
      <c r="AA22" s="223"/>
      <c r="AB22" s="223"/>
      <c r="AC22" s="223"/>
      <c r="AD22" s="223"/>
    </row>
    <row r="23" spans="2:30" s="198" customFormat="1" x14ac:dyDescent="0.4">
      <c r="B23" s="224">
        <f t="shared" si="0"/>
        <v>18</v>
      </c>
      <c r="C23" s="214"/>
      <c r="D23" s="215"/>
      <c r="E23" s="216"/>
      <c r="F23" s="226"/>
      <c r="G23" s="226"/>
      <c r="H23" s="226"/>
      <c r="I23" s="226"/>
      <c r="J23" s="226"/>
      <c r="K23" s="226"/>
      <c r="L23" s="227"/>
      <c r="M23" s="227"/>
      <c r="N23" s="228"/>
      <c r="O23" s="227"/>
      <c r="P23" s="229"/>
      <c r="W23" s="222"/>
      <c r="X23" s="223"/>
      <c r="Y23" s="223"/>
      <c r="Z23" s="223"/>
      <c r="AA23" s="223"/>
      <c r="AB23" s="223"/>
      <c r="AC23" s="223"/>
      <c r="AD23" s="223"/>
    </row>
    <row r="24" spans="2:30" s="198" customFormat="1" x14ac:dyDescent="0.4">
      <c r="B24" s="224">
        <f t="shared" si="0"/>
        <v>19</v>
      </c>
      <c r="C24" s="214"/>
      <c r="D24" s="215"/>
      <c r="E24" s="216"/>
      <c r="F24" s="226"/>
      <c r="G24" s="226"/>
      <c r="H24" s="226"/>
      <c r="I24" s="226"/>
      <c r="J24" s="226"/>
      <c r="K24" s="226"/>
      <c r="L24" s="227"/>
      <c r="M24" s="227"/>
      <c r="N24" s="228"/>
      <c r="O24" s="227"/>
      <c r="P24" s="229"/>
      <c r="W24" s="222"/>
      <c r="X24" s="223"/>
      <c r="Y24" s="223"/>
      <c r="Z24" s="223"/>
      <c r="AA24" s="223"/>
      <c r="AB24" s="223"/>
      <c r="AC24" s="223"/>
      <c r="AD24" s="223"/>
    </row>
    <row r="25" spans="2:30" s="198" customFormat="1" x14ac:dyDescent="0.4">
      <c r="B25" s="224">
        <f t="shared" si="0"/>
        <v>20</v>
      </c>
      <c r="C25" s="214"/>
      <c r="D25" s="215"/>
      <c r="E25" s="216"/>
      <c r="F25" s="226"/>
      <c r="G25" s="226"/>
      <c r="H25" s="226"/>
      <c r="I25" s="226"/>
      <c r="J25" s="226"/>
      <c r="K25" s="226"/>
      <c r="L25" s="227"/>
      <c r="M25" s="227"/>
      <c r="N25" s="228"/>
      <c r="O25" s="227"/>
      <c r="P25" s="229"/>
      <c r="W25" s="222"/>
      <c r="X25" s="223"/>
      <c r="Y25" s="223"/>
      <c r="Z25" s="223"/>
      <c r="AA25" s="223"/>
      <c r="AB25" s="223"/>
      <c r="AC25" s="223"/>
      <c r="AD25" s="223"/>
    </row>
    <row r="26" spans="2:30" s="198" customFormat="1" x14ac:dyDescent="0.4">
      <c r="B26" s="224">
        <f t="shared" si="0"/>
        <v>21</v>
      </c>
      <c r="C26" s="214"/>
      <c r="D26" s="215"/>
      <c r="E26" s="216"/>
      <c r="F26" s="226"/>
      <c r="G26" s="226"/>
      <c r="H26" s="226"/>
      <c r="I26" s="226"/>
      <c r="J26" s="226"/>
      <c r="K26" s="226"/>
      <c r="L26" s="227"/>
      <c r="M26" s="227"/>
      <c r="N26" s="228"/>
      <c r="O26" s="227"/>
      <c r="P26" s="229"/>
      <c r="W26" s="222"/>
      <c r="X26" s="223"/>
      <c r="Y26" s="223"/>
      <c r="Z26" s="223"/>
      <c r="AA26" s="223"/>
      <c r="AB26" s="223"/>
      <c r="AC26" s="223"/>
      <c r="AD26" s="223"/>
    </row>
    <row r="27" spans="2:30" s="198" customFormat="1" x14ac:dyDescent="0.4">
      <c r="B27" s="224">
        <f t="shared" si="0"/>
        <v>22</v>
      </c>
      <c r="C27" s="214"/>
      <c r="D27" s="215"/>
      <c r="E27" s="216"/>
      <c r="F27" s="226"/>
      <c r="G27" s="226"/>
      <c r="H27" s="226"/>
      <c r="I27" s="226"/>
      <c r="J27" s="226"/>
      <c r="K27" s="226"/>
      <c r="L27" s="227"/>
      <c r="M27" s="227"/>
      <c r="N27" s="228"/>
      <c r="O27" s="227"/>
      <c r="P27" s="229"/>
      <c r="W27" s="222"/>
      <c r="X27" s="223"/>
      <c r="Y27" s="223"/>
      <c r="Z27" s="223"/>
      <c r="AA27" s="223"/>
      <c r="AB27" s="223"/>
      <c r="AC27" s="223"/>
      <c r="AD27" s="223"/>
    </row>
    <row r="28" spans="2:30" s="198" customFormat="1" x14ac:dyDescent="0.4">
      <c r="B28" s="224">
        <f t="shared" si="0"/>
        <v>23</v>
      </c>
      <c r="C28" s="214"/>
      <c r="D28" s="215"/>
      <c r="E28" s="216"/>
      <c r="F28" s="226"/>
      <c r="G28" s="226"/>
      <c r="H28" s="226"/>
      <c r="I28" s="226"/>
      <c r="J28" s="226"/>
      <c r="K28" s="226"/>
      <c r="L28" s="227"/>
      <c r="M28" s="227"/>
      <c r="N28" s="228"/>
      <c r="O28" s="227"/>
      <c r="P28" s="229"/>
      <c r="W28" s="222"/>
      <c r="X28" s="223"/>
      <c r="Y28" s="223"/>
      <c r="Z28" s="223"/>
      <c r="AA28" s="223"/>
      <c r="AB28" s="223"/>
      <c r="AC28" s="223"/>
      <c r="AD28" s="223"/>
    </row>
    <row r="29" spans="2:30" s="198" customFormat="1" x14ac:dyDescent="0.4">
      <c r="B29" s="224">
        <f t="shared" si="0"/>
        <v>24</v>
      </c>
      <c r="C29" s="214"/>
      <c r="D29" s="215"/>
      <c r="E29" s="216"/>
      <c r="F29" s="226"/>
      <c r="G29" s="226"/>
      <c r="H29" s="226"/>
      <c r="I29" s="226"/>
      <c r="J29" s="226"/>
      <c r="K29" s="226"/>
      <c r="L29" s="227"/>
      <c r="M29" s="227"/>
      <c r="N29" s="228"/>
      <c r="O29" s="227"/>
      <c r="P29" s="229"/>
      <c r="W29" s="222"/>
      <c r="X29" s="223"/>
      <c r="Y29" s="223"/>
      <c r="Z29" s="223"/>
      <c r="AA29" s="223"/>
      <c r="AB29" s="223"/>
      <c r="AC29" s="223"/>
      <c r="AD29" s="223"/>
    </row>
    <row r="30" spans="2:30" s="198" customFormat="1" x14ac:dyDescent="0.4">
      <c r="B30" s="224">
        <f t="shared" si="0"/>
        <v>25</v>
      </c>
      <c r="C30" s="214"/>
      <c r="D30" s="215"/>
      <c r="E30" s="216"/>
      <c r="F30" s="226"/>
      <c r="G30" s="226"/>
      <c r="H30" s="226"/>
      <c r="I30" s="226"/>
      <c r="J30" s="226"/>
      <c r="K30" s="226"/>
      <c r="L30" s="227"/>
      <c r="M30" s="227"/>
      <c r="N30" s="228"/>
      <c r="O30" s="227"/>
      <c r="P30" s="229"/>
      <c r="W30" s="222"/>
      <c r="X30" s="223"/>
      <c r="Y30" s="223"/>
      <c r="Z30" s="223"/>
      <c r="AA30" s="223"/>
      <c r="AB30" s="223"/>
      <c r="AC30" s="223"/>
      <c r="AD30" s="223"/>
    </row>
    <row r="31" spans="2:30" s="198" customFormat="1" x14ac:dyDescent="0.4">
      <c r="B31" s="224">
        <f t="shared" si="0"/>
        <v>26</v>
      </c>
      <c r="C31" s="214"/>
      <c r="D31" s="215"/>
      <c r="E31" s="216"/>
      <c r="F31" s="226"/>
      <c r="G31" s="226"/>
      <c r="H31" s="226"/>
      <c r="I31" s="226"/>
      <c r="J31" s="226"/>
      <c r="K31" s="226"/>
      <c r="L31" s="227"/>
      <c r="M31" s="227"/>
      <c r="N31" s="228"/>
      <c r="O31" s="227"/>
      <c r="P31" s="229"/>
      <c r="W31" s="222"/>
      <c r="X31" s="223"/>
      <c r="Y31" s="223"/>
      <c r="Z31" s="223"/>
      <c r="AA31" s="223"/>
      <c r="AB31" s="223"/>
      <c r="AC31" s="223"/>
      <c r="AD31" s="223"/>
    </row>
    <row r="32" spans="2:30" s="198" customFormat="1" x14ac:dyDescent="0.4">
      <c r="B32" s="224">
        <f t="shared" si="0"/>
        <v>27</v>
      </c>
      <c r="C32" s="214"/>
      <c r="D32" s="215">
        <v>5</v>
      </c>
      <c r="E32" s="216"/>
      <c r="F32" s="226"/>
      <c r="G32" s="226"/>
      <c r="H32" s="226"/>
      <c r="I32" s="226"/>
      <c r="J32" s="226"/>
      <c r="K32" s="226"/>
      <c r="L32" s="227"/>
      <c r="M32" s="227"/>
      <c r="N32" s="228"/>
      <c r="O32" s="227"/>
      <c r="P32" s="229"/>
      <c r="W32" s="222"/>
      <c r="X32" s="223"/>
      <c r="Y32" s="223"/>
      <c r="Z32" s="223"/>
      <c r="AA32" s="223"/>
      <c r="AB32" s="223"/>
      <c r="AC32" s="223"/>
      <c r="AD32" s="223"/>
    </row>
    <row r="33" spans="2:33" s="198" customFormat="1" x14ac:dyDescent="0.4">
      <c r="B33" s="224">
        <f t="shared" si="0"/>
        <v>28</v>
      </c>
      <c r="C33" s="214"/>
      <c r="D33" s="215">
        <v>10</v>
      </c>
      <c r="E33" s="216"/>
      <c r="F33" s="226"/>
      <c r="G33" s="226"/>
      <c r="H33" s="226"/>
      <c r="I33" s="226"/>
      <c r="J33" s="226"/>
      <c r="K33" s="226"/>
      <c r="L33" s="227"/>
      <c r="M33" s="227"/>
      <c r="N33" s="228"/>
      <c r="O33" s="227"/>
      <c r="P33" s="229"/>
      <c r="W33" s="222"/>
      <c r="X33" s="223"/>
      <c r="Y33" s="223"/>
      <c r="Z33" s="223"/>
      <c r="AA33" s="223"/>
      <c r="AB33" s="223"/>
      <c r="AC33" s="223"/>
      <c r="AD33" s="223"/>
    </row>
    <row r="34" spans="2:33" s="198" customFormat="1" x14ac:dyDescent="0.4">
      <c r="B34" s="224">
        <f t="shared" si="0"/>
        <v>29</v>
      </c>
      <c r="C34" s="214"/>
      <c r="D34" s="215"/>
      <c r="E34" s="216"/>
      <c r="F34" s="234"/>
      <c r="G34" s="234"/>
      <c r="H34" s="234"/>
      <c r="I34" s="234"/>
      <c r="J34" s="234"/>
      <c r="K34" s="234"/>
      <c r="L34" s="227"/>
      <c r="M34" s="227"/>
      <c r="N34" s="228"/>
      <c r="O34" s="227"/>
      <c r="P34" s="229"/>
      <c r="W34" s="222"/>
      <c r="X34" s="223"/>
      <c r="Y34" s="223"/>
      <c r="Z34" s="223"/>
      <c r="AA34" s="223"/>
      <c r="AB34" s="223"/>
      <c r="AC34" s="223"/>
      <c r="AD34" s="223"/>
    </row>
    <row r="35" spans="2:33" s="198" customFormat="1" ht="12.6" thickBot="1" x14ac:dyDescent="0.45">
      <c r="B35" s="235">
        <f t="shared" si="0"/>
        <v>30</v>
      </c>
      <c r="C35" s="214"/>
      <c r="D35" s="236"/>
      <c r="E35" s="216"/>
      <c r="F35" s="234"/>
      <c r="G35" s="234"/>
      <c r="H35" s="234"/>
      <c r="I35" s="234"/>
      <c r="J35" s="234"/>
      <c r="K35" s="237"/>
      <c r="L35" s="238"/>
      <c r="M35" s="239"/>
      <c r="N35" s="238"/>
      <c r="O35" s="239"/>
      <c r="P35" s="240"/>
      <c r="W35" s="222"/>
      <c r="X35" s="223"/>
      <c r="Y35" s="223"/>
      <c r="Z35" s="223"/>
      <c r="AA35" s="223"/>
      <c r="AB35" s="223"/>
      <c r="AC35" s="223"/>
      <c r="AD35" s="223"/>
    </row>
    <row r="36" spans="2:33" ht="12.6" thickTop="1" x14ac:dyDescent="0.4">
      <c r="C36" s="241" t="s">
        <v>165</v>
      </c>
      <c r="D36" s="242"/>
      <c r="E36" s="243"/>
      <c r="F36" s="244">
        <f t="shared" ref="F36:P36" si="1">COUNTIF(F$6:F$35," +")</f>
        <v>1</v>
      </c>
      <c r="G36" s="244">
        <f t="shared" si="1"/>
        <v>0</v>
      </c>
      <c r="H36" s="244">
        <f t="shared" si="1"/>
        <v>0</v>
      </c>
      <c r="I36" s="244">
        <f t="shared" si="1"/>
        <v>0</v>
      </c>
      <c r="J36" s="244">
        <f t="shared" si="1"/>
        <v>0</v>
      </c>
      <c r="K36" s="244">
        <f t="shared" si="1"/>
        <v>0</v>
      </c>
      <c r="L36" s="245">
        <f t="shared" si="1"/>
        <v>0</v>
      </c>
      <c r="M36" s="244">
        <f t="shared" si="1"/>
        <v>0</v>
      </c>
      <c r="N36" s="244">
        <f t="shared" si="1"/>
        <v>0</v>
      </c>
      <c r="O36" s="244">
        <f t="shared" si="1"/>
        <v>0</v>
      </c>
      <c r="P36" s="246">
        <f t="shared" si="1"/>
        <v>0</v>
      </c>
      <c r="Q36" s="198"/>
      <c r="R36" s="198"/>
      <c r="S36" s="198"/>
      <c r="T36" s="198"/>
      <c r="U36" s="198"/>
      <c r="V36" s="247"/>
      <c r="W36" s="247"/>
      <c r="X36" s="248"/>
      <c r="Y36" s="248"/>
      <c r="Z36" s="248"/>
      <c r="AA36" s="248"/>
      <c r="AB36" s="248"/>
      <c r="AC36" s="248"/>
      <c r="AD36" s="248"/>
      <c r="AE36" s="198"/>
      <c r="AF36" s="198"/>
      <c r="AG36" s="198"/>
    </row>
    <row r="37" spans="2:33" x14ac:dyDescent="0.4">
      <c r="C37" s="249" t="s">
        <v>166</v>
      </c>
      <c r="D37" s="250"/>
      <c r="E37" s="251"/>
      <c r="F37" s="252">
        <f t="shared" ref="F37:P37" si="2">COUNTIF(F$6:F$35," -")</f>
        <v>0</v>
      </c>
      <c r="G37" s="252">
        <f t="shared" si="2"/>
        <v>1</v>
      </c>
      <c r="H37" s="252">
        <f t="shared" si="2"/>
        <v>0</v>
      </c>
      <c r="I37" s="252">
        <f t="shared" si="2"/>
        <v>0</v>
      </c>
      <c r="J37" s="252">
        <f t="shared" si="2"/>
        <v>0</v>
      </c>
      <c r="K37" s="252">
        <f t="shared" si="2"/>
        <v>0</v>
      </c>
      <c r="L37" s="253">
        <f t="shared" si="2"/>
        <v>0</v>
      </c>
      <c r="M37" s="252">
        <f t="shared" si="2"/>
        <v>0</v>
      </c>
      <c r="N37" s="252">
        <f t="shared" si="2"/>
        <v>0</v>
      </c>
      <c r="O37" s="252">
        <f t="shared" si="2"/>
        <v>0</v>
      </c>
      <c r="P37" s="254">
        <f t="shared" si="2"/>
        <v>0</v>
      </c>
      <c r="Q37" s="198"/>
      <c r="R37" s="198"/>
      <c r="S37" s="198"/>
      <c r="T37" s="198"/>
      <c r="U37" s="198"/>
      <c r="V37" s="247"/>
      <c r="W37" s="247"/>
      <c r="X37" s="248"/>
      <c r="Y37" s="248"/>
      <c r="Z37" s="248"/>
      <c r="AA37" s="248"/>
      <c r="AB37" s="248"/>
      <c r="AC37" s="248"/>
      <c r="AD37" s="248"/>
      <c r="AE37" s="198"/>
      <c r="AF37" s="198"/>
      <c r="AG37" s="198"/>
    </row>
    <row r="38" spans="2:33" ht="12.6" thickBot="1" x14ac:dyDescent="0.45">
      <c r="C38" s="255" t="s">
        <v>167</v>
      </c>
      <c r="D38" s="256"/>
      <c r="E38" s="257"/>
      <c r="F38" s="258">
        <f t="shared" ref="F38:P38" si="3">COUNTIF(F$6:F$35,"s")</f>
        <v>0</v>
      </c>
      <c r="G38" s="258">
        <f t="shared" si="3"/>
        <v>0</v>
      </c>
      <c r="H38" s="258">
        <f t="shared" si="3"/>
        <v>0</v>
      </c>
      <c r="I38" s="258">
        <f t="shared" si="3"/>
        <v>0</v>
      </c>
      <c r="J38" s="258">
        <f t="shared" si="3"/>
        <v>0</v>
      </c>
      <c r="K38" s="258">
        <f t="shared" si="3"/>
        <v>0</v>
      </c>
      <c r="L38" s="259">
        <f t="shared" si="3"/>
        <v>0</v>
      </c>
      <c r="M38" s="258">
        <f t="shared" si="3"/>
        <v>0</v>
      </c>
      <c r="N38" s="258">
        <f t="shared" si="3"/>
        <v>0</v>
      </c>
      <c r="O38" s="258">
        <f t="shared" si="3"/>
        <v>0</v>
      </c>
      <c r="P38" s="260">
        <f t="shared" si="3"/>
        <v>0</v>
      </c>
      <c r="Q38" s="198"/>
      <c r="R38" s="198"/>
      <c r="S38" s="198"/>
      <c r="T38" s="198"/>
      <c r="U38" s="198"/>
      <c r="V38" s="247"/>
      <c r="W38" s="247"/>
      <c r="X38" s="248"/>
      <c r="Y38" s="248"/>
      <c r="Z38" s="248"/>
      <c r="AA38" s="248"/>
      <c r="AB38" s="248"/>
      <c r="AC38" s="248"/>
      <c r="AD38" s="248"/>
      <c r="AE38" s="198"/>
      <c r="AF38" s="198"/>
      <c r="AG38" s="198"/>
    </row>
    <row r="39" spans="2:33" ht="12.6" thickTop="1" x14ac:dyDescent="0.4">
      <c r="C39" s="241" t="s">
        <v>168</v>
      </c>
      <c r="D39" s="242"/>
      <c r="E39" s="243"/>
      <c r="F39" s="244">
        <f t="shared" ref="F39:P39" si="4">SUMIF(F6:F35," +",$D$6:$D$35)</f>
        <v>5</v>
      </c>
      <c r="G39" s="244">
        <f t="shared" si="4"/>
        <v>0</v>
      </c>
      <c r="H39" s="244">
        <f t="shared" si="4"/>
        <v>0</v>
      </c>
      <c r="I39" s="244">
        <f t="shared" si="4"/>
        <v>0</v>
      </c>
      <c r="J39" s="244">
        <f t="shared" si="4"/>
        <v>0</v>
      </c>
      <c r="K39" s="244">
        <f t="shared" si="4"/>
        <v>0</v>
      </c>
      <c r="L39" s="244">
        <f t="shared" si="4"/>
        <v>0</v>
      </c>
      <c r="M39" s="244">
        <f t="shared" si="4"/>
        <v>0</v>
      </c>
      <c r="N39" s="244">
        <f t="shared" si="4"/>
        <v>0</v>
      </c>
      <c r="O39" s="244">
        <f t="shared" si="4"/>
        <v>0</v>
      </c>
      <c r="P39" s="246">
        <f t="shared" si="4"/>
        <v>0</v>
      </c>
      <c r="Q39" s="198"/>
      <c r="R39" s="198"/>
      <c r="S39" s="198"/>
      <c r="T39" s="198"/>
      <c r="U39" s="198"/>
      <c r="V39" s="247"/>
      <c r="W39" s="247"/>
      <c r="X39" s="248"/>
      <c r="Y39" s="261"/>
      <c r="Z39" s="261"/>
      <c r="AA39" s="261"/>
      <c r="AB39" s="261"/>
      <c r="AC39" s="261"/>
      <c r="AD39" s="261"/>
      <c r="AE39" s="198"/>
      <c r="AF39" s="198"/>
      <c r="AG39" s="198"/>
    </row>
    <row r="40" spans="2:33" ht="12.6" thickBot="1" x14ac:dyDescent="0.45">
      <c r="C40" s="262" t="s">
        <v>169</v>
      </c>
      <c r="D40" s="256"/>
      <c r="E40" s="257"/>
      <c r="F40" s="263">
        <f t="shared" ref="F40:P40" si="5">SUMIF(F6:F35," -",$D$6:$D$35)</f>
        <v>0</v>
      </c>
      <c r="G40" s="263">
        <f t="shared" si="5"/>
        <v>6</v>
      </c>
      <c r="H40" s="263">
        <f t="shared" si="5"/>
        <v>0</v>
      </c>
      <c r="I40" s="263">
        <f t="shared" si="5"/>
        <v>0</v>
      </c>
      <c r="J40" s="263">
        <f t="shared" si="5"/>
        <v>0</v>
      </c>
      <c r="K40" s="263">
        <f t="shared" si="5"/>
        <v>0</v>
      </c>
      <c r="L40" s="263">
        <f t="shared" si="5"/>
        <v>0</v>
      </c>
      <c r="M40" s="263">
        <f t="shared" si="5"/>
        <v>0</v>
      </c>
      <c r="N40" s="263">
        <f t="shared" si="5"/>
        <v>0</v>
      </c>
      <c r="O40" s="263">
        <f t="shared" si="5"/>
        <v>0</v>
      </c>
      <c r="P40" s="264">
        <f t="shared" si="5"/>
        <v>0</v>
      </c>
      <c r="Q40" s="198"/>
      <c r="R40" s="198"/>
      <c r="S40" s="198"/>
      <c r="T40" s="198"/>
      <c r="U40" s="198"/>
      <c r="V40" s="247"/>
      <c r="W40" s="247"/>
      <c r="X40" s="248"/>
      <c r="Y40" s="261"/>
      <c r="Z40" s="261"/>
      <c r="AA40" s="261"/>
      <c r="AB40" s="261"/>
      <c r="AC40" s="261"/>
      <c r="AD40" s="261"/>
      <c r="AE40" s="198"/>
      <c r="AF40" s="198"/>
      <c r="AG40" s="198"/>
    </row>
    <row r="41" spans="2:33" ht="15.6" thickTop="1" thickBot="1" x14ac:dyDescent="0.55000000000000004">
      <c r="C41" s="265" t="s">
        <v>170</v>
      </c>
      <c r="D41" s="266"/>
      <c r="E41" s="267"/>
      <c r="F41" s="268">
        <f>SUM(F39-F40)</f>
        <v>5</v>
      </c>
      <c r="G41" s="268">
        <f t="shared" ref="G41:P41" si="6">SUM(G39-G40)</f>
        <v>-6</v>
      </c>
      <c r="H41" s="268">
        <f t="shared" si="6"/>
        <v>0</v>
      </c>
      <c r="I41" s="268">
        <f t="shared" si="6"/>
        <v>0</v>
      </c>
      <c r="J41" s="268">
        <f t="shared" si="6"/>
        <v>0</v>
      </c>
      <c r="K41" s="268">
        <f t="shared" si="6"/>
        <v>0</v>
      </c>
      <c r="L41" s="268">
        <f t="shared" si="6"/>
        <v>0</v>
      </c>
      <c r="M41" s="268">
        <f t="shared" si="6"/>
        <v>0</v>
      </c>
      <c r="N41" s="268">
        <f t="shared" si="6"/>
        <v>0</v>
      </c>
      <c r="O41" s="268">
        <f t="shared" si="6"/>
        <v>0</v>
      </c>
      <c r="P41" s="269">
        <f t="shared" si="6"/>
        <v>0</v>
      </c>
      <c r="V41" s="270"/>
      <c r="W41" s="271"/>
      <c r="X41" s="272"/>
      <c r="Y41" s="272"/>
      <c r="Z41" s="272"/>
      <c r="AA41" s="272"/>
      <c r="AB41" s="272"/>
      <c r="AC41" s="272"/>
      <c r="AD41" s="272"/>
    </row>
    <row r="42" spans="2:33" ht="17.7" thickTop="1" x14ac:dyDescent="0.55000000000000004">
      <c r="C42" s="198"/>
      <c r="D42" s="198"/>
      <c r="E42" s="198"/>
      <c r="F42" s="198"/>
      <c r="G42" s="198"/>
      <c r="H42" s="198"/>
      <c r="I42" s="198"/>
      <c r="J42" s="198"/>
      <c r="K42" s="198"/>
      <c r="W42" s="273"/>
      <c r="X42" s="273"/>
      <c r="Y42" s="273"/>
      <c r="Z42" s="273"/>
      <c r="AA42" s="273"/>
      <c r="AB42" s="273"/>
      <c r="AC42" s="273"/>
      <c r="AD42" s="273"/>
    </row>
    <row r="43" spans="2:33" x14ac:dyDescent="0.4">
      <c r="C43" s="198"/>
      <c r="D43" s="198"/>
      <c r="E43" s="199"/>
      <c r="F43" s="198"/>
      <c r="G43" s="198"/>
      <c r="H43" s="198"/>
      <c r="I43" s="198"/>
      <c r="K43" s="198"/>
      <c r="W43" s="202"/>
      <c r="X43" s="203"/>
      <c r="Y43" s="203"/>
      <c r="Z43" s="203"/>
      <c r="AA43" s="203"/>
      <c r="AB43" s="203"/>
      <c r="AC43" s="203"/>
      <c r="AD43" s="203"/>
    </row>
    <row r="44" spans="2:33" x14ac:dyDescent="0.4">
      <c r="C44" s="198"/>
      <c r="D44" s="198"/>
      <c r="E44" s="199"/>
      <c r="F44" s="198"/>
      <c r="G44" s="198"/>
      <c r="H44" s="198"/>
      <c r="I44" s="198"/>
      <c r="K44" s="198"/>
      <c r="W44" s="202"/>
      <c r="X44" s="203"/>
      <c r="Y44" s="203"/>
      <c r="Z44" s="203"/>
      <c r="AA44" s="203"/>
      <c r="AB44" s="203"/>
      <c r="AC44" s="203"/>
      <c r="AD44" s="203"/>
    </row>
    <row r="45" spans="2:33" x14ac:dyDescent="0.4">
      <c r="C45" s="198"/>
      <c r="D45" s="198"/>
      <c r="E45" s="199"/>
      <c r="F45" s="198"/>
      <c r="G45" s="198"/>
      <c r="H45" s="198"/>
      <c r="I45" s="198"/>
      <c r="K45" s="198"/>
      <c r="W45" s="202"/>
      <c r="X45" s="203"/>
      <c r="Y45" s="203"/>
      <c r="Z45" s="203"/>
      <c r="AA45" s="203"/>
      <c r="AB45" s="203"/>
      <c r="AC45" s="203"/>
      <c r="AD45" s="203"/>
    </row>
    <row r="46" spans="2:33" x14ac:dyDescent="0.4">
      <c r="C46" s="198"/>
      <c r="D46" s="198"/>
      <c r="E46" s="199"/>
      <c r="F46" s="198"/>
      <c r="G46" s="198"/>
      <c r="H46" s="198"/>
      <c r="I46" s="198"/>
      <c r="K46" s="198"/>
      <c r="W46" s="202"/>
      <c r="X46" s="203"/>
      <c r="Y46" s="203"/>
      <c r="Z46" s="203"/>
      <c r="AA46" s="203"/>
      <c r="AB46" s="203"/>
      <c r="AC46" s="203"/>
      <c r="AD46" s="203"/>
    </row>
    <row r="47" spans="2:33" x14ac:dyDescent="0.4">
      <c r="C47" s="198"/>
      <c r="D47" s="198"/>
      <c r="E47" s="199"/>
      <c r="F47" s="198"/>
      <c r="G47" s="198"/>
      <c r="H47" s="198"/>
      <c r="I47" s="198"/>
      <c r="K47" s="198"/>
      <c r="W47" s="202"/>
      <c r="X47" s="203"/>
      <c r="Y47" s="203"/>
      <c r="Z47" s="203"/>
      <c r="AA47" s="203"/>
      <c r="AB47" s="203"/>
      <c r="AC47" s="203"/>
      <c r="AD47" s="203"/>
    </row>
    <row r="48" spans="2:33" x14ac:dyDescent="0.4">
      <c r="C48" s="198"/>
      <c r="D48" s="198"/>
      <c r="E48" s="199"/>
      <c r="F48" s="198"/>
      <c r="G48" s="198"/>
      <c r="H48" s="198"/>
      <c r="I48" s="198"/>
      <c r="K48" s="198"/>
      <c r="W48" s="202"/>
      <c r="X48" s="203"/>
      <c r="Y48" s="203"/>
      <c r="Z48" s="203"/>
      <c r="AA48" s="203"/>
      <c r="AB48" s="203"/>
      <c r="AC48" s="203"/>
      <c r="AD48" s="203"/>
    </row>
    <row r="49" spans="3:30" x14ac:dyDescent="0.4">
      <c r="C49" s="198"/>
      <c r="D49" s="198"/>
      <c r="E49" s="199"/>
      <c r="F49" s="198"/>
      <c r="G49" s="198"/>
      <c r="H49" s="198"/>
      <c r="I49" s="198"/>
      <c r="K49" s="198"/>
      <c r="W49" s="202"/>
      <c r="X49" s="203"/>
      <c r="Y49" s="203"/>
      <c r="Z49" s="203"/>
      <c r="AA49" s="203"/>
      <c r="AB49" s="203"/>
      <c r="AC49" s="203"/>
      <c r="AD49" s="203"/>
    </row>
    <row r="50" spans="3:30" x14ac:dyDescent="0.4">
      <c r="C50" s="198"/>
      <c r="D50" s="198"/>
      <c r="E50" s="199"/>
      <c r="F50" s="198"/>
      <c r="G50" s="198"/>
      <c r="H50" s="198"/>
      <c r="I50" s="198"/>
      <c r="K50" s="198"/>
      <c r="W50" s="202"/>
      <c r="X50" s="203"/>
      <c r="Y50" s="203"/>
      <c r="Z50" s="203"/>
      <c r="AA50" s="203"/>
      <c r="AB50" s="203"/>
      <c r="AC50" s="203"/>
      <c r="AD50" s="203"/>
    </row>
    <row r="51" spans="3:30" x14ac:dyDescent="0.4">
      <c r="C51" s="198"/>
      <c r="D51" s="198"/>
      <c r="E51" s="199"/>
      <c r="F51" s="198"/>
      <c r="G51" s="198"/>
      <c r="H51" s="198"/>
      <c r="I51" s="198"/>
      <c r="K51" s="198"/>
      <c r="W51" s="202"/>
      <c r="X51" s="203"/>
      <c r="Y51" s="203"/>
      <c r="Z51" s="203"/>
      <c r="AA51" s="203"/>
      <c r="AB51" s="203"/>
      <c r="AC51" s="203"/>
      <c r="AD51" s="203"/>
    </row>
    <row r="52" spans="3:30" x14ac:dyDescent="0.4">
      <c r="C52" s="198"/>
      <c r="D52" s="198"/>
      <c r="E52" s="199"/>
      <c r="F52" s="198"/>
      <c r="G52" s="198"/>
      <c r="H52" s="198"/>
      <c r="I52" s="198"/>
      <c r="K52" s="198"/>
      <c r="W52" s="202"/>
      <c r="X52" s="203"/>
      <c r="Y52" s="203"/>
      <c r="Z52" s="203"/>
      <c r="AA52" s="203"/>
      <c r="AB52" s="203"/>
      <c r="AC52" s="203"/>
      <c r="AD52" s="203"/>
    </row>
    <row r="53" spans="3:30" x14ac:dyDescent="0.4">
      <c r="C53" s="198"/>
      <c r="D53" s="198"/>
      <c r="E53" s="199"/>
      <c r="F53" s="198"/>
      <c r="G53" s="198"/>
      <c r="H53" s="198"/>
      <c r="I53" s="198"/>
      <c r="K53" s="198"/>
      <c r="W53" s="202"/>
      <c r="X53" s="203"/>
      <c r="Y53" s="203"/>
      <c r="Z53" s="203"/>
      <c r="AA53" s="203"/>
      <c r="AB53" s="203"/>
      <c r="AC53" s="203"/>
      <c r="AD53" s="203"/>
    </row>
    <row r="54" spans="3:30" x14ac:dyDescent="0.4">
      <c r="C54" s="198"/>
      <c r="D54" s="198"/>
      <c r="E54" s="199"/>
      <c r="F54" s="198"/>
      <c r="G54" s="198"/>
      <c r="H54" s="198"/>
      <c r="I54" s="198"/>
      <c r="K54" s="198"/>
      <c r="W54" s="202"/>
      <c r="X54" s="203"/>
      <c r="Y54" s="203"/>
      <c r="Z54" s="203"/>
      <c r="AA54" s="203"/>
      <c r="AB54" s="203"/>
      <c r="AC54" s="203"/>
      <c r="AD54" s="203"/>
    </row>
    <row r="55" spans="3:30" x14ac:dyDescent="0.4">
      <c r="C55" s="198"/>
      <c r="D55" s="198"/>
      <c r="E55" s="199"/>
      <c r="F55" s="198"/>
      <c r="G55" s="198"/>
      <c r="H55" s="198"/>
      <c r="I55" s="198"/>
      <c r="K55" s="198"/>
      <c r="W55" s="202"/>
      <c r="X55" s="203"/>
      <c r="Y55" s="203"/>
      <c r="Z55" s="203"/>
      <c r="AA55" s="203"/>
      <c r="AB55" s="203"/>
      <c r="AC55" s="203"/>
      <c r="AD55" s="203"/>
    </row>
    <row r="56" spans="3:30" x14ac:dyDescent="0.4">
      <c r="C56" s="198"/>
      <c r="D56" s="198"/>
      <c r="E56" s="199"/>
      <c r="F56" s="198"/>
      <c r="G56" s="198"/>
      <c r="H56" s="198"/>
      <c r="I56" s="198"/>
      <c r="K56" s="198"/>
      <c r="W56" s="202"/>
      <c r="X56" s="203"/>
      <c r="Y56" s="203"/>
      <c r="Z56" s="203"/>
      <c r="AA56" s="203"/>
      <c r="AB56" s="203"/>
      <c r="AC56" s="203"/>
      <c r="AD56" s="203"/>
    </row>
    <row r="57" spans="3:30" x14ac:dyDescent="0.4">
      <c r="C57" s="198"/>
      <c r="D57" s="198"/>
      <c r="E57" s="199"/>
      <c r="F57" s="198"/>
      <c r="G57" s="198"/>
      <c r="H57" s="198"/>
      <c r="I57" s="198"/>
      <c r="K57" s="198"/>
      <c r="W57" s="202"/>
      <c r="X57" s="203"/>
      <c r="Y57" s="203"/>
      <c r="Z57" s="203"/>
      <c r="AA57" s="203"/>
      <c r="AB57" s="203"/>
      <c r="AC57" s="203"/>
      <c r="AD57" s="203"/>
    </row>
    <row r="58" spans="3:30" x14ac:dyDescent="0.4">
      <c r="C58" s="198"/>
      <c r="D58" s="198"/>
      <c r="E58" s="198"/>
      <c r="F58" s="198"/>
      <c r="G58" s="198"/>
      <c r="H58" s="198"/>
      <c r="I58" s="198"/>
      <c r="K58" s="198"/>
      <c r="V58" s="274"/>
      <c r="W58" s="274"/>
      <c r="X58" s="44"/>
      <c r="Y58" s="275"/>
      <c r="Z58" s="275"/>
      <c r="AA58" s="275"/>
      <c r="AB58" s="275"/>
      <c r="AC58" s="275"/>
      <c r="AD58" s="275"/>
    </row>
    <row r="59" spans="3:30" x14ac:dyDescent="0.4">
      <c r="C59" s="198"/>
      <c r="D59" s="198"/>
      <c r="E59" s="198"/>
      <c r="F59" s="198"/>
      <c r="G59" s="198"/>
      <c r="H59" s="198"/>
      <c r="I59" s="198"/>
      <c r="K59" s="198"/>
      <c r="V59" s="274"/>
      <c r="W59" s="274"/>
      <c r="X59" s="44"/>
      <c r="Y59" s="275"/>
      <c r="Z59" s="275"/>
      <c r="AA59" s="275"/>
      <c r="AB59" s="275"/>
      <c r="AC59" s="275"/>
      <c r="AD59" s="275"/>
    </row>
    <row r="60" spans="3:30" x14ac:dyDescent="0.4">
      <c r="C60" s="198"/>
      <c r="D60" s="198"/>
      <c r="E60" s="198"/>
      <c r="F60" s="198"/>
      <c r="G60" s="198"/>
      <c r="H60" s="198"/>
      <c r="I60" s="198"/>
      <c r="K60" s="198"/>
    </row>
    <row r="61" spans="3:30" x14ac:dyDescent="0.4">
      <c r="C61" s="198"/>
      <c r="D61" s="198"/>
      <c r="E61" s="198"/>
      <c r="F61" s="198"/>
      <c r="G61" s="198"/>
      <c r="H61" s="198"/>
      <c r="I61" s="198"/>
      <c r="K61" s="198"/>
    </row>
    <row r="62" spans="3:30" x14ac:dyDescent="0.4">
      <c r="C62" s="198"/>
      <c r="D62" s="198"/>
      <c r="E62" s="198"/>
      <c r="F62" s="198"/>
      <c r="G62" s="198"/>
      <c r="H62" s="198"/>
      <c r="I62" s="198"/>
      <c r="K62" s="198"/>
    </row>
    <row r="63" spans="3:30" x14ac:dyDescent="0.4">
      <c r="C63" s="198"/>
      <c r="D63" s="198"/>
      <c r="E63" s="198"/>
      <c r="F63" s="198"/>
      <c r="G63" s="198"/>
      <c r="H63" s="198"/>
      <c r="I63" s="198"/>
      <c r="K63" s="198"/>
    </row>
    <row r="64" spans="3:30" x14ac:dyDescent="0.4">
      <c r="C64" s="198"/>
      <c r="D64" s="198"/>
      <c r="E64" s="198"/>
      <c r="F64" s="198"/>
      <c r="G64" s="198"/>
      <c r="H64" s="198"/>
      <c r="I64" s="198"/>
      <c r="K64" s="198"/>
    </row>
    <row r="65" spans="3:11" x14ac:dyDescent="0.4">
      <c r="C65" s="198"/>
      <c r="D65" s="198"/>
      <c r="E65" s="198"/>
      <c r="F65" s="198"/>
      <c r="G65" s="198"/>
      <c r="H65" s="198"/>
      <c r="I65" s="198"/>
      <c r="K65" s="198"/>
    </row>
    <row r="66" spans="3:11" x14ac:dyDescent="0.4">
      <c r="C66" s="198"/>
      <c r="D66" s="198"/>
      <c r="E66" s="198"/>
      <c r="F66" s="198"/>
      <c r="G66" s="198"/>
      <c r="H66" s="198"/>
      <c r="I66" s="198"/>
      <c r="K66" s="198"/>
    </row>
    <row r="67" spans="3:11" x14ac:dyDescent="0.4">
      <c r="C67" s="198"/>
      <c r="D67" s="198"/>
      <c r="E67" s="198"/>
      <c r="F67" s="198"/>
      <c r="G67" s="198"/>
      <c r="H67" s="198"/>
      <c r="I67" s="198"/>
      <c r="K67" s="198"/>
    </row>
    <row r="68" spans="3:11" x14ac:dyDescent="0.4">
      <c r="C68" s="198"/>
      <c r="D68" s="198"/>
      <c r="E68" s="198"/>
      <c r="F68" s="198"/>
      <c r="G68" s="198"/>
      <c r="H68" s="198"/>
      <c r="I68" s="198"/>
      <c r="K68" s="198"/>
    </row>
    <row r="69" spans="3:11" x14ac:dyDescent="0.4">
      <c r="C69" s="198"/>
      <c r="D69" s="198"/>
      <c r="E69" s="198"/>
      <c r="F69" s="198"/>
      <c r="G69" s="198"/>
      <c r="H69" s="198"/>
      <c r="I69" s="198"/>
      <c r="K69" s="198"/>
    </row>
    <row r="70" spans="3:11" x14ac:dyDescent="0.4">
      <c r="C70" s="198"/>
      <c r="D70" s="198"/>
      <c r="E70" s="198"/>
      <c r="F70" s="198"/>
      <c r="G70" s="198"/>
      <c r="H70" s="198"/>
      <c r="I70" s="198"/>
      <c r="K70" s="198"/>
    </row>
    <row r="71" spans="3:11" x14ac:dyDescent="0.4">
      <c r="C71" s="198"/>
      <c r="D71" s="198"/>
      <c r="E71" s="198"/>
      <c r="F71" s="198"/>
      <c r="G71" s="198"/>
      <c r="H71" s="198"/>
      <c r="I71" s="198"/>
      <c r="K71" s="198"/>
    </row>
    <row r="72" spans="3:11" x14ac:dyDescent="0.4">
      <c r="C72" s="198"/>
      <c r="D72" s="198"/>
      <c r="E72" s="198"/>
      <c r="F72" s="198"/>
      <c r="G72" s="198"/>
      <c r="H72" s="198"/>
      <c r="I72" s="198"/>
      <c r="K72" s="198"/>
    </row>
    <row r="73" spans="3:11" x14ac:dyDescent="0.4">
      <c r="C73" s="198"/>
      <c r="D73" s="198"/>
      <c r="E73" s="198"/>
      <c r="F73" s="198"/>
      <c r="G73" s="198"/>
      <c r="H73" s="198"/>
      <c r="I73" s="198"/>
      <c r="K73" s="198"/>
    </row>
    <row r="74" spans="3:11" x14ac:dyDescent="0.4">
      <c r="C74" s="198"/>
      <c r="D74" s="198"/>
      <c r="E74" s="198"/>
      <c r="F74" s="198"/>
      <c r="G74" s="198"/>
      <c r="H74" s="198"/>
      <c r="I74" s="198"/>
      <c r="K74" s="198"/>
    </row>
    <row r="75" spans="3:11" x14ac:dyDescent="0.4">
      <c r="C75" s="198"/>
      <c r="D75" s="198"/>
      <c r="E75" s="198"/>
      <c r="F75" s="198"/>
      <c r="G75" s="198"/>
      <c r="H75" s="198"/>
      <c r="I75" s="198"/>
      <c r="K75" s="198"/>
    </row>
  </sheetData>
  <conditionalFormatting sqref="E6:E35">
    <cfRule type="cellIs" dxfId="4" priority="1" stopIfTrue="1" operator="equal">
      <formula>" +"</formula>
    </cfRule>
    <cfRule type="cellIs" dxfId="3" priority="2" stopIfTrue="1" operator="equal">
      <formula>" -"</formula>
    </cfRule>
  </conditionalFormatting>
  <conditionalFormatting sqref="F6:P35">
    <cfRule type="cellIs" dxfId="2" priority="3" stopIfTrue="1" operator="equal">
      <formula>" +"</formula>
    </cfRule>
    <cfRule type="cellIs" dxfId="1" priority="4" stopIfTrue="1" operator="equal">
      <formula>" -"</formula>
    </cfRule>
    <cfRule type="cellIs" dxfId="0" priority="5" stopIfTrue="1" operator="equal">
      <formula>"S"</formula>
    </cfRule>
  </conditionalFormatting>
  <hyperlinks>
    <hyperlink ref="V1" location="Menu!A1" display="Return to menu" xr:uid="{00000000-0004-0000-1800-000000000000}"/>
  </hyperlinks>
  <pageMargins left="0.38" right="0.49" top="1" bottom="1" header="0.48" footer="0.5"/>
  <pageSetup scale="96" orientation="portrait" r:id="rId1"/>
  <headerFooter alignWithMargins="0">
    <oddHeader>&amp;C&amp;"Arial,Bold"&amp;14Pugh Matrix</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2"/>
  <dimension ref="A1:X61"/>
  <sheetViews>
    <sheetView zoomScale="55" zoomScaleNormal="55" workbookViewId="0">
      <selection activeCell="X1" sqref="X1"/>
    </sheetView>
  </sheetViews>
  <sheetFormatPr defaultRowHeight="14.4" x14ac:dyDescent="0.55000000000000004"/>
  <cols>
    <col min="1" max="1" width="12.734375" bestFit="1" customWidth="1"/>
    <col min="24" max="24" width="21" bestFit="1" customWidth="1"/>
  </cols>
  <sheetData>
    <row r="1" spans="1:24" ht="20.399999999999999" x14ac:dyDescent="0.75">
      <c r="B1" s="140" t="s">
        <v>113</v>
      </c>
      <c r="X1" s="7" t="s">
        <v>20</v>
      </c>
    </row>
    <row r="3" spans="1:24" x14ac:dyDescent="0.55000000000000004">
      <c r="B3" s="11" t="s">
        <v>33</v>
      </c>
      <c r="C3" s="11" t="s">
        <v>32</v>
      </c>
      <c r="D3" s="11" t="s">
        <v>31</v>
      </c>
      <c r="E3" s="11" t="s">
        <v>30</v>
      </c>
      <c r="F3" s="11" t="s">
        <v>29</v>
      </c>
      <c r="G3" s="11" t="s">
        <v>28</v>
      </c>
      <c r="H3" s="11" t="s">
        <v>27</v>
      </c>
      <c r="I3" s="11" t="s">
        <v>26</v>
      </c>
      <c r="J3" s="11" t="s">
        <v>25</v>
      </c>
      <c r="K3" s="11" t="s">
        <v>24</v>
      </c>
    </row>
    <row r="4" spans="1:24" x14ac:dyDescent="0.55000000000000004">
      <c r="A4" s="11" t="s">
        <v>38</v>
      </c>
      <c r="B4" s="10">
        <f t="shared" ref="B4:K4" si="0">B10+B11</f>
        <v>103.07820850466146</v>
      </c>
      <c r="C4" s="10">
        <f t="shared" si="0"/>
        <v>86.100633066852538</v>
      </c>
      <c r="D4" s="10">
        <f t="shared" si="0"/>
        <v>98.078208504661461</v>
      </c>
      <c r="E4" s="10">
        <f t="shared" si="0"/>
        <v>81.100633066852623</v>
      </c>
      <c r="F4" s="10">
        <f t="shared" si="0"/>
        <v>93.078208504661447</v>
      </c>
      <c r="G4" s="10">
        <f t="shared" si="0"/>
        <v>76.100633066852481</v>
      </c>
      <c r="H4" s="10">
        <f t="shared" si="0"/>
        <v>88.078208504661433</v>
      </c>
      <c r="I4" s="10">
        <f t="shared" si="0"/>
        <v>71.100633066852481</v>
      </c>
      <c r="J4" s="10">
        <f t="shared" si="0"/>
        <v>83.078208504661362</v>
      </c>
      <c r="K4" s="10">
        <f t="shared" si="0"/>
        <v>66.100633066852438</v>
      </c>
    </row>
    <row r="5" spans="1:24" x14ac:dyDescent="0.55000000000000004">
      <c r="A5" s="11" t="s">
        <v>37</v>
      </c>
      <c r="B5" s="10">
        <f t="shared" ref="B5:K5" si="1">B10+3*B11</f>
        <v>120.12980872782818</v>
      </c>
      <c r="C5" s="10">
        <f t="shared" si="1"/>
        <v>110.89088895023313</v>
      </c>
      <c r="D5" s="10">
        <f t="shared" si="1"/>
        <v>115.12980872782818</v>
      </c>
      <c r="E5" s="10">
        <f t="shared" si="1"/>
        <v>105.89088895023343</v>
      </c>
      <c r="F5" s="10">
        <f t="shared" si="1"/>
        <v>110.12980872782816</v>
      </c>
      <c r="G5" s="10">
        <f t="shared" si="1"/>
        <v>100.89088895023295</v>
      </c>
      <c r="H5" s="10">
        <f t="shared" si="1"/>
        <v>105.12980872782806</v>
      </c>
      <c r="I5" s="10">
        <f t="shared" si="1"/>
        <v>95.890888950232949</v>
      </c>
      <c r="J5" s="10">
        <f t="shared" si="1"/>
        <v>100.12980872782785</v>
      </c>
      <c r="K5" s="10">
        <f t="shared" si="1"/>
        <v>90.890888950232807</v>
      </c>
    </row>
    <row r="6" spans="1:24" x14ac:dyDescent="0.55000000000000004">
      <c r="A6" s="11" t="s">
        <v>36</v>
      </c>
      <c r="B6" s="10">
        <f t="shared" ref="B6:K6" si="2">B10-3*B11</f>
        <v>68.975008058328044</v>
      </c>
      <c r="C6" s="10">
        <f t="shared" si="2"/>
        <v>36.520121300091333</v>
      </c>
      <c r="D6" s="10">
        <f t="shared" si="2"/>
        <v>63.975008058328044</v>
      </c>
      <c r="E6" s="10">
        <f t="shared" si="2"/>
        <v>31.520121300091041</v>
      </c>
      <c r="F6" s="10">
        <f t="shared" si="2"/>
        <v>58.975008058328029</v>
      </c>
      <c r="G6" s="10">
        <f t="shared" si="2"/>
        <v>26.520121300091567</v>
      </c>
      <c r="H6" s="10">
        <f t="shared" si="2"/>
        <v>53.975008058328157</v>
      </c>
      <c r="I6" s="10">
        <f t="shared" si="2"/>
        <v>21.520121300091567</v>
      </c>
      <c r="J6" s="10">
        <f t="shared" si="2"/>
        <v>48.97500805832837</v>
      </c>
      <c r="K6" s="10">
        <f t="shared" si="2"/>
        <v>16.520121300091709</v>
      </c>
    </row>
    <row r="7" spans="1:24" x14ac:dyDescent="0.55000000000000004">
      <c r="A7" s="11" t="s">
        <v>35</v>
      </c>
      <c r="B7" s="10">
        <f t="shared" ref="B7:K7" si="3">B10-B11</f>
        <v>86.026608281494759</v>
      </c>
      <c r="C7" s="10">
        <f t="shared" si="3"/>
        <v>61.310377183471928</v>
      </c>
      <c r="D7" s="10">
        <f t="shared" si="3"/>
        <v>81.026608281494759</v>
      </c>
      <c r="E7" s="10">
        <f t="shared" si="3"/>
        <v>56.310377183471836</v>
      </c>
      <c r="F7" s="10">
        <f t="shared" si="3"/>
        <v>76.026608281494745</v>
      </c>
      <c r="G7" s="10">
        <f t="shared" si="3"/>
        <v>51.310377183472028</v>
      </c>
      <c r="H7" s="10">
        <f t="shared" si="3"/>
        <v>71.026608281494788</v>
      </c>
      <c r="I7" s="10">
        <f t="shared" si="3"/>
        <v>46.310377183472028</v>
      </c>
      <c r="J7" s="10">
        <f t="shared" si="3"/>
        <v>66.026608281494859</v>
      </c>
      <c r="K7" s="10">
        <f t="shared" si="3"/>
        <v>41.31037718347207</v>
      </c>
    </row>
    <row r="10" spans="1:24" x14ac:dyDescent="0.55000000000000004">
      <c r="A10" s="6" t="s">
        <v>5</v>
      </c>
      <c r="B10" s="9">
        <f t="shared" ref="B10:K10" si="4">AVERAGE(B12:B61)</f>
        <v>94.55240839307811</v>
      </c>
      <c r="C10" s="9">
        <f t="shared" si="4"/>
        <v>73.705505125162233</v>
      </c>
      <c r="D10" s="9">
        <f t="shared" si="4"/>
        <v>89.55240839307811</v>
      </c>
      <c r="E10" s="9">
        <f t="shared" si="4"/>
        <v>68.705505125162233</v>
      </c>
      <c r="F10" s="9">
        <f t="shared" si="4"/>
        <v>84.552408393078096</v>
      </c>
      <c r="G10" s="9">
        <f t="shared" si="4"/>
        <v>63.705505125162254</v>
      </c>
      <c r="H10" s="9">
        <f t="shared" si="4"/>
        <v>79.55240839307811</v>
      </c>
      <c r="I10" s="9">
        <f t="shared" si="4"/>
        <v>58.705505125162254</v>
      </c>
      <c r="J10" s="9">
        <f t="shared" si="4"/>
        <v>74.55240839307811</v>
      </c>
      <c r="K10" s="9">
        <f t="shared" si="4"/>
        <v>53.705505125162254</v>
      </c>
    </row>
    <row r="11" spans="1:24" x14ac:dyDescent="0.55000000000000004">
      <c r="A11" s="6" t="s">
        <v>34</v>
      </c>
      <c r="B11" s="9">
        <f t="shared" ref="B11:K11" si="5">STDEV(B12:B61)</f>
        <v>8.5258001115833562</v>
      </c>
      <c r="C11" s="9">
        <f t="shared" si="5"/>
        <v>12.395127941690301</v>
      </c>
      <c r="D11" s="9">
        <f t="shared" si="5"/>
        <v>8.5258001115833562</v>
      </c>
      <c r="E11" s="9">
        <f t="shared" si="5"/>
        <v>12.395127941690397</v>
      </c>
      <c r="F11" s="9">
        <f t="shared" si="5"/>
        <v>8.5258001115833562</v>
      </c>
      <c r="G11" s="9">
        <f t="shared" si="5"/>
        <v>12.395127941690228</v>
      </c>
      <c r="H11" s="9">
        <f t="shared" si="5"/>
        <v>8.5258001115833171</v>
      </c>
      <c r="I11" s="9">
        <f t="shared" si="5"/>
        <v>12.395127941690228</v>
      </c>
      <c r="J11" s="9">
        <f t="shared" si="5"/>
        <v>8.5258001115832478</v>
      </c>
      <c r="K11" s="9">
        <f t="shared" si="5"/>
        <v>12.395127941690181</v>
      </c>
    </row>
    <row r="12" spans="1:24" x14ac:dyDescent="0.55000000000000004">
      <c r="A12" s="6">
        <v>1</v>
      </c>
      <c r="B12" s="8">
        <v>102.91445652211395</v>
      </c>
      <c r="C12" s="8">
        <v>84.501459807377458</v>
      </c>
      <c r="D12" s="8">
        <v>97.914456522113952</v>
      </c>
      <c r="E12" s="8">
        <v>79.501459807377458</v>
      </c>
      <c r="F12" s="8">
        <v>92.914456522113952</v>
      </c>
      <c r="G12" s="8">
        <v>74.501459807377458</v>
      </c>
      <c r="H12" s="8">
        <v>87.914456522113952</v>
      </c>
      <c r="I12" s="8">
        <v>69.501459807377458</v>
      </c>
      <c r="J12" s="8">
        <v>82.914456522113952</v>
      </c>
      <c r="K12" s="8">
        <v>64.501459807377458</v>
      </c>
    </row>
    <row r="13" spans="1:24" x14ac:dyDescent="0.55000000000000004">
      <c r="A13" s="6">
        <v>2</v>
      </c>
      <c r="B13" s="8">
        <v>102.08151188935381</v>
      </c>
      <c r="C13" s="8">
        <v>75.196845292711373</v>
      </c>
      <c r="D13" s="8">
        <v>97.081511889353806</v>
      </c>
      <c r="E13" s="8">
        <v>70.196845292711373</v>
      </c>
      <c r="F13" s="8">
        <v>92.081511889353806</v>
      </c>
      <c r="G13" s="8">
        <v>65.196845292711373</v>
      </c>
      <c r="H13" s="8">
        <v>87.081511889353806</v>
      </c>
      <c r="I13" s="8">
        <v>60.196845292711373</v>
      </c>
      <c r="J13" s="8">
        <v>82.081511889353806</v>
      </c>
      <c r="K13" s="8">
        <v>55.196845292711373</v>
      </c>
    </row>
    <row r="14" spans="1:24" x14ac:dyDescent="0.55000000000000004">
      <c r="A14" s="6">
        <v>3</v>
      </c>
      <c r="B14" s="8">
        <v>82.3727583001901</v>
      </c>
      <c r="C14" s="8">
        <v>93.370172726984933</v>
      </c>
      <c r="D14" s="8">
        <v>77.3727583001901</v>
      </c>
      <c r="E14" s="8">
        <v>88.370172726984933</v>
      </c>
      <c r="F14" s="8">
        <v>72.3727583001901</v>
      </c>
      <c r="G14" s="8">
        <v>83.370172726984933</v>
      </c>
      <c r="H14" s="8">
        <v>67.3727583001901</v>
      </c>
      <c r="I14" s="8">
        <v>78.370172726984933</v>
      </c>
      <c r="J14" s="8">
        <v>62.3727583001901</v>
      </c>
      <c r="K14" s="8">
        <v>73.370172726984933</v>
      </c>
    </row>
    <row r="15" spans="1:24" x14ac:dyDescent="0.55000000000000004">
      <c r="A15" s="6">
        <v>4</v>
      </c>
      <c r="B15" s="8">
        <v>89.247768773534844</v>
      </c>
      <c r="C15" s="8">
        <v>67.69355097500457</v>
      </c>
      <c r="D15" s="8">
        <v>84.247768773534844</v>
      </c>
      <c r="E15" s="8">
        <v>62.69355097500457</v>
      </c>
      <c r="F15" s="8">
        <v>79.247768773534844</v>
      </c>
      <c r="G15" s="8">
        <v>57.69355097500457</v>
      </c>
      <c r="H15" s="8">
        <v>74.247768773534844</v>
      </c>
      <c r="I15" s="8">
        <v>52.69355097500457</v>
      </c>
      <c r="J15" s="8">
        <v>69.247768773534844</v>
      </c>
      <c r="K15" s="8">
        <v>47.69355097500457</v>
      </c>
    </row>
    <row r="16" spans="1:24" x14ac:dyDescent="0.55000000000000004">
      <c r="A16" s="6">
        <v>5</v>
      </c>
      <c r="B16" s="8">
        <v>97.033003234184704</v>
      </c>
      <c r="C16" s="8">
        <v>69.999382332681577</v>
      </c>
      <c r="D16" s="8">
        <v>92.033003234184704</v>
      </c>
      <c r="E16" s="8">
        <v>64.999382332681577</v>
      </c>
      <c r="F16" s="8">
        <v>87.033003234184704</v>
      </c>
      <c r="G16" s="8">
        <v>59.999382332681577</v>
      </c>
      <c r="H16" s="8">
        <v>82.033003234184704</v>
      </c>
      <c r="I16" s="8">
        <v>54.999382332681577</v>
      </c>
      <c r="J16" s="8">
        <v>77.033003234184704</v>
      </c>
      <c r="K16" s="8">
        <v>49.999382332681577</v>
      </c>
    </row>
    <row r="17" spans="1:11" x14ac:dyDescent="0.55000000000000004">
      <c r="A17" s="6">
        <v>6</v>
      </c>
      <c r="B17" s="8">
        <v>94.804016977842963</v>
      </c>
      <c r="C17" s="8">
        <v>66.678099280996591</v>
      </c>
      <c r="D17" s="8">
        <v>89.804016977842963</v>
      </c>
      <c r="E17" s="8">
        <v>61.678099280996591</v>
      </c>
      <c r="F17" s="8">
        <v>84.804016977842963</v>
      </c>
      <c r="G17" s="8">
        <v>56.678099280996591</v>
      </c>
      <c r="H17" s="8">
        <v>79.804016977842963</v>
      </c>
      <c r="I17" s="8">
        <v>51.678099280996591</v>
      </c>
      <c r="J17" s="8">
        <v>74.804016977842963</v>
      </c>
      <c r="K17" s="8">
        <v>46.678099280996591</v>
      </c>
    </row>
    <row r="18" spans="1:11" x14ac:dyDescent="0.55000000000000004">
      <c r="A18" s="6">
        <v>7</v>
      </c>
      <c r="B18" s="8">
        <v>90.421025516663832</v>
      </c>
      <c r="C18" s="8">
        <v>73.679632927609418</v>
      </c>
      <c r="D18" s="8">
        <v>85.421025516663832</v>
      </c>
      <c r="E18" s="8">
        <v>68.679632927609418</v>
      </c>
      <c r="F18" s="8">
        <v>80.421025516663832</v>
      </c>
      <c r="G18" s="8">
        <v>63.679632927609418</v>
      </c>
      <c r="H18" s="8">
        <v>75.421025516663832</v>
      </c>
      <c r="I18" s="8">
        <v>58.679632927609418</v>
      </c>
      <c r="J18" s="8">
        <v>70.421025516663832</v>
      </c>
      <c r="K18" s="8">
        <v>53.679632927609418</v>
      </c>
    </row>
    <row r="19" spans="1:11" x14ac:dyDescent="0.55000000000000004">
      <c r="A19" s="6">
        <v>8</v>
      </c>
      <c r="B19" s="8">
        <v>106.96020331730024</v>
      </c>
      <c r="C19" s="8">
        <v>74.745520418604997</v>
      </c>
      <c r="D19" s="8">
        <v>101.96020331730024</v>
      </c>
      <c r="E19" s="8">
        <v>69.745520418604997</v>
      </c>
      <c r="F19" s="8">
        <v>96.960203317300241</v>
      </c>
      <c r="G19" s="8">
        <v>64.745520418604997</v>
      </c>
      <c r="H19" s="8">
        <v>91.960203317300241</v>
      </c>
      <c r="I19" s="8">
        <v>59.745520418604997</v>
      </c>
      <c r="J19" s="8">
        <v>86.960203317300241</v>
      </c>
      <c r="K19" s="8">
        <v>54.745520418604997</v>
      </c>
    </row>
    <row r="20" spans="1:11" x14ac:dyDescent="0.55000000000000004">
      <c r="A20" s="6">
        <v>9</v>
      </c>
      <c r="B20" s="8">
        <v>104.87340384019596</v>
      </c>
      <c r="C20" s="8">
        <v>94.8133055433251</v>
      </c>
      <c r="D20" s="8">
        <v>99.873403840195962</v>
      </c>
      <c r="E20" s="8">
        <v>89.8133055433251</v>
      </c>
      <c r="F20" s="8">
        <v>94.873403840195962</v>
      </c>
      <c r="G20" s="8">
        <v>84.8133055433251</v>
      </c>
      <c r="H20" s="8">
        <v>89.873403840195962</v>
      </c>
      <c r="I20" s="8">
        <v>79.8133055433251</v>
      </c>
      <c r="J20" s="8">
        <v>84.873403840195962</v>
      </c>
      <c r="K20" s="8">
        <v>74.8133055433251</v>
      </c>
    </row>
    <row r="21" spans="1:11" x14ac:dyDescent="0.55000000000000004">
      <c r="A21" s="6">
        <v>10</v>
      </c>
      <c r="B21" s="8">
        <v>97.858828885399305</v>
      </c>
      <c r="C21" s="8">
        <v>74.136979930198393</v>
      </c>
      <c r="D21" s="8">
        <v>92.858828885399305</v>
      </c>
      <c r="E21" s="8">
        <v>69.136979930198393</v>
      </c>
      <c r="F21" s="8">
        <v>87.858828885399305</v>
      </c>
      <c r="G21" s="8">
        <v>64.136979930198393</v>
      </c>
      <c r="H21" s="8">
        <v>82.858828885399305</v>
      </c>
      <c r="I21" s="8">
        <v>59.136979930198393</v>
      </c>
      <c r="J21" s="8">
        <v>77.858828885399305</v>
      </c>
      <c r="K21" s="8">
        <v>54.136979930198393</v>
      </c>
    </row>
    <row r="22" spans="1:11" x14ac:dyDescent="0.55000000000000004">
      <c r="A22" s="6">
        <v>11</v>
      </c>
      <c r="B22" s="8">
        <v>88.029976908000734</v>
      </c>
      <c r="C22" s="8">
        <v>95.477878496173574</v>
      </c>
      <c r="D22" s="8">
        <v>83.029976908000734</v>
      </c>
      <c r="E22" s="8">
        <v>90.477878496173574</v>
      </c>
      <c r="F22" s="8">
        <v>78.029976908000734</v>
      </c>
      <c r="G22" s="8">
        <v>85.477878496173574</v>
      </c>
      <c r="H22" s="8">
        <v>73.029976908000734</v>
      </c>
      <c r="I22" s="8">
        <v>80.477878496173574</v>
      </c>
      <c r="J22" s="8">
        <v>68.029976908000734</v>
      </c>
      <c r="K22" s="8">
        <v>75.477878496173574</v>
      </c>
    </row>
    <row r="23" spans="1:11" x14ac:dyDescent="0.55000000000000004">
      <c r="A23" s="6">
        <v>12</v>
      </c>
      <c r="B23" s="8">
        <v>94.942798191709954</v>
      </c>
      <c r="C23" s="8">
        <v>82.570475203201156</v>
      </c>
      <c r="D23" s="8">
        <v>89.942798191709954</v>
      </c>
      <c r="E23" s="8">
        <v>77.570475203201156</v>
      </c>
      <c r="F23" s="8">
        <v>84.942798191709954</v>
      </c>
      <c r="G23" s="8">
        <v>72.570475203201156</v>
      </c>
      <c r="H23" s="8">
        <v>79.942798191709954</v>
      </c>
      <c r="I23" s="8">
        <v>67.570475203201156</v>
      </c>
      <c r="J23" s="8">
        <v>74.942798191709954</v>
      </c>
      <c r="K23" s="8">
        <v>62.570475203201156</v>
      </c>
    </row>
    <row r="24" spans="1:11" x14ac:dyDescent="0.55000000000000004">
      <c r="A24" s="6">
        <v>13</v>
      </c>
      <c r="B24" s="8">
        <v>92.823922299435949</v>
      </c>
      <c r="C24" s="8">
        <v>44.475520260684092</v>
      </c>
      <c r="D24" s="8">
        <v>87.823922299435949</v>
      </c>
      <c r="E24" s="8">
        <v>39.475520260684092</v>
      </c>
      <c r="F24" s="8">
        <v>82.823922299435949</v>
      </c>
      <c r="G24" s="8">
        <v>34.475520260684092</v>
      </c>
      <c r="H24" s="8">
        <v>77.823922299435949</v>
      </c>
      <c r="I24" s="8">
        <v>29.475520260684092</v>
      </c>
      <c r="J24" s="8">
        <v>72.823922299435949</v>
      </c>
      <c r="K24" s="8">
        <v>24.475520260684092</v>
      </c>
    </row>
    <row r="25" spans="1:11" x14ac:dyDescent="0.55000000000000004">
      <c r="A25" s="6">
        <v>14</v>
      </c>
      <c r="B25" s="8">
        <v>93.8237544420424</v>
      </c>
      <c r="C25" s="8">
        <v>64.925377064969354</v>
      </c>
      <c r="D25" s="8">
        <v>88.8237544420424</v>
      </c>
      <c r="E25" s="8">
        <v>59.925377064969354</v>
      </c>
      <c r="F25" s="8">
        <v>83.8237544420424</v>
      </c>
      <c r="G25" s="8">
        <v>54.925377064969354</v>
      </c>
      <c r="H25" s="8">
        <v>78.8237544420424</v>
      </c>
      <c r="I25" s="8">
        <v>49.925377064969354</v>
      </c>
      <c r="J25" s="8">
        <v>73.8237544420424</v>
      </c>
      <c r="K25" s="8">
        <v>44.925377064969354</v>
      </c>
    </row>
    <row r="26" spans="1:11" x14ac:dyDescent="0.55000000000000004">
      <c r="A26" s="6">
        <v>15</v>
      </c>
      <c r="B26" s="8">
        <v>87.372641730391635</v>
      </c>
      <c r="C26" s="8">
        <v>73.18002557934031</v>
      </c>
      <c r="D26" s="8">
        <v>82.372641730391635</v>
      </c>
      <c r="E26" s="8">
        <v>68.18002557934031</v>
      </c>
      <c r="F26" s="8">
        <v>77.372641730391635</v>
      </c>
      <c r="G26" s="8">
        <v>63.18002557934031</v>
      </c>
      <c r="H26" s="8">
        <v>72.372641730391635</v>
      </c>
      <c r="I26" s="8">
        <v>58.18002557934031</v>
      </c>
      <c r="J26" s="8">
        <v>67.372641730391635</v>
      </c>
      <c r="K26" s="8">
        <v>53.18002557934031</v>
      </c>
    </row>
    <row r="27" spans="1:11" x14ac:dyDescent="0.55000000000000004">
      <c r="A27" s="6">
        <v>16</v>
      </c>
      <c r="B27" s="8">
        <v>89.490144496204309</v>
      </c>
      <c r="C27" s="8">
        <v>61.488647571358001</v>
      </c>
      <c r="D27" s="8">
        <v>84.490144496204309</v>
      </c>
      <c r="E27" s="8">
        <v>56.488647571358001</v>
      </c>
      <c r="F27" s="8">
        <v>79.490144496204309</v>
      </c>
      <c r="G27" s="8">
        <v>51.488647571358001</v>
      </c>
      <c r="H27" s="8">
        <v>74.490144496204309</v>
      </c>
      <c r="I27" s="8">
        <v>46.488647571358001</v>
      </c>
      <c r="J27" s="8">
        <v>69.490144496204309</v>
      </c>
      <c r="K27" s="8">
        <v>41.488647571358001</v>
      </c>
    </row>
    <row r="28" spans="1:11" x14ac:dyDescent="0.55000000000000004">
      <c r="A28" s="6">
        <v>17</v>
      </c>
      <c r="B28" s="8">
        <v>101.39191417979046</v>
      </c>
      <c r="C28" s="8">
        <v>70.9118880895888</v>
      </c>
      <c r="D28" s="8">
        <v>96.391914179790462</v>
      </c>
      <c r="E28" s="8">
        <v>65.9118880895888</v>
      </c>
      <c r="F28" s="8">
        <v>91.391914179790462</v>
      </c>
      <c r="G28" s="8">
        <v>60.9118880895888</v>
      </c>
      <c r="H28" s="8">
        <v>86.391914179790462</v>
      </c>
      <c r="I28" s="8">
        <v>55.9118880895888</v>
      </c>
      <c r="J28" s="8">
        <v>81.391914179790462</v>
      </c>
      <c r="K28" s="8">
        <v>50.9118880895888</v>
      </c>
    </row>
    <row r="29" spans="1:11" x14ac:dyDescent="0.55000000000000004">
      <c r="A29" s="6">
        <v>18</v>
      </c>
      <c r="B29" s="8">
        <v>89.334191801987316</v>
      </c>
      <c r="C29" s="8">
        <v>71.005948521554785</v>
      </c>
      <c r="D29" s="8">
        <v>84.334191801987316</v>
      </c>
      <c r="E29" s="8">
        <v>66.005948521554785</v>
      </c>
      <c r="F29" s="8">
        <v>79.334191801987316</v>
      </c>
      <c r="G29" s="8">
        <v>61.005948521554785</v>
      </c>
      <c r="H29" s="8">
        <v>74.334191801987316</v>
      </c>
      <c r="I29" s="8">
        <v>56.005948521554785</v>
      </c>
      <c r="J29" s="8">
        <v>69.334191801987316</v>
      </c>
      <c r="K29" s="8">
        <v>51.005948521554785</v>
      </c>
    </row>
    <row r="30" spans="1:11" x14ac:dyDescent="0.55000000000000004">
      <c r="A30" s="6">
        <v>19</v>
      </c>
      <c r="B30" s="8">
        <v>89.587749088678066</v>
      </c>
      <c r="C30" s="8">
        <v>78.236922188592587</v>
      </c>
      <c r="D30" s="8">
        <v>84.587749088678066</v>
      </c>
      <c r="E30" s="8">
        <v>73.236922188592587</v>
      </c>
      <c r="F30" s="8">
        <v>79.587749088678066</v>
      </c>
      <c r="G30" s="8">
        <v>68.236922188592587</v>
      </c>
      <c r="H30" s="8">
        <v>74.587749088678066</v>
      </c>
      <c r="I30" s="8">
        <v>63.236922188592587</v>
      </c>
      <c r="J30" s="8">
        <v>69.587749088678066</v>
      </c>
      <c r="K30" s="8">
        <v>58.236922188592587</v>
      </c>
    </row>
    <row r="31" spans="1:11" x14ac:dyDescent="0.55000000000000004">
      <c r="A31" s="6">
        <v>20</v>
      </c>
      <c r="B31" s="8">
        <v>82.676049883709595</v>
      </c>
      <c r="C31" s="8">
        <v>61.645894988643064</v>
      </c>
      <c r="D31" s="8">
        <v>77.676049883709595</v>
      </c>
      <c r="E31" s="8">
        <v>56.645894988643064</v>
      </c>
      <c r="F31" s="8">
        <v>72.676049883709595</v>
      </c>
      <c r="G31" s="8">
        <v>51.645894988643064</v>
      </c>
      <c r="H31" s="8">
        <v>67.676049883709595</v>
      </c>
      <c r="I31" s="8">
        <v>46.645894988643064</v>
      </c>
      <c r="J31" s="8">
        <v>62.676049883709595</v>
      </c>
      <c r="K31" s="8">
        <v>41.645894988643064</v>
      </c>
    </row>
    <row r="32" spans="1:11" x14ac:dyDescent="0.55000000000000004">
      <c r="A32" s="6">
        <v>21</v>
      </c>
      <c r="B32" s="8">
        <v>96.680823445952669</v>
      </c>
      <c r="C32" s="8">
        <v>58.245037722123278</v>
      </c>
      <c r="D32" s="8">
        <v>91.680823445952669</v>
      </c>
      <c r="E32" s="8">
        <v>53.245037722123278</v>
      </c>
      <c r="F32" s="8">
        <v>86.680823445952669</v>
      </c>
      <c r="G32" s="8">
        <v>48.245037722123278</v>
      </c>
      <c r="H32" s="8">
        <v>81.680823445952669</v>
      </c>
      <c r="I32" s="8">
        <v>43.245037722123278</v>
      </c>
      <c r="J32" s="8">
        <v>76.680823445952669</v>
      </c>
      <c r="K32" s="8">
        <v>38.245037722123278</v>
      </c>
    </row>
    <row r="33" spans="1:11" x14ac:dyDescent="0.55000000000000004">
      <c r="A33" s="6">
        <v>22</v>
      </c>
      <c r="B33" s="8">
        <v>76.207310264225356</v>
      </c>
      <c r="C33" s="8">
        <v>50.41721365611788</v>
      </c>
      <c r="D33" s="8">
        <v>71.207310264225356</v>
      </c>
      <c r="E33" s="8">
        <v>45.41721365611788</v>
      </c>
      <c r="F33" s="8">
        <v>66.207310264225356</v>
      </c>
      <c r="G33" s="8">
        <v>40.41721365611788</v>
      </c>
      <c r="H33" s="8">
        <v>61.207310264225356</v>
      </c>
      <c r="I33" s="8">
        <v>35.41721365611788</v>
      </c>
      <c r="J33" s="8">
        <v>56.207310264225356</v>
      </c>
      <c r="K33" s="8">
        <v>30.41721365611788</v>
      </c>
    </row>
    <row r="34" spans="1:11" x14ac:dyDescent="0.55000000000000004">
      <c r="A34" s="6">
        <v>23</v>
      </c>
      <c r="B34" s="8">
        <v>74.390697385797282</v>
      </c>
      <c r="C34" s="8">
        <v>71.01049954259058</v>
      </c>
      <c r="D34" s="8">
        <v>69.390697385797282</v>
      </c>
      <c r="E34" s="8">
        <v>66.01049954259058</v>
      </c>
      <c r="F34" s="8">
        <v>64.390697385797282</v>
      </c>
      <c r="G34" s="8">
        <v>61.01049954259058</v>
      </c>
      <c r="H34" s="8">
        <v>59.390697385797282</v>
      </c>
      <c r="I34" s="8">
        <v>56.01049954259058</v>
      </c>
      <c r="J34" s="8">
        <v>54.390697385797282</v>
      </c>
      <c r="K34" s="8">
        <v>51.01049954259058</v>
      </c>
    </row>
    <row r="35" spans="1:11" x14ac:dyDescent="0.55000000000000004">
      <c r="A35" s="6">
        <v>24</v>
      </c>
      <c r="B35" s="8">
        <v>96.981079222320162</v>
      </c>
      <c r="C35" s="8">
        <v>72.156390714252197</v>
      </c>
      <c r="D35" s="8">
        <v>91.981079222320162</v>
      </c>
      <c r="E35" s="8">
        <v>67.156390714252197</v>
      </c>
      <c r="F35" s="8">
        <v>86.981079222320162</v>
      </c>
      <c r="G35" s="8">
        <v>62.156390714252197</v>
      </c>
      <c r="H35" s="8">
        <v>81.981079222320162</v>
      </c>
      <c r="I35" s="8">
        <v>57.156390714252197</v>
      </c>
      <c r="J35" s="8">
        <v>76.981079222320162</v>
      </c>
      <c r="K35" s="8">
        <v>52.156390714252197</v>
      </c>
    </row>
    <row r="36" spans="1:11" x14ac:dyDescent="0.55000000000000004">
      <c r="A36" s="6">
        <v>25</v>
      </c>
      <c r="B36" s="8">
        <v>91.155698037325607</v>
      </c>
      <c r="C36" s="8">
        <v>70.305084918483928</v>
      </c>
      <c r="D36" s="8">
        <v>86.155698037325607</v>
      </c>
      <c r="E36" s="8">
        <v>65.305084918483928</v>
      </c>
      <c r="F36" s="8">
        <v>81.155698037325607</v>
      </c>
      <c r="G36" s="8">
        <v>60.305084918483928</v>
      </c>
      <c r="H36" s="8">
        <v>76.155698037325607</v>
      </c>
      <c r="I36" s="8">
        <v>55.305084918483928</v>
      </c>
      <c r="J36" s="8">
        <v>71.155698037325607</v>
      </c>
      <c r="K36" s="8">
        <v>50.305084918483928</v>
      </c>
    </row>
    <row r="37" spans="1:11" x14ac:dyDescent="0.55000000000000004">
      <c r="A37" s="6">
        <v>26</v>
      </c>
      <c r="B37" s="8">
        <v>82.7071938212205</v>
      </c>
      <c r="C37" s="8">
        <v>74.3434330418185</v>
      </c>
      <c r="D37" s="8">
        <v>77.7071938212205</v>
      </c>
      <c r="E37" s="8">
        <v>69.3434330418185</v>
      </c>
      <c r="F37" s="8">
        <v>72.7071938212205</v>
      </c>
      <c r="G37" s="8">
        <v>64.3434330418185</v>
      </c>
      <c r="H37" s="8">
        <v>67.7071938212205</v>
      </c>
      <c r="I37" s="8">
        <v>59.3434330418185</v>
      </c>
      <c r="J37" s="8">
        <v>62.7071938212205</v>
      </c>
      <c r="K37" s="8">
        <v>54.3434330418185</v>
      </c>
    </row>
    <row r="38" spans="1:11" x14ac:dyDescent="0.55000000000000004">
      <c r="A38" s="6">
        <v>27</v>
      </c>
      <c r="B38" s="8">
        <v>120.40521135044951</v>
      </c>
      <c r="C38" s="8">
        <v>86.3140451340455</v>
      </c>
      <c r="D38" s="8">
        <v>115.40521135044951</v>
      </c>
      <c r="E38" s="8">
        <v>81.3140451340455</v>
      </c>
      <c r="F38" s="8">
        <v>110.40521135044951</v>
      </c>
      <c r="G38" s="8">
        <v>76.3140451340455</v>
      </c>
      <c r="H38" s="8">
        <v>105.40521135044951</v>
      </c>
      <c r="I38" s="8">
        <v>71.3140451340455</v>
      </c>
      <c r="J38" s="8">
        <v>100.40521135044951</v>
      </c>
      <c r="K38" s="8">
        <v>66.3140451340455</v>
      </c>
    </row>
    <row r="39" spans="1:11" x14ac:dyDescent="0.55000000000000004">
      <c r="A39" s="6">
        <v>28</v>
      </c>
      <c r="B39" s="8">
        <v>103.90857714695693</v>
      </c>
      <c r="C39" s="8">
        <v>95.652212224158916</v>
      </c>
      <c r="D39" s="8">
        <v>98.908577146956929</v>
      </c>
      <c r="E39" s="8">
        <v>90.652212224158916</v>
      </c>
      <c r="F39" s="8">
        <v>93.908577146956929</v>
      </c>
      <c r="G39" s="8">
        <v>85.652212224158916</v>
      </c>
      <c r="H39" s="8">
        <v>88.908577146956929</v>
      </c>
      <c r="I39" s="8">
        <v>80.652212224158916</v>
      </c>
      <c r="J39" s="8">
        <v>83.908577146956929</v>
      </c>
      <c r="K39" s="8">
        <v>75.652212224158916</v>
      </c>
    </row>
    <row r="40" spans="1:11" x14ac:dyDescent="0.55000000000000004">
      <c r="A40" s="6">
        <v>29</v>
      </c>
      <c r="B40" s="8">
        <v>105.72212844402529</v>
      </c>
      <c r="C40" s="8">
        <v>69.70997455253206</v>
      </c>
      <c r="D40" s="8">
        <v>100.72212844402529</v>
      </c>
      <c r="E40" s="8">
        <v>64.70997455253206</v>
      </c>
      <c r="F40" s="8">
        <v>95.722128444025287</v>
      </c>
      <c r="G40" s="8">
        <v>59.70997455253206</v>
      </c>
      <c r="H40" s="8">
        <v>90.722128444025287</v>
      </c>
      <c r="I40" s="8">
        <v>54.70997455253206</v>
      </c>
      <c r="J40" s="8">
        <v>85.722128444025287</v>
      </c>
      <c r="K40" s="8">
        <v>49.70997455253206</v>
      </c>
    </row>
    <row r="41" spans="1:11" x14ac:dyDescent="0.55000000000000004">
      <c r="A41" s="6">
        <v>30</v>
      </c>
      <c r="B41" s="8">
        <v>100.9799423549655</v>
      </c>
      <c r="C41" s="8">
        <v>64.818440787900499</v>
      </c>
      <c r="D41" s="8">
        <v>95.979942354965502</v>
      </c>
      <c r="E41" s="8">
        <v>59.818440787900499</v>
      </c>
      <c r="F41" s="8">
        <v>90.979942354965502</v>
      </c>
      <c r="G41" s="8">
        <v>54.818440787900499</v>
      </c>
      <c r="H41" s="8">
        <v>85.979942354965502</v>
      </c>
      <c r="I41" s="8">
        <v>49.818440787900499</v>
      </c>
      <c r="J41" s="8">
        <v>80.979942354965502</v>
      </c>
      <c r="K41" s="8">
        <v>44.818440787900499</v>
      </c>
    </row>
    <row r="42" spans="1:11" x14ac:dyDescent="0.55000000000000004">
      <c r="A42" s="6">
        <v>31</v>
      </c>
      <c r="B42" s="8">
        <v>98.936184754432517</v>
      </c>
      <c r="C42" s="8">
        <v>91.796160180900571</v>
      </c>
      <c r="D42" s="8">
        <v>93.936184754432517</v>
      </c>
      <c r="E42" s="8">
        <v>86.796160180900571</v>
      </c>
      <c r="F42" s="8">
        <v>88.936184754432517</v>
      </c>
      <c r="G42" s="8">
        <v>81.796160180900571</v>
      </c>
      <c r="H42" s="8">
        <v>83.936184754432517</v>
      </c>
      <c r="I42" s="8">
        <v>76.796160180900571</v>
      </c>
      <c r="J42" s="8">
        <v>78.936184754432517</v>
      </c>
      <c r="K42" s="8">
        <v>71.796160180900571</v>
      </c>
    </row>
    <row r="43" spans="1:11" x14ac:dyDescent="0.55000000000000004">
      <c r="A43" s="6">
        <v>32</v>
      </c>
      <c r="B43" s="8">
        <v>95.967393513583374</v>
      </c>
      <c r="C43" s="8">
        <v>60.120887498294195</v>
      </c>
      <c r="D43" s="8">
        <v>90.967393513583374</v>
      </c>
      <c r="E43" s="8">
        <v>55.120887498294195</v>
      </c>
      <c r="F43" s="8">
        <v>85.967393513583374</v>
      </c>
      <c r="G43" s="8">
        <v>50.120887498294195</v>
      </c>
      <c r="H43" s="8">
        <v>80.967393513583374</v>
      </c>
      <c r="I43" s="8">
        <v>45.120887498294195</v>
      </c>
      <c r="J43" s="8">
        <v>75.967393513583374</v>
      </c>
      <c r="K43" s="8">
        <v>40.120887498294195</v>
      </c>
    </row>
    <row r="44" spans="1:11" x14ac:dyDescent="0.55000000000000004">
      <c r="A44" s="6">
        <v>33</v>
      </c>
      <c r="B44" s="8">
        <v>91.992913524322219</v>
      </c>
      <c r="C44" s="8">
        <v>91.680256105587034</v>
      </c>
      <c r="D44" s="8">
        <v>86.992913524322219</v>
      </c>
      <c r="E44" s="8">
        <v>86.680256105587034</v>
      </c>
      <c r="F44" s="8">
        <v>81.992913524322219</v>
      </c>
      <c r="G44" s="8">
        <v>81.680256105587034</v>
      </c>
      <c r="H44" s="8">
        <v>76.992913524322219</v>
      </c>
      <c r="I44" s="8">
        <v>76.680256105587034</v>
      </c>
      <c r="J44" s="8">
        <v>71.992913524322219</v>
      </c>
      <c r="K44" s="8">
        <v>71.680256105587034</v>
      </c>
    </row>
    <row r="45" spans="1:11" x14ac:dyDescent="0.55000000000000004">
      <c r="A45" s="6">
        <v>34</v>
      </c>
      <c r="B45" s="8">
        <v>86.687124671133716</v>
      </c>
      <c r="C45" s="8">
        <v>63.127365695770138</v>
      </c>
      <c r="D45" s="8">
        <v>81.687124671133716</v>
      </c>
      <c r="E45" s="8">
        <v>58.127365695770138</v>
      </c>
      <c r="F45" s="8">
        <v>76.687124671133716</v>
      </c>
      <c r="G45" s="8">
        <v>53.127365695770138</v>
      </c>
      <c r="H45" s="8">
        <v>71.687124671133716</v>
      </c>
      <c r="I45" s="8">
        <v>48.127365695770138</v>
      </c>
      <c r="J45" s="8">
        <v>66.687124671133716</v>
      </c>
      <c r="K45" s="8">
        <v>43.127365695770138</v>
      </c>
    </row>
    <row r="46" spans="1:11" x14ac:dyDescent="0.55000000000000004">
      <c r="A46" s="6">
        <v>35</v>
      </c>
      <c r="B46" s="8">
        <v>83.592980945112132</v>
      </c>
      <c r="C46" s="8">
        <v>67.424274717969382</v>
      </c>
      <c r="D46" s="8">
        <v>78.592980945112132</v>
      </c>
      <c r="E46" s="8">
        <v>62.424274717969382</v>
      </c>
      <c r="F46" s="8">
        <v>73.592980945112132</v>
      </c>
      <c r="G46" s="8">
        <v>57.424274717969382</v>
      </c>
      <c r="H46" s="8">
        <v>68.592980945112132</v>
      </c>
      <c r="I46" s="8">
        <v>52.424274717969382</v>
      </c>
      <c r="J46" s="8">
        <v>63.592980945112132</v>
      </c>
      <c r="K46" s="8">
        <v>47.424274717969382</v>
      </c>
    </row>
    <row r="47" spans="1:11" x14ac:dyDescent="0.55000000000000004">
      <c r="A47" s="6">
        <v>36</v>
      </c>
      <c r="B47" s="8">
        <v>86.783364793129394</v>
      </c>
      <c r="C47" s="8">
        <v>71.735035035164771</v>
      </c>
      <c r="D47" s="8">
        <v>81.783364793129394</v>
      </c>
      <c r="E47" s="8">
        <v>66.735035035164771</v>
      </c>
      <c r="F47" s="8">
        <v>76.783364793129394</v>
      </c>
      <c r="G47" s="8">
        <v>61.735035035164771</v>
      </c>
      <c r="H47" s="8">
        <v>71.783364793129394</v>
      </c>
      <c r="I47" s="8">
        <v>56.735035035164771</v>
      </c>
      <c r="J47" s="8">
        <v>66.783364793129394</v>
      </c>
      <c r="K47" s="8">
        <v>51.735035035164771</v>
      </c>
    </row>
    <row r="48" spans="1:11" x14ac:dyDescent="0.55000000000000004">
      <c r="A48" s="6">
        <v>37</v>
      </c>
      <c r="B48" s="8">
        <v>105.39760876179174</v>
      </c>
      <c r="C48" s="8">
        <v>57.596101543574449</v>
      </c>
      <c r="D48" s="8">
        <v>100.39760876179174</v>
      </c>
      <c r="E48" s="8">
        <v>52.596101543574449</v>
      </c>
      <c r="F48" s="8">
        <v>95.397608761791744</v>
      </c>
      <c r="G48" s="8">
        <v>47.596101543574449</v>
      </c>
      <c r="H48" s="8">
        <v>90.397608761791744</v>
      </c>
      <c r="I48" s="8">
        <v>42.596101543574449</v>
      </c>
      <c r="J48" s="8">
        <v>85.397608761791744</v>
      </c>
      <c r="K48" s="8">
        <v>37.596101543574449</v>
      </c>
    </row>
    <row r="49" spans="1:11" x14ac:dyDescent="0.55000000000000004">
      <c r="A49" s="6">
        <v>38</v>
      </c>
      <c r="B49" s="8">
        <v>97.629062914325871</v>
      </c>
      <c r="C49" s="8">
        <v>81.85822782399876</v>
      </c>
      <c r="D49" s="8">
        <v>92.629062914325871</v>
      </c>
      <c r="E49" s="8">
        <v>76.85822782399876</v>
      </c>
      <c r="F49" s="8">
        <v>87.629062914325871</v>
      </c>
      <c r="G49" s="8">
        <v>71.85822782399876</v>
      </c>
      <c r="H49" s="8">
        <v>82.629062914325871</v>
      </c>
      <c r="I49" s="8">
        <v>66.85822782399876</v>
      </c>
      <c r="J49" s="8">
        <v>77.629062914325871</v>
      </c>
      <c r="K49" s="8">
        <v>61.85822782399876</v>
      </c>
    </row>
    <row r="50" spans="1:11" x14ac:dyDescent="0.55000000000000004">
      <c r="A50" s="6">
        <v>39</v>
      </c>
      <c r="B50" s="8">
        <v>102.49861814887701</v>
      </c>
      <c r="C50" s="8">
        <v>61.803536034853323</v>
      </c>
      <c r="D50" s="8">
        <v>97.498618148877014</v>
      </c>
      <c r="E50" s="8">
        <v>56.803536034853323</v>
      </c>
      <c r="F50" s="8">
        <v>92.498618148877014</v>
      </c>
      <c r="G50" s="8">
        <v>51.803536034853323</v>
      </c>
      <c r="H50" s="8">
        <v>87.498618148877014</v>
      </c>
      <c r="I50" s="8">
        <v>46.803536034853323</v>
      </c>
      <c r="J50" s="8">
        <v>82.498618148877014</v>
      </c>
      <c r="K50" s="8">
        <v>41.803536034853323</v>
      </c>
    </row>
    <row r="51" spans="1:11" x14ac:dyDescent="0.55000000000000004">
      <c r="A51" s="6">
        <v>40</v>
      </c>
      <c r="B51" s="8">
        <v>98.348018854615859</v>
      </c>
      <c r="C51" s="8">
        <v>74.227591270398165</v>
      </c>
      <c r="D51" s="8">
        <v>93.348018854615859</v>
      </c>
      <c r="E51" s="8">
        <v>69.227591270398165</v>
      </c>
      <c r="F51" s="8">
        <v>88.348018854615859</v>
      </c>
      <c r="G51" s="8">
        <v>64.227591270398165</v>
      </c>
      <c r="H51" s="8">
        <v>83.348018854615859</v>
      </c>
      <c r="I51" s="8">
        <v>59.227591270398165</v>
      </c>
      <c r="J51" s="8">
        <v>78.348018854615859</v>
      </c>
      <c r="K51" s="8">
        <v>54.227591270398165</v>
      </c>
    </row>
    <row r="52" spans="1:11" x14ac:dyDescent="0.55000000000000004">
      <c r="A52" s="6">
        <v>41</v>
      </c>
      <c r="B52" s="8">
        <v>93.801001436857888</v>
      </c>
      <c r="C52" s="8">
        <v>60.686345222028336</v>
      </c>
      <c r="D52" s="8">
        <v>88.801001436857888</v>
      </c>
      <c r="E52" s="8">
        <v>55.686345222028336</v>
      </c>
      <c r="F52" s="8">
        <v>83.801001436857888</v>
      </c>
      <c r="G52" s="8">
        <v>50.686345222028336</v>
      </c>
      <c r="H52" s="8">
        <v>78.801001436857888</v>
      </c>
      <c r="I52" s="8">
        <v>45.686345222028336</v>
      </c>
      <c r="J52" s="8">
        <v>73.801001436857888</v>
      </c>
      <c r="K52" s="8">
        <v>40.686345222028336</v>
      </c>
    </row>
    <row r="53" spans="1:11" x14ac:dyDescent="0.55000000000000004">
      <c r="A53" s="6">
        <v>42</v>
      </c>
      <c r="B53" s="8">
        <v>86.935583122848456</v>
      </c>
      <c r="C53" s="8">
        <v>76.343632821432621</v>
      </c>
      <c r="D53" s="8">
        <v>81.935583122848456</v>
      </c>
      <c r="E53" s="8">
        <v>71.343632821432621</v>
      </c>
      <c r="F53" s="8">
        <v>76.935583122848456</v>
      </c>
      <c r="G53" s="8">
        <v>66.343632821432621</v>
      </c>
      <c r="H53" s="8">
        <v>71.935583122848456</v>
      </c>
      <c r="I53" s="8">
        <v>61.343632821432621</v>
      </c>
      <c r="J53" s="8">
        <v>66.935583122848456</v>
      </c>
      <c r="K53" s="8">
        <v>56.343632821432621</v>
      </c>
    </row>
    <row r="54" spans="1:11" x14ac:dyDescent="0.55000000000000004">
      <c r="A54" s="6">
        <v>43</v>
      </c>
      <c r="B54" s="8">
        <v>104.51327678848615</v>
      </c>
      <c r="C54" s="8">
        <v>67.204741265090547</v>
      </c>
      <c r="D54" s="8">
        <v>99.513276788486152</v>
      </c>
      <c r="E54" s="8">
        <v>62.204741265090547</v>
      </c>
      <c r="F54" s="8">
        <v>94.513276788486152</v>
      </c>
      <c r="G54" s="8">
        <v>57.204741265090547</v>
      </c>
      <c r="H54" s="8">
        <v>89.513276788486152</v>
      </c>
      <c r="I54" s="8">
        <v>52.204741265090547</v>
      </c>
      <c r="J54" s="8">
        <v>84.513276788486152</v>
      </c>
      <c r="K54" s="8">
        <v>47.204741265090547</v>
      </c>
    </row>
    <row r="55" spans="1:11" x14ac:dyDescent="0.55000000000000004">
      <c r="A55" s="6">
        <v>44</v>
      </c>
      <c r="B55" s="8">
        <v>102.34815258444611</v>
      </c>
      <c r="C55" s="8">
        <v>104.09180726874891</v>
      </c>
      <c r="D55" s="8">
        <v>97.348152584446112</v>
      </c>
      <c r="E55" s="8">
        <v>99.091807268748909</v>
      </c>
      <c r="F55" s="8">
        <v>92.348152584446112</v>
      </c>
      <c r="G55" s="8">
        <v>94.091807268748909</v>
      </c>
      <c r="H55" s="8">
        <v>87.348152584446112</v>
      </c>
      <c r="I55" s="8">
        <v>89.091807268748909</v>
      </c>
      <c r="J55" s="8">
        <v>82.348152584446112</v>
      </c>
      <c r="K55" s="8">
        <v>84.091807268748909</v>
      </c>
    </row>
    <row r="56" spans="1:11" x14ac:dyDescent="0.55000000000000004">
      <c r="A56" s="6">
        <v>45</v>
      </c>
      <c r="B56" s="8">
        <v>95.261704577572132</v>
      </c>
      <c r="C56" s="8">
        <v>70.394265996983492</v>
      </c>
      <c r="D56" s="8">
        <v>90.261704577572132</v>
      </c>
      <c r="E56" s="8">
        <v>65.394265996983492</v>
      </c>
      <c r="F56" s="8">
        <v>85.261704577572132</v>
      </c>
      <c r="G56" s="8">
        <v>60.394265996983492</v>
      </c>
      <c r="H56" s="8">
        <v>80.261704577572132</v>
      </c>
      <c r="I56" s="8">
        <v>55.394265996983492</v>
      </c>
      <c r="J56" s="8">
        <v>75.261704577572132</v>
      </c>
      <c r="K56" s="8">
        <v>50.394265996983492</v>
      </c>
    </row>
    <row r="57" spans="1:11" x14ac:dyDescent="0.55000000000000004">
      <c r="A57" s="6">
        <v>46</v>
      </c>
      <c r="B57" s="8">
        <v>95.343073210450171</v>
      </c>
      <c r="C57" s="8">
        <v>92.429912580387622</v>
      </c>
      <c r="D57" s="8">
        <v>90.343073210450171</v>
      </c>
      <c r="E57" s="8">
        <v>87.429912580387622</v>
      </c>
      <c r="F57" s="8">
        <v>85.343073210450171</v>
      </c>
      <c r="G57" s="8">
        <v>82.429912580387622</v>
      </c>
      <c r="H57" s="8">
        <v>80.343073210450171</v>
      </c>
      <c r="I57" s="8">
        <v>77.429912580387622</v>
      </c>
      <c r="J57" s="8">
        <v>75.343073210450171</v>
      </c>
      <c r="K57" s="8">
        <v>72.429912580387622</v>
      </c>
    </row>
    <row r="58" spans="1:11" x14ac:dyDescent="0.55000000000000004">
      <c r="A58" s="6">
        <v>47</v>
      </c>
      <c r="B58" s="8">
        <v>96.801443229581878</v>
      </c>
      <c r="C58" s="8">
        <v>66.91580046571778</v>
      </c>
      <c r="D58" s="8">
        <v>91.801443229581878</v>
      </c>
      <c r="E58" s="8">
        <v>61.91580046571778</v>
      </c>
      <c r="F58" s="8">
        <v>86.801443229581878</v>
      </c>
      <c r="G58" s="8">
        <v>56.91580046571778</v>
      </c>
      <c r="H58" s="8">
        <v>81.801443229581878</v>
      </c>
      <c r="I58" s="8">
        <v>51.91580046571778</v>
      </c>
      <c r="J58" s="8">
        <v>76.801443229581878</v>
      </c>
      <c r="K58" s="8">
        <v>46.91580046571778</v>
      </c>
    </row>
    <row r="59" spans="1:11" x14ac:dyDescent="0.55000000000000004">
      <c r="A59" s="6">
        <v>48</v>
      </c>
      <c r="B59" s="8">
        <v>94.626291992216395</v>
      </c>
      <c r="C59" s="8">
        <v>83.415743549851101</v>
      </c>
      <c r="D59" s="8">
        <v>89.626291992216395</v>
      </c>
      <c r="E59" s="8">
        <v>78.415743549851101</v>
      </c>
      <c r="F59" s="8">
        <v>84.626291992216395</v>
      </c>
      <c r="G59" s="8">
        <v>73.415743549851101</v>
      </c>
      <c r="H59" s="8">
        <v>79.626291992216395</v>
      </c>
      <c r="I59" s="8">
        <v>68.415743549851101</v>
      </c>
      <c r="J59" s="8">
        <v>74.626291992216395</v>
      </c>
      <c r="K59" s="8">
        <v>63.415743549851101</v>
      </c>
    </row>
    <row r="60" spans="1:11" x14ac:dyDescent="0.55000000000000004">
      <c r="A60" s="6">
        <v>49</v>
      </c>
      <c r="B60" s="8">
        <v>86.229128972432534</v>
      </c>
      <c r="C60" s="8">
        <v>78.185647313675645</v>
      </c>
      <c r="D60" s="8">
        <v>81.229128972432534</v>
      </c>
      <c r="E60" s="8">
        <v>73.185647313675645</v>
      </c>
      <c r="F60" s="8">
        <v>76.229128972432534</v>
      </c>
      <c r="G60" s="8">
        <v>68.185647313675645</v>
      </c>
      <c r="H60" s="8">
        <v>71.229128972432534</v>
      </c>
      <c r="I60" s="8">
        <v>63.185647313675645</v>
      </c>
      <c r="J60" s="8">
        <v>66.229128972432534</v>
      </c>
      <c r="K60" s="8">
        <v>58.185647313675645</v>
      </c>
    </row>
    <row r="61" spans="1:11" x14ac:dyDescent="0.55000000000000004">
      <c r="A61" s="6">
        <v>50</v>
      </c>
      <c r="B61" s="8">
        <v>96.748711105720005</v>
      </c>
      <c r="C61" s="8">
        <v>72.532064374062514</v>
      </c>
      <c r="D61" s="8">
        <v>91.748711105720005</v>
      </c>
      <c r="E61" s="8">
        <v>67.532064374062514</v>
      </c>
      <c r="F61" s="8">
        <v>86.748711105720005</v>
      </c>
      <c r="G61" s="8">
        <v>62.532064374062514</v>
      </c>
      <c r="H61" s="8">
        <v>81.748711105720005</v>
      </c>
      <c r="I61" s="8">
        <v>57.532064374062514</v>
      </c>
      <c r="J61" s="8">
        <v>76.748711105720005</v>
      </c>
      <c r="K61" s="8">
        <v>52.532064374062514</v>
      </c>
    </row>
  </sheetData>
  <hyperlinks>
    <hyperlink ref="X1" location="Menu!A1" display="Return to menu" xr:uid="{00000000-0004-0000-19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fitToPage="1"/>
  </sheetPr>
  <dimension ref="A1:L34"/>
  <sheetViews>
    <sheetView workbookViewId="0">
      <selection activeCell="L1" sqref="L1"/>
    </sheetView>
  </sheetViews>
  <sheetFormatPr defaultRowHeight="14.4" x14ac:dyDescent="0.55000000000000004"/>
  <cols>
    <col min="9" max="9" width="17.3671875" bestFit="1" customWidth="1"/>
    <col min="12" max="12" width="20.734375" bestFit="1" customWidth="1"/>
  </cols>
  <sheetData>
    <row r="1" spans="1:12" ht="20.399999999999999" x14ac:dyDescent="0.75">
      <c r="A1" s="310" t="s">
        <v>234</v>
      </c>
      <c r="B1" s="310" t="s">
        <v>235</v>
      </c>
      <c r="C1" s="310" t="s">
        <v>48</v>
      </c>
      <c r="D1" s="310" t="s">
        <v>236</v>
      </c>
      <c r="E1" s="310" t="s">
        <v>237</v>
      </c>
      <c r="F1" s="310" t="s">
        <v>238</v>
      </c>
      <c r="G1" s="310" t="s">
        <v>239</v>
      </c>
      <c r="H1" s="310" t="s">
        <v>240</v>
      </c>
      <c r="I1" s="310" t="s">
        <v>241</v>
      </c>
      <c r="J1" s="310" t="s">
        <v>242</v>
      </c>
      <c r="L1" s="7" t="s">
        <v>20</v>
      </c>
    </row>
    <row r="2" spans="1:12" x14ac:dyDescent="0.55000000000000004">
      <c r="A2" s="311"/>
      <c r="B2" s="311"/>
      <c r="C2" s="311"/>
      <c r="D2" s="311"/>
      <c r="E2" s="311"/>
      <c r="F2" s="311"/>
      <c r="G2" s="311"/>
      <c r="H2" s="311"/>
      <c r="I2" s="311"/>
      <c r="J2" s="311"/>
    </row>
    <row r="3" spans="1:12" x14ac:dyDescent="0.55000000000000004">
      <c r="A3" s="311"/>
      <c r="B3" s="311"/>
      <c r="C3" s="311"/>
      <c r="D3" s="311"/>
      <c r="E3" s="311"/>
      <c r="F3" s="311"/>
      <c r="G3" s="311"/>
      <c r="H3" s="311"/>
      <c r="I3" s="311"/>
      <c r="J3" s="311"/>
    </row>
    <row r="4" spans="1:12" x14ac:dyDescent="0.55000000000000004">
      <c r="A4" s="311"/>
      <c r="B4" s="311"/>
      <c r="C4" s="311"/>
      <c r="D4" s="311"/>
      <c r="E4" s="311"/>
      <c r="F4" s="311"/>
      <c r="G4" s="311"/>
      <c r="H4" s="311"/>
      <c r="I4" s="311"/>
      <c r="J4" s="311"/>
    </row>
    <row r="5" spans="1:12" x14ac:dyDescent="0.55000000000000004">
      <c r="A5" s="311"/>
      <c r="B5" s="311"/>
      <c r="C5" s="311"/>
      <c r="D5" s="311"/>
      <c r="E5" s="311"/>
      <c r="F5" s="311"/>
      <c r="G5" s="311"/>
      <c r="H5" s="311"/>
      <c r="I5" s="311"/>
      <c r="J5" s="311"/>
    </row>
    <row r="6" spans="1:12" x14ac:dyDescent="0.55000000000000004">
      <c r="A6" s="311"/>
      <c r="B6" s="311"/>
      <c r="C6" s="311"/>
      <c r="D6" s="311"/>
      <c r="E6" s="311"/>
      <c r="F6" s="311"/>
      <c r="G6" s="311"/>
      <c r="H6" s="311"/>
      <c r="I6" s="311"/>
      <c r="J6" s="311"/>
    </row>
    <row r="7" spans="1:12" x14ac:dyDescent="0.55000000000000004">
      <c r="A7" s="311"/>
      <c r="B7" s="311"/>
      <c r="C7" s="311"/>
      <c r="D7" s="311"/>
      <c r="E7" s="311"/>
      <c r="F7" s="311"/>
      <c r="G7" s="311"/>
      <c r="H7" s="311"/>
      <c r="I7" s="311"/>
      <c r="J7" s="311"/>
    </row>
    <row r="8" spans="1:12" x14ac:dyDescent="0.55000000000000004">
      <c r="A8" s="311"/>
      <c r="B8" s="311"/>
      <c r="C8" s="311"/>
      <c r="D8" s="311"/>
      <c r="E8" s="311"/>
      <c r="F8" s="311"/>
      <c r="G8" s="311"/>
      <c r="H8" s="311"/>
      <c r="I8" s="311"/>
      <c r="J8" s="311"/>
    </row>
    <row r="9" spans="1:12" x14ac:dyDescent="0.55000000000000004">
      <c r="A9" s="311"/>
      <c r="B9" s="311"/>
      <c r="C9" s="311"/>
      <c r="D9" s="311"/>
      <c r="E9" s="311"/>
      <c r="F9" s="311"/>
      <c r="G9" s="311"/>
      <c r="H9" s="311"/>
      <c r="I9" s="311"/>
      <c r="J9" s="311"/>
    </row>
    <row r="10" spans="1:12" x14ac:dyDescent="0.55000000000000004">
      <c r="A10" s="311"/>
      <c r="B10" s="311"/>
      <c r="C10" s="311"/>
      <c r="D10" s="311"/>
      <c r="E10" s="311"/>
      <c r="F10" s="311"/>
      <c r="G10" s="311"/>
      <c r="H10" s="311"/>
      <c r="I10" s="311"/>
      <c r="J10" s="311"/>
    </row>
    <row r="11" spans="1:12" x14ac:dyDescent="0.55000000000000004">
      <c r="A11" s="311"/>
      <c r="B11" s="311"/>
      <c r="C11" s="311"/>
      <c r="D11" s="311"/>
      <c r="E11" s="311"/>
      <c r="F11" s="311"/>
      <c r="G11" s="311"/>
      <c r="H11" s="311"/>
      <c r="I11" s="311"/>
      <c r="J11" s="311"/>
    </row>
    <row r="12" spans="1:12" x14ac:dyDescent="0.55000000000000004">
      <c r="A12" s="311"/>
      <c r="B12" s="311"/>
      <c r="C12" s="311"/>
      <c r="D12" s="311"/>
      <c r="E12" s="311"/>
      <c r="F12" s="311"/>
      <c r="G12" s="311"/>
      <c r="H12" s="311"/>
      <c r="I12" s="311"/>
      <c r="J12" s="311"/>
    </row>
    <row r="13" spans="1:12" x14ac:dyDescent="0.55000000000000004">
      <c r="A13" s="311"/>
      <c r="B13" s="311"/>
      <c r="C13" s="311"/>
      <c r="D13" s="311"/>
      <c r="E13" s="311"/>
      <c r="F13" s="311"/>
      <c r="G13" s="311"/>
      <c r="H13" s="311"/>
      <c r="I13" s="311"/>
      <c r="J13" s="311"/>
    </row>
    <row r="14" spans="1:12" x14ac:dyDescent="0.55000000000000004">
      <c r="A14" s="311"/>
      <c r="B14" s="311"/>
      <c r="C14" s="311"/>
      <c r="D14" s="311"/>
      <c r="E14" s="311"/>
      <c r="F14" s="311"/>
      <c r="G14" s="311"/>
      <c r="H14" s="311"/>
      <c r="I14" s="311"/>
      <c r="J14" s="311"/>
    </row>
    <row r="15" spans="1:12" x14ac:dyDescent="0.55000000000000004">
      <c r="A15" s="311"/>
      <c r="B15" s="311"/>
      <c r="C15" s="311"/>
      <c r="D15" s="311"/>
      <c r="E15" s="311"/>
      <c r="F15" s="311"/>
      <c r="G15" s="311"/>
      <c r="H15" s="311"/>
      <c r="I15" s="311"/>
      <c r="J15" s="311"/>
    </row>
    <row r="16" spans="1:12" x14ac:dyDescent="0.55000000000000004">
      <c r="A16" s="311"/>
      <c r="B16" s="311"/>
      <c r="C16" s="311"/>
      <c r="D16" s="311"/>
      <c r="E16" s="311"/>
      <c r="F16" s="311"/>
      <c r="G16" s="311"/>
      <c r="H16" s="311"/>
      <c r="I16" s="311"/>
      <c r="J16" s="311"/>
    </row>
    <row r="17" spans="1:10" x14ac:dyDescent="0.55000000000000004">
      <c r="A17" s="311"/>
      <c r="B17" s="311"/>
      <c r="C17" s="311"/>
      <c r="D17" s="311"/>
      <c r="E17" s="311"/>
      <c r="F17" s="311"/>
      <c r="G17" s="311"/>
      <c r="H17" s="311"/>
      <c r="I17" s="311"/>
      <c r="J17" s="311"/>
    </row>
    <row r="18" spans="1:10" x14ac:dyDescent="0.55000000000000004">
      <c r="A18" s="311"/>
      <c r="B18" s="311"/>
      <c r="C18" s="311"/>
      <c r="D18" s="311"/>
      <c r="E18" s="311"/>
      <c r="F18" s="311"/>
      <c r="G18" s="311"/>
      <c r="H18" s="311"/>
      <c r="I18" s="311"/>
      <c r="J18" s="311"/>
    </row>
    <row r="19" spans="1:10" x14ac:dyDescent="0.55000000000000004">
      <c r="A19" s="311"/>
      <c r="B19" s="311"/>
      <c r="C19" s="311"/>
      <c r="D19" s="311"/>
      <c r="E19" s="311"/>
      <c r="F19" s="311"/>
      <c r="G19" s="311"/>
      <c r="H19" s="311"/>
      <c r="I19" s="311"/>
      <c r="J19" s="311"/>
    </row>
    <row r="20" spans="1:10" x14ac:dyDescent="0.55000000000000004">
      <c r="A20" s="311"/>
      <c r="B20" s="311"/>
      <c r="C20" s="311"/>
      <c r="D20" s="311"/>
      <c r="E20" s="311"/>
      <c r="F20" s="311"/>
      <c r="G20" s="311"/>
      <c r="H20" s="311"/>
      <c r="I20" s="311"/>
      <c r="J20" s="311"/>
    </row>
    <row r="21" spans="1:10" x14ac:dyDescent="0.55000000000000004">
      <c r="A21" s="311"/>
      <c r="B21" s="311"/>
      <c r="C21" s="311"/>
      <c r="D21" s="311"/>
      <c r="E21" s="311"/>
      <c r="F21" s="311"/>
      <c r="G21" s="311"/>
      <c r="H21" s="311"/>
      <c r="I21" s="311"/>
      <c r="J21" s="311"/>
    </row>
    <row r="22" spans="1:10" x14ac:dyDescent="0.55000000000000004">
      <c r="A22" s="311"/>
      <c r="B22" s="311"/>
      <c r="C22" s="311"/>
      <c r="D22" s="311"/>
      <c r="E22" s="311"/>
      <c r="F22" s="311"/>
      <c r="G22" s="311"/>
      <c r="H22" s="311"/>
      <c r="I22" s="311"/>
      <c r="J22" s="311"/>
    </row>
    <row r="23" spans="1:10" x14ac:dyDescent="0.55000000000000004">
      <c r="A23" s="311"/>
      <c r="B23" s="311"/>
      <c r="C23" s="311"/>
      <c r="D23" s="311"/>
      <c r="E23" s="311"/>
      <c r="F23" s="311"/>
      <c r="G23" s="311"/>
      <c r="H23" s="311"/>
      <c r="I23" s="311"/>
      <c r="J23" s="311"/>
    </row>
    <row r="24" spans="1:10" x14ac:dyDescent="0.55000000000000004">
      <c r="A24" s="311"/>
      <c r="B24" s="311"/>
      <c r="C24" s="311"/>
      <c r="D24" s="311"/>
      <c r="E24" s="311"/>
      <c r="F24" s="311"/>
      <c r="G24" s="311"/>
      <c r="H24" s="311"/>
      <c r="I24" s="311"/>
      <c r="J24" s="311"/>
    </row>
    <row r="25" spans="1:10" x14ac:dyDescent="0.55000000000000004">
      <c r="A25" s="311"/>
      <c r="B25" s="311"/>
      <c r="C25" s="311"/>
      <c r="D25" s="311"/>
      <c r="E25" s="311"/>
      <c r="F25" s="311"/>
      <c r="G25" s="311"/>
      <c r="H25" s="311"/>
      <c r="I25" s="311"/>
      <c r="J25" s="311"/>
    </row>
    <row r="26" spans="1:10" x14ac:dyDescent="0.55000000000000004">
      <c r="A26" s="311"/>
      <c r="B26" s="311"/>
      <c r="C26" s="311"/>
      <c r="D26" s="311"/>
      <c r="E26" s="311"/>
      <c r="F26" s="311"/>
      <c r="G26" s="311"/>
      <c r="H26" s="311"/>
      <c r="I26" s="311"/>
      <c r="J26" s="311"/>
    </row>
    <row r="27" spans="1:10" x14ac:dyDescent="0.55000000000000004">
      <c r="A27" s="311"/>
      <c r="B27" s="311"/>
      <c r="C27" s="311"/>
      <c r="D27" s="311"/>
      <c r="E27" s="311"/>
      <c r="F27" s="311"/>
      <c r="G27" s="311"/>
      <c r="H27" s="311"/>
      <c r="I27" s="311"/>
      <c r="J27" s="311"/>
    </row>
    <row r="28" spans="1:10" x14ac:dyDescent="0.55000000000000004">
      <c r="A28" s="311"/>
      <c r="B28" s="311"/>
      <c r="C28" s="311"/>
      <c r="D28" s="311"/>
      <c r="E28" s="311"/>
      <c r="F28" s="311"/>
      <c r="G28" s="311"/>
      <c r="H28" s="311"/>
      <c r="I28" s="311"/>
      <c r="J28" s="311"/>
    </row>
    <row r="29" spans="1:10" x14ac:dyDescent="0.55000000000000004">
      <c r="A29" s="311"/>
      <c r="B29" s="311"/>
      <c r="C29" s="311"/>
      <c r="D29" s="311"/>
      <c r="E29" s="311"/>
      <c r="F29" s="311"/>
      <c r="G29" s="311"/>
      <c r="H29" s="311"/>
      <c r="I29" s="311"/>
      <c r="J29" s="311"/>
    </row>
    <row r="30" spans="1:10" x14ac:dyDescent="0.55000000000000004">
      <c r="A30" s="311"/>
      <c r="B30" s="311"/>
      <c r="C30" s="311"/>
      <c r="D30" s="311"/>
      <c r="E30" s="311"/>
      <c r="F30" s="311"/>
      <c r="G30" s="311"/>
      <c r="H30" s="311"/>
      <c r="I30" s="311"/>
      <c r="J30" s="311"/>
    </row>
    <row r="31" spans="1:10" x14ac:dyDescent="0.55000000000000004">
      <c r="A31" s="311"/>
      <c r="B31" s="311"/>
      <c r="C31" s="311"/>
      <c r="D31" s="311"/>
      <c r="E31" s="311"/>
      <c r="F31" s="311"/>
      <c r="G31" s="311"/>
      <c r="H31" s="311"/>
      <c r="I31" s="311"/>
      <c r="J31" s="311"/>
    </row>
    <row r="32" spans="1:10" x14ac:dyDescent="0.55000000000000004">
      <c r="A32" s="311"/>
      <c r="B32" s="311"/>
      <c r="C32" s="311"/>
      <c r="D32" s="311"/>
      <c r="E32" s="311"/>
      <c r="F32" s="311"/>
      <c r="G32" s="311"/>
      <c r="H32" s="311"/>
      <c r="I32" s="311"/>
      <c r="J32" s="311"/>
    </row>
    <row r="33" spans="1:10" x14ac:dyDescent="0.55000000000000004">
      <c r="A33" s="311"/>
      <c r="B33" s="311"/>
      <c r="C33" s="311"/>
      <c r="D33" s="311"/>
      <c r="E33" s="311"/>
      <c r="F33" s="311"/>
      <c r="G33" s="311"/>
      <c r="H33" s="311"/>
      <c r="I33" s="311"/>
      <c r="J33" s="311"/>
    </row>
    <row r="34" spans="1:10" x14ac:dyDescent="0.55000000000000004">
      <c r="A34" s="311"/>
      <c r="B34" s="311"/>
      <c r="C34" s="311"/>
      <c r="D34" s="311"/>
      <c r="E34" s="311"/>
      <c r="F34" s="311"/>
      <c r="G34" s="311"/>
      <c r="H34" s="311"/>
      <c r="I34" s="311"/>
      <c r="J34" s="311"/>
    </row>
  </sheetData>
  <hyperlinks>
    <hyperlink ref="L1" location="Menu!A1" display="Return to menu" xr:uid="{00000000-0004-0000-1A00-000000000000}"/>
  </hyperlinks>
  <pageMargins left="0.70866141732283472" right="0.70866141732283472" top="0.74803149606299213" bottom="0.74803149606299213" header="0.31496062992125984" footer="0.31496062992125984"/>
  <pageSetup scale="90" orientation="portrait" r:id="rId1"/>
  <headerFooter>
    <oddHeader xml:space="preserve">&amp;CData Collection Sheet </oddHeader>
    <oddFooter>&amp;C&amp;F&amp;R&amp;D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G35"/>
  <sheetViews>
    <sheetView zoomScale="70" zoomScaleNormal="70" zoomScaleSheetLayoutView="75" workbookViewId="0">
      <selection activeCell="G1" sqref="G1"/>
    </sheetView>
  </sheetViews>
  <sheetFormatPr defaultColWidth="24.26171875" defaultRowHeight="15" x14ac:dyDescent="0.5"/>
  <cols>
    <col min="1" max="2" width="35.734375" style="182" customWidth="1"/>
    <col min="3" max="3" width="35.734375" style="191" customWidth="1"/>
    <col min="4" max="5" width="35.734375" style="182" customWidth="1"/>
    <col min="6" max="256" width="24.26171875" style="23"/>
    <col min="257" max="261" width="35.734375" style="23" customWidth="1"/>
    <col min="262" max="512" width="24.26171875" style="23"/>
    <col min="513" max="517" width="35.734375" style="23" customWidth="1"/>
    <col min="518" max="768" width="24.26171875" style="23"/>
    <col min="769" max="773" width="35.734375" style="23" customWidth="1"/>
    <col min="774" max="1024" width="24.26171875" style="23"/>
    <col min="1025" max="1029" width="35.734375" style="23" customWidth="1"/>
    <col min="1030" max="1280" width="24.26171875" style="23"/>
    <col min="1281" max="1285" width="35.734375" style="23" customWidth="1"/>
    <col min="1286" max="1536" width="24.26171875" style="23"/>
    <col min="1537" max="1541" width="35.734375" style="23" customWidth="1"/>
    <col min="1542" max="1792" width="24.26171875" style="23"/>
    <col min="1793" max="1797" width="35.734375" style="23" customWidth="1"/>
    <col min="1798" max="2048" width="24.26171875" style="23"/>
    <col min="2049" max="2053" width="35.734375" style="23" customWidth="1"/>
    <col min="2054" max="2304" width="24.26171875" style="23"/>
    <col min="2305" max="2309" width="35.734375" style="23" customWidth="1"/>
    <col min="2310" max="2560" width="24.26171875" style="23"/>
    <col min="2561" max="2565" width="35.734375" style="23" customWidth="1"/>
    <col min="2566" max="2816" width="24.26171875" style="23"/>
    <col min="2817" max="2821" width="35.734375" style="23" customWidth="1"/>
    <col min="2822" max="3072" width="24.26171875" style="23"/>
    <col min="3073" max="3077" width="35.734375" style="23" customWidth="1"/>
    <col min="3078" max="3328" width="24.26171875" style="23"/>
    <col min="3329" max="3333" width="35.734375" style="23" customWidth="1"/>
    <col min="3334" max="3584" width="24.26171875" style="23"/>
    <col min="3585" max="3589" width="35.734375" style="23" customWidth="1"/>
    <col min="3590" max="3840" width="24.26171875" style="23"/>
    <col min="3841" max="3845" width="35.734375" style="23" customWidth="1"/>
    <col min="3846" max="4096" width="24.26171875" style="23"/>
    <col min="4097" max="4101" width="35.734375" style="23" customWidth="1"/>
    <col min="4102" max="4352" width="24.26171875" style="23"/>
    <col min="4353" max="4357" width="35.734375" style="23" customWidth="1"/>
    <col min="4358" max="4608" width="24.26171875" style="23"/>
    <col min="4609" max="4613" width="35.734375" style="23" customWidth="1"/>
    <col min="4614" max="4864" width="24.26171875" style="23"/>
    <col min="4865" max="4869" width="35.734375" style="23" customWidth="1"/>
    <col min="4870" max="5120" width="24.26171875" style="23"/>
    <col min="5121" max="5125" width="35.734375" style="23" customWidth="1"/>
    <col min="5126" max="5376" width="24.26171875" style="23"/>
    <col min="5377" max="5381" width="35.734375" style="23" customWidth="1"/>
    <col min="5382" max="5632" width="24.26171875" style="23"/>
    <col min="5633" max="5637" width="35.734375" style="23" customWidth="1"/>
    <col min="5638" max="5888" width="24.26171875" style="23"/>
    <col min="5889" max="5893" width="35.734375" style="23" customWidth="1"/>
    <col min="5894" max="6144" width="24.26171875" style="23"/>
    <col min="6145" max="6149" width="35.734375" style="23" customWidth="1"/>
    <col min="6150" max="6400" width="24.26171875" style="23"/>
    <col min="6401" max="6405" width="35.734375" style="23" customWidth="1"/>
    <col min="6406" max="6656" width="24.26171875" style="23"/>
    <col min="6657" max="6661" width="35.734375" style="23" customWidth="1"/>
    <col min="6662" max="6912" width="24.26171875" style="23"/>
    <col min="6913" max="6917" width="35.734375" style="23" customWidth="1"/>
    <col min="6918" max="7168" width="24.26171875" style="23"/>
    <col min="7169" max="7173" width="35.734375" style="23" customWidth="1"/>
    <col min="7174" max="7424" width="24.26171875" style="23"/>
    <col min="7425" max="7429" width="35.734375" style="23" customWidth="1"/>
    <col min="7430" max="7680" width="24.26171875" style="23"/>
    <col min="7681" max="7685" width="35.734375" style="23" customWidth="1"/>
    <col min="7686" max="7936" width="24.26171875" style="23"/>
    <col min="7937" max="7941" width="35.734375" style="23" customWidth="1"/>
    <col min="7942" max="8192" width="24.26171875" style="23"/>
    <col min="8193" max="8197" width="35.734375" style="23" customWidth="1"/>
    <col min="8198" max="8448" width="24.26171875" style="23"/>
    <col min="8449" max="8453" width="35.734375" style="23" customWidth="1"/>
    <col min="8454" max="8704" width="24.26171875" style="23"/>
    <col min="8705" max="8709" width="35.734375" style="23" customWidth="1"/>
    <col min="8710" max="8960" width="24.26171875" style="23"/>
    <col min="8961" max="8965" width="35.734375" style="23" customWidth="1"/>
    <col min="8966" max="9216" width="24.26171875" style="23"/>
    <col min="9217" max="9221" width="35.734375" style="23" customWidth="1"/>
    <col min="9222" max="9472" width="24.26171875" style="23"/>
    <col min="9473" max="9477" width="35.734375" style="23" customWidth="1"/>
    <col min="9478" max="9728" width="24.26171875" style="23"/>
    <col min="9729" max="9733" width="35.734375" style="23" customWidth="1"/>
    <col min="9734" max="9984" width="24.26171875" style="23"/>
    <col min="9985" max="9989" width="35.734375" style="23" customWidth="1"/>
    <col min="9990" max="10240" width="24.26171875" style="23"/>
    <col min="10241" max="10245" width="35.734375" style="23" customWidth="1"/>
    <col min="10246" max="10496" width="24.26171875" style="23"/>
    <col min="10497" max="10501" width="35.734375" style="23" customWidth="1"/>
    <col min="10502" max="10752" width="24.26171875" style="23"/>
    <col min="10753" max="10757" width="35.734375" style="23" customWidth="1"/>
    <col min="10758" max="11008" width="24.26171875" style="23"/>
    <col min="11009" max="11013" width="35.734375" style="23" customWidth="1"/>
    <col min="11014" max="11264" width="24.26171875" style="23"/>
    <col min="11265" max="11269" width="35.734375" style="23" customWidth="1"/>
    <col min="11270" max="11520" width="24.26171875" style="23"/>
    <col min="11521" max="11525" width="35.734375" style="23" customWidth="1"/>
    <col min="11526" max="11776" width="24.26171875" style="23"/>
    <col min="11777" max="11781" width="35.734375" style="23" customWidth="1"/>
    <col min="11782" max="12032" width="24.26171875" style="23"/>
    <col min="12033" max="12037" width="35.734375" style="23" customWidth="1"/>
    <col min="12038" max="12288" width="24.26171875" style="23"/>
    <col min="12289" max="12293" width="35.734375" style="23" customWidth="1"/>
    <col min="12294" max="12544" width="24.26171875" style="23"/>
    <col min="12545" max="12549" width="35.734375" style="23" customWidth="1"/>
    <col min="12550" max="12800" width="24.26171875" style="23"/>
    <col min="12801" max="12805" width="35.734375" style="23" customWidth="1"/>
    <col min="12806" max="13056" width="24.26171875" style="23"/>
    <col min="13057" max="13061" width="35.734375" style="23" customWidth="1"/>
    <col min="13062" max="13312" width="24.26171875" style="23"/>
    <col min="13313" max="13317" width="35.734375" style="23" customWidth="1"/>
    <col min="13318" max="13568" width="24.26171875" style="23"/>
    <col min="13569" max="13573" width="35.734375" style="23" customWidth="1"/>
    <col min="13574" max="13824" width="24.26171875" style="23"/>
    <col min="13825" max="13829" width="35.734375" style="23" customWidth="1"/>
    <col min="13830" max="14080" width="24.26171875" style="23"/>
    <col min="14081" max="14085" width="35.734375" style="23" customWidth="1"/>
    <col min="14086" max="14336" width="24.26171875" style="23"/>
    <col min="14337" max="14341" width="35.734375" style="23" customWidth="1"/>
    <col min="14342" max="14592" width="24.26171875" style="23"/>
    <col min="14593" max="14597" width="35.734375" style="23" customWidth="1"/>
    <col min="14598" max="14848" width="24.26171875" style="23"/>
    <col min="14849" max="14853" width="35.734375" style="23" customWidth="1"/>
    <col min="14854" max="15104" width="24.26171875" style="23"/>
    <col min="15105" max="15109" width="35.734375" style="23" customWidth="1"/>
    <col min="15110" max="15360" width="24.26171875" style="23"/>
    <col min="15361" max="15365" width="35.734375" style="23" customWidth="1"/>
    <col min="15366" max="15616" width="24.26171875" style="23"/>
    <col min="15617" max="15621" width="35.734375" style="23" customWidth="1"/>
    <col min="15622" max="15872" width="24.26171875" style="23"/>
    <col min="15873" max="15877" width="35.734375" style="23" customWidth="1"/>
    <col min="15878" max="16128" width="24.26171875" style="23"/>
    <col min="16129" max="16133" width="35.734375" style="23" customWidth="1"/>
    <col min="16134" max="16384" width="24.26171875" style="23"/>
  </cols>
  <sheetData>
    <row r="1" spans="1:7" ht="20.399999999999999" x14ac:dyDescent="0.75">
      <c r="A1" s="195" t="s">
        <v>154</v>
      </c>
      <c r="G1" s="7" t="s">
        <v>20</v>
      </c>
    </row>
    <row r="3" spans="1:7" ht="15.3" thickBot="1" x14ac:dyDescent="0.55000000000000004"/>
    <row r="4" spans="1:7" s="174" customFormat="1" ht="18" thickBot="1" x14ac:dyDescent="0.65">
      <c r="A4" s="171" t="s">
        <v>149</v>
      </c>
      <c r="B4" s="172" t="s">
        <v>150</v>
      </c>
      <c r="C4" s="172" t="s">
        <v>151</v>
      </c>
      <c r="D4" s="172" t="s">
        <v>152</v>
      </c>
      <c r="E4" s="173" t="s">
        <v>153</v>
      </c>
    </row>
    <row r="5" spans="1:7" ht="18.75" customHeight="1" x14ac:dyDescent="0.5">
      <c r="A5" s="175"/>
      <c r="B5" s="176"/>
      <c r="C5" s="690"/>
      <c r="D5" s="176"/>
      <c r="E5" s="177"/>
    </row>
    <row r="6" spans="1:7" x14ac:dyDescent="0.5">
      <c r="A6" s="175"/>
      <c r="B6" s="176"/>
      <c r="C6" s="687"/>
      <c r="D6" s="176"/>
      <c r="E6" s="177"/>
    </row>
    <row r="7" spans="1:7" x14ac:dyDescent="0.5">
      <c r="A7" s="175"/>
      <c r="B7" s="176"/>
      <c r="C7" s="688"/>
      <c r="D7" s="176"/>
      <c r="E7" s="177"/>
    </row>
    <row r="8" spans="1:7" x14ac:dyDescent="0.5">
      <c r="A8" s="178"/>
      <c r="B8" s="179"/>
      <c r="C8" s="180"/>
      <c r="D8" s="179"/>
      <c r="E8" s="181"/>
    </row>
    <row r="9" spans="1:7" x14ac:dyDescent="0.5">
      <c r="A9" s="175"/>
      <c r="B9" s="176"/>
      <c r="C9" s="686"/>
      <c r="D9" s="176"/>
      <c r="E9" s="177"/>
    </row>
    <row r="10" spans="1:7" x14ac:dyDescent="0.5">
      <c r="A10" s="175"/>
      <c r="B10" s="176"/>
      <c r="C10" s="687"/>
      <c r="D10" s="176"/>
      <c r="E10" s="177"/>
    </row>
    <row r="11" spans="1:7" x14ac:dyDescent="0.5">
      <c r="A11" s="184"/>
      <c r="B11" s="185"/>
      <c r="C11" s="687"/>
      <c r="D11" s="185"/>
      <c r="E11" s="186"/>
    </row>
    <row r="12" spans="1:7" x14ac:dyDescent="0.5">
      <c r="A12" s="178"/>
      <c r="B12" s="179"/>
      <c r="C12" s="180"/>
      <c r="D12" s="179"/>
      <c r="E12" s="181"/>
    </row>
    <row r="13" spans="1:7" x14ac:dyDescent="0.5">
      <c r="A13" s="192"/>
      <c r="B13" s="193"/>
      <c r="C13" s="687"/>
      <c r="D13" s="193"/>
      <c r="E13" s="194"/>
    </row>
    <row r="14" spans="1:7" x14ac:dyDescent="0.5">
      <c r="A14" s="192"/>
      <c r="B14" s="193"/>
      <c r="C14" s="687"/>
      <c r="D14" s="193"/>
      <c r="E14" s="194"/>
    </row>
    <row r="15" spans="1:7" x14ac:dyDescent="0.5">
      <c r="A15" s="175"/>
      <c r="B15" s="176"/>
      <c r="C15" s="688"/>
      <c r="D15" s="176"/>
      <c r="E15" s="177"/>
    </row>
    <row r="16" spans="1:7" x14ac:dyDescent="0.5">
      <c r="A16" s="178"/>
      <c r="B16" s="179"/>
      <c r="C16" s="180"/>
      <c r="D16" s="179"/>
      <c r="E16" s="181"/>
    </row>
    <row r="17" spans="1:5" x14ac:dyDescent="0.5">
      <c r="A17" s="175"/>
      <c r="B17" s="176"/>
      <c r="C17" s="686"/>
      <c r="D17" s="176"/>
      <c r="E17" s="177"/>
    </row>
    <row r="18" spans="1:5" x14ac:dyDescent="0.5">
      <c r="A18" s="175"/>
      <c r="B18" s="176"/>
      <c r="C18" s="687"/>
      <c r="D18" s="176"/>
      <c r="E18" s="177"/>
    </row>
    <row r="19" spans="1:5" x14ac:dyDescent="0.5">
      <c r="A19" s="175"/>
      <c r="C19" s="688"/>
      <c r="D19" s="176"/>
      <c r="E19" s="177"/>
    </row>
    <row r="20" spans="1:5" x14ac:dyDescent="0.5">
      <c r="A20" s="178"/>
      <c r="B20" s="183"/>
      <c r="C20" s="180"/>
      <c r="D20" s="179"/>
      <c r="E20" s="181"/>
    </row>
    <row r="21" spans="1:5" x14ac:dyDescent="0.5">
      <c r="A21" s="175"/>
      <c r="B21" s="176"/>
      <c r="C21" s="686"/>
      <c r="D21" s="176"/>
      <c r="E21" s="177"/>
    </row>
    <row r="22" spans="1:5" x14ac:dyDescent="0.5">
      <c r="A22" s="175"/>
      <c r="B22" s="176"/>
      <c r="C22" s="687"/>
      <c r="D22" s="176"/>
      <c r="E22" s="177"/>
    </row>
    <row r="23" spans="1:5" x14ac:dyDescent="0.5">
      <c r="A23" s="175"/>
      <c r="B23" s="176"/>
      <c r="C23" s="688"/>
      <c r="D23" s="176"/>
      <c r="E23" s="177"/>
    </row>
    <row r="24" spans="1:5" x14ac:dyDescent="0.5">
      <c r="A24" s="178"/>
      <c r="B24" s="179"/>
      <c r="C24" s="180"/>
      <c r="D24" s="179"/>
      <c r="E24" s="181"/>
    </row>
    <row r="25" spans="1:5" x14ac:dyDescent="0.5">
      <c r="A25" s="175"/>
      <c r="B25" s="176"/>
      <c r="C25" s="686"/>
      <c r="D25" s="176"/>
      <c r="E25" s="177"/>
    </row>
    <row r="26" spans="1:5" x14ac:dyDescent="0.5">
      <c r="A26" s="175"/>
      <c r="B26" s="176"/>
      <c r="C26" s="687"/>
      <c r="D26" s="176"/>
      <c r="E26" s="177"/>
    </row>
    <row r="27" spans="1:5" x14ac:dyDescent="0.5">
      <c r="A27" s="175"/>
      <c r="B27" s="176"/>
      <c r="C27" s="688"/>
      <c r="D27" s="176"/>
      <c r="E27" s="177"/>
    </row>
    <row r="28" spans="1:5" x14ac:dyDescent="0.5">
      <c r="A28" s="178"/>
      <c r="B28" s="179"/>
      <c r="C28" s="180"/>
      <c r="D28" s="179"/>
      <c r="E28" s="181"/>
    </row>
    <row r="29" spans="1:5" x14ac:dyDescent="0.5">
      <c r="A29" s="175"/>
      <c r="B29" s="176"/>
      <c r="C29" s="686"/>
      <c r="D29" s="176"/>
      <c r="E29" s="177"/>
    </row>
    <row r="30" spans="1:5" x14ac:dyDescent="0.5">
      <c r="A30" s="175"/>
      <c r="B30" s="176"/>
      <c r="C30" s="687"/>
      <c r="D30" s="176"/>
      <c r="E30" s="177"/>
    </row>
    <row r="31" spans="1:5" x14ac:dyDescent="0.5">
      <c r="A31" s="184"/>
      <c r="B31" s="185"/>
      <c r="C31" s="688"/>
      <c r="D31" s="185"/>
      <c r="E31" s="186"/>
    </row>
    <row r="32" spans="1:5" x14ac:dyDescent="0.5">
      <c r="A32" s="178"/>
      <c r="B32" s="179"/>
      <c r="C32" s="180"/>
      <c r="D32" s="179"/>
      <c r="E32" s="187"/>
    </row>
    <row r="33" spans="1:5" x14ac:dyDescent="0.5">
      <c r="A33" s="184"/>
      <c r="B33" s="185"/>
      <c r="C33" s="686"/>
      <c r="D33" s="185"/>
      <c r="E33" s="186"/>
    </row>
    <row r="34" spans="1:5" x14ac:dyDescent="0.5">
      <c r="A34" s="184"/>
      <c r="B34" s="185"/>
      <c r="C34" s="687"/>
      <c r="D34" s="185"/>
      <c r="E34" s="186"/>
    </row>
    <row r="35" spans="1:5" ht="15.3" thickBot="1" x14ac:dyDescent="0.55000000000000004">
      <c r="A35" s="188"/>
      <c r="B35" s="189"/>
      <c r="C35" s="689"/>
      <c r="D35" s="189"/>
      <c r="E35" s="190"/>
    </row>
  </sheetData>
  <mergeCells count="8">
    <mergeCell ref="C29:C31"/>
    <mergeCell ref="C33:C35"/>
    <mergeCell ref="C5:C7"/>
    <mergeCell ref="C9:C11"/>
    <mergeCell ref="C13:C15"/>
    <mergeCell ref="C17:C19"/>
    <mergeCell ref="C21:C23"/>
    <mergeCell ref="C25:C27"/>
  </mergeCells>
  <hyperlinks>
    <hyperlink ref="G1" location="Menu!A1" display="Return to menu" xr:uid="{00000000-0004-0000-1B00-000000000000}"/>
  </hyperlinks>
  <pageMargins left="0.56999999999999995" right="0.35" top="0.91" bottom="0.98" header="0.36" footer="0.5"/>
  <pageSetup scale="72" orientation="landscape" r:id="rId1"/>
  <headerFooter alignWithMargins="0">
    <oddHeader>&amp;C&amp;"Arial,Bold"&amp;36S             I          P          O          C</oddHeader>
    <oddFooter>&amp;L&amp;"Arial,Bold"Project Name : 
&amp;R&amp;"Arial,Bold"Rev :_______
October 2002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dimension ref="A1:AY66"/>
  <sheetViews>
    <sheetView zoomScale="90" workbookViewId="0">
      <selection activeCell="Q2" sqref="Q2:T2"/>
    </sheetView>
  </sheetViews>
  <sheetFormatPr defaultColWidth="9.1015625" defaultRowHeight="12.3" x14ac:dyDescent="0.4"/>
  <cols>
    <col min="1" max="1" width="22.3671875" style="18" customWidth="1"/>
    <col min="2" max="51" width="5.734375" style="18" customWidth="1"/>
    <col min="52" max="16384" width="9.1015625" style="18"/>
  </cols>
  <sheetData>
    <row r="1" spans="1:51" x14ac:dyDescent="0.4">
      <c r="A1" s="692"/>
      <c r="B1" s="692"/>
      <c r="C1" s="692"/>
      <c r="D1" s="692"/>
    </row>
    <row r="2" spans="1:51" ht="20.399999999999999" x14ac:dyDescent="0.75">
      <c r="A2" s="142" t="s">
        <v>126</v>
      </c>
      <c r="B2" s="143"/>
      <c r="C2" s="143"/>
      <c r="D2" s="143"/>
      <c r="Q2" s="598" t="s">
        <v>20</v>
      </c>
      <c r="R2" s="598"/>
      <c r="S2" s="598"/>
      <c r="T2" s="598"/>
    </row>
    <row r="3" spans="1:51" ht="15" x14ac:dyDescent="0.5">
      <c r="A3" s="142" t="s">
        <v>148</v>
      </c>
      <c r="B3" s="143"/>
      <c r="C3" s="143"/>
      <c r="D3" s="143"/>
    </row>
    <row r="4" spans="1:51" ht="12.6" x14ac:dyDescent="0.45">
      <c r="A4" s="144"/>
    </row>
    <row r="5" spans="1:51" ht="12.6" thickBot="1" x14ac:dyDescent="0.45"/>
    <row r="6" spans="1:51" ht="12.6" thickBot="1" x14ac:dyDescent="0.45">
      <c r="A6" s="145" t="s">
        <v>127</v>
      </c>
      <c r="B6" s="146"/>
      <c r="C6" s="146"/>
      <c r="E6" s="147">
        <v>18</v>
      </c>
      <c r="P6" s="148"/>
    </row>
    <row r="7" spans="1:51" ht="12.6" thickBot="1" x14ac:dyDescent="0.45">
      <c r="A7" s="693" t="s">
        <v>128</v>
      </c>
      <c r="B7" s="693"/>
      <c r="C7" s="693"/>
      <c r="E7" s="147">
        <v>5</v>
      </c>
      <c r="P7" s="593"/>
      <c r="Q7" s="593"/>
    </row>
    <row r="8" spans="1:51" ht="12.6" thickBot="1" x14ac:dyDescent="0.45">
      <c r="A8" s="149"/>
      <c r="B8" s="149"/>
      <c r="C8" s="149"/>
      <c r="P8" s="593"/>
      <c r="Q8" s="593"/>
    </row>
    <row r="9" spans="1:51" x14ac:dyDescent="0.4">
      <c r="A9" s="150" t="s">
        <v>129</v>
      </c>
      <c r="B9" s="151"/>
      <c r="C9" s="694">
        <f>SUMIF(B13:AY13,"&gt;-99999",B23:AY23)/$E$6</f>
        <v>3.4055555555555554</v>
      </c>
      <c r="D9" s="694"/>
      <c r="E9" s="152" t="s">
        <v>130</v>
      </c>
      <c r="F9" s="152" t="s">
        <v>131</v>
      </c>
      <c r="G9" s="152" t="s">
        <v>132</v>
      </c>
      <c r="H9" s="153" t="s">
        <v>133</v>
      </c>
      <c r="P9" s="593"/>
      <c r="Q9" s="593"/>
    </row>
    <row r="10" spans="1:51" ht="12.6" thickBot="1" x14ac:dyDescent="0.45">
      <c r="A10" s="154" t="s">
        <v>134</v>
      </c>
      <c r="B10" s="155"/>
      <c r="C10" s="691">
        <f>SUMIF(B13:AY13,"&gt;-99999",B28:AY28)/$E$6</f>
        <v>1.2666666666666668</v>
      </c>
      <c r="D10" s="691"/>
      <c r="E10" s="276">
        <f>VLOOKUP($E$7,$A$58:$H$66,2)</f>
        <v>0.57699999999999996</v>
      </c>
      <c r="F10" s="276">
        <f>VLOOKUP($E$7,$A$58:$H$66,3)</f>
        <v>0</v>
      </c>
      <c r="G10" s="276">
        <f>VLOOKUP($E$7,$A$58:$H$66,4)</f>
        <v>2.1139999999999999</v>
      </c>
      <c r="H10" s="277">
        <f>VLOOKUP($E$7,$A$58:$H$66,5)</f>
        <v>2.3260000000000001</v>
      </c>
      <c r="P10" s="593"/>
      <c r="Q10" s="593"/>
    </row>
    <row r="11" spans="1:51" x14ac:dyDescent="0.4">
      <c r="A11" s="148"/>
    </row>
    <row r="12" spans="1:51" s="148" customFormat="1" x14ac:dyDescent="0.4">
      <c r="A12" s="156"/>
      <c r="B12" s="148">
        <v>1</v>
      </c>
      <c r="C12" s="148">
        <v>2</v>
      </c>
      <c r="D12" s="148">
        <v>3</v>
      </c>
      <c r="E12" s="148">
        <v>4</v>
      </c>
      <c r="F12" s="148">
        <v>5</v>
      </c>
      <c r="G12" s="148">
        <v>6</v>
      </c>
      <c r="H12" s="148">
        <v>7</v>
      </c>
      <c r="I12" s="148">
        <v>8</v>
      </c>
      <c r="J12" s="148">
        <v>9</v>
      </c>
      <c r="K12" s="148">
        <v>10</v>
      </c>
      <c r="L12" s="148">
        <v>11</v>
      </c>
      <c r="M12" s="148">
        <v>12</v>
      </c>
      <c r="N12" s="148">
        <v>13</v>
      </c>
      <c r="O12" s="148">
        <v>14</v>
      </c>
      <c r="P12" s="148">
        <v>15</v>
      </c>
      <c r="Q12" s="148">
        <v>16</v>
      </c>
      <c r="R12" s="148">
        <v>17</v>
      </c>
      <c r="S12" s="148">
        <v>18</v>
      </c>
      <c r="T12" s="148">
        <v>19</v>
      </c>
      <c r="U12" s="148">
        <v>20</v>
      </c>
      <c r="V12" s="148">
        <v>21</v>
      </c>
      <c r="W12" s="148">
        <v>22</v>
      </c>
      <c r="X12" s="148">
        <v>23</v>
      </c>
      <c r="Y12" s="148">
        <v>24</v>
      </c>
      <c r="Z12" s="148">
        <v>25</v>
      </c>
      <c r="AA12" s="148">
        <v>26</v>
      </c>
      <c r="AB12" s="148">
        <v>27</v>
      </c>
      <c r="AC12" s="148">
        <v>28</v>
      </c>
      <c r="AD12" s="148">
        <v>29</v>
      </c>
      <c r="AE12" s="148">
        <v>30</v>
      </c>
      <c r="AF12" s="148">
        <v>31</v>
      </c>
      <c r="AG12" s="148">
        <v>32</v>
      </c>
      <c r="AH12" s="148">
        <v>33</v>
      </c>
      <c r="AI12" s="148">
        <v>34</v>
      </c>
      <c r="AJ12" s="148">
        <v>35</v>
      </c>
      <c r="AK12" s="148">
        <v>36</v>
      </c>
      <c r="AL12" s="148">
        <v>37</v>
      </c>
      <c r="AM12" s="148">
        <v>38</v>
      </c>
      <c r="AN12" s="148">
        <v>39</v>
      </c>
      <c r="AO12" s="148">
        <v>40</v>
      </c>
      <c r="AP12" s="148">
        <v>41</v>
      </c>
      <c r="AQ12" s="148">
        <v>42</v>
      </c>
      <c r="AR12" s="148">
        <v>43</v>
      </c>
      <c r="AS12" s="148">
        <v>44</v>
      </c>
      <c r="AT12" s="148">
        <v>45</v>
      </c>
      <c r="AU12" s="148">
        <v>46</v>
      </c>
      <c r="AV12" s="148">
        <v>47</v>
      </c>
      <c r="AW12" s="148">
        <v>48</v>
      </c>
      <c r="AX12" s="148">
        <v>49</v>
      </c>
      <c r="AY12" s="148">
        <v>50</v>
      </c>
    </row>
    <row r="13" spans="1:51" x14ac:dyDescent="0.4">
      <c r="A13" s="148">
        <v>1</v>
      </c>
      <c r="B13" s="157">
        <v>3.5</v>
      </c>
      <c r="C13" s="157">
        <v>3.5</v>
      </c>
      <c r="D13" s="157">
        <v>3.1</v>
      </c>
      <c r="E13" s="157">
        <v>3.5</v>
      </c>
      <c r="F13" s="157">
        <v>3.5</v>
      </c>
      <c r="G13" s="157">
        <v>3.1</v>
      </c>
      <c r="H13" s="157">
        <v>3.5</v>
      </c>
      <c r="I13" s="157">
        <v>3.5</v>
      </c>
      <c r="J13" s="157">
        <v>3.1</v>
      </c>
      <c r="K13" s="157">
        <v>2.4</v>
      </c>
      <c r="L13" s="157">
        <v>3.5</v>
      </c>
      <c r="M13" s="157">
        <v>3.1</v>
      </c>
      <c r="N13" s="157">
        <v>3.5</v>
      </c>
      <c r="O13" s="157">
        <v>3.5</v>
      </c>
      <c r="P13" s="157">
        <v>3.1</v>
      </c>
      <c r="Q13" s="157">
        <v>3.5</v>
      </c>
      <c r="R13" s="157">
        <v>3.5</v>
      </c>
      <c r="S13" s="157">
        <v>3.1</v>
      </c>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row>
    <row r="14" spans="1:51" x14ac:dyDescent="0.4">
      <c r="A14" s="148">
        <v>2</v>
      </c>
      <c r="B14" s="157">
        <v>3.2</v>
      </c>
      <c r="C14" s="157">
        <v>3.2</v>
      </c>
      <c r="D14" s="157">
        <v>3.5</v>
      </c>
      <c r="E14" s="157">
        <v>2.4</v>
      </c>
      <c r="F14" s="157">
        <v>3.2</v>
      </c>
      <c r="G14" s="157">
        <v>3.5</v>
      </c>
      <c r="H14" s="157">
        <v>3.2</v>
      </c>
      <c r="I14" s="157">
        <v>2.7</v>
      </c>
      <c r="J14" s="157">
        <v>3.5</v>
      </c>
      <c r="K14" s="157">
        <v>3.2</v>
      </c>
      <c r="L14" s="157">
        <v>4.5</v>
      </c>
      <c r="M14" s="157">
        <v>3.5</v>
      </c>
      <c r="N14" s="157">
        <v>3.2</v>
      </c>
      <c r="O14" s="157">
        <v>3.2</v>
      </c>
      <c r="P14" s="157">
        <v>3.5</v>
      </c>
      <c r="Q14" s="157">
        <v>4.5</v>
      </c>
      <c r="R14" s="157">
        <v>2.7</v>
      </c>
      <c r="S14" s="157">
        <v>3.5</v>
      </c>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row>
    <row r="15" spans="1:51" x14ac:dyDescent="0.4">
      <c r="A15" s="148">
        <v>3</v>
      </c>
      <c r="B15" s="157">
        <v>3.8</v>
      </c>
      <c r="C15" s="157">
        <v>2.4</v>
      </c>
      <c r="D15" s="157">
        <v>3.6</v>
      </c>
      <c r="E15" s="157">
        <v>3.8</v>
      </c>
      <c r="F15" s="157">
        <v>3.8</v>
      </c>
      <c r="G15" s="157">
        <v>3.6</v>
      </c>
      <c r="H15" s="157">
        <v>2.4</v>
      </c>
      <c r="I15" s="157">
        <v>3.8</v>
      </c>
      <c r="J15" s="157">
        <v>3.6</v>
      </c>
      <c r="K15" s="157">
        <v>3.8</v>
      </c>
      <c r="L15" s="157">
        <v>2.4</v>
      </c>
      <c r="M15" s="157">
        <v>3.6</v>
      </c>
      <c r="N15" s="157">
        <v>3.8</v>
      </c>
      <c r="O15" s="157">
        <v>2.4</v>
      </c>
      <c r="P15" s="157">
        <v>3.6</v>
      </c>
      <c r="Q15" s="157">
        <v>3.8</v>
      </c>
      <c r="R15" s="157">
        <v>3.8</v>
      </c>
      <c r="S15" s="157">
        <v>3.6</v>
      </c>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row>
    <row r="16" spans="1:51" x14ac:dyDescent="0.4">
      <c r="A16" s="148">
        <v>4</v>
      </c>
      <c r="B16" s="157">
        <v>2.4</v>
      </c>
      <c r="C16" s="157">
        <v>3.7</v>
      </c>
      <c r="D16" s="157">
        <v>4.5</v>
      </c>
      <c r="E16" s="157">
        <v>4.5</v>
      </c>
      <c r="F16" s="157">
        <v>3.7</v>
      </c>
      <c r="G16" s="157">
        <v>4.5</v>
      </c>
      <c r="H16" s="157">
        <v>3.3</v>
      </c>
      <c r="I16" s="157">
        <v>2.4</v>
      </c>
      <c r="J16" s="157">
        <v>4.5</v>
      </c>
      <c r="K16" s="157">
        <v>3.3</v>
      </c>
      <c r="L16" s="157">
        <v>3.7</v>
      </c>
      <c r="M16" s="157">
        <v>3.5</v>
      </c>
      <c r="N16" s="157">
        <v>3.3</v>
      </c>
      <c r="O16" s="157">
        <v>3.7</v>
      </c>
      <c r="P16" s="157">
        <v>3.5</v>
      </c>
      <c r="Q16" s="157">
        <v>2.4</v>
      </c>
      <c r="R16" s="157">
        <v>2.4</v>
      </c>
      <c r="S16" s="157">
        <v>3.5</v>
      </c>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row>
    <row r="17" spans="1:51" x14ac:dyDescent="0.4">
      <c r="A17" s="148">
        <v>5</v>
      </c>
      <c r="B17" s="157">
        <v>3.5</v>
      </c>
      <c r="C17" s="157">
        <v>3.4</v>
      </c>
      <c r="D17" s="157">
        <v>3.3</v>
      </c>
      <c r="E17" s="157">
        <v>3.5</v>
      </c>
      <c r="F17" s="157">
        <v>3.4</v>
      </c>
      <c r="G17" s="157">
        <v>3.3</v>
      </c>
      <c r="H17" s="157">
        <v>3.5</v>
      </c>
      <c r="I17" s="157">
        <v>3.4</v>
      </c>
      <c r="J17" s="157">
        <v>3.9</v>
      </c>
      <c r="K17" s="157">
        <v>3.5</v>
      </c>
      <c r="L17" s="157">
        <v>3.4</v>
      </c>
      <c r="M17" s="157">
        <v>3.3</v>
      </c>
      <c r="N17" s="157">
        <v>3.5</v>
      </c>
      <c r="O17" s="157">
        <v>3.4</v>
      </c>
      <c r="P17" s="157">
        <v>3.3</v>
      </c>
      <c r="Q17" s="157">
        <v>3.5</v>
      </c>
      <c r="R17" s="157">
        <v>3.4</v>
      </c>
      <c r="S17" s="157">
        <v>3.9</v>
      </c>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row>
    <row r="18" spans="1:51" x14ac:dyDescent="0.4">
      <c r="A18" s="148">
        <v>6</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row>
    <row r="19" spans="1:51" x14ac:dyDescent="0.4">
      <c r="A19" s="148">
        <v>7</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row>
    <row r="20" spans="1:51" x14ac:dyDescent="0.4">
      <c r="A20" s="148">
        <v>8</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row>
    <row r="21" spans="1:51" x14ac:dyDescent="0.4">
      <c r="A21" s="148">
        <v>9</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row>
    <row r="22" spans="1:51" x14ac:dyDescent="0.4">
      <c r="A22" s="148">
        <v>10</v>
      </c>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row>
    <row r="23" spans="1:51" s="160" customFormat="1" ht="11.4" x14ac:dyDescent="0.4">
      <c r="A23" s="158" t="s">
        <v>135</v>
      </c>
      <c r="B23" s="159">
        <f>IF(B13&lt;&gt;"",AVERAGE(B13:B22),NA())</f>
        <v>3.28</v>
      </c>
      <c r="C23" s="159">
        <f t="shared" ref="C23:AY23" si="0">IF(C13&lt;&gt;"",AVERAGE(C13:C22),NA())</f>
        <v>3.2399999999999998</v>
      </c>
      <c r="D23" s="159">
        <f t="shared" si="0"/>
        <v>3.6</v>
      </c>
      <c r="E23" s="159">
        <f t="shared" si="0"/>
        <v>3.54</v>
      </c>
      <c r="F23" s="159">
        <f t="shared" si="0"/>
        <v>3.5199999999999996</v>
      </c>
      <c r="G23" s="159">
        <f t="shared" si="0"/>
        <v>3.6</v>
      </c>
      <c r="H23" s="159">
        <f t="shared" si="0"/>
        <v>3.1799999999999997</v>
      </c>
      <c r="I23" s="159">
        <f t="shared" si="0"/>
        <v>3.16</v>
      </c>
      <c r="J23" s="159">
        <f t="shared" si="0"/>
        <v>3.7199999999999998</v>
      </c>
      <c r="K23" s="159">
        <f t="shared" si="0"/>
        <v>3.2399999999999998</v>
      </c>
      <c r="L23" s="159">
        <f t="shared" si="0"/>
        <v>3.5</v>
      </c>
      <c r="M23" s="159">
        <f t="shared" si="0"/>
        <v>3.4</v>
      </c>
      <c r="N23" s="159">
        <f t="shared" si="0"/>
        <v>3.46</v>
      </c>
      <c r="O23" s="159">
        <f t="shared" si="0"/>
        <v>3.2399999999999998</v>
      </c>
      <c r="P23" s="159">
        <f t="shared" si="0"/>
        <v>3.4</v>
      </c>
      <c r="Q23" s="159">
        <f t="shared" si="0"/>
        <v>3.5400000000000005</v>
      </c>
      <c r="R23" s="159">
        <f t="shared" si="0"/>
        <v>3.16</v>
      </c>
      <c r="S23" s="159">
        <f t="shared" si="0"/>
        <v>3.5199999999999996</v>
      </c>
      <c r="T23" s="159" t="e">
        <f t="shared" si="0"/>
        <v>#N/A</v>
      </c>
      <c r="U23" s="159" t="e">
        <f t="shared" si="0"/>
        <v>#N/A</v>
      </c>
      <c r="V23" s="159" t="e">
        <f t="shared" si="0"/>
        <v>#N/A</v>
      </c>
      <c r="W23" s="159" t="e">
        <f t="shared" si="0"/>
        <v>#N/A</v>
      </c>
      <c r="X23" s="159" t="e">
        <f t="shared" si="0"/>
        <v>#N/A</v>
      </c>
      <c r="Y23" s="159" t="e">
        <f t="shared" si="0"/>
        <v>#N/A</v>
      </c>
      <c r="Z23" s="159" t="e">
        <f t="shared" si="0"/>
        <v>#N/A</v>
      </c>
      <c r="AA23" s="159" t="e">
        <f t="shared" si="0"/>
        <v>#N/A</v>
      </c>
      <c r="AB23" s="159" t="e">
        <f t="shared" si="0"/>
        <v>#N/A</v>
      </c>
      <c r="AC23" s="159" t="e">
        <f t="shared" si="0"/>
        <v>#N/A</v>
      </c>
      <c r="AD23" s="159" t="e">
        <f t="shared" si="0"/>
        <v>#N/A</v>
      </c>
      <c r="AE23" s="159" t="e">
        <f t="shared" si="0"/>
        <v>#N/A</v>
      </c>
      <c r="AF23" s="159" t="e">
        <f t="shared" si="0"/>
        <v>#N/A</v>
      </c>
      <c r="AG23" s="159" t="e">
        <f t="shared" si="0"/>
        <v>#N/A</v>
      </c>
      <c r="AH23" s="159" t="e">
        <f t="shared" si="0"/>
        <v>#N/A</v>
      </c>
      <c r="AI23" s="159" t="e">
        <f t="shared" si="0"/>
        <v>#N/A</v>
      </c>
      <c r="AJ23" s="159" t="e">
        <f t="shared" si="0"/>
        <v>#N/A</v>
      </c>
      <c r="AK23" s="159" t="e">
        <f t="shared" si="0"/>
        <v>#N/A</v>
      </c>
      <c r="AL23" s="159" t="e">
        <f t="shared" si="0"/>
        <v>#N/A</v>
      </c>
      <c r="AM23" s="159" t="e">
        <f t="shared" si="0"/>
        <v>#N/A</v>
      </c>
      <c r="AN23" s="159" t="e">
        <f t="shared" si="0"/>
        <v>#N/A</v>
      </c>
      <c r="AO23" s="159" t="e">
        <f t="shared" si="0"/>
        <v>#N/A</v>
      </c>
      <c r="AP23" s="159" t="e">
        <f t="shared" si="0"/>
        <v>#N/A</v>
      </c>
      <c r="AQ23" s="159" t="e">
        <f t="shared" si="0"/>
        <v>#N/A</v>
      </c>
      <c r="AR23" s="159" t="e">
        <f t="shared" si="0"/>
        <v>#N/A</v>
      </c>
      <c r="AS23" s="159" t="e">
        <f t="shared" si="0"/>
        <v>#N/A</v>
      </c>
      <c r="AT23" s="159" t="e">
        <f t="shared" si="0"/>
        <v>#N/A</v>
      </c>
      <c r="AU23" s="159" t="e">
        <f t="shared" si="0"/>
        <v>#N/A</v>
      </c>
      <c r="AV23" s="159" t="e">
        <f t="shared" si="0"/>
        <v>#N/A</v>
      </c>
      <c r="AW23" s="159" t="e">
        <f t="shared" si="0"/>
        <v>#N/A</v>
      </c>
      <c r="AX23" s="159" t="e">
        <f t="shared" si="0"/>
        <v>#N/A</v>
      </c>
      <c r="AY23" s="159" t="e">
        <f t="shared" si="0"/>
        <v>#N/A</v>
      </c>
    </row>
    <row r="24" spans="1:51" s="160" customFormat="1" ht="11.4" x14ac:dyDescent="0.4">
      <c r="A24" s="158" t="s">
        <v>136</v>
      </c>
      <c r="B24" s="160">
        <f>$C$9-$E$10*$C$10</f>
        <v>2.6746888888888889</v>
      </c>
      <c r="C24" s="160">
        <f t="shared" ref="C24:AY24" si="1">$C$9-$E$10*$C$10</f>
        <v>2.6746888888888889</v>
      </c>
      <c r="D24" s="160">
        <f t="shared" si="1"/>
        <v>2.6746888888888889</v>
      </c>
      <c r="E24" s="160">
        <f t="shared" si="1"/>
        <v>2.6746888888888889</v>
      </c>
      <c r="F24" s="160">
        <f t="shared" si="1"/>
        <v>2.6746888888888889</v>
      </c>
      <c r="G24" s="160">
        <f t="shared" si="1"/>
        <v>2.6746888888888889</v>
      </c>
      <c r="H24" s="160">
        <f t="shared" si="1"/>
        <v>2.6746888888888889</v>
      </c>
      <c r="I24" s="160">
        <f t="shared" si="1"/>
        <v>2.6746888888888889</v>
      </c>
      <c r="J24" s="160">
        <f t="shared" si="1"/>
        <v>2.6746888888888889</v>
      </c>
      <c r="K24" s="160">
        <f t="shared" si="1"/>
        <v>2.6746888888888889</v>
      </c>
      <c r="L24" s="160">
        <f t="shared" si="1"/>
        <v>2.6746888888888889</v>
      </c>
      <c r="M24" s="160">
        <f t="shared" si="1"/>
        <v>2.6746888888888889</v>
      </c>
      <c r="N24" s="160">
        <f t="shared" si="1"/>
        <v>2.6746888888888889</v>
      </c>
      <c r="O24" s="160">
        <f t="shared" si="1"/>
        <v>2.6746888888888889</v>
      </c>
      <c r="P24" s="160">
        <f t="shared" si="1"/>
        <v>2.6746888888888889</v>
      </c>
      <c r="Q24" s="160">
        <f t="shared" si="1"/>
        <v>2.6746888888888889</v>
      </c>
      <c r="R24" s="160">
        <f t="shared" si="1"/>
        <v>2.6746888888888889</v>
      </c>
      <c r="S24" s="160">
        <f t="shared" si="1"/>
        <v>2.6746888888888889</v>
      </c>
      <c r="T24" s="160">
        <f t="shared" si="1"/>
        <v>2.6746888888888889</v>
      </c>
      <c r="U24" s="160">
        <f t="shared" si="1"/>
        <v>2.6746888888888889</v>
      </c>
      <c r="V24" s="160">
        <f t="shared" si="1"/>
        <v>2.6746888888888889</v>
      </c>
      <c r="W24" s="160">
        <f t="shared" si="1"/>
        <v>2.6746888888888889</v>
      </c>
      <c r="X24" s="160">
        <f t="shared" si="1"/>
        <v>2.6746888888888889</v>
      </c>
      <c r="Y24" s="160">
        <f t="shared" si="1"/>
        <v>2.6746888888888889</v>
      </c>
      <c r="Z24" s="160">
        <f t="shared" si="1"/>
        <v>2.6746888888888889</v>
      </c>
      <c r="AA24" s="160">
        <f t="shared" si="1"/>
        <v>2.6746888888888889</v>
      </c>
      <c r="AB24" s="160">
        <f t="shared" si="1"/>
        <v>2.6746888888888889</v>
      </c>
      <c r="AC24" s="160">
        <f t="shared" si="1"/>
        <v>2.6746888888888889</v>
      </c>
      <c r="AD24" s="160">
        <f t="shared" si="1"/>
        <v>2.6746888888888889</v>
      </c>
      <c r="AE24" s="160">
        <f t="shared" si="1"/>
        <v>2.6746888888888889</v>
      </c>
      <c r="AF24" s="160">
        <f t="shared" si="1"/>
        <v>2.6746888888888889</v>
      </c>
      <c r="AG24" s="160">
        <f t="shared" si="1"/>
        <v>2.6746888888888889</v>
      </c>
      <c r="AH24" s="160">
        <f t="shared" si="1"/>
        <v>2.6746888888888889</v>
      </c>
      <c r="AI24" s="160">
        <f t="shared" si="1"/>
        <v>2.6746888888888889</v>
      </c>
      <c r="AJ24" s="160">
        <f t="shared" si="1"/>
        <v>2.6746888888888889</v>
      </c>
      <c r="AK24" s="160">
        <f t="shared" si="1"/>
        <v>2.6746888888888889</v>
      </c>
      <c r="AL24" s="160">
        <f t="shared" si="1"/>
        <v>2.6746888888888889</v>
      </c>
      <c r="AM24" s="160">
        <f t="shared" si="1"/>
        <v>2.6746888888888889</v>
      </c>
      <c r="AN24" s="160">
        <f t="shared" si="1"/>
        <v>2.6746888888888889</v>
      </c>
      <c r="AO24" s="160">
        <f t="shared" si="1"/>
        <v>2.6746888888888889</v>
      </c>
      <c r="AP24" s="160">
        <f t="shared" si="1"/>
        <v>2.6746888888888889</v>
      </c>
      <c r="AQ24" s="160">
        <f t="shared" si="1"/>
        <v>2.6746888888888889</v>
      </c>
      <c r="AR24" s="160">
        <f t="shared" si="1"/>
        <v>2.6746888888888889</v>
      </c>
      <c r="AS24" s="160">
        <f t="shared" si="1"/>
        <v>2.6746888888888889</v>
      </c>
      <c r="AT24" s="160">
        <f t="shared" si="1"/>
        <v>2.6746888888888889</v>
      </c>
      <c r="AU24" s="160">
        <f t="shared" si="1"/>
        <v>2.6746888888888889</v>
      </c>
      <c r="AV24" s="160">
        <f t="shared" si="1"/>
        <v>2.6746888888888889</v>
      </c>
      <c r="AW24" s="160">
        <f t="shared" si="1"/>
        <v>2.6746888888888889</v>
      </c>
      <c r="AX24" s="160">
        <f t="shared" si="1"/>
        <v>2.6746888888888889</v>
      </c>
      <c r="AY24" s="160">
        <f t="shared" si="1"/>
        <v>2.6746888888888889</v>
      </c>
    </row>
    <row r="25" spans="1:51" s="160" customFormat="1" ht="11.4" x14ac:dyDescent="0.4">
      <c r="A25" s="158" t="s">
        <v>137</v>
      </c>
      <c r="B25" s="160">
        <f>$C$9</f>
        <v>3.4055555555555554</v>
      </c>
      <c r="C25" s="160">
        <f t="shared" ref="C25:AY25" si="2">$C$9</f>
        <v>3.4055555555555554</v>
      </c>
      <c r="D25" s="160">
        <f t="shared" si="2"/>
        <v>3.4055555555555554</v>
      </c>
      <c r="E25" s="160">
        <f t="shared" si="2"/>
        <v>3.4055555555555554</v>
      </c>
      <c r="F25" s="160">
        <f t="shared" si="2"/>
        <v>3.4055555555555554</v>
      </c>
      <c r="G25" s="160">
        <f t="shared" si="2"/>
        <v>3.4055555555555554</v>
      </c>
      <c r="H25" s="160">
        <f t="shared" si="2"/>
        <v>3.4055555555555554</v>
      </c>
      <c r="I25" s="160">
        <f t="shared" si="2"/>
        <v>3.4055555555555554</v>
      </c>
      <c r="J25" s="160">
        <f t="shared" si="2"/>
        <v>3.4055555555555554</v>
      </c>
      <c r="K25" s="160">
        <f t="shared" si="2"/>
        <v>3.4055555555555554</v>
      </c>
      <c r="L25" s="160">
        <f t="shared" si="2"/>
        <v>3.4055555555555554</v>
      </c>
      <c r="M25" s="160">
        <f t="shared" si="2"/>
        <v>3.4055555555555554</v>
      </c>
      <c r="N25" s="160">
        <f t="shared" si="2"/>
        <v>3.4055555555555554</v>
      </c>
      <c r="O25" s="160">
        <f t="shared" si="2"/>
        <v>3.4055555555555554</v>
      </c>
      <c r="P25" s="160">
        <f t="shared" si="2"/>
        <v>3.4055555555555554</v>
      </c>
      <c r="Q25" s="160">
        <f t="shared" si="2"/>
        <v>3.4055555555555554</v>
      </c>
      <c r="R25" s="160">
        <f t="shared" si="2"/>
        <v>3.4055555555555554</v>
      </c>
      <c r="S25" s="160">
        <f t="shared" si="2"/>
        <v>3.4055555555555554</v>
      </c>
      <c r="T25" s="160">
        <f t="shared" si="2"/>
        <v>3.4055555555555554</v>
      </c>
      <c r="U25" s="160">
        <f t="shared" si="2"/>
        <v>3.4055555555555554</v>
      </c>
      <c r="V25" s="160">
        <f t="shared" si="2"/>
        <v>3.4055555555555554</v>
      </c>
      <c r="W25" s="160">
        <f t="shared" si="2"/>
        <v>3.4055555555555554</v>
      </c>
      <c r="X25" s="160">
        <f t="shared" si="2"/>
        <v>3.4055555555555554</v>
      </c>
      <c r="Y25" s="160">
        <f t="shared" si="2"/>
        <v>3.4055555555555554</v>
      </c>
      <c r="Z25" s="160">
        <f t="shared" si="2"/>
        <v>3.4055555555555554</v>
      </c>
      <c r="AA25" s="160">
        <f t="shared" si="2"/>
        <v>3.4055555555555554</v>
      </c>
      <c r="AB25" s="160">
        <f t="shared" si="2"/>
        <v>3.4055555555555554</v>
      </c>
      <c r="AC25" s="160">
        <f t="shared" si="2"/>
        <v>3.4055555555555554</v>
      </c>
      <c r="AD25" s="160">
        <f t="shared" si="2"/>
        <v>3.4055555555555554</v>
      </c>
      <c r="AE25" s="160">
        <f t="shared" si="2"/>
        <v>3.4055555555555554</v>
      </c>
      <c r="AF25" s="160">
        <f t="shared" si="2"/>
        <v>3.4055555555555554</v>
      </c>
      <c r="AG25" s="160">
        <f t="shared" si="2"/>
        <v>3.4055555555555554</v>
      </c>
      <c r="AH25" s="160">
        <f t="shared" si="2"/>
        <v>3.4055555555555554</v>
      </c>
      <c r="AI25" s="160">
        <f t="shared" si="2"/>
        <v>3.4055555555555554</v>
      </c>
      <c r="AJ25" s="160">
        <f t="shared" si="2"/>
        <v>3.4055555555555554</v>
      </c>
      <c r="AK25" s="160">
        <f t="shared" si="2"/>
        <v>3.4055555555555554</v>
      </c>
      <c r="AL25" s="160">
        <f t="shared" si="2"/>
        <v>3.4055555555555554</v>
      </c>
      <c r="AM25" s="160">
        <f t="shared" si="2"/>
        <v>3.4055555555555554</v>
      </c>
      <c r="AN25" s="160">
        <f t="shared" si="2"/>
        <v>3.4055555555555554</v>
      </c>
      <c r="AO25" s="160">
        <f t="shared" si="2"/>
        <v>3.4055555555555554</v>
      </c>
      <c r="AP25" s="160">
        <f t="shared" si="2"/>
        <v>3.4055555555555554</v>
      </c>
      <c r="AQ25" s="160">
        <f t="shared" si="2"/>
        <v>3.4055555555555554</v>
      </c>
      <c r="AR25" s="160">
        <f t="shared" si="2"/>
        <v>3.4055555555555554</v>
      </c>
      <c r="AS25" s="160">
        <f t="shared" si="2"/>
        <v>3.4055555555555554</v>
      </c>
      <c r="AT25" s="160">
        <f t="shared" si="2"/>
        <v>3.4055555555555554</v>
      </c>
      <c r="AU25" s="160">
        <f t="shared" si="2"/>
        <v>3.4055555555555554</v>
      </c>
      <c r="AV25" s="160">
        <f t="shared" si="2"/>
        <v>3.4055555555555554</v>
      </c>
      <c r="AW25" s="160">
        <f t="shared" si="2"/>
        <v>3.4055555555555554</v>
      </c>
      <c r="AX25" s="160">
        <f t="shared" si="2"/>
        <v>3.4055555555555554</v>
      </c>
      <c r="AY25" s="160">
        <f t="shared" si="2"/>
        <v>3.4055555555555554</v>
      </c>
    </row>
    <row r="26" spans="1:51" s="160" customFormat="1" ht="11.4" x14ac:dyDescent="0.4">
      <c r="A26" s="158" t="s">
        <v>138</v>
      </c>
      <c r="B26" s="160">
        <f>$C$9+$E$10*$C$10</f>
        <v>4.1364222222222224</v>
      </c>
      <c r="C26" s="160">
        <f t="shared" ref="C26:AY26" si="3">$C$9+$E$10*$C$10</f>
        <v>4.1364222222222224</v>
      </c>
      <c r="D26" s="160">
        <f t="shared" si="3"/>
        <v>4.1364222222222224</v>
      </c>
      <c r="E26" s="160">
        <f t="shared" si="3"/>
        <v>4.1364222222222224</v>
      </c>
      <c r="F26" s="160">
        <f t="shared" si="3"/>
        <v>4.1364222222222224</v>
      </c>
      <c r="G26" s="160">
        <f t="shared" si="3"/>
        <v>4.1364222222222224</v>
      </c>
      <c r="H26" s="160">
        <f t="shared" si="3"/>
        <v>4.1364222222222224</v>
      </c>
      <c r="I26" s="160">
        <f t="shared" si="3"/>
        <v>4.1364222222222224</v>
      </c>
      <c r="J26" s="160">
        <f t="shared" si="3"/>
        <v>4.1364222222222224</v>
      </c>
      <c r="K26" s="160">
        <f t="shared" si="3"/>
        <v>4.1364222222222224</v>
      </c>
      <c r="L26" s="160">
        <f t="shared" si="3"/>
        <v>4.1364222222222224</v>
      </c>
      <c r="M26" s="160">
        <f t="shared" si="3"/>
        <v>4.1364222222222224</v>
      </c>
      <c r="N26" s="160">
        <f t="shared" si="3"/>
        <v>4.1364222222222224</v>
      </c>
      <c r="O26" s="160">
        <f t="shared" si="3"/>
        <v>4.1364222222222224</v>
      </c>
      <c r="P26" s="160">
        <f t="shared" si="3"/>
        <v>4.1364222222222224</v>
      </c>
      <c r="Q26" s="160">
        <f t="shared" si="3"/>
        <v>4.1364222222222224</v>
      </c>
      <c r="R26" s="160">
        <f t="shared" si="3"/>
        <v>4.1364222222222224</v>
      </c>
      <c r="S26" s="160">
        <f t="shared" si="3"/>
        <v>4.1364222222222224</v>
      </c>
      <c r="T26" s="160">
        <f t="shared" si="3"/>
        <v>4.1364222222222224</v>
      </c>
      <c r="U26" s="160">
        <f t="shared" si="3"/>
        <v>4.1364222222222224</v>
      </c>
      <c r="V26" s="160">
        <f t="shared" si="3"/>
        <v>4.1364222222222224</v>
      </c>
      <c r="W26" s="160">
        <f t="shared" si="3"/>
        <v>4.1364222222222224</v>
      </c>
      <c r="X26" s="160">
        <f t="shared" si="3"/>
        <v>4.1364222222222224</v>
      </c>
      <c r="Y26" s="160">
        <f t="shared" si="3"/>
        <v>4.1364222222222224</v>
      </c>
      <c r="Z26" s="160">
        <f t="shared" si="3"/>
        <v>4.1364222222222224</v>
      </c>
      <c r="AA26" s="160">
        <f t="shared" si="3"/>
        <v>4.1364222222222224</v>
      </c>
      <c r="AB26" s="160">
        <f t="shared" si="3"/>
        <v>4.1364222222222224</v>
      </c>
      <c r="AC26" s="160">
        <f t="shared" si="3"/>
        <v>4.1364222222222224</v>
      </c>
      <c r="AD26" s="160">
        <f t="shared" si="3"/>
        <v>4.1364222222222224</v>
      </c>
      <c r="AE26" s="160">
        <f t="shared" si="3"/>
        <v>4.1364222222222224</v>
      </c>
      <c r="AF26" s="160">
        <f t="shared" si="3"/>
        <v>4.1364222222222224</v>
      </c>
      <c r="AG26" s="160">
        <f t="shared" si="3"/>
        <v>4.1364222222222224</v>
      </c>
      <c r="AH26" s="160">
        <f t="shared" si="3"/>
        <v>4.1364222222222224</v>
      </c>
      <c r="AI26" s="160">
        <f t="shared" si="3"/>
        <v>4.1364222222222224</v>
      </c>
      <c r="AJ26" s="160">
        <f t="shared" si="3"/>
        <v>4.1364222222222224</v>
      </c>
      <c r="AK26" s="160">
        <f t="shared" si="3"/>
        <v>4.1364222222222224</v>
      </c>
      <c r="AL26" s="160">
        <f t="shared" si="3"/>
        <v>4.1364222222222224</v>
      </c>
      <c r="AM26" s="160">
        <f t="shared" si="3"/>
        <v>4.1364222222222224</v>
      </c>
      <c r="AN26" s="160">
        <f t="shared" si="3"/>
        <v>4.1364222222222224</v>
      </c>
      <c r="AO26" s="160">
        <f t="shared" si="3"/>
        <v>4.1364222222222224</v>
      </c>
      <c r="AP26" s="160">
        <f t="shared" si="3"/>
        <v>4.1364222222222224</v>
      </c>
      <c r="AQ26" s="160">
        <f t="shared" si="3"/>
        <v>4.1364222222222224</v>
      </c>
      <c r="AR26" s="160">
        <f t="shared" si="3"/>
        <v>4.1364222222222224</v>
      </c>
      <c r="AS26" s="160">
        <f t="shared" si="3"/>
        <v>4.1364222222222224</v>
      </c>
      <c r="AT26" s="160">
        <f t="shared" si="3"/>
        <v>4.1364222222222224</v>
      </c>
      <c r="AU26" s="160">
        <f t="shared" si="3"/>
        <v>4.1364222222222224</v>
      </c>
      <c r="AV26" s="160">
        <f t="shared" si="3"/>
        <v>4.1364222222222224</v>
      </c>
      <c r="AW26" s="160">
        <f t="shared" si="3"/>
        <v>4.1364222222222224</v>
      </c>
      <c r="AX26" s="160">
        <f t="shared" si="3"/>
        <v>4.1364222222222224</v>
      </c>
      <c r="AY26" s="160">
        <f t="shared" si="3"/>
        <v>4.1364222222222224</v>
      </c>
    </row>
    <row r="28" spans="1:51" s="160" customFormat="1" ht="11.4" x14ac:dyDescent="0.4">
      <c r="A28" s="158" t="s">
        <v>139</v>
      </c>
      <c r="B28" s="160">
        <f>IF(B13&lt;&gt;"",MAX(B13:B22)-MIN(B13:B22),NA())</f>
        <v>1.4</v>
      </c>
      <c r="C28" s="160">
        <f t="shared" ref="C28:Z28" si="4">IF(C13&lt;&gt;"",MAX(C13:C22)-MIN(C13:C22),NA())</f>
        <v>1.3000000000000003</v>
      </c>
      <c r="D28" s="160">
        <f t="shared" si="4"/>
        <v>1.4</v>
      </c>
      <c r="E28" s="160">
        <f t="shared" si="4"/>
        <v>2.1</v>
      </c>
      <c r="F28" s="160">
        <f t="shared" si="4"/>
        <v>0.59999999999999964</v>
      </c>
      <c r="G28" s="160">
        <f t="shared" si="4"/>
        <v>1.4</v>
      </c>
      <c r="H28" s="160">
        <f t="shared" si="4"/>
        <v>1.1000000000000001</v>
      </c>
      <c r="I28" s="160">
        <f t="shared" si="4"/>
        <v>1.4</v>
      </c>
      <c r="J28" s="160">
        <f t="shared" si="4"/>
        <v>1.4</v>
      </c>
      <c r="K28" s="160">
        <f t="shared" si="4"/>
        <v>1.4</v>
      </c>
      <c r="L28" s="160">
        <f t="shared" si="4"/>
        <v>2.1</v>
      </c>
      <c r="M28" s="160">
        <f t="shared" si="4"/>
        <v>0.5</v>
      </c>
      <c r="N28" s="160">
        <f t="shared" si="4"/>
        <v>0.59999999999999964</v>
      </c>
      <c r="O28" s="160">
        <f t="shared" si="4"/>
        <v>1.3000000000000003</v>
      </c>
      <c r="P28" s="160">
        <f t="shared" si="4"/>
        <v>0.5</v>
      </c>
      <c r="Q28" s="160">
        <f t="shared" si="4"/>
        <v>2.1</v>
      </c>
      <c r="R28" s="160">
        <f t="shared" si="4"/>
        <v>1.4</v>
      </c>
      <c r="S28" s="160">
        <f t="shared" si="4"/>
        <v>0.79999999999999982</v>
      </c>
      <c r="T28" s="160" t="e">
        <f t="shared" si="4"/>
        <v>#N/A</v>
      </c>
      <c r="U28" s="160" t="e">
        <f t="shared" si="4"/>
        <v>#N/A</v>
      </c>
      <c r="V28" s="160" t="e">
        <f t="shared" si="4"/>
        <v>#N/A</v>
      </c>
      <c r="W28" s="160" t="e">
        <f t="shared" si="4"/>
        <v>#N/A</v>
      </c>
      <c r="X28" s="160" t="e">
        <f t="shared" si="4"/>
        <v>#N/A</v>
      </c>
      <c r="Y28" s="160" t="e">
        <f t="shared" si="4"/>
        <v>#N/A</v>
      </c>
      <c r="Z28" s="160" t="e">
        <f t="shared" si="4"/>
        <v>#N/A</v>
      </c>
      <c r="AA28" s="160" t="e">
        <f>IF(AA13&lt;&gt;"",MAX(AA13:AA22)-MIN(AA13:AA22),NA())</f>
        <v>#N/A</v>
      </c>
      <c r="AB28" s="160" t="e">
        <f>IF(AB13&lt;&gt;"",MAX(AB13:AB22)-MIN(AB13:AB22),NA())</f>
        <v>#N/A</v>
      </c>
      <c r="AC28" s="160" t="e">
        <f>IF(AC13&lt;&gt;"",MAX(AC13:AC22)-MIN(AC13:AC22),NA())</f>
        <v>#N/A</v>
      </c>
      <c r="AD28" s="160" t="e">
        <f>IF(AD13&lt;&gt;"",MAX(AD13:AD22)-MIN(AD13:AD22),NA())</f>
        <v>#N/A</v>
      </c>
      <c r="AE28" s="160" t="e">
        <f>IF(AE13&lt;&gt;"",MAX(AE13:AE22)-MIN(AE13:AE22),NA())</f>
        <v>#N/A</v>
      </c>
      <c r="AF28" s="160" t="e">
        <f t="shared" ref="AF28:AY28" si="5">IF(AF13&lt;&gt;"",MAX(AF13:AF22)-MIN(AF13:AF22),NA())</f>
        <v>#N/A</v>
      </c>
      <c r="AG28" s="160" t="e">
        <f t="shared" si="5"/>
        <v>#N/A</v>
      </c>
      <c r="AH28" s="160" t="e">
        <f t="shared" si="5"/>
        <v>#N/A</v>
      </c>
      <c r="AI28" s="160" t="e">
        <f t="shared" si="5"/>
        <v>#N/A</v>
      </c>
      <c r="AJ28" s="160" t="e">
        <f t="shared" si="5"/>
        <v>#N/A</v>
      </c>
      <c r="AK28" s="160" t="e">
        <f t="shared" si="5"/>
        <v>#N/A</v>
      </c>
      <c r="AL28" s="160" t="e">
        <f t="shared" si="5"/>
        <v>#N/A</v>
      </c>
      <c r="AM28" s="160" t="e">
        <f t="shared" si="5"/>
        <v>#N/A</v>
      </c>
      <c r="AN28" s="160" t="e">
        <f t="shared" si="5"/>
        <v>#N/A</v>
      </c>
      <c r="AO28" s="160" t="e">
        <f t="shared" si="5"/>
        <v>#N/A</v>
      </c>
      <c r="AP28" s="160" t="e">
        <f t="shared" si="5"/>
        <v>#N/A</v>
      </c>
      <c r="AQ28" s="160" t="e">
        <f t="shared" si="5"/>
        <v>#N/A</v>
      </c>
      <c r="AR28" s="160" t="e">
        <f t="shared" si="5"/>
        <v>#N/A</v>
      </c>
      <c r="AS28" s="160" t="e">
        <f t="shared" si="5"/>
        <v>#N/A</v>
      </c>
      <c r="AT28" s="160" t="e">
        <f t="shared" si="5"/>
        <v>#N/A</v>
      </c>
      <c r="AU28" s="160" t="e">
        <f t="shared" si="5"/>
        <v>#N/A</v>
      </c>
      <c r="AV28" s="160" t="e">
        <f t="shared" si="5"/>
        <v>#N/A</v>
      </c>
      <c r="AW28" s="160" t="e">
        <f t="shared" si="5"/>
        <v>#N/A</v>
      </c>
      <c r="AX28" s="160" t="e">
        <f t="shared" si="5"/>
        <v>#N/A</v>
      </c>
      <c r="AY28" s="160" t="e">
        <f t="shared" si="5"/>
        <v>#N/A</v>
      </c>
    </row>
    <row r="29" spans="1:51" s="160" customFormat="1" ht="11.4" x14ac:dyDescent="0.4">
      <c r="A29" s="158" t="s">
        <v>140</v>
      </c>
      <c r="B29" s="160">
        <f>$F$10*$C$10</f>
        <v>0</v>
      </c>
      <c r="C29" s="160">
        <f t="shared" ref="C29:AY29" si="6">$F$10*$C$10</f>
        <v>0</v>
      </c>
      <c r="D29" s="160">
        <f t="shared" si="6"/>
        <v>0</v>
      </c>
      <c r="E29" s="160">
        <f t="shared" si="6"/>
        <v>0</v>
      </c>
      <c r="F29" s="160">
        <f t="shared" si="6"/>
        <v>0</v>
      </c>
      <c r="G29" s="160">
        <f t="shared" si="6"/>
        <v>0</v>
      </c>
      <c r="H29" s="160">
        <f t="shared" si="6"/>
        <v>0</v>
      </c>
      <c r="I29" s="160">
        <f t="shared" si="6"/>
        <v>0</v>
      </c>
      <c r="J29" s="160">
        <f t="shared" si="6"/>
        <v>0</v>
      </c>
      <c r="K29" s="160">
        <f t="shared" si="6"/>
        <v>0</v>
      </c>
      <c r="L29" s="160">
        <f t="shared" si="6"/>
        <v>0</v>
      </c>
      <c r="M29" s="160">
        <f t="shared" si="6"/>
        <v>0</v>
      </c>
      <c r="N29" s="160">
        <f t="shared" si="6"/>
        <v>0</v>
      </c>
      <c r="O29" s="160">
        <f t="shared" si="6"/>
        <v>0</v>
      </c>
      <c r="P29" s="160">
        <f t="shared" si="6"/>
        <v>0</v>
      </c>
      <c r="Q29" s="160">
        <f t="shared" si="6"/>
        <v>0</v>
      </c>
      <c r="R29" s="160">
        <f t="shared" si="6"/>
        <v>0</v>
      </c>
      <c r="S29" s="160">
        <f t="shared" si="6"/>
        <v>0</v>
      </c>
      <c r="T29" s="160">
        <f t="shared" si="6"/>
        <v>0</v>
      </c>
      <c r="U29" s="160">
        <f t="shared" si="6"/>
        <v>0</v>
      </c>
      <c r="V29" s="160">
        <f t="shared" si="6"/>
        <v>0</v>
      </c>
      <c r="W29" s="160">
        <f t="shared" si="6"/>
        <v>0</v>
      </c>
      <c r="X29" s="160">
        <f t="shared" si="6"/>
        <v>0</v>
      </c>
      <c r="Y29" s="160">
        <f t="shared" si="6"/>
        <v>0</v>
      </c>
      <c r="Z29" s="160">
        <f t="shared" si="6"/>
        <v>0</v>
      </c>
      <c r="AA29" s="160">
        <f t="shared" si="6"/>
        <v>0</v>
      </c>
      <c r="AB29" s="160">
        <f t="shared" si="6"/>
        <v>0</v>
      </c>
      <c r="AC29" s="160">
        <f t="shared" si="6"/>
        <v>0</v>
      </c>
      <c r="AD29" s="160">
        <f t="shared" si="6"/>
        <v>0</v>
      </c>
      <c r="AE29" s="160">
        <f t="shared" si="6"/>
        <v>0</v>
      </c>
      <c r="AF29" s="160">
        <f t="shared" si="6"/>
        <v>0</v>
      </c>
      <c r="AG29" s="160">
        <f t="shared" si="6"/>
        <v>0</v>
      </c>
      <c r="AH29" s="160">
        <f t="shared" si="6"/>
        <v>0</v>
      </c>
      <c r="AI29" s="160">
        <f t="shared" si="6"/>
        <v>0</v>
      </c>
      <c r="AJ29" s="160">
        <f t="shared" si="6"/>
        <v>0</v>
      </c>
      <c r="AK29" s="160">
        <f t="shared" si="6"/>
        <v>0</v>
      </c>
      <c r="AL29" s="160">
        <f t="shared" si="6"/>
        <v>0</v>
      </c>
      <c r="AM29" s="160">
        <f t="shared" si="6"/>
        <v>0</v>
      </c>
      <c r="AN29" s="160">
        <f t="shared" si="6"/>
        <v>0</v>
      </c>
      <c r="AO29" s="160">
        <f t="shared" si="6"/>
        <v>0</v>
      </c>
      <c r="AP29" s="160">
        <f t="shared" si="6"/>
        <v>0</v>
      </c>
      <c r="AQ29" s="160">
        <f t="shared" si="6"/>
        <v>0</v>
      </c>
      <c r="AR29" s="160">
        <f t="shared" si="6"/>
        <v>0</v>
      </c>
      <c r="AS29" s="160">
        <f t="shared" si="6"/>
        <v>0</v>
      </c>
      <c r="AT29" s="160">
        <f t="shared" si="6"/>
        <v>0</v>
      </c>
      <c r="AU29" s="160">
        <f t="shared" si="6"/>
        <v>0</v>
      </c>
      <c r="AV29" s="160">
        <f t="shared" si="6"/>
        <v>0</v>
      </c>
      <c r="AW29" s="160">
        <f t="shared" si="6"/>
        <v>0</v>
      </c>
      <c r="AX29" s="160">
        <f t="shared" si="6"/>
        <v>0</v>
      </c>
      <c r="AY29" s="160">
        <f t="shared" si="6"/>
        <v>0</v>
      </c>
    </row>
    <row r="30" spans="1:51" s="160" customFormat="1" ht="11.4" x14ac:dyDescent="0.4">
      <c r="A30" s="158" t="s">
        <v>137</v>
      </c>
      <c r="B30" s="160">
        <f t="shared" ref="B30:Y30" si="7">$C$10</f>
        <v>1.2666666666666668</v>
      </c>
      <c r="C30" s="160">
        <f t="shared" si="7"/>
        <v>1.2666666666666668</v>
      </c>
      <c r="D30" s="160">
        <f t="shared" si="7"/>
        <v>1.2666666666666668</v>
      </c>
      <c r="E30" s="160">
        <f t="shared" si="7"/>
        <v>1.2666666666666668</v>
      </c>
      <c r="F30" s="160">
        <f t="shared" si="7"/>
        <v>1.2666666666666668</v>
      </c>
      <c r="G30" s="160">
        <f t="shared" si="7"/>
        <v>1.2666666666666668</v>
      </c>
      <c r="H30" s="160">
        <f t="shared" si="7"/>
        <v>1.2666666666666668</v>
      </c>
      <c r="I30" s="160">
        <f t="shared" si="7"/>
        <v>1.2666666666666668</v>
      </c>
      <c r="J30" s="160">
        <f t="shared" si="7"/>
        <v>1.2666666666666668</v>
      </c>
      <c r="K30" s="160">
        <f t="shared" si="7"/>
        <v>1.2666666666666668</v>
      </c>
      <c r="L30" s="160">
        <f t="shared" si="7"/>
        <v>1.2666666666666668</v>
      </c>
      <c r="M30" s="160">
        <f t="shared" si="7"/>
        <v>1.2666666666666668</v>
      </c>
      <c r="N30" s="160">
        <f t="shared" si="7"/>
        <v>1.2666666666666668</v>
      </c>
      <c r="O30" s="160">
        <f t="shared" si="7"/>
        <v>1.2666666666666668</v>
      </c>
      <c r="P30" s="160">
        <f t="shared" si="7"/>
        <v>1.2666666666666668</v>
      </c>
      <c r="Q30" s="160">
        <f t="shared" si="7"/>
        <v>1.2666666666666668</v>
      </c>
      <c r="R30" s="160">
        <f t="shared" si="7"/>
        <v>1.2666666666666668</v>
      </c>
      <c r="S30" s="160">
        <f t="shared" si="7"/>
        <v>1.2666666666666668</v>
      </c>
      <c r="T30" s="160">
        <f t="shared" si="7"/>
        <v>1.2666666666666668</v>
      </c>
      <c r="U30" s="160">
        <f t="shared" si="7"/>
        <v>1.2666666666666668</v>
      </c>
      <c r="V30" s="160">
        <f t="shared" si="7"/>
        <v>1.2666666666666668</v>
      </c>
      <c r="W30" s="160">
        <f t="shared" si="7"/>
        <v>1.2666666666666668</v>
      </c>
      <c r="X30" s="160">
        <f t="shared" si="7"/>
        <v>1.2666666666666668</v>
      </c>
      <c r="Y30" s="160">
        <f t="shared" si="7"/>
        <v>1.2666666666666668</v>
      </c>
      <c r="Z30" s="160">
        <f>$C$10</f>
        <v>1.2666666666666668</v>
      </c>
      <c r="AA30" s="160">
        <f t="shared" ref="AA30:AY30" si="8">$C$10</f>
        <v>1.2666666666666668</v>
      </c>
      <c r="AB30" s="160">
        <f t="shared" si="8"/>
        <v>1.2666666666666668</v>
      </c>
      <c r="AC30" s="160">
        <f t="shared" si="8"/>
        <v>1.2666666666666668</v>
      </c>
      <c r="AD30" s="160">
        <f t="shared" si="8"/>
        <v>1.2666666666666668</v>
      </c>
      <c r="AE30" s="160">
        <f t="shared" si="8"/>
        <v>1.2666666666666668</v>
      </c>
      <c r="AF30" s="160">
        <f t="shared" si="8"/>
        <v>1.2666666666666668</v>
      </c>
      <c r="AG30" s="160">
        <f t="shared" si="8"/>
        <v>1.2666666666666668</v>
      </c>
      <c r="AH30" s="160">
        <f t="shared" si="8"/>
        <v>1.2666666666666668</v>
      </c>
      <c r="AI30" s="160">
        <f t="shared" si="8"/>
        <v>1.2666666666666668</v>
      </c>
      <c r="AJ30" s="160">
        <f t="shared" si="8"/>
        <v>1.2666666666666668</v>
      </c>
      <c r="AK30" s="160">
        <f t="shared" si="8"/>
        <v>1.2666666666666668</v>
      </c>
      <c r="AL30" s="160">
        <f t="shared" si="8"/>
        <v>1.2666666666666668</v>
      </c>
      <c r="AM30" s="160">
        <f t="shared" si="8"/>
        <v>1.2666666666666668</v>
      </c>
      <c r="AN30" s="160">
        <f t="shared" si="8"/>
        <v>1.2666666666666668</v>
      </c>
      <c r="AO30" s="160">
        <f t="shared" si="8"/>
        <v>1.2666666666666668</v>
      </c>
      <c r="AP30" s="160">
        <f t="shared" si="8"/>
        <v>1.2666666666666668</v>
      </c>
      <c r="AQ30" s="160">
        <f t="shared" si="8"/>
        <v>1.2666666666666668</v>
      </c>
      <c r="AR30" s="160">
        <f t="shared" si="8"/>
        <v>1.2666666666666668</v>
      </c>
      <c r="AS30" s="160">
        <f t="shared" si="8"/>
        <v>1.2666666666666668</v>
      </c>
      <c r="AT30" s="160">
        <f t="shared" si="8"/>
        <v>1.2666666666666668</v>
      </c>
      <c r="AU30" s="160">
        <f t="shared" si="8"/>
        <v>1.2666666666666668</v>
      </c>
      <c r="AV30" s="160">
        <f t="shared" si="8"/>
        <v>1.2666666666666668</v>
      </c>
      <c r="AW30" s="160">
        <f t="shared" si="8"/>
        <v>1.2666666666666668</v>
      </c>
      <c r="AX30" s="160">
        <f t="shared" si="8"/>
        <v>1.2666666666666668</v>
      </c>
      <c r="AY30" s="160">
        <f t="shared" si="8"/>
        <v>1.2666666666666668</v>
      </c>
    </row>
    <row r="31" spans="1:51" s="160" customFormat="1" ht="11.4" x14ac:dyDescent="0.4">
      <c r="A31" s="158" t="s">
        <v>141</v>
      </c>
      <c r="B31" s="160">
        <f>$G$10*$C$10</f>
        <v>2.6777333333333337</v>
      </c>
      <c r="C31" s="160">
        <f t="shared" ref="C31:AY31" si="9">$G$10*$C$10</f>
        <v>2.6777333333333337</v>
      </c>
      <c r="D31" s="160">
        <f t="shared" si="9"/>
        <v>2.6777333333333337</v>
      </c>
      <c r="E31" s="160">
        <f t="shared" si="9"/>
        <v>2.6777333333333337</v>
      </c>
      <c r="F31" s="160">
        <f t="shared" si="9"/>
        <v>2.6777333333333337</v>
      </c>
      <c r="G31" s="160">
        <f t="shared" si="9"/>
        <v>2.6777333333333337</v>
      </c>
      <c r="H31" s="160">
        <f t="shared" si="9"/>
        <v>2.6777333333333337</v>
      </c>
      <c r="I31" s="160">
        <f t="shared" si="9"/>
        <v>2.6777333333333337</v>
      </c>
      <c r="J31" s="160">
        <f t="shared" si="9"/>
        <v>2.6777333333333337</v>
      </c>
      <c r="K31" s="160">
        <f t="shared" si="9"/>
        <v>2.6777333333333337</v>
      </c>
      <c r="L31" s="160">
        <f t="shared" si="9"/>
        <v>2.6777333333333337</v>
      </c>
      <c r="M31" s="160">
        <f t="shared" si="9"/>
        <v>2.6777333333333337</v>
      </c>
      <c r="N31" s="160">
        <f t="shared" si="9"/>
        <v>2.6777333333333337</v>
      </c>
      <c r="O31" s="160">
        <f t="shared" si="9"/>
        <v>2.6777333333333337</v>
      </c>
      <c r="P31" s="160">
        <f t="shared" si="9"/>
        <v>2.6777333333333337</v>
      </c>
      <c r="Q31" s="160">
        <f t="shared" si="9"/>
        <v>2.6777333333333337</v>
      </c>
      <c r="R31" s="160">
        <f t="shared" si="9"/>
        <v>2.6777333333333337</v>
      </c>
      <c r="S31" s="160">
        <f t="shared" si="9"/>
        <v>2.6777333333333337</v>
      </c>
      <c r="T31" s="160">
        <f t="shared" si="9"/>
        <v>2.6777333333333337</v>
      </c>
      <c r="U31" s="160">
        <f t="shared" si="9"/>
        <v>2.6777333333333337</v>
      </c>
      <c r="V31" s="160">
        <f t="shared" si="9"/>
        <v>2.6777333333333337</v>
      </c>
      <c r="W31" s="160">
        <f t="shared" si="9"/>
        <v>2.6777333333333337</v>
      </c>
      <c r="X31" s="160">
        <f t="shared" si="9"/>
        <v>2.6777333333333337</v>
      </c>
      <c r="Y31" s="160">
        <f t="shared" si="9"/>
        <v>2.6777333333333337</v>
      </c>
      <c r="Z31" s="160">
        <f t="shared" si="9"/>
        <v>2.6777333333333337</v>
      </c>
      <c r="AA31" s="160">
        <f t="shared" si="9"/>
        <v>2.6777333333333337</v>
      </c>
      <c r="AB31" s="160">
        <f t="shared" si="9"/>
        <v>2.6777333333333337</v>
      </c>
      <c r="AC31" s="160">
        <f t="shared" si="9"/>
        <v>2.6777333333333337</v>
      </c>
      <c r="AD31" s="160">
        <f t="shared" si="9"/>
        <v>2.6777333333333337</v>
      </c>
      <c r="AE31" s="160">
        <f t="shared" si="9"/>
        <v>2.6777333333333337</v>
      </c>
      <c r="AF31" s="160">
        <f t="shared" si="9"/>
        <v>2.6777333333333337</v>
      </c>
      <c r="AG31" s="160">
        <f t="shared" si="9"/>
        <v>2.6777333333333337</v>
      </c>
      <c r="AH31" s="160">
        <f t="shared" si="9"/>
        <v>2.6777333333333337</v>
      </c>
      <c r="AI31" s="160">
        <f t="shared" si="9"/>
        <v>2.6777333333333337</v>
      </c>
      <c r="AJ31" s="160">
        <f t="shared" si="9"/>
        <v>2.6777333333333337</v>
      </c>
      <c r="AK31" s="160">
        <f t="shared" si="9"/>
        <v>2.6777333333333337</v>
      </c>
      <c r="AL31" s="160">
        <f t="shared" si="9"/>
        <v>2.6777333333333337</v>
      </c>
      <c r="AM31" s="160">
        <f t="shared" si="9"/>
        <v>2.6777333333333337</v>
      </c>
      <c r="AN31" s="160">
        <f t="shared" si="9"/>
        <v>2.6777333333333337</v>
      </c>
      <c r="AO31" s="160">
        <f t="shared" si="9"/>
        <v>2.6777333333333337</v>
      </c>
      <c r="AP31" s="160">
        <f t="shared" si="9"/>
        <v>2.6777333333333337</v>
      </c>
      <c r="AQ31" s="160">
        <f t="shared" si="9"/>
        <v>2.6777333333333337</v>
      </c>
      <c r="AR31" s="160">
        <f t="shared" si="9"/>
        <v>2.6777333333333337</v>
      </c>
      <c r="AS31" s="160">
        <f t="shared" si="9"/>
        <v>2.6777333333333337</v>
      </c>
      <c r="AT31" s="160">
        <f t="shared" si="9"/>
        <v>2.6777333333333337</v>
      </c>
      <c r="AU31" s="160">
        <f t="shared" si="9"/>
        <v>2.6777333333333337</v>
      </c>
      <c r="AV31" s="160">
        <f t="shared" si="9"/>
        <v>2.6777333333333337</v>
      </c>
      <c r="AW31" s="160">
        <f t="shared" si="9"/>
        <v>2.6777333333333337</v>
      </c>
      <c r="AX31" s="160">
        <f t="shared" si="9"/>
        <v>2.6777333333333337</v>
      </c>
      <c r="AY31" s="160">
        <f t="shared" si="9"/>
        <v>2.6777333333333337</v>
      </c>
    </row>
    <row r="55" spans="1:8" ht="12.6" thickBot="1" x14ac:dyDescent="0.45">
      <c r="A55" s="161" t="s">
        <v>142</v>
      </c>
    </row>
    <row r="56" spans="1:8" x14ac:dyDescent="0.4">
      <c r="A56" s="162"/>
      <c r="B56" s="670" t="s">
        <v>143</v>
      </c>
      <c r="C56" s="670"/>
      <c r="D56" s="670"/>
      <c r="E56" s="670"/>
      <c r="F56" s="670"/>
      <c r="G56" s="670"/>
      <c r="H56" s="671"/>
    </row>
    <row r="57" spans="1:8" x14ac:dyDescent="0.4">
      <c r="A57" s="163" t="s">
        <v>144</v>
      </c>
      <c r="B57" s="164" t="s">
        <v>130</v>
      </c>
      <c r="C57" s="164" t="s">
        <v>131</v>
      </c>
      <c r="D57" s="164" t="s">
        <v>132</v>
      </c>
      <c r="E57" s="164" t="s">
        <v>133</v>
      </c>
      <c r="F57" s="164" t="s">
        <v>145</v>
      </c>
      <c r="G57" s="164" t="s">
        <v>146</v>
      </c>
      <c r="H57" s="165" t="s">
        <v>147</v>
      </c>
    </row>
    <row r="58" spans="1:8" x14ac:dyDescent="0.4">
      <c r="A58" s="166">
        <v>2</v>
      </c>
      <c r="B58" s="44">
        <v>1.88</v>
      </c>
      <c r="C58" s="44">
        <v>0</v>
      </c>
      <c r="D58" s="44">
        <v>3.2669999999999999</v>
      </c>
      <c r="E58" s="44">
        <v>1.1279999999999999</v>
      </c>
      <c r="F58" s="44">
        <v>2.6589999999999998</v>
      </c>
      <c r="G58" s="44">
        <v>0</v>
      </c>
      <c r="H58" s="167">
        <v>3.2669999999999999</v>
      </c>
    </row>
    <row r="59" spans="1:8" x14ac:dyDescent="0.4">
      <c r="A59" s="166">
        <v>3</v>
      </c>
      <c r="B59" s="44">
        <v>1.0229999999999999</v>
      </c>
      <c r="C59" s="44">
        <v>0</v>
      </c>
      <c r="D59" s="44">
        <v>2.5739999999999998</v>
      </c>
      <c r="E59" s="44">
        <v>1.6930000000000001</v>
      </c>
      <c r="F59" s="44">
        <v>1.954</v>
      </c>
      <c r="G59" s="44">
        <v>0</v>
      </c>
      <c r="H59" s="167">
        <v>2.5680000000000001</v>
      </c>
    </row>
    <row r="60" spans="1:8" x14ac:dyDescent="0.4">
      <c r="A60" s="166">
        <v>4</v>
      </c>
      <c r="B60" s="44">
        <v>0.72899999999999998</v>
      </c>
      <c r="C60" s="44">
        <v>0</v>
      </c>
      <c r="D60" s="44">
        <v>2.282</v>
      </c>
      <c r="E60" s="44">
        <v>2.0590000000000002</v>
      </c>
      <c r="F60" s="44">
        <v>1.6279999999999999</v>
      </c>
      <c r="G60" s="44">
        <v>0</v>
      </c>
      <c r="H60" s="167">
        <v>2.266</v>
      </c>
    </row>
    <row r="61" spans="1:8" x14ac:dyDescent="0.4">
      <c r="A61" s="166">
        <v>5</v>
      </c>
      <c r="B61" s="44">
        <v>0.57699999999999996</v>
      </c>
      <c r="C61" s="44">
        <v>0</v>
      </c>
      <c r="D61" s="44">
        <v>2.1139999999999999</v>
      </c>
      <c r="E61" s="44">
        <v>2.3260000000000001</v>
      </c>
      <c r="F61" s="44">
        <v>1.427</v>
      </c>
      <c r="G61" s="44">
        <v>0</v>
      </c>
      <c r="H61" s="167">
        <v>2.089</v>
      </c>
    </row>
    <row r="62" spans="1:8" x14ac:dyDescent="0.4">
      <c r="A62" s="166">
        <v>6</v>
      </c>
      <c r="B62" s="44">
        <v>0.48299999999999998</v>
      </c>
      <c r="C62" s="44">
        <v>0</v>
      </c>
      <c r="D62" s="44">
        <v>2.004</v>
      </c>
      <c r="E62" s="44">
        <v>2.5339999999999998</v>
      </c>
      <c r="F62" s="44">
        <v>1.2869999999999999</v>
      </c>
      <c r="G62" s="44">
        <v>0.03</v>
      </c>
      <c r="H62" s="167">
        <v>1.97</v>
      </c>
    </row>
    <row r="63" spans="1:8" x14ac:dyDescent="0.4">
      <c r="A63" s="166">
        <v>7</v>
      </c>
      <c r="B63" s="44">
        <v>0.41899999999999998</v>
      </c>
      <c r="C63" s="44">
        <v>7.5999999999999998E-2</v>
      </c>
      <c r="D63" s="44">
        <v>1.9239999999999999</v>
      </c>
      <c r="E63" s="44">
        <v>2.7040000000000002</v>
      </c>
      <c r="F63" s="44">
        <v>1.1819999999999999</v>
      </c>
      <c r="G63" s="44">
        <v>0.11799999999999999</v>
      </c>
      <c r="H63" s="167">
        <v>1.8819999999999999</v>
      </c>
    </row>
    <row r="64" spans="1:8" x14ac:dyDescent="0.4">
      <c r="A64" s="166">
        <v>8</v>
      </c>
      <c r="B64" s="44">
        <v>0.373</v>
      </c>
      <c r="C64" s="44">
        <v>0.13600000000000001</v>
      </c>
      <c r="D64" s="44">
        <v>1.8640000000000001</v>
      </c>
      <c r="E64" s="44">
        <v>2.847</v>
      </c>
      <c r="F64" s="44">
        <v>1.099</v>
      </c>
      <c r="G64" s="44">
        <v>0.185</v>
      </c>
      <c r="H64" s="167">
        <v>1.8149999999999999</v>
      </c>
    </row>
    <row r="65" spans="1:8" x14ac:dyDescent="0.4">
      <c r="A65" s="166">
        <v>9</v>
      </c>
      <c r="B65" s="44">
        <v>0.33700000000000002</v>
      </c>
      <c r="C65" s="44">
        <v>0.184</v>
      </c>
      <c r="D65" s="44">
        <v>1.8160000000000001</v>
      </c>
      <c r="E65" s="44">
        <v>2.97</v>
      </c>
      <c r="F65" s="44">
        <v>1.032</v>
      </c>
      <c r="G65" s="44">
        <v>0.23899999999999999</v>
      </c>
      <c r="H65" s="167">
        <v>1.7609999999999999</v>
      </c>
    </row>
    <row r="66" spans="1:8" ht="12.6" thickBot="1" x14ac:dyDescent="0.45">
      <c r="A66" s="168">
        <v>10</v>
      </c>
      <c r="B66" s="169">
        <v>0.308</v>
      </c>
      <c r="C66" s="169">
        <v>0.223</v>
      </c>
      <c r="D66" s="169">
        <v>1.7769999999999999</v>
      </c>
      <c r="E66" s="169">
        <v>3.0779999999999998</v>
      </c>
      <c r="F66" s="169">
        <v>0.97499999999999998</v>
      </c>
      <c r="G66" s="169">
        <v>0.28399999999999997</v>
      </c>
      <c r="H66" s="170">
        <v>1.716</v>
      </c>
    </row>
  </sheetData>
  <mergeCells count="10">
    <mergeCell ref="C10:D10"/>
    <mergeCell ref="P10:Q10"/>
    <mergeCell ref="B56:H56"/>
    <mergeCell ref="Q2:T2"/>
    <mergeCell ref="A1:D1"/>
    <mergeCell ref="A7:C7"/>
    <mergeCell ref="P7:Q7"/>
    <mergeCell ref="P8:Q8"/>
    <mergeCell ref="C9:D9"/>
    <mergeCell ref="P9:Q9"/>
  </mergeCells>
  <dataValidations count="2">
    <dataValidation type="whole" allowBlank="1" showInputMessage="1" showErrorMessage="1" errorTitle="Input Error!" error="The sample size must be a whole number between 2 and 10." sqref="E7" xr:uid="{00000000-0002-0000-1C00-000000000000}">
      <formula1>2</formula1>
      <formula2>10</formula2>
    </dataValidation>
    <dataValidation type="whole" allowBlank="1" showInputMessage="1" showErrorMessage="1" errorTitle="Input Error!" error="The number of samples must be a whole number no greater than 50." sqref="E6" xr:uid="{00000000-0002-0000-1C00-000001000000}">
      <formula1>1</formula1>
      <formula2>50</formula2>
    </dataValidation>
  </dataValidations>
  <hyperlinks>
    <hyperlink ref="Q2" location="Menu!A1" display="Return to menu" xr:uid="{00000000-0004-0000-1C00-000000000000}"/>
  </hyperlinks>
  <pageMargins left="0.75" right="0.75" top="1" bottom="1" header="0.5" footer="0.5"/>
  <pageSetup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dimension ref="Q2:S2"/>
  <sheetViews>
    <sheetView workbookViewId="0">
      <selection activeCell="Q2" sqref="Q2:S2"/>
    </sheetView>
  </sheetViews>
  <sheetFormatPr defaultColWidth="9.1015625" defaultRowHeight="12.3" x14ac:dyDescent="0.4"/>
  <cols>
    <col min="1" max="16384" width="9.1015625" style="18"/>
  </cols>
  <sheetData>
    <row r="2" spans="17:19" ht="20.399999999999999" x14ac:dyDescent="0.75">
      <c r="Q2" s="598" t="s">
        <v>20</v>
      </c>
      <c r="R2" s="598"/>
      <c r="S2" s="598"/>
    </row>
  </sheetData>
  <mergeCells count="1">
    <mergeCell ref="Q2:S2"/>
  </mergeCells>
  <hyperlinks>
    <hyperlink ref="Q2" location="Menu!A1" display="Return to menu" xr:uid="{00000000-0004-0000-1D00-000000000000}"/>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7"/>
  <dimension ref="Q2:S2"/>
  <sheetViews>
    <sheetView workbookViewId="0">
      <selection activeCell="Q2" sqref="Q2:S2"/>
    </sheetView>
  </sheetViews>
  <sheetFormatPr defaultColWidth="9.1015625" defaultRowHeight="12.3" x14ac:dyDescent="0.4"/>
  <cols>
    <col min="1" max="16384" width="9.1015625" style="18"/>
  </cols>
  <sheetData>
    <row r="2" spans="17:19" ht="20.399999999999999" x14ac:dyDescent="0.75">
      <c r="Q2" s="598" t="s">
        <v>20</v>
      </c>
      <c r="R2" s="598"/>
      <c r="S2" s="598"/>
    </row>
  </sheetData>
  <mergeCells count="1">
    <mergeCell ref="Q2:S2"/>
  </mergeCells>
  <hyperlinks>
    <hyperlink ref="Q2" location="Menu!A1" display="Return to menu" xr:uid="{00000000-0004-0000-1E00-000000000000}"/>
  </hyperlinks>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dimension ref="A1:M84"/>
  <sheetViews>
    <sheetView zoomScale="90" workbookViewId="0">
      <selection activeCell="K1" sqref="K1:M1"/>
    </sheetView>
  </sheetViews>
  <sheetFormatPr defaultRowHeight="12.3" x14ac:dyDescent="0.4"/>
  <cols>
    <col min="1" max="1" width="11.89453125" style="18" customWidth="1"/>
    <col min="2" max="2" width="10.3671875" style="18" customWidth="1"/>
    <col min="3" max="3" width="8" style="18" bestFit="1" customWidth="1"/>
    <col min="4" max="4" width="8.89453125" style="18" customWidth="1"/>
    <col min="5" max="5" width="9.62890625" style="18" bestFit="1" customWidth="1"/>
    <col min="6" max="6" width="6.734375" style="18" customWidth="1"/>
    <col min="7" max="8" width="7" style="18" customWidth="1"/>
    <col min="9" max="256" width="9.1015625" style="18"/>
    <col min="257" max="257" width="11.89453125" style="18" customWidth="1"/>
    <col min="258" max="258" width="10.3671875" style="18" customWidth="1"/>
    <col min="259" max="259" width="8" style="18" bestFit="1" customWidth="1"/>
    <col min="260" max="260" width="8.89453125" style="18" customWidth="1"/>
    <col min="261" max="261" width="9.62890625" style="18" bestFit="1" customWidth="1"/>
    <col min="262" max="262" width="6.734375" style="18" customWidth="1"/>
    <col min="263" max="264" width="7" style="18" customWidth="1"/>
    <col min="265" max="512" width="9.1015625" style="18"/>
    <col min="513" max="513" width="11.89453125" style="18" customWidth="1"/>
    <col min="514" max="514" width="10.3671875" style="18" customWidth="1"/>
    <col min="515" max="515" width="8" style="18" bestFit="1" customWidth="1"/>
    <col min="516" max="516" width="8.89453125" style="18" customWidth="1"/>
    <col min="517" max="517" width="9.62890625" style="18" bestFit="1" customWidth="1"/>
    <col min="518" max="518" width="6.734375" style="18" customWidth="1"/>
    <col min="519" max="520" width="7" style="18" customWidth="1"/>
    <col min="521" max="768" width="9.1015625" style="18"/>
    <col min="769" max="769" width="11.89453125" style="18" customWidth="1"/>
    <col min="770" max="770" width="10.3671875" style="18" customWidth="1"/>
    <col min="771" max="771" width="8" style="18" bestFit="1" customWidth="1"/>
    <col min="772" max="772" width="8.89453125" style="18" customWidth="1"/>
    <col min="773" max="773" width="9.62890625" style="18" bestFit="1" customWidth="1"/>
    <col min="774" max="774" width="6.734375" style="18" customWidth="1"/>
    <col min="775" max="776" width="7" style="18" customWidth="1"/>
    <col min="777" max="1024" width="9.1015625" style="18"/>
    <col min="1025" max="1025" width="11.89453125" style="18" customWidth="1"/>
    <col min="1026" max="1026" width="10.3671875" style="18" customWidth="1"/>
    <col min="1027" max="1027" width="8" style="18" bestFit="1" customWidth="1"/>
    <col min="1028" max="1028" width="8.89453125" style="18" customWidth="1"/>
    <col min="1029" max="1029" width="9.62890625" style="18" bestFit="1" customWidth="1"/>
    <col min="1030" max="1030" width="6.734375" style="18" customWidth="1"/>
    <col min="1031" max="1032" width="7" style="18" customWidth="1"/>
    <col min="1033" max="1280" width="9.1015625" style="18"/>
    <col min="1281" max="1281" width="11.89453125" style="18" customWidth="1"/>
    <col min="1282" max="1282" width="10.3671875" style="18" customWidth="1"/>
    <col min="1283" max="1283" width="8" style="18" bestFit="1" customWidth="1"/>
    <col min="1284" max="1284" width="8.89453125" style="18" customWidth="1"/>
    <col min="1285" max="1285" width="9.62890625" style="18" bestFit="1" customWidth="1"/>
    <col min="1286" max="1286" width="6.734375" style="18" customWidth="1"/>
    <col min="1287" max="1288" width="7" style="18" customWidth="1"/>
    <col min="1289" max="1536" width="9.1015625" style="18"/>
    <col min="1537" max="1537" width="11.89453125" style="18" customWidth="1"/>
    <col min="1538" max="1538" width="10.3671875" style="18" customWidth="1"/>
    <col min="1539" max="1539" width="8" style="18" bestFit="1" customWidth="1"/>
    <col min="1540" max="1540" width="8.89453125" style="18" customWidth="1"/>
    <col min="1541" max="1541" width="9.62890625" style="18" bestFit="1" customWidth="1"/>
    <col min="1542" max="1542" width="6.734375" style="18" customWidth="1"/>
    <col min="1543" max="1544" width="7" style="18" customWidth="1"/>
    <col min="1545" max="1792" width="9.1015625" style="18"/>
    <col min="1793" max="1793" width="11.89453125" style="18" customWidth="1"/>
    <col min="1794" max="1794" width="10.3671875" style="18" customWidth="1"/>
    <col min="1795" max="1795" width="8" style="18" bestFit="1" customWidth="1"/>
    <col min="1796" max="1796" width="8.89453125" style="18" customWidth="1"/>
    <col min="1797" max="1797" width="9.62890625" style="18" bestFit="1" customWidth="1"/>
    <col min="1798" max="1798" width="6.734375" style="18" customWidth="1"/>
    <col min="1799" max="1800" width="7" style="18" customWidth="1"/>
    <col min="1801" max="2048" width="9.1015625" style="18"/>
    <col min="2049" max="2049" width="11.89453125" style="18" customWidth="1"/>
    <col min="2050" max="2050" width="10.3671875" style="18" customWidth="1"/>
    <col min="2051" max="2051" width="8" style="18" bestFit="1" customWidth="1"/>
    <col min="2052" max="2052" width="8.89453125" style="18" customWidth="1"/>
    <col min="2053" max="2053" width="9.62890625" style="18" bestFit="1" customWidth="1"/>
    <col min="2054" max="2054" width="6.734375" style="18" customWidth="1"/>
    <col min="2055" max="2056" width="7" style="18" customWidth="1"/>
    <col min="2057" max="2304" width="9.1015625" style="18"/>
    <col min="2305" max="2305" width="11.89453125" style="18" customWidth="1"/>
    <col min="2306" max="2306" width="10.3671875" style="18" customWidth="1"/>
    <col min="2307" max="2307" width="8" style="18" bestFit="1" customWidth="1"/>
    <col min="2308" max="2308" width="8.89453125" style="18" customWidth="1"/>
    <col min="2309" max="2309" width="9.62890625" style="18" bestFit="1" customWidth="1"/>
    <col min="2310" max="2310" width="6.734375" style="18" customWidth="1"/>
    <col min="2311" max="2312" width="7" style="18" customWidth="1"/>
    <col min="2313" max="2560" width="9.1015625" style="18"/>
    <col min="2561" max="2561" width="11.89453125" style="18" customWidth="1"/>
    <col min="2562" max="2562" width="10.3671875" style="18" customWidth="1"/>
    <col min="2563" max="2563" width="8" style="18" bestFit="1" customWidth="1"/>
    <col min="2564" max="2564" width="8.89453125" style="18" customWidth="1"/>
    <col min="2565" max="2565" width="9.62890625" style="18" bestFit="1" customWidth="1"/>
    <col min="2566" max="2566" width="6.734375" style="18" customWidth="1"/>
    <col min="2567" max="2568" width="7" style="18" customWidth="1"/>
    <col min="2569" max="2816" width="9.1015625" style="18"/>
    <col min="2817" max="2817" width="11.89453125" style="18" customWidth="1"/>
    <col min="2818" max="2818" width="10.3671875" style="18" customWidth="1"/>
    <col min="2819" max="2819" width="8" style="18" bestFit="1" customWidth="1"/>
    <col min="2820" max="2820" width="8.89453125" style="18" customWidth="1"/>
    <col min="2821" max="2821" width="9.62890625" style="18" bestFit="1" customWidth="1"/>
    <col min="2822" max="2822" width="6.734375" style="18" customWidth="1"/>
    <col min="2823" max="2824" width="7" style="18" customWidth="1"/>
    <col min="2825" max="3072" width="9.1015625" style="18"/>
    <col min="3073" max="3073" width="11.89453125" style="18" customWidth="1"/>
    <col min="3074" max="3074" width="10.3671875" style="18" customWidth="1"/>
    <col min="3075" max="3075" width="8" style="18" bestFit="1" customWidth="1"/>
    <col min="3076" max="3076" width="8.89453125" style="18" customWidth="1"/>
    <col min="3077" max="3077" width="9.62890625" style="18" bestFit="1" customWidth="1"/>
    <col min="3078" max="3078" width="6.734375" style="18" customWidth="1"/>
    <col min="3079" max="3080" width="7" style="18" customWidth="1"/>
    <col min="3081" max="3328" width="9.1015625" style="18"/>
    <col min="3329" max="3329" width="11.89453125" style="18" customWidth="1"/>
    <col min="3330" max="3330" width="10.3671875" style="18" customWidth="1"/>
    <col min="3331" max="3331" width="8" style="18" bestFit="1" customWidth="1"/>
    <col min="3332" max="3332" width="8.89453125" style="18" customWidth="1"/>
    <col min="3333" max="3333" width="9.62890625" style="18" bestFit="1" customWidth="1"/>
    <col min="3334" max="3334" width="6.734375" style="18" customWidth="1"/>
    <col min="3335" max="3336" width="7" style="18" customWidth="1"/>
    <col min="3337" max="3584" width="9.1015625" style="18"/>
    <col min="3585" max="3585" width="11.89453125" style="18" customWidth="1"/>
    <col min="3586" max="3586" width="10.3671875" style="18" customWidth="1"/>
    <col min="3587" max="3587" width="8" style="18" bestFit="1" customWidth="1"/>
    <col min="3588" max="3588" width="8.89453125" style="18" customWidth="1"/>
    <col min="3589" max="3589" width="9.62890625" style="18" bestFit="1" customWidth="1"/>
    <col min="3590" max="3590" width="6.734375" style="18" customWidth="1"/>
    <col min="3591" max="3592" width="7" style="18" customWidth="1"/>
    <col min="3593" max="3840" width="9.1015625" style="18"/>
    <col min="3841" max="3841" width="11.89453125" style="18" customWidth="1"/>
    <col min="3842" max="3842" width="10.3671875" style="18" customWidth="1"/>
    <col min="3843" max="3843" width="8" style="18" bestFit="1" customWidth="1"/>
    <col min="3844" max="3844" width="8.89453125" style="18" customWidth="1"/>
    <col min="3845" max="3845" width="9.62890625" style="18" bestFit="1" customWidth="1"/>
    <col min="3846" max="3846" width="6.734375" style="18" customWidth="1"/>
    <col min="3847" max="3848" width="7" style="18" customWidth="1"/>
    <col min="3849" max="4096" width="9.1015625" style="18"/>
    <col min="4097" max="4097" width="11.89453125" style="18" customWidth="1"/>
    <col min="4098" max="4098" width="10.3671875" style="18" customWidth="1"/>
    <col min="4099" max="4099" width="8" style="18" bestFit="1" customWidth="1"/>
    <col min="4100" max="4100" width="8.89453125" style="18" customWidth="1"/>
    <col min="4101" max="4101" width="9.62890625" style="18" bestFit="1" customWidth="1"/>
    <col min="4102" max="4102" width="6.734375" style="18" customWidth="1"/>
    <col min="4103" max="4104" width="7" style="18" customWidth="1"/>
    <col min="4105" max="4352" width="9.1015625" style="18"/>
    <col min="4353" max="4353" width="11.89453125" style="18" customWidth="1"/>
    <col min="4354" max="4354" width="10.3671875" style="18" customWidth="1"/>
    <col min="4355" max="4355" width="8" style="18" bestFit="1" customWidth="1"/>
    <col min="4356" max="4356" width="8.89453125" style="18" customWidth="1"/>
    <col min="4357" max="4357" width="9.62890625" style="18" bestFit="1" customWidth="1"/>
    <col min="4358" max="4358" width="6.734375" style="18" customWidth="1"/>
    <col min="4359" max="4360" width="7" style="18" customWidth="1"/>
    <col min="4361" max="4608" width="9.1015625" style="18"/>
    <col min="4609" max="4609" width="11.89453125" style="18" customWidth="1"/>
    <col min="4610" max="4610" width="10.3671875" style="18" customWidth="1"/>
    <col min="4611" max="4611" width="8" style="18" bestFit="1" customWidth="1"/>
    <col min="4612" max="4612" width="8.89453125" style="18" customWidth="1"/>
    <col min="4613" max="4613" width="9.62890625" style="18" bestFit="1" customWidth="1"/>
    <col min="4614" max="4614" width="6.734375" style="18" customWidth="1"/>
    <col min="4615" max="4616" width="7" style="18" customWidth="1"/>
    <col min="4617" max="4864" width="9.1015625" style="18"/>
    <col min="4865" max="4865" width="11.89453125" style="18" customWidth="1"/>
    <col min="4866" max="4866" width="10.3671875" style="18" customWidth="1"/>
    <col min="4867" max="4867" width="8" style="18" bestFit="1" customWidth="1"/>
    <col min="4868" max="4868" width="8.89453125" style="18" customWidth="1"/>
    <col min="4869" max="4869" width="9.62890625" style="18" bestFit="1" customWidth="1"/>
    <col min="4870" max="4870" width="6.734375" style="18" customWidth="1"/>
    <col min="4871" max="4872" width="7" style="18" customWidth="1"/>
    <col min="4873" max="5120" width="9.1015625" style="18"/>
    <col min="5121" max="5121" width="11.89453125" style="18" customWidth="1"/>
    <col min="5122" max="5122" width="10.3671875" style="18" customWidth="1"/>
    <col min="5123" max="5123" width="8" style="18" bestFit="1" customWidth="1"/>
    <col min="5124" max="5124" width="8.89453125" style="18" customWidth="1"/>
    <col min="5125" max="5125" width="9.62890625" style="18" bestFit="1" customWidth="1"/>
    <col min="5126" max="5126" width="6.734375" style="18" customWidth="1"/>
    <col min="5127" max="5128" width="7" style="18" customWidth="1"/>
    <col min="5129" max="5376" width="9.1015625" style="18"/>
    <col min="5377" max="5377" width="11.89453125" style="18" customWidth="1"/>
    <col min="5378" max="5378" width="10.3671875" style="18" customWidth="1"/>
    <col min="5379" max="5379" width="8" style="18" bestFit="1" customWidth="1"/>
    <col min="5380" max="5380" width="8.89453125" style="18" customWidth="1"/>
    <col min="5381" max="5381" width="9.62890625" style="18" bestFit="1" customWidth="1"/>
    <col min="5382" max="5382" width="6.734375" style="18" customWidth="1"/>
    <col min="5383" max="5384" width="7" style="18" customWidth="1"/>
    <col min="5385" max="5632" width="9.1015625" style="18"/>
    <col min="5633" max="5633" width="11.89453125" style="18" customWidth="1"/>
    <col min="5634" max="5634" width="10.3671875" style="18" customWidth="1"/>
    <col min="5635" max="5635" width="8" style="18" bestFit="1" customWidth="1"/>
    <col min="5636" max="5636" width="8.89453125" style="18" customWidth="1"/>
    <col min="5637" max="5637" width="9.62890625" style="18" bestFit="1" customWidth="1"/>
    <col min="5638" max="5638" width="6.734375" style="18" customWidth="1"/>
    <col min="5639" max="5640" width="7" style="18" customWidth="1"/>
    <col min="5641" max="5888" width="9.1015625" style="18"/>
    <col min="5889" max="5889" width="11.89453125" style="18" customWidth="1"/>
    <col min="5890" max="5890" width="10.3671875" style="18" customWidth="1"/>
    <col min="5891" max="5891" width="8" style="18" bestFit="1" customWidth="1"/>
    <col min="5892" max="5892" width="8.89453125" style="18" customWidth="1"/>
    <col min="5893" max="5893" width="9.62890625" style="18" bestFit="1" customWidth="1"/>
    <col min="5894" max="5894" width="6.734375" style="18" customWidth="1"/>
    <col min="5895" max="5896" width="7" style="18" customWidth="1"/>
    <col min="5897" max="6144" width="9.1015625" style="18"/>
    <col min="6145" max="6145" width="11.89453125" style="18" customWidth="1"/>
    <col min="6146" max="6146" width="10.3671875" style="18" customWidth="1"/>
    <col min="6147" max="6147" width="8" style="18" bestFit="1" customWidth="1"/>
    <col min="6148" max="6148" width="8.89453125" style="18" customWidth="1"/>
    <col min="6149" max="6149" width="9.62890625" style="18" bestFit="1" customWidth="1"/>
    <col min="6150" max="6150" width="6.734375" style="18" customWidth="1"/>
    <col min="6151" max="6152" width="7" style="18" customWidth="1"/>
    <col min="6153" max="6400" width="9.1015625" style="18"/>
    <col min="6401" max="6401" width="11.89453125" style="18" customWidth="1"/>
    <col min="6402" max="6402" width="10.3671875" style="18" customWidth="1"/>
    <col min="6403" max="6403" width="8" style="18" bestFit="1" customWidth="1"/>
    <col min="6404" max="6404" width="8.89453125" style="18" customWidth="1"/>
    <col min="6405" max="6405" width="9.62890625" style="18" bestFit="1" customWidth="1"/>
    <col min="6406" max="6406" width="6.734375" style="18" customWidth="1"/>
    <col min="6407" max="6408" width="7" style="18" customWidth="1"/>
    <col min="6409" max="6656" width="9.1015625" style="18"/>
    <col min="6657" max="6657" width="11.89453125" style="18" customWidth="1"/>
    <col min="6658" max="6658" width="10.3671875" style="18" customWidth="1"/>
    <col min="6659" max="6659" width="8" style="18" bestFit="1" customWidth="1"/>
    <col min="6660" max="6660" width="8.89453125" style="18" customWidth="1"/>
    <col min="6661" max="6661" width="9.62890625" style="18" bestFit="1" customWidth="1"/>
    <col min="6662" max="6662" width="6.734375" style="18" customWidth="1"/>
    <col min="6663" max="6664" width="7" style="18" customWidth="1"/>
    <col min="6665" max="6912" width="9.1015625" style="18"/>
    <col min="6913" max="6913" width="11.89453125" style="18" customWidth="1"/>
    <col min="6914" max="6914" width="10.3671875" style="18" customWidth="1"/>
    <col min="6915" max="6915" width="8" style="18" bestFit="1" customWidth="1"/>
    <col min="6916" max="6916" width="8.89453125" style="18" customWidth="1"/>
    <col min="6917" max="6917" width="9.62890625" style="18" bestFit="1" customWidth="1"/>
    <col min="6918" max="6918" width="6.734375" style="18" customWidth="1"/>
    <col min="6919" max="6920" width="7" style="18" customWidth="1"/>
    <col min="6921" max="7168" width="9.1015625" style="18"/>
    <col min="7169" max="7169" width="11.89453125" style="18" customWidth="1"/>
    <col min="7170" max="7170" width="10.3671875" style="18" customWidth="1"/>
    <col min="7171" max="7171" width="8" style="18" bestFit="1" customWidth="1"/>
    <col min="7172" max="7172" width="8.89453125" style="18" customWidth="1"/>
    <col min="7173" max="7173" width="9.62890625" style="18" bestFit="1" customWidth="1"/>
    <col min="7174" max="7174" width="6.734375" style="18" customWidth="1"/>
    <col min="7175" max="7176" width="7" style="18" customWidth="1"/>
    <col min="7177" max="7424" width="9.1015625" style="18"/>
    <col min="7425" max="7425" width="11.89453125" style="18" customWidth="1"/>
    <col min="7426" max="7426" width="10.3671875" style="18" customWidth="1"/>
    <col min="7427" max="7427" width="8" style="18" bestFit="1" customWidth="1"/>
    <col min="7428" max="7428" width="8.89453125" style="18" customWidth="1"/>
    <col min="7429" max="7429" width="9.62890625" style="18" bestFit="1" customWidth="1"/>
    <col min="7430" max="7430" width="6.734375" style="18" customWidth="1"/>
    <col min="7431" max="7432" width="7" style="18" customWidth="1"/>
    <col min="7433" max="7680" width="9.1015625" style="18"/>
    <col min="7681" max="7681" width="11.89453125" style="18" customWidth="1"/>
    <col min="7682" max="7682" width="10.3671875" style="18" customWidth="1"/>
    <col min="7683" max="7683" width="8" style="18" bestFit="1" customWidth="1"/>
    <col min="7684" max="7684" width="8.89453125" style="18" customWidth="1"/>
    <col min="7685" max="7685" width="9.62890625" style="18" bestFit="1" customWidth="1"/>
    <col min="7686" max="7686" width="6.734375" style="18" customWidth="1"/>
    <col min="7687" max="7688" width="7" style="18" customWidth="1"/>
    <col min="7689" max="7936" width="9.1015625" style="18"/>
    <col min="7937" max="7937" width="11.89453125" style="18" customWidth="1"/>
    <col min="7938" max="7938" width="10.3671875" style="18" customWidth="1"/>
    <col min="7939" max="7939" width="8" style="18" bestFit="1" customWidth="1"/>
    <col min="7940" max="7940" width="8.89453125" style="18" customWidth="1"/>
    <col min="7941" max="7941" width="9.62890625" style="18" bestFit="1" customWidth="1"/>
    <col min="7942" max="7942" width="6.734375" style="18" customWidth="1"/>
    <col min="7943" max="7944" width="7" style="18" customWidth="1"/>
    <col min="7945" max="8192" width="9.1015625" style="18"/>
    <col min="8193" max="8193" width="11.89453125" style="18" customWidth="1"/>
    <col min="8194" max="8194" width="10.3671875" style="18" customWidth="1"/>
    <col min="8195" max="8195" width="8" style="18" bestFit="1" customWidth="1"/>
    <col min="8196" max="8196" width="8.89453125" style="18" customWidth="1"/>
    <col min="8197" max="8197" width="9.62890625" style="18" bestFit="1" customWidth="1"/>
    <col min="8198" max="8198" width="6.734375" style="18" customWidth="1"/>
    <col min="8199" max="8200" width="7" style="18" customWidth="1"/>
    <col min="8201" max="8448" width="9.1015625" style="18"/>
    <col min="8449" max="8449" width="11.89453125" style="18" customWidth="1"/>
    <col min="8450" max="8450" width="10.3671875" style="18" customWidth="1"/>
    <col min="8451" max="8451" width="8" style="18" bestFit="1" customWidth="1"/>
    <col min="8452" max="8452" width="8.89453125" style="18" customWidth="1"/>
    <col min="8453" max="8453" width="9.62890625" style="18" bestFit="1" customWidth="1"/>
    <col min="8454" max="8454" width="6.734375" style="18" customWidth="1"/>
    <col min="8455" max="8456" width="7" style="18" customWidth="1"/>
    <col min="8457" max="8704" width="9.1015625" style="18"/>
    <col min="8705" max="8705" width="11.89453125" style="18" customWidth="1"/>
    <col min="8706" max="8706" width="10.3671875" style="18" customWidth="1"/>
    <col min="8707" max="8707" width="8" style="18" bestFit="1" customWidth="1"/>
    <col min="8708" max="8708" width="8.89453125" style="18" customWidth="1"/>
    <col min="8709" max="8709" width="9.62890625" style="18" bestFit="1" customWidth="1"/>
    <col min="8710" max="8710" width="6.734375" style="18" customWidth="1"/>
    <col min="8711" max="8712" width="7" style="18" customWidth="1"/>
    <col min="8713" max="8960" width="9.1015625" style="18"/>
    <col min="8961" max="8961" width="11.89453125" style="18" customWidth="1"/>
    <col min="8962" max="8962" width="10.3671875" style="18" customWidth="1"/>
    <col min="8963" max="8963" width="8" style="18" bestFit="1" customWidth="1"/>
    <col min="8964" max="8964" width="8.89453125" style="18" customWidth="1"/>
    <col min="8965" max="8965" width="9.62890625" style="18" bestFit="1" customWidth="1"/>
    <col min="8966" max="8966" width="6.734375" style="18" customWidth="1"/>
    <col min="8967" max="8968" width="7" style="18" customWidth="1"/>
    <col min="8969" max="9216" width="9.1015625" style="18"/>
    <col min="9217" max="9217" width="11.89453125" style="18" customWidth="1"/>
    <col min="9218" max="9218" width="10.3671875" style="18" customWidth="1"/>
    <col min="9219" max="9219" width="8" style="18" bestFit="1" customWidth="1"/>
    <col min="9220" max="9220" width="8.89453125" style="18" customWidth="1"/>
    <col min="9221" max="9221" width="9.62890625" style="18" bestFit="1" customWidth="1"/>
    <col min="9222" max="9222" width="6.734375" style="18" customWidth="1"/>
    <col min="9223" max="9224" width="7" style="18" customWidth="1"/>
    <col min="9225" max="9472" width="9.1015625" style="18"/>
    <col min="9473" max="9473" width="11.89453125" style="18" customWidth="1"/>
    <col min="9474" max="9474" width="10.3671875" style="18" customWidth="1"/>
    <col min="9475" max="9475" width="8" style="18" bestFit="1" customWidth="1"/>
    <col min="9476" max="9476" width="8.89453125" style="18" customWidth="1"/>
    <col min="9477" max="9477" width="9.62890625" style="18" bestFit="1" customWidth="1"/>
    <col min="9478" max="9478" width="6.734375" style="18" customWidth="1"/>
    <col min="9479" max="9480" width="7" style="18" customWidth="1"/>
    <col min="9481" max="9728" width="9.1015625" style="18"/>
    <col min="9729" max="9729" width="11.89453125" style="18" customWidth="1"/>
    <col min="9730" max="9730" width="10.3671875" style="18" customWidth="1"/>
    <col min="9731" max="9731" width="8" style="18" bestFit="1" customWidth="1"/>
    <col min="9732" max="9732" width="8.89453125" style="18" customWidth="1"/>
    <col min="9733" max="9733" width="9.62890625" style="18" bestFit="1" customWidth="1"/>
    <col min="9734" max="9734" width="6.734375" style="18" customWidth="1"/>
    <col min="9735" max="9736" width="7" style="18" customWidth="1"/>
    <col min="9737" max="9984" width="9.1015625" style="18"/>
    <col min="9985" max="9985" width="11.89453125" style="18" customWidth="1"/>
    <col min="9986" max="9986" width="10.3671875" style="18" customWidth="1"/>
    <col min="9987" max="9987" width="8" style="18" bestFit="1" customWidth="1"/>
    <col min="9988" max="9988" width="8.89453125" style="18" customWidth="1"/>
    <col min="9989" max="9989" width="9.62890625" style="18" bestFit="1" customWidth="1"/>
    <col min="9990" max="9990" width="6.734375" style="18" customWidth="1"/>
    <col min="9991" max="9992" width="7" style="18" customWidth="1"/>
    <col min="9993" max="10240" width="9.1015625" style="18"/>
    <col min="10241" max="10241" width="11.89453125" style="18" customWidth="1"/>
    <col min="10242" max="10242" width="10.3671875" style="18" customWidth="1"/>
    <col min="10243" max="10243" width="8" style="18" bestFit="1" customWidth="1"/>
    <col min="10244" max="10244" width="8.89453125" style="18" customWidth="1"/>
    <col min="10245" max="10245" width="9.62890625" style="18" bestFit="1" customWidth="1"/>
    <col min="10246" max="10246" width="6.734375" style="18" customWidth="1"/>
    <col min="10247" max="10248" width="7" style="18" customWidth="1"/>
    <col min="10249" max="10496" width="9.1015625" style="18"/>
    <col min="10497" max="10497" width="11.89453125" style="18" customWidth="1"/>
    <col min="10498" max="10498" width="10.3671875" style="18" customWidth="1"/>
    <col min="10499" max="10499" width="8" style="18" bestFit="1" customWidth="1"/>
    <col min="10500" max="10500" width="8.89453125" style="18" customWidth="1"/>
    <col min="10501" max="10501" width="9.62890625" style="18" bestFit="1" customWidth="1"/>
    <col min="10502" max="10502" width="6.734375" style="18" customWidth="1"/>
    <col min="10503" max="10504" width="7" style="18" customWidth="1"/>
    <col min="10505" max="10752" width="9.1015625" style="18"/>
    <col min="10753" max="10753" width="11.89453125" style="18" customWidth="1"/>
    <col min="10754" max="10754" width="10.3671875" style="18" customWidth="1"/>
    <col min="10755" max="10755" width="8" style="18" bestFit="1" customWidth="1"/>
    <col min="10756" max="10756" width="8.89453125" style="18" customWidth="1"/>
    <col min="10757" max="10757" width="9.62890625" style="18" bestFit="1" customWidth="1"/>
    <col min="10758" max="10758" width="6.734375" style="18" customWidth="1"/>
    <col min="10759" max="10760" width="7" style="18" customWidth="1"/>
    <col min="10761" max="11008" width="9.1015625" style="18"/>
    <col min="11009" max="11009" width="11.89453125" style="18" customWidth="1"/>
    <col min="11010" max="11010" width="10.3671875" style="18" customWidth="1"/>
    <col min="11011" max="11011" width="8" style="18" bestFit="1" customWidth="1"/>
    <col min="11012" max="11012" width="8.89453125" style="18" customWidth="1"/>
    <col min="11013" max="11013" width="9.62890625" style="18" bestFit="1" customWidth="1"/>
    <col min="11014" max="11014" width="6.734375" style="18" customWidth="1"/>
    <col min="11015" max="11016" width="7" style="18" customWidth="1"/>
    <col min="11017" max="11264" width="9.1015625" style="18"/>
    <col min="11265" max="11265" width="11.89453125" style="18" customWidth="1"/>
    <col min="11266" max="11266" width="10.3671875" style="18" customWidth="1"/>
    <col min="11267" max="11267" width="8" style="18" bestFit="1" customWidth="1"/>
    <col min="11268" max="11268" width="8.89453125" style="18" customWidth="1"/>
    <col min="11269" max="11269" width="9.62890625" style="18" bestFit="1" customWidth="1"/>
    <col min="11270" max="11270" width="6.734375" style="18" customWidth="1"/>
    <col min="11271" max="11272" width="7" style="18" customWidth="1"/>
    <col min="11273" max="11520" width="9.1015625" style="18"/>
    <col min="11521" max="11521" width="11.89453125" style="18" customWidth="1"/>
    <col min="11522" max="11522" width="10.3671875" style="18" customWidth="1"/>
    <col min="11523" max="11523" width="8" style="18" bestFit="1" customWidth="1"/>
    <col min="11524" max="11524" width="8.89453125" style="18" customWidth="1"/>
    <col min="11525" max="11525" width="9.62890625" style="18" bestFit="1" customWidth="1"/>
    <col min="11526" max="11526" width="6.734375" style="18" customWidth="1"/>
    <col min="11527" max="11528" width="7" style="18" customWidth="1"/>
    <col min="11529" max="11776" width="9.1015625" style="18"/>
    <col min="11777" max="11777" width="11.89453125" style="18" customWidth="1"/>
    <col min="11778" max="11778" width="10.3671875" style="18" customWidth="1"/>
    <col min="11779" max="11779" width="8" style="18" bestFit="1" customWidth="1"/>
    <col min="11780" max="11780" width="8.89453125" style="18" customWidth="1"/>
    <col min="11781" max="11781" width="9.62890625" style="18" bestFit="1" customWidth="1"/>
    <col min="11782" max="11782" width="6.734375" style="18" customWidth="1"/>
    <col min="11783" max="11784" width="7" style="18" customWidth="1"/>
    <col min="11785" max="12032" width="9.1015625" style="18"/>
    <col min="12033" max="12033" width="11.89453125" style="18" customWidth="1"/>
    <col min="12034" max="12034" width="10.3671875" style="18" customWidth="1"/>
    <col min="12035" max="12035" width="8" style="18" bestFit="1" customWidth="1"/>
    <col min="12036" max="12036" width="8.89453125" style="18" customWidth="1"/>
    <col min="12037" max="12037" width="9.62890625" style="18" bestFit="1" customWidth="1"/>
    <col min="12038" max="12038" width="6.734375" style="18" customWidth="1"/>
    <col min="12039" max="12040" width="7" style="18" customWidth="1"/>
    <col min="12041" max="12288" width="9.1015625" style="18"/>
    <col min="12289" max="12289" width="11.89453125" style="18" customWidth="1"/>
    <col min="12290" max="12290" width="10.3671875" style="18" customWidth="1"/>
    <col min="12291" max="12291" width="8" style="18" bestFit="1" customWidth="1"/>
    <col min="12292" max="12292" width="8.89453125" style="18" customWidth="1"/>
    <col min="12293" max="12293" width="9.62890625" style="18" bestFit="1" customWidth="1"/>
    <col min="12294" max="12294" width="6.734375" style="18" customWidth="1"/>
    <col min="12295" max="12296" width="7" style="18" customWidth="1"/>
    <col min="12297" max="12544" width="9.1015625" style="18"/>
    <col min="12545" max="12545" width="11.89453125" style="18" customWidth="1"/>
    <col min="12546" max="12546" width="10.3671875" style="18" customWidth="1"/>
    <col min="12547" max="12547" width="8" style="18" bestFit="1" customWidth="1"/>
    <col min="12548" max="12548" width="8.89453125" style="18" customWidth="1"/>
    <col min="12549" max="12549" width="9.62890625" style="18" bestFit="1" customWidth="1"/>
    <col min="12550" max="12550" width="6.734375" style="18" customWidth="1"/>
    <col min="12551" max="12552" width="7" style="18" customWidth="1"/>
    <col min="12553" max="12800" width="9.1015625" style="18"/>
    <col min="12801" max="12801" width="11.89453125" style="18" customWidth="1"/>
    <col min="12802" max="12802" width="10.3671875" style="18" customWidth="1"/>
    <col min="12803" max="12803" width="8" style="18" bestFit="1" customWidth="1"/>
    <col min="12804" max="12804" width="8.89453125" style="18" customWidth="1"/>
    <col min="12805" max="12805" width="9.62890625" style="18" bestFit="1" customWidth="1"/>
    <col min="12806" max="12806" width="6.734375" style="18" customWidth="1"/>
    <col min="12807" max="12808" width="7" style="18" customWidth="1"/>
    <col min="12809" max="13056" width="9.1015625" style="18"/>
    <col min="13057" max="13057" width="11.89453125" style="18" customWidth="1"/>
    <col min="13058" max="13058" width="10.3671875" style="18" customWidth="1"/>
    <col min="13059" max="13059" width="8" style="18" bestFit="1" customWidth="1"/>
    <col min="13060" max="13060" width="8.89453125" style="18" customWidth="1"/>
    <col min="13061" max="13061" width="9.62890625" style="18" bestFit="1" customWidth="1"/>
    <col min="13062" max="13062" width="6.734375" style="18" customWidth="1"/>
    <col min="13063" max="13064" width="7" style="18" customWidth="1"/>
    <col min="13065" max="13312" width="9.1015625" style="18"/>
    <col min="13313" max="13313" width="11.89453125" style="18" customWidth="1"/>
    <col min="13314" max="13314" width="10.3671875" style="18" customWidth="1"/>
    <col min="13315" max="13315" width="8" style="18" bestFit="1" customWidth="1"/>
    <col min="13316" max="13316" width="8.89453125" style="18" customWidth="1"/>
    <col min="13317" max="13317" width="9.62890625" style="18" bestFit="1" customWidth="1"/>
    <col min="13318" max="13318" width="6.734375" style="18" customWidth="1"/>
    <col min="13319" max="13320" width="7" style="18" customWidth="1"/>
    <col min="13321" max="13568" width="9.1015625" style="18"/>
    <col min="13569" max="13569" width="11.89453125" style="18" customWidth="1"/>
    <col min="13570" max="13570" width="10.3671875" style="18" customWidth="1"/>
    <col min="13571" max="13571" width="8" style="18" bestFit="1" customWidth="1"/>
    <col min="13572" max="13572" width="8.89453125" style="18" customWidth="1"/>
    <col min="13573" max="13573" width="9.62890625" style="18" bestFit="1" customWidth="1"/>
    <col min="13574" max="13574" width="6.734375" style="18" customWidth="1"/>
    <col min="13575" max="13576" width="7" style="18" customWidth="1"/>
    <col min="13577" max="13824" width="9.1015625" style="18"/>
    <col min="13825" max="13825" width="11.89453125" style="18" customWidth="1"/>
    <col min="13826" max="13826" width="10.3671875" style="18" customWidth="1"/>
    <col min="13827" max="13827" width="8" style="18" bestFit="1" customWidth="1"/>
    <col min="13828" max="13828" width="8.89453125" style="18" customWidth="1"/>
    <col min="13829" max="13829" width="9.62890625" style="18" bestFit="1" customWidth="1"/>
    <col min="13830" max="13830" width="6.734375" style="18" customWidth="1"/>
    <col min="13831" max="13832" width="7" style="18" customWidth="1"/>
    <col min="13833" max="14080" width="9.1015625" style="18"/>
    <col min="14081" max="14081" width="11.89453125" style="18" customWidth="1"/>
    <col min="14082" max="14082" width="10.3671875" style="18" customWidth="1"/>
    <col min="14083" max="14083" width="8" style="18" bestFit="1" customWidth="1"/>
    <col min="14084" max="14084" width="8.89453125" style="18" customWidth="1"/>
    <col min="14085" max="14085" width="9.62890625" style="18" bestFit="1" customWidth="1"/>
    <col min="14086" max="14086" width="6.734375" style="18" customWidth="1"/>
    <col min="14087" max="14088" width="7" style="18" customWidth="1"/>
    <col min="14089" max="14336" width="9.1015625" style="18"/>
    <col min="14337" max="14337" width="11.89453125" style="18" customWidth="1"/>
    <col min="14338" max="14338" width="10.3671875" style="18" customWidth="1"/>
    <col min="14339" max="14339" width="8" style="18" bestFit="1" customWidth="1"/>
    <col min="14340" max="14340" width="8.89453125" style="18" customWidth="1"/>
    <col min="14341" max="14341" width="9.62890625" style="18" bestFit="1" customWidth="1"/>
    <col min="14342" max="14342" width="6.734375" style="18" customWidth="1"/>
    <col min="14343" max="14344" width="7" style="18" customWidth="1"/>
    <col min="14345" max="14592" width="9.1015625" style="18"/>
    <col min="14593" max="14593" width="11.89453125" style="18" customWidth="1"/>
    <col min="14594" max="14594" width="10.3671875" style="18" customWidth="1"/>
    <col min="14595" max="14595" width="8" style="18" bestFit="1" customWidth="1"/>
    <col min="14596" max="14596" width="8.89453125" style="18" customWidth="1"/>
    <col min="14597" max="14597" width="9.62890625" style="18" bestFit="1" customWidth="1"/>
    <col min="14598" max="14598" width="6.734375" style="18" customWidth="1"/>
    <col min="14599" max="14600" width="7" style="18" customWidth="1"/>
    <col min="14601" max="14848" width="9.1015625" style="18"/>
    <col min="14849" max="14849" width="11.89453125" style="18" customWidth="1"/>
    <col min="14850" max="14850" width="10.3671875" style="18" customWidth="1"/>
    <col min="14851" max="14851" width="8" style="18" bestFit="1" customWidth="1"/>
    <col min="14852" max="14852" width="8.89453125" style="18" customWidth="1"/>
    <col min="14853" max="14853" width="9.62890625" style="18" bestFit="1" customWidth="1"/>
    <col min="14854" max="14854" width="6.734375" style="18" customWidth="1"/>
    <col min="14855" max="14856" width="7" style="18" customWidth="1"/>
    <col min="14857" max="15104" width="9.1015625" style="18"/>
    <col min="15105" max="15105" width="11.89453125" style="18" customWidth="1"/>
    <col min="15106" max="15106" width="10.3671875" style="18" customWidth="1"/>
    <col min="15107" max="15107" width="8" style="18" bestFit="1" customWidth="1"/>
    <col min="15108" max="15108" width="8.89453125" style="18" customWidth="1"/>
    <col min="15109" max="15109" width="9.62890625" style="18" bestFit="1" customWidth="1"/>
    <col min="15110" max="15110" width="6.734375" style="18" customWidth="1"/>
    <col min="15111" max="15112" width="7" style="18" customWidth="1"/>
    <col min="15113" max="15360" width="9.1015625" style="18"/>
    <col min="15361" max="15361" width="11.89453125" style="18" customWidth="1"/>
    <col min="15362" max="15362" width="10.3671875" style="18" customWidth="1"/>
    <col min="15363" max="15363" width="8" style="18" bestFit="1" customWidth="1"/>
    <col min="15364" max="15364" width="8.89453125" style="18" customWidth="1"/>
    <col min="15365" max="15365" width="9.62890625" style="18" bestFit="1" customWidth="1"/>
    <col min="15366" max="15366" width="6.734375" style="18" customWidth="1"/>
    <col min="15367" max="15368" width="7" style="18" customWidth="1"/>
    <col min="15369" max="15616" width="9.1015625" style="18"/>
    <col min="15617" max="15617" width="11.89453125" style="18" customWidth="1"/>
    <col min="15618" max="15618" width="10.3671875" style="18" customWidth="1"/>
    <col min="15619" max="15619" width="8" style="18" bestFit="1" customWidth="1"/>
    <col min="15620" max="15620" width="8.89453125" style="18" customWidth="1"/>
    <col min="15621" max="15621" width="9.62890625" style="18" bestFit="1" customWidth="1"/>
    <col min="15622" max="15622" width="6.734375" style="18" customWidth="1"/>
    <col min="15623" max="15624" width="7" style="18" customWidth="1"/>
    <col min="15625" max="15872" width="9.1015625" style="18"/>
    <col min="15873" max="15873" width="11.89453125" style="18" customWidth="1"/>
    <col min="15874" max="15874" width="10.3671875" style="18" customWidth="1"/>
    <col min="15875" max="15875" width="8" style="18" bestFit="1" customWidth="1"/>
    <col min="15876" max="15876" width="8.89453125" style="18" customWidth="1"/>
    <col min="15877" max="15877" width="9.62890625" style="18" bestFit="1" customWidth="1"/>
    <col min="15878" max="15878" width="6.734375" style="18" customWidth="1"/>
    <col min="15879" max="15880" width="7" style="18" customWidth="1"/>
    <col min="15881" max="16128" width="9.1015625" style="18"/>
    <col min="16129" max="16129" width="11.89453125" style="18" customWidth="1"/>
    <col min="16130" max="16130" width="10.3671875" style="18" customWidth="1"/>
    <col min="16131" max="16131" width="8" style="18" bestFit="1" customWidth="1"/>
    <col min="16132" max="16132" width="8.89453125" style="18" customWidth="1"/>
    <col min="16133" max="16133" width="9.62890625" style="18" bestFit="1" customWidth="1"/>
    <col min="16134" max="16134" width="6.734375" style="18" customWidth="1"/>
    <col min="16135" max="16136" width="7" style="18" customWidth="1"/>
    <col min="16137" max="16384" width="9.1015625" style="18"/>
  </cols>
  <sheetData>
    <row r="1" spans="1:13" ht="20.399999999999999" x14ac:dyDescent="0.75">
      <c r="A1" s="593" t="s">
        <v>223</v>
      </c>
      <c r="B1" s="593"/>
      <c r="C1" s="593"/>
      <c r="D1" s="593"/>
      <c r="E1" s="593"/>
      <c r="K1" s="598" t="s">
        <v>20</v>
      </c>
      <c r="L1" s="598"/>
      <c r="M1" s="598"/>
    </row>
    <row r="2" spans="1:13" ht="12.6" x14ac:dyDescent="0.45">
      <c r="A2" s="280" t="s">
        <v>224</v>
      </c>
    </row>
    <row r="3" spans="1:13" ht="12.6" x14ac:dyDescent="0.45">
      <c r="A3" s="144" t="s">
        <v>194</v>
      </c>
    </row>
    <row r="4" spans="1:13" ht="12.6" thickBot="1" x14ac:dyDescent="0.45"/>
    <row r="5" spans="1:13" ht="15.3" thickBot="1" x14ac:dyDescent="0.55000000000000004">
      <c r="A5" s="297" t="s">
        <v>225</v>
      </c>
      <c r="B5" s="298"/>
      <c r="C5" s="682">
        <f>SUMIF(B10:B84,"&gt;-99999",B10:B84)/SUM(C10:C84)</f>
        <v>0.30232558139534882</v>
      </c>
      <c r="D5" s="683"/>
      <c r="K5" s="142" t="s">
        <v>268</v>
      </c>
    </row>
    <row r="6" spans="1:13" x14ac:dyDescent="0.4">
      <c r="A6" s="156"/>
    </row>
    <row r="7" spans="1:13" x14ac:dyDescent="0.4">
      <c r="C7" s="148" t="s">
        <v>198</v>
      </c>
      <c r="E7" s="148"/>
      <c r="F7" s="148"/>
      <c r="G7" s="148"/>
    </row>
    <row r="8" spans="1:13" x14ac:dyDescent="0.4">
      <c r="B8" s="148" t="s">
        <v>226</v>
      </c>
      <c r="C8" s="148" t="s">
        <v>227</v>
      </c>
      <c r="D8" s="148" t="s">
        <v>228</v>
      </c>
      <c r="E8" s="148" t="s">
        <v>217</v>
      </c>
    </row>
    <row r="9" spans="1:13" ht="12.6" thickBot="1" x14ac:dyDescent="0.45">
      <c r="A9" s="148" t="s">
        <v>198</v>
      </c>
      <c r="B9" s="148" t="s">
        <v>199</v>
      </c>
      <c r="C9" s="148" t="s">
        <v>219</v>
      </c>
      <c r="D9" s="148" t="s">
        <v>229</v>
      </c>
      <c r="E9" s="148" t="s">
        <v>220</v>
      </c>
      <c r="F9" s="148" t="s">
        <v>230</v>
      </c>
      <c r="G9" s="148" t="s">
        <v>201</v>
      </c>
      <c r="H9" s="148" t="s">
        <v>231</v>
      </c>
    </row>
    <row r="10" spans="1:13" x14ac:dyDescent="0.4">
      <c r="A10" s="18">
        <v>1</v>
      </c>
      <c r="B10" s="301">
        <v>2</v>
      </c>
      <c r="C10" s="302">
        <v>10</v>
      </c>
      <c r="D10" s="303">
        <f>IF(C10&lt;&gt;"",B10/C10,NA())</f>
        <v>0.2</v>
      </c>
      <c r="E10" s="18">
        <f>IF(C10&lt;&gt;"",SQRT($C$5/C10),NA())</f>
        <v>0.17387512225598831</v>
      </c>
      <c r="F10" s="18">
        <f>IF(B10&lt;&gt;"",MAX(0,$C$5-3*E10),NA())</f>
        <v>0</v>
      </c>
      <c r="G10" s="18">
        <f>IF(B10&lt;&gt;"",$C$5,NA())</f>
        <v>0.30232558139534882</v>
      </c>
      <c r="H10" s="18">
        <f>IF(C10&lt;&gt;"",MAX(0,$C$5+3*E10),NA())</f>
        <v>0.82395094816331371</v>
      </c>
    </row>
    <row r="11" spans="1:13" x14ac:dyDescent="0.4">
      <c r="A11" s="18">
        <v>2</v>
      </c>
      <c r="B11" s="304">
        <v>3</v>
      </c>
      <c r="C11" s="305">
        <v>12</v>
      </c>
      <c r="D11" s="303">
        <f t="shared" ref="D11:D74" si="0">IF(C11&lt;&gt;"",B11/C11,NA())</f>
        <v>0.25</v>
      </c>
      <c r="E11" s="18">
        <f t="shared" ref="E11:E74" si="1">IF(C11&lt;&gt;"",SQRT($C$5/C11),NA())</f>
        <v>0.1587255444142889</v>
      </c>
      <c r="F11" s="18">
        <f t="shared" ref="F11:F74" si="2">IF(B11&lt;&gt;"",MAX(0,$C$5-3*E11),NA())</f>
        <v>0</v>
      </c>
      <c r="G11" s="18">
        <f t="shared" ref="G11:G74" si="3">IF(B11&lt;&gt;"",$C$5,NA())</f>
        <v>0.30232558139534882</v>
      </c>
      <c r="H11" s="18">
        <f t="shared" ref="H11:H74" si="4">IF(C11&lt;&gt;"",MAX(0,$C$5+3*E11),NA())</f>
        <v>0.77850221463821556</v>
      </c>
    </row>
    <row r="12" spans="1:13" x14ac:dyDescent="0.4">
      <c r="A12" s="18">
        <v>3</v>
      </c>
      <c r="B12" s="304">
        <v>6</v>
      </c>
      <c r="C12" s="305">
        <v>11</v>
      </c>
      <c r="D12" s="303">
        <f t="shared" si="0"/>
        <v>0.54545454545454541</v>
      </c>
      <c r="E12" s="18">
        <f t="shared" si="1"/>
        <v>0.16578342427158854</v>
      </c>
      <c r="F12" s="18">
        <f t="shared" si="2"/>
        <v>0</v>
      </c>
      <c r="G12" s="18">
        <f t="shared" si="3"/>
        <v>0.30232558139534882</v>
      </c>
      <c r="H12" s="18">
        <f t="shared" si="4"/>
        <v>0.79967585421011445</v>
      </c>
    </row>
    <row r="13" spans="1:13" x14ac:dyDescent="0.4">
      <c r="A13" s="18">
        <v>4</v>
      </c>
      <c r="B13" s="304">
        <v>2</v>
      </c>
      <c r="C13" s="305">
        <v>10</v>
      </c>
      <c r="D13" s="303">
        <f t="shared" si="0"/>
        <v>0.2</v>
      </c>
      <c r="E13" s="18">
        <f t="shared" si="1"/>
        <v>0.17387512225598831</v>
      </c>
      <c r="F13" s="18">
        <f t="shared" si="2"/>
        <v>0</v>
      </c>
      <c r="G13" s="18">
        <f t="shared" si="3"/>
        <v>0.30232558139534882</v>
      </c>
      <c r="H13" s="18">
        <f t="shared" si="4"/>
        <v>0.82395094816331371</v>
      </c>
    </row>
    <row r="14" spans="1:13" x14ac:dyDescent="0.4">
      <c r="A14" s="18">
        <v>5</v>
      </c>
      <c r="B14" s="304"/>
      <c r="C14" s="305"/>
      <c r="D14" s="303" t="e">
        <f t="shared" si="0"/>
        <v>#N/A</v>
      </c>
      <c r="E14" s="18" t="e">
        <f t="shared" si="1"/>
        <v>#N/A</v>
      </c>
      <c r="F14" s="18" t="e">
        <f t="shared" si="2"/>
        <v>#N/A</v>
      </c>
      <c r="G14" s="18" t="e">
        <f t="shared" si="3"/>
        <v>#N/A</v>
      </c>
      <c r="H14" s="18" t="e">
        <f t="shared" si="4"/>
        <v>#N/A</v>
      </c>
    </row>
    <row r="15" spans="1:13" x14ac:dyDescent="0.4">
      <c r="A15" s="18">
        <v>6</v>
      </c>
      <c r="B15" s="304"/>
      <c r="C15" s="305"/>
      <c r="D15" s="303" t="e">
        <f t="shared" si="0"/>
        <v>#N/A</v>
      </c>
      <c r="E15" s="18" t="e">
        <f t="shared" si="1"/>
        <v>#N/A</v>
      </c>
      <c r="F15" s="18" t="e">
        <f t="shared" si="2"/>
        <v>#N/A</v>
      </c>
      <c r="G15" s="18" t="e">
        <f t="shared" si="3"/>
        <v>#N/A</v>
      </c>
      <c r="H15" s="18" t="e">
        <f t="shared" si="4"/>
        <v>#N/A</v>
      </c>
    </row>
    <row r="16" spans="1:13" x14ac:dyDescent="0.4">
      <c r="A16" s="18">
        <v>7</v>
      </c>
      <c r="B16" s="304"/>
      <c r="C16" s="305"/>
      <c r="D16" s="303" t="e">
        <f t="shared" si="0"/>
        <v>#N/A</v>
      </c>
      <c r="E16" s="18" t="e">
        <f t="shared" si="1"/>
        <v>#N/A</v>
      </c>
      <c r="F16" s="18" t="e">
        <f t="shared" si="2"/>
        <v>#N/A</v>
      </c>
      <c r="G16" s="18" t="e">
        <f t="shared" si="3"/>
        <v>#N/A</v>
      </c>
      <c r="H16" s="18" t="e">
        <f t="shared" si="4"/>
        <v>#N/A</v>
      </c>
    </row>
    <row r="17" spans="1:8" x14ac:dyDescent="0.4">
      <c r="A17" s="18">
        <v>8</v>
      </c>
      <c r="B17" s="304"/>
      <c r="C17" s="305"/>
      <c r="D17" s="303" t="e">
        <f t="shared" si="0"/>
        <v>#N/A</v>
      </c>
      <c r="E17" s="18" t="e">
        <f t="shared" si="1"/>
        <v>#N/A</v>
      </c>
      <c r="F17" s="18" t="e">
        <f t="shared" si="2"/>
        <v>#N/A</v>
      </c>
      <c r="G17" s="18" t="e">
        <f t="shared" si="3"/>
        <v>#N/A</v>
      </c>
      <c r="H17" s="18" t="e">
        <f t="shared" si="4"/>
        <v>#N/A</v>
      </c>
    </row>
    <row r="18" spans="1:8" x14ac:dyDescent="0.4">
      <c r="A18" s="18">
        <v>9</v>
      </c>
      <c r="B18" s="304"/>
      <c r="C18" s="305"/>
      <c r="D18" s="303" t="e">
        <f t="shared" si="0"/>
        <v>#N/A</v>
      </c>
      <c r="E18" s="18" t="e">
        <f t="shared" si="1"/>
        <v>#N/A</v>
      </c>
      <c r="F18" s="18" t="e">
        <f t="shared" si="2"/>
        <v>#N/A</v>
      </c>
      <c r="G18" s="18" t="e">
        <f t="shared" si="3"/>
        <v>#N/A</v>
      </c>
      <c r="H18" s="18" t="e">
        <f t="shared" si="4"/>
        <v>#N/A</v>
      </c>
    </row>
    <row r="19" spans="1:8" x14ac:dyDescent="0.4">
      <c r="A19" s="18">
        <v>10</v>
      </c>
      <c r="B19" s="304"/>
      <c r="C19" s="305"/>
      <c r="D19" s="303" t="e">
        <f t="shared" si="0"/>
        <v>#N/A</v>
      </c>
      <c r="E19" s="18" t="e">
        <f t="shared" si="1"/>
        <v>#N/A</v>
      </c>
      <c r="F19" s="18" t="e">
        <f t="shared" si="2"/>
        <v>#N/A</v>
      </c>
      <c r="G19" s="18" t="e">
        <f t="shared" si="3"/>
        <v>#N/A</v>
      </c>
      <c r="H19" s="18" t="e">
        <f t="shared" si="4"/>
        <v>#N/A</v>
      </c>
    </row>
    <row r="20" spans="1:8" x14ac:dyDescent="0.4">
      <c r="A20" s="18">
        <v>11</v>
      </c>
      <c r="B20" s="304"/>
      <c r="C20" s="305"/>
      <c r="D20" s="303" t="e">
        <f t="shared" si="0"/>
        <v>#N/A</v>
      </c>
      <c r="E20" s="18" t="e">
        <f t="shared" si="1"/>
        <v>#N/A</v>
      </c>
      <c r="F20" s="18" t="e">
        <f t="shared" si="2"/>
        <v>#N/A</v>
      </c>
      <c r="G20" s="18" t="e">
        <f t="shared" si="3"/>
        <v>#N/A</v>
      </c>
      <c r="H20" s="18" t="e">
        <f t="shared" si="4"/>
        <v>#N/A</v>
      </c>
    </row>
    <row r="21" spans="1:8" x14ac:dyDescent="0.4">
      <c r="A21" s="18">
        <v>12</v>
      </c>
      <c r="B21" s="304"/>
      <c r="C21" s="305"/>
      <c r="D21" s="303" t="e">
        <f t="shared" si="0"/>
        <v>#N/A</v>
      </c>
      <c r="E21" s="18" t="e">
        <f t="shared" si="1"/>
        <v>#N/A</v>
      </c>
      <c r="F21" s="18" t="e">
        <f t="shared" si="2"/>
        <v>#N/A</v>
      </c>
      <c r="G21" s="18" t="e">
        <f t="shared" si="3"/>
        <v>#N/A</v>
      </c>
      <c r="H21" s="18" t="e">
        <f t="shared" si="4"/>
        <v>#N/A</v>
      </c>
    </row>
    <row r="22" spans="1:8" x14ac:dyDescent="0.4">
      <c r="A22" s="18">
        <v>13</v>
      </c>
      <c r="B22" s="304"/>
      <c r="C22" s="305"/>
      <c r="D22" s="303" t="e">
        <f t="shared" si="0"/>
        <v>#N/A</v>
      </c>
      <c r="E22" s="18" t="e">
        <f t="shared" si="1"/>
        <v>#N/A</v>
      </c>
      <c r="F22" s="18" t="e">
        <f t="shared" si="2"/>
        <v>#N/A</v>
      </c>
      <c r="G22" s="18" t="e">
        <f t="shared" si="3"/>
        <v>#N/A</v>
      </c>
      <c r="H22" s="18" t="e">
        <f t="shared" si="4"/>
        <v>#N/A</v>
      </c>
    </row>
    <row r="23" spans="1:8" x14ac:dyDescent="0.4">
      <c r="A23" s="18">
        <v>14</v>
      </c>
      <c r="B23" s="304"/>
      <c r="C23" s="305"/>
      <c r="D23" s="303" t="e">
        <f t="shared" si="0"/>
        <v>#N/A</v>
      </c>
      <c r="E23" s="18" t="e">
        <f t="shared" si="1"/>
        <v>#N/A</v>
      </c>
      <c r="F23" s="18" t="e">
        <f t="shared" si="2"/>
        <v>#N/A</v>
      </c>
      <c r="G23" s="18" t="e">
        <f t="shared" si="3"/>
        <v>#N/A</v>
      </c>
      <c r="H23" s="18" t="e">
        <f t="shared" si="4"/>
        <v>#N/A</v>
      </c>
    </row>
    <row r="24" spans="1:8" x14ac:dyDescent="0.4">
      <c r="A24" s="18">
        <v>15</v>
      </c>
      <c r="B24" s="304"/>
      <c r="C24" s="305"/>
      <c r="D24" s="303" t="e">
        <f t="shared" si="0"/>
        <v>#N/A</v>
      </c>
      <c r="E24" s="18" t="e">
        <f t="shared" si="1"/>
        <v>#N/A</v>
      </c>
      <c r="F24" s="18" t="e">
        <f t="shared" si="2"/>
        <v>#N/A</v>
      </c>
      <c r="G24" s="18" t="e">
        <f t="shared" si="3"/>
        <v>#N/A</v>
      </c>
      <c r="H24" s="18" t="e">
        <f t="shared" si="4"/>
        <v>#N/A</v>
      </c>
    </row>
    <row r="25" spans="1:8" x14ac:dyDescent="0.4">
      <c r="A25" s="18">
        <v>16</v>
      </c>
      <c r="B25" s="304"/>
      <c r="C25" s="305"/>
      <c r="D25" s="303" t="e">
        <f t="shared" si="0"/>
        <v>#N/A</v>
      </c>
      <c r="E25" s="18" t="e">
        <f t="shared" si="1"/>
        <v>#N/A</v>
      </c>
      <c r="F25" s="18" t="e">
        <f t="shared" si="2"/>
        <v>#N/A</v>
      </c>
      <c r="G25" s="18" t="e">
        <f t="shared" si="3"/>
        <v>#N/A</v>
      </c>
      <c r="H25" s="18" t="e">
        <f t="shared" si="4"/>
        <v>#N/A</v>
      </c>
    </row>
    <row r="26" spans="1:8" x14ac:dyDescent="0.4">
      <c r="A26" s="18">
        <v>17</v>
      </c>
      <c r="B26" s="304"/>
      <c r="C26" s="305"/>
      <c r="D26" s="303" t="e">
        <f t="shared" si="0"/>
        <v>#N/A</v>
      </c>
      <c r="E26" s="18" t="e">
        <f t="shared" si="1"/>
        <v>#N/A</v>
      </c>
      <c r="F26" s="18" t="e">
        <f t="shared" si="2"/>
        <v>#N/A</v>
      </c>
      <c r="G26" s="18" t="e">
        <f t="shared" si="3"/>
        <v>#N/A</v>
      </c>
      <c r="H26" s="18" t="e">
        <f t="shared" si="4"/>
        <v>#N/A</v>
      </c>
    </row>
    <row r="27" spans="1:8" x14ac:dyDescent="0.4">
      <c r="A27" s="18">
        <v>18</v>
      </c>
      <c r="B27" s="304"/>
      <c r="C27" s="305"/>
      <c r="D27" s="303" t="e">
        <f t="shared" si="0"/>
        <v>#N/A</v>
      </c>
      <c r="E27" s="18" t="e">
        <f t="shared" si="1"/>
        <v>#N/A</v>
      </c>
      <c r="F27" s="18" t="e">
        <f t="shared" si="2"/>
        <v>#N/A</v>
      </c>
      <c r="G27" s="18" t="e">
        <f t="shared" si="3"/>
        <v>#N/A</v>
      </c>
      <c r="H27" s="18" t="e">
        <f t="shared" si="4"/>
        <v>#N/A</v>
      </c>
    </row>
    <row r="28" spans="1:8" x14ac:dyDescent="0.4">
      <c r="A28" s="18">
        <v>19</v>
      </c>
      <c r="B28" s="304"/>
      <c r="C28" s="305"/>
      <c r="D28" s="303" t="e">
        <f t="shared" si="0"/>
        <v>#N/A</v>
      </c>
      <c r="E28" s="18" t="e">
        <f t="shared" si="1"/>
        <v>#N/A</v>
      </c>
      <c r="F28" s="18" t="e">
        <f t="shared" si="2"/>
        <v>#N/A</v>
      </c>
      <c r="G28" s="18" t="e">
        <f t="shared" si="3"/>
        <v>#N/A</v>
      </c>
      <c r="H28" s="18" t="e">
        <f t="shared" si="4"/>
        <v>#N/A</v>
      </c>
    </row>
    <row r="29" spans="1:8" x14ac:dyDescent="0.4">
      <c r="A29" s="18">
        <v>20</v>
      </c>
      <c r="B29" s="304"/>
      <c r="C29" s="305"/>
      <c r="D29" s="303" t="e">
        <f t="shared" si="0"/>
        <v>#N/A</v>
      </c>
      <c r="E29" s="18" t="e">
        <f t="shared" si="1"/>
        <v>#N/A</v>
      </c>
      <c r="F29" s="18" t="e">
        <f t="shared" si="2"/>
        <v>#N/A</v>
      </c>
      <c r="G29" s="18" t="e">
        <f t="shared" si="3"/>
        <v>#N/A</v>
      </c>
      <c r="H29" s="18" t="e">
        <f t="shared" si="4"/>
        <v>#N/A</v>
      </c>
    </row>
    <row r="30" spans="1:8" x14ac:dyDescent="0.4">
      <c r="A30" s="18">
        <v>21</v>
      </c>
      <c r="B30" s="304"/>
      <c r="C30" s="305"/>
      <c r="D30" s="303" t="e">
        <f t="shared" si="0"/>
        <v>#N/A</v>
      </c>
      <c r="E30" s="18" t="e">
        <f t="shared" si="1"/>
        <v>#N/A</v>
      </c>
      <c r="F30" s="18" t="e">
        <f t="shared" si="2"/>
        <v>#N/A</v>
      </c>
      <c r="G30" s="18" t="e">
        <f t="shared" si="3"/>
        <v>#N/A</v>
      </c>
      <c r="H30" s="18" t="e">
        <f t="shared" si="4"/>
        <v>#N/A</v>
      </c>
    </row>
    <row r="31" spans="1:8" x14ac:dyDescent="0.4">
      <c r="A31" s="18">
        <v>22</v>
      </c>
      <c r="B31" s="304"/>
      <c r="C31" s="305"/>
      <c r="D31" s="303" t="e">
        <f t="shared" si="0"/>
        <v>#N/A</v>
      </c>
      <c r="E31" s="18" t="e">
        <f t="shared" si="1"/>
        <v>#N/A</v>
      </c>
      <c r="F31" s="18" t="e">
        <f t="shared" si="2"/>
        <v>#N/A</v>
      </c>
      <c r="G31" s="18" t="e">
        <f t="shared" si="3"/>
        <v>#N/A</v>
      </c>
      <c r="H31" s="18" t="e">
        <f t="shared" si="4"/>
        <v>#N/A</v>
      </c>
    </row>
    <row r="32" spans="1:8" x14ac:dyDescent="0.4">
      <c r="A32" s="18">
        <v>23</v>
      </c>
      <c r="B32" s="304"/>
      <c r="C32" s="305"/>
      <c r="D32" s="303" t="e">
        <f t="shared" si="0"/>
        <v>#N/A</v>
      </c>
      <c r="E32" s="18" t="e">
        <f t="shared" si="1"/>
        <v>#N/A</v>
      </c>
      <c r="F32" s="18" t="e">
        <f t="shared" si="2"/>
        <v>#N/A</v>
      </c>
      <c r="G32" s="18" t="e">
        <f t="shared" si="3"/>
        <v>#N/A</v>
      </c>
      <c r="H32" s="18" t="e">
        <f t="shared" si="4"/>
        <v>#N/A</v>
      </c>
    </row>
    <row r="33" spans="1:8" x14ac:dyDescent="0.4">
      <c r="A33" s="18">
        <v>24</v>
      </c>
      <c r="B33" s="304"/>
      <c r="C33" s="305"/>
      <c r="D33" s="303" t="e">
        <f t="shared" si="0"/>
        <v>#N/A</v>
      </c>
      <c r="E33" s="18" t="e">
        <f t="shared" si="1"/>
        <v>#N/A</v>
      </c>
      <c r="F33" s="18" t="e">
        <f t="shared" si="2"/>
        <v>#N/A</v>
      </c>
      <c r="G33" s="18" t="e">
        <f t="shared" si="3"/>
        <v>#N/A</v>
      </c>
      <c r="H33" s="18" t="e">
        <f t="shared" si="4"/>
        <v>#N/A</v>
      </c>
    </row>
    <row r="34" spans="1:8" x14ac:dyDescent="0.4">
      <c r="A34" s="18">
        <v>25</v>
      </c>
      <c r="B34" s="304"/>
      <c r="C34" s="305"/>
      <c r="D34" s="303" t="e">
        <f t="shared" si="0"/>
        <v>#N/A</v>
      </c>
      <c r="E34" s="18" t="e">
        <f t="shared" si="1"/>
        <v>#N/A</v>
      </c>
      <c r="F34" s="18" t="e">
        <f t="shared" si="2"/>
        <v>#N/A</v>
      </c>
      <c r="G34" s="18" t="e">
        <f t="shared" si="3"/>
        <v>#N/A</v>
      </c>
      <c r="H34" s="18" t="e">
        <f t="shared" si="4"/>
        <v>#N/A</v>
      </c>
    </row>
    <row r="35" spans="1:8" x14ac:dyDescent="0.4">
      <c r="A35" s="18">
        <v>26</v>
      </c>
      <c r="B35" s="304"/>
      <c r="C35" s="305"/>
      <c r="D35" s="303" t="e">
        <f t="shared" si="0"/>
        <v>#N/A</v>
      </c>
      <c r="E35" s="18" t="e">
        <f t="shared" si="1"/>
        <v>#N/A</v>
      </c>
      <c r="F35" s="18" t="e">
        <f t="shared" si="2"/>
        <v>#N/A</v>
      </c>
      <c r="G35" s="18" t="e">
        <f t="shared" si="3"/>
        <v>#N/A</v>
      </c>
      <c r="H35" s="18" t="e">
        <f t="shared" si="4"/>
        <v>#N/A</v>
      </c>
    </row>
    <row r="36" spans="1:8" x14ac:dyDescent="0.4">
      <c r="A36" s="18">
        <v>27</v>
      </c>
      <c r="B36" s="304"/>
      <c r="C36" s="305"/>
      <c r="D36" s="303" t="e">
        <f t="shared" si="0"/>
        <v>#N/A</v>
      </c>
      <c r="E36" s="18" t="e">
        <f t="shared" si="1"/>
        <v>#N/A</v>
      </c>
      <c r="F36" s="18" t="e">
        <f t="shared" si="2"/>
        <v>#N/A</v>
      </c>
      <c r="G36" s="18" t="e">
        <f t="shared" si="3"/>
        <v>#N/A</v>
      </c>
      <c r="H36" s="18" t="e">
        <f t="shared" si="4"/>
        <v>#N/A</v>
      </c>
    </row>
    <row r="37" spans="1:8" x14ac:dyDescent="0.4">
      <c r="A37" s="18">
        <v>28</v>
      </c>
      <c r="B37" s="304"/>
      <c r="C37" s="305"/>
      <c r="D37" s="303" t="e">
        <f t="shared" si="0"/>
        <v>#N/A</v>
      </c>
      <c r="E37" s="18" t="e">
        <f t="shared" si="1"/>
        <v>#N/A</v>
      </c>
      <c r="F37" s="18" t="e">
        <f t="shared" si="2"/>
        <v>#N/A</v>
      </c>
      <c r="G37" s="18" t="e">
        <f t="shared" si="3"/>
        <v>#N/A</v>
      </c>
      <c r="H37" s="18" t="e">
        <f t="shared" si="4"/>
        <v>#N/A</v>
      </c>
    </row>
    <row r="38" spans="1:8" x14ac:dyDescent="0.4">
      <c r="A38" s="18">
        <v>29</v>
      </c>
      <c r="B38" s="304"/>
      <c r="C38" s="305"/>
      <c r="D38" s="303" t="e">
        <f t="shared" si="0"/>
        <v>#N/A</v>
      </c>
      <c r="E38" s="18" t="e">
        <f t="shared" si="1"/>
        <v>#N/A</v>
      </c>
      <c r="F38" s="18" t="e">
        <f t="shared" si="2"/>
        <v>#N/A</v>
      </c>
      <c r="G38" s="18" t="e">
        <f t="shared" si="3"/>
        <v>#N/A</v>
      </c>
      <c r="H38" s="18" t="e">
        <f t="shared" si="4"/>
        <v>#N/A</v>
      </c>
    </row>
    <row r="39" spans="1:8" x14ac:dyDescent="0.4">
      <c r="A39" s="18">
        <v>30</v>
      </c>
      <c r="B39" s="304"/>
      <c r="C39" s="305"/>
      <c r="D39" s="303" t="e">
        <f t="shared" si="0"/>
        <v>#N/A</v>
      </c>
      <c r="E39" s="18" t="e">
        <f t="shared" si="1"/>
        <v>#N/A</v>
      </c>
      <c r="F39" s="18" t="e">
        <f t="shared" si="2"/>
        <v>#N/A</v>
      </c>
      <c r="G39" s="18" t="e">
        <f t="shared" si="3"/>
        <v>#N/A</v>
      </c>
      <c r="H39" s="18" t="e">
        <f t="shared" si="4"/>
        <v>#N/A</v>
      </c>
    </row>
    <row r="40" spans="1:8" x14ac:dyDescent="0.4">
      <c r="A40" s="18">
        <v>31</v>
      </c>
      <c r="B40" s="304"/>
      <c r="C40" s="305"/>
      <c r="D40" s="303" t="e">
        <f t="shared" si="0"/>
        <v>#N/A</v>
      </c>
      <c r="E40" s="18" t="e">
        <f t="shared" si="1"/>
        <v>#N/A</v>
      </c>
      <c r="F40" s="18" t="e">
        <f t="shared" si="2"/>
        <v>#N/A</v>
      </c>
      <c r="G40" s="18" t="e">
        <f t="shared" si="3"/>
        <v>#N/A</v>
      </c>
      <c r="H40" s="18" t="e">
        <f t="shared" si="4"/>
        <v>#N/A</v>
      </c>
    </row>
    <row r="41" spans="1:8" x14ac:dyDescent="0.4">
      <c r="A41" s="18">
        <v>32</v>
      </c>
      <c r="B41" s="304"/>
      <c r="C41" s="305"/>
      <c r="D41" s="303" t="e">
        <f t="shared" si="0"/>
        <v>#N/A</v>
      </c>
      <c r="E41" s="18" t="e">
        <f t="shared" si="1"/>
        <v>#N/A</v>
      </c>
      <c r="F41" s="18" t="e">
        <f t="shared" si="2"/>
        <v>#N/A</v>
      </c>
      <c r="G41" s="18" t="e">
        <f t="shared" si="3"/>
        <v>#N/A</v>
      </c>
      <c r="H41" s="18" t="e">
        <f t="shared" si="4"/>
        <v>#N/A</v>
      </c>
    </row>
    <row r="42" spans="1:8" x14ac:dyDescent="0.4">
      <c r="A42" s="18">
        <v>33</v>
      </c>
      <c r="B42" s="304"/>
      <c r="C42" s="305"/>
      <c r="D42" s="303" t="e">
        <f t="shared" si="0"/>
        <v>#N/A</v>
      </c>
      <c r="E42" s="18" t="e">
        <f t="shared" si="1"/>
        <v>#N/A</v>
      </c>
      <c r="F42" s="18" t="e">
        <f t="shared" si="2"/>
        <v>#N/A</v>
      </c>
      <c r="G42" s="18" t="e">
        <f t="shared" si="3"/>
        <v>#N/A</v>
      </c>
      <c r="H42" s="18" t="e">
        <f t="shared" si="4"/>
        <v>#N/A</v>
      </c>
    </row>
    <row r="43" spans="1:8" x14ac:dyDescent="0.4">
      <c r="A43" s="18">
        <v>34</v>
      </c>
      <c r="B43" s="304"/>
      <c r="C43" s="305"/>
      <c r="D43" s="303" t="e">
        <f t="shared" si="0"/>
        <v>#N/A</v>
      </c>
      <c r="E43" s="18" t="e">
        <f t="shared" si="1"/>
        <v>#N/A</v>
      </c>
      <c r="F43" s="18" t="e">
        <f t="shared" si="2"/>
        <v>#N/A</v>
      </c>
      <c r="G43" s="18" t="e">
        <f t="shared" si="3"/>
        <v>#N/A</v>
      </c>
      <c r="H43" s="18" t="e">
        <f t="shared" si="4"/>
        <v>#N/A</v>
      </c>
    </row>
    <row r="44" spans="1:8" x14ac:dyDescent="0.4">
      <c r="A44" s="18">
        <v>35</v>
      </c>
      <c r="B44" s="304"/>
      <c r="C44" s="305"/>
      <c r="D44" s="303" t="e">
        <f t="shared" si="0"/>
        <v>#N/A</v>
      </c>
      <c r="E44" s="18" t="e">
        <f t="shared" si="1"/>
        <v>#N/A</v>
      </c>
      <c r="F44" s="18" t="e">
        <f t="shared" si="2"/>
        <v>#N/A</v>
      </c>
      <c r="G44" s="18" t="e">
        <f t="shared" si="3"/>
        <v>#N/A</v>
      </c>
      <c r="H44" s="18" t="e">
        <f t="shared" si="4"/>
        <v>#N/A</v>
      </c>
    </row>
    <row r="45" spans="1:8" x14ac:dyDescent="0.4">
      <c r="A45" s="18">
        <v>36</v>
      </c>
      <c r="B45" s="304"/>
      <c r="C45" s="305"/>
      <c r="D45" s="303" t="e">
        <f t="shared" si="0"/>
        <v>#N/A</v>
      </c>
      <c r="E45" s="18" t="e">
        <f t="shared" si="1"/>
        <v>#N/A</v>
      </c>
      <c r="F45" s="18" t="e">
        <f t="shared" si="2"/>
        <v>#N/A</v>
      </c>
      <c r="G45" s="18" t="e">
        <f t="shared" si="3"/>
        <v>#N/A</v>
      </c>
      <c r="H45" s="18" t="e">
        <f t="shared" si="4"/>
        <v>#N/A</v>
      </c>
    </row>
    <row r="46" spans="1:8" x14ac:dyDescent="0.4">
      <c r="A46" s="18">
        <v>37</v>
      </c>
      <c r="B46" s="304"/>
      <c r="C46" s="305"/>
      <c r="D46" s="303" t="e">
        <f t="shared" si="0"/>
        <v>#N/A</v>
      </c>
      <c r="E46" s="18" t="e">
        <f t="shared" si="1"/>
        <v>#N/A</v>
      </c>
      <c r="F46" s="18" t="e">
        <f t="shared" si="2"/>
        <v>#N/A</v>
      </c>
      <c r="G46" s="18" t="e">
        <f t="shared" si="3"/>
        <v>#N/A</v>
      </c>
      <c r="H46" s="18" t="e">
        <f t="shared" si="4"/>
        <v>#N/A</v>
      </c>
    </row>
    <row r="47" spans="1:8" x14ac:dyDescent="0.4">
      <c r="A47" s="18">
        <v>38</v>
      </c>
      <c r="B47" s="304"/>
      <c r="C47" s="305"/>
      <c r="D47" s="303" t="e">
        <f t="shared" si="0"/>
        <v>#N/A</v>
      </c>
      <c r="E47" s="18" t="e">
        <f t="shared" si="1"/>
        <v>#N/A</v>
      </c>
      <c r="F47" s="18" t="e">
        <f t="shared" si="2"/>
        <v>#N/A</v>
      </c>
      <c r="G47" s="18" t="e">
        <f t="shared" si="3"/>
        <v>#N/A</v>
      </c>
      <c r="H47" s="18" t="e">
        <f t="shared" si="4"/>
        <v>#N/A</v>
      </c>
    </row>
    <row r="48" spans="1:8" x14ac:dyDescent="0.4">
      <c r="A48" s="18">
        <v>39</v>
      </c>
      <c r="B48" s="304"/>
      <c r="C48" s="305"/>
      <c r="D48" s="303" t="e">
        <f t="shared" si="0"/>
        <v>#N/A</v>
      </c>
      <c r="E48" s="18" t="e">
        <f t="shared" si="1"/>
        <v>#N/A</v>
      </c>
      <c r="F48" s="18" t="e">
        <f t="shared" si="2"/>
        <v>#N/A</v>
      </c>
      <c r="G48" s="18" t="e">
        <f t="shared" si="3"/>
        <v>#N/A</v>
      </c>
      <c r="H48" s="18" t="e">
        <f t="shared" si="4"/>
        <v>#N/A</v>
      </c>
    </row>
    <row r="49" spans="1:8" x14ac:dyDescent="0.4">
      <c r="A49" s="18">
        <v>40</v>
      </c>
      <c r="B49" s="304"/>
      <c r="C49" s="305"/>
      <c r="D49" s="303" t="e">
        <f t="shared" si="0"/>
        <v>#N/A</v>
      </c>
      <c r="E49" s="18" t="e">
        <f t="shared" si="1"/>
        <v>#N/A</v>
      </c>
      <c r="F49" s="18" t="e">
        <f t="shared" si="2"/>
        <v>#N/A</v>
      </c>
      <c r="G49" s="18" t="e">
        <f t="shared" si="3"/>
        <v>#N/A</v>
      </c>
      <c r="H49" s="18" t="e">
        <f t="shared" si="4"/>
        <v>#N/A</v>
      </c>
    </row>
    <row r="50" spans="1:8" x14ac:dyDescent="0.4">
      <c r="A50" s="18">
        <v>41</v>
      </c>
      <c r="B50" s="304"/>
      <c r="C50" s="305"/>
      <c r="D50" s="303" t="e">
        <f t="shared" si="0"/>
        <v>#N/A</v>
      </c>
      <c r="E50" s="18" t="e">
        <f t="shared" si="1"/>
        <v>#N/A</v>
      </c>
      <c r="F50" s="18" t="e">
        <f t="shared" si="2"/>
        <v>#N/A</v>
      </c>
      <c r="G50" s="18" t="e">
        <f t="shared" si="3"/>
        <v>#N/A</v>
      </c>
      <c r="H50" s="18" t="e">
        <f t="shared" si="4"/>
        <v>#N/A</v>
      </c>
    </row>
    <row r="51" spans="1:8" x14ac:dyDescent="0.4">
      <c r="A51" s="18">
        <v>42</v>
      </c>
      <c r="B51" s="304"/>
      <c r="C51" s="305"/>
      <c r="D51" s="303" t="e">
        <f t="shared" si="0"/>
        <v>#N/A</v>
      </c>
      <c r="E51" s="18" t="e">
        <f t="shared" si="1"/>
        <v>#N/A</v>
      </c>
      <c r="F51" s="18" t="e">
        <f t="shared" si="2"/>
        <v>#N/A</v>
      </c>
      <c r="G51" s="18" t="e">
        <f t="shared" si="3"/>
        <v>#N/A</v>
      </c>
      <c r="H51" s="18" t="e">
        <f t="shared" si="4"/>
        <v>#N/A</v>
      </c>
    </row>
    <row r="52" spans="1:8" x14ac:dyDescent="0.4">
      <c r="A52" s="18">
        <v>43</v>
      </c>
      <c r="B52" s="304"/>
      <c r="C52" s="305"/>
      <c r="D52" s="303" t="e">
        <f t="shared" si="0"/>
        <v>#N/A</v>
      </c>
      <c r="E52" s="18" t="e">
        <f t="shared" si="1"/>
        <v>#N/A</v>
      </c>
      <c r="F52" s="18" t="e">
        <f t="shared" si="2"/>
        <v>#N/A</v>
      </c>
      <c r="G52" s="18" t="e">
        <f t="shared" si="3"/>
        <v>#N/A</v>
      </c>
      <c r="H52" s="18" t="e">
        <f t="shared" si="4"/>
        <v>#N/A</v>
      </c>
    </row>
    <row r="53" spans="1:8" x14ac:dyDescent="0.4">
      <c r="A53" s="18">
        <v>44</v>
      </c>
      <c r="B53" s="304"/>
      <c r="C53" s="305"/>
      <c r="D53" s="303" t="e">
        <f t="shared" si="0"/>
        <v>#N/A</v>
      </c>
      <c r="E53" s="18" t="e">
        <f t="shared" si="1"/>
        <v>#N/A</v>
      </c>
      <c r="F53" s="18" t="e">
        <f t="shared" si="2"/>
        <v>#N/A</v>
      </c>
      <c r="G53" s="18" t="e">
        <f t="shared" si="3"/>
        <v>#N/A</v>
      </c>
      <c r="H53" s="18" t="e">
        <f t="shared" si="4"/>
        <v>#N/A</v>
      </c>
    </row>
    <row r="54" spans="1:8" x14ac:dyDescent="0.4">
      <c r="A54" s="18">
        <v>45</v>
      </c>
      <c r="B54" s="304"/>
      <c r="C54" s="305"/>
      <c r="D54" s="303" t="e">
        <f t="shared" si="0"/>
        <v>#N/A</v>
      </c>
      <c r="E54" s="18" t="e">
        <f t="shared" si="1"/>
        <v>#N/A</v>
      </c>
      <c r="F54" s="18" t="e">
        <f t="shared" si="2"/>
        <v>#N/A</v>
      </c>
      <c r="G54" s="18" t="e">
        <f t="shared" si="3"/>
        <v>#N/A</v>
      </c>
      <c r="H54" s="18" t="e">
        <f t="shared" si="4"/>
        <v>#N/A</v>
      </c>
    </row>
    <row r="55" spans="1:8" x14ac:dyDescent="0.4">
      <c r="A55" s="18">
        <v>46</v>
      </c>
      <c r="B55" s="304"/>
      <c r="C55" s="305"/>
      <c r="D55" s="303" t="e">
        <f t="shared" si="0"/>
        <v>#N/A</v>
      </c>
      <c r="E55" s="18" t="e">
        <f t="shared" si="1"/>
        <v>#N/A</v>
      </c>
      <c r="F55" s="18" t="e">
        <f t="shared" si="2"/>
        <v>#N/A</v>
      </c>
      <c r="G55" s="18" t="e">
        <f t="shared" si="3"/>
        <v>#N/A</v>
      </c>
      <c r="H55" s="18" t="e">
        <f t="shared" si="4"/>
        <v>#N/A</v>
      </c>
    </row>
    <row r="56" spans="1:8" x14ac:dyDescent="0.4">
      <c r="A56" s="18">
        <v>47</v>
      </c>
      <c r="B56" s="304"/>
      <c r="C56" s="305"/>
      <c r="D56" s="303" t="e">
        <f t="shared" si="0"/>
        <v>#N/A</v>
      </c>
      <c r="E56" s="18" t="e">
        <f t="shared" si="1"/>
        <v>#N/A</v>
      </c>
      <c r="F56" s="18" t="e">
        <f t="shared" si="2"/>
        <v>#N/A</v>
      </c>
      <c r="G56" s="18" t="e">
        <f t="shared" si="3"/>
        <v>#N/A</v>
      </c>
      <c r="H56" s="18" t="e">
        <f t="shared" si="4"/>
        <v>#N/A</v>
      </c>
    </row>
    <row r="57" spans="1:8" x14ac:dyDescent="0.4">
      <c r="A57" s="18">
        <v>48</v>
      </c>
      <c r="B57" s="304"/>
      <c r="C57" s="305"/>
      <c r="D57" s="303" t="e">
        <f t="shared" si="0"/>
        <v>#N/A</v>
      </c>
      <c r="E57" s="18" t="e">
        <f t="shared" si="1"/>
        <v>#N/A</v>
      </c>
      <c r="F57" s="18" t="e">
        <f t="shared" si="2"/>
        <v>#N/A</v>
      </c>
      <c r="G57" s="18" t="e">
        <f t="shared" si="3"/>
        <v>#N/A</v>
      </c>
      <c r="H57" s="18" t="e">
        <f t="shared" si="4"/>
        <v>#N/A</v>
      </c>
    </row>
    <row r="58" spans="1:8" x14ac:dyDescent="0.4">
      <c r="A58" s="18">
        <v>49</v>
      </c>
      <c r="B58" s="304"/>
      <c r="C58" s="305"/>
      <c r="D58" s="303" t="e">
        <f t="shared" si="0"/>
        <v>#N/A</v>
      </c>
      <c r="E58" s="18" t="e">
        <f t="shared" si="1"/>
        <v>#N/A</v>
      </c>
      <c r="F58" s="18" t="e">
        <f t="shared" si="2"/>
        <v>#N/A</v>
      </c>
      <c r="G58" s="18" t="e">
        <f t="shared" si="3"/>
        <v>#N/A</v>
      </c>
      <c r="H58" s="18" t="e">
        <f t="shared" si="4"/>
        <v>#N/A</v>
      </c>
    </row>
    <row r="59" spans="1:8" x14ac:dyDescent="0.4">
      <c r="A59" s="18">
        <v>50</v>
      </c>
      <c r="B59" s="308"/>
      <c r="C59" s="309"/>
      <c r="D59" s="303" t="e">
        <f t="shared" si="0"/>
        <v>#N/A</v>
      </c>
      <c r="E59" s="18" t="e">
        <f t="shared" si="1"/>
        <v>#N/A</v>
      </c>
      <c r="F59" s="18" t="e">
        <f t="shared" si="2"/>
        <v>#N/A</v>
      </c>
      <c r="G59" s="18" t="e">
        <f t="shared" si="3"/>
        <v>#N/A</v>
      </c>
      <c r="H59" s="18" t="e">
        <f t="shared" si="4"/>
        <v>#N/A</v>
      </c>
    </row>
    <row r="60" spans="1:8" x14ac:dyDescent="0.4">
      <c r="A60" s="18">
        <v>51</v>
      </c>
      <c r="B60" s="304"/>
      <c r="C60" s="305"/>
      <c r="D60" s="303" t="e">
        <f t="shared" si="0"/>
        <v>#N/A</v>
      </c>
      <c r="E60" s="18" t="e">
        <f t="shared" si="1"/>
        <v>#N/A</v>
      </c>
      <c r="F60" s="18" t="e">
        <f t="shared" si="2"/>
        <v>#N/A</v>
      </c>
      <c r="G60" s="18" t="e">
        <f t="shared" si="3"/>
        <v>#N/A</v>
      </c>
      <c r="H60" s="18" t="e">
        <f t="shared" si="4"/>
        <v>#N/A</v>
      </c>
    </row>
    <row r="61" spans="1:8" x14ac:dyDescent="0.4">
      <c r="A61" s="18">
        <v>52</v>
      </c>
      <c r="B61" s="304"/>
      <c r="C61" s="305"/>
      <c r="D61" s="303" t="e">
        <f t="shared" si="0"/>
        <v>#N/A</v>
      </c>
      <c r="E61" s="18" t="e">
        <f t="shared" si="1"/>
        <v>#N/A</v>
      </c>
      <c r="F61" s="18" t="e">
        <f t="shared" si="2"/>
        <v>#N/A</v>
      </c>
      <c r="G61" s="18" t="e">
        <f t="shared" si="3"/>
        <v>#N/A</v>
      </c>
      <c r="H61" s="18" t="e">
        <f t="shared" si="4"/>
        <v>#N/A</v>
      </c>
    </row>
    <row r="62" spans="1:8" x14ac:dyDescent="0.4">
      <c r="A62" s="18">
        <v>53</v>
      </c>
      <c r="B62" s="304"/>
      <c r="C62" s="305"/>
      <c r="D62" s="303" t="e">
        <f t="shared" si="0"/>
        <v>#N/A</v>
      </c>
      <c r="E62" s="18" t="e">
        <f t="shared" si="1"/>
        <v>#N/A</v>
      </c>
      <c r="F62" s="18" t="e">
        <f t="shared" si="2"/>
        <v>#N/A</v>
      </c>
      <c r="G62" s="18" t="e">
        <f t="shared" si="3"/>
        <v>#N/A</v>
      </c>
      <c r="H62" s="18" t="e">
        <f t="shared" si="4"/>
        <v>#N/A</v>
      </c>
    </row>
    <row r="63" spans="1:8" x14ac:dyDescent="0.4">
      <c r="A63" s="18">
        <v>54</v>
      </c>
      <c r="B63" s="304"/>
      <c r="C63" s="305"/>
      <c r="D63" s="303" t="e">
        <f t="shared" si="0"/>
        <v>#N/A</v>
      </c>
      <c r="E63" s="18" t="e">
        <f t="shared" si="1"/>
        <v>#N/A</v>
      </c>
      <c r="F63" s="18" t="e">
        <f t="shared" si="2"/>
        <v>#N/A</v>
      </c>
      <c r="G63" s="18" t="e">
        <f t="shared" si="3"/>
        <v>#N/A</v>
      </c>
      <c r="H63" s="18" t="e">
        <f t="shared" si="4"/>
        <v>#N/A</v>
      </c>
    </row>
    <row r="64" spans="1:8" x14ac:dyDescent="0.4">
      <c r="A64" s="18">
        <v>55</v>
      </c>
      <c r="B64" s="304"/>
      <c r="C64" s="305"/>
      <c r="D64" s="303" t="e">
        <f t="shared" si="0"/>
        <v>#N/A</v>
      </c>
      <c r="E64" s="18" t="e">
        <f t="shared" si="1"/>
        <v>#N/A</v>
      </c>
      <c r="F64" s="18" t="e">
        <f t="shared" si="2"/>
        <v>#N/A</v>
      </c>
      <c r="G64" s="18" t="e">
        <f t="shared" si="3"/>
        <v>#N/A</v>
      </c>
      <c r="H64" s="18" t="e">
        <f t="shared" si="4"/>
        <v>#N/A</v>
      </c>
    </row>
    <row r="65" spans="1:8" x14ac:dyDescent="0.4">
      <c r="A65" s="18">
        <v>56</v>
      </c>
      <c r="B65" s="304"/>
      <c r="C65" s="305"/>
      <c r="D65" s="303" t="e">
        <f t="shared" si="0"/>
        <v>#N/A</v>
      </c>
      <c r="E65" s="18" t="e">
        <f t="shared" si="1"/>
        <v>#N/A</v>
      </c>
      <c r="F65" s="18" t="e">
        <f t="shared" si="2"/>
        <v>#N/A</v>
      </c>
      <c r="G65" s="18" t="e">
        <f t="shared" si="3"/>
        <v>#N/A</v>
      </c>
      <c r="H65" s="18" t="e">
        <f t="shared" si="4"/>
        <v>#N/A</v>
      </c>
    </row>
    <row r="66" spans="1:8" x14ac:dyDescent="0.4">
      <c r="A66" s="18">
        <v>57</v>
      </c>
      <c r="B66" s="304"/>
      <c r="C66" s="305"/>
      <c r="D66" s="303" t="e">
        <f t="shared" si="0"/>
        <v>#N/A</v>
      </c>
      <c r="E66" s="18" t="e">
        <f t="shared" si="1"/>
        <v>#N/A</v>
      </c>
      <c r="F66" s="18" t="e">
        <f t="shared" si="2"/>
        <v>#N/A</v>
      </c>
      <c r="G66" s="18" t="e">
        <f t="shared" si="3"/>
        <v>#N/A</v>
      </c>
      <c r="H66" s="18" t="e">
        <f t="shared" si="4"/>
        <v>#N/A</v>
      </c>
    </row>
    <row r="67" spans="1:8" x14ac:dyDescent="0.4">
      <c r="A67" s="18">
        <v>58</v>
      </c>
      <c r="B67" s="304"/>
      <c r="C67" s="305"/>
      <c r="D67" s="303" t="e">
        <f t="shared" si="0"/>
        <v>#N/A</v>
      </c>
      <c r="E67" s="18" t="e">
        <f t="shared" si="1"/>
        <v>#N/A</v>
      </c>
      <c r="F67" s="18" t="e">
        <f t="shared" si="2"/>
        <v>#N/A</v>
      </c>
      <c r="G67" s="18" t="e">
        <f t="shared" si="3"/>
        <v>#N/A</v>
      </c>
      <c r="H67" s="18" t="e">
        <f t="shared" si="4"/>
        <v>#N/A</v>
      </c>
    </row>
    <row r="68" spans="1:8" x14ac:dyDescent="0.4">
      <c r="A68" s="18">
        <v>59</v>
      </c>
      <c r="B68" s="304"/>
      <c r="C68" s="305"/>
      <c r="D68" s="303" t="e">
        <f t="shared" si="0"/>
        <v>#N/A</v>
      </c>
      <c r="E68" s="18" t="e">
        <f t="shared" si="1"/>
        <v>#N/A</v>
      </c>
      <c r="F68" s="18" t="e">
        <f t="shared" si="2"/>
        <v>#N/A</v>
      </c>
      <c r="G68" s="18" t="e">
        <f t="shared" si="3"/>
        <v>#N/A</v>
      </c>
      <c r="H68" s="18" t="e">
        <f t="shared" si="4"/>
        <v>#N/A</v>
      </c>
    </row>
    <row r="69" spans="1:8" x14ac:dyDescent="0.4">
      <c r="A69" s="18">
        <v>60</v>
      </c>
      <c r="B69" s="304"/>
      <c r="C69" s="305"/>
      <c r="D69" s="303" t="e">
        <f t="shared" si="0"/>
        <v>#N/A</v>
      </c>
      <c r="E69" s="18" t="e">
        <f t="shared" si="1"/>
        <v>#N/A</v>
      </c>
      <c r="F69" s="18" t="e">
        <f t="shared" si="2"/>
        <v>#N/A</v>
      </c>
      <c r="G69" s="18" t="e">
        <f t="shared" si="3"/>
        <v>#N/A</v>
      </c>
      <c r="H69" s="18" t="e">
        <f t="shared" si="4"/>
        <v>#N/A</v>
      </c>
    </row>
    <row r="70" spans="1:8" x14ac:dyDescent="0.4">
      <c r="A70" s="18">
        <v>61</v>
      </c>
      <c r="B70" s="304"/>
      <c r="C70" s="305"/>
      <c r="D70" s="303" t="e">
        <f t="shared" si="0"/>
        <v>#N/A</v>
      </c>
      <c r="E70" s="18" t="e">
        <f t="shared" si="1"/>
        <v>#N/A</v>
      </c>
      <c r="F70" s="18" t="e">
        <f t="shared" si="2"/>
        <v>#N/A</v>
      </c>
      <c r="G70" s="18" t="e">
        <f t="shared" si="3"/>
        <v>#N/A</v>
      </c>
      <c r="H70" s="18" t="e">
        <f t="shared" si="4"/>
        <v>#N/A</v>
      </c>
    </row>
    <row r="71" spans="1:8" x14ac:dyDescent="0.4">
      <c r="A71" s="18">
        <v>62</v>
      </c>
      <c r="B71" s="304"/>
      <c r="C71" s="305"/>
      <c r="D71" s="303" t="e">
        <f t="shared" si="0"/>
        <v>#N/A</v>
      </c>
      <c r="E71" s="18" t="e">
        <f t="shared" si="1"/>
        <v>#N/A</v>
      </c>
      <c r="F71" s="18" t="e">
        <f t="shared" si="2"/>
        <v>#N/A</v>
      </c>
      <c r="G71" s="18" t="e">
        <f t="shared" si="3"/>
        <v>#N/A</v>
      </c>
      <c r="H71" s="18" t="e">
        <f t="shared" si="4"/>
        <v>#N/A</v>
      </c>
    </row>
    <row r="72" spans="1:8" x14ac:dyDescent="0.4">
      <c r="A72" s="18">
        <v>63</v>
      </c>
      <c r="B72" s="304"/>
      <c r="C72" s="305"/>
      <c r="D72" s="303" t="e">
        <f t="shared" si="0"/>
        <v>#N/A</v>
      </c>
      <c r="E72" s="18" t="e">
        <f t="shared" si="1"/>
        <v>#N/A</v>
      </c>
      <c r="F72" s="18" t="e">
        <f t="shared" si="2"/>
        <v>#N/A</v>
      </c>
      <c r="G72" s="18" t="e">
        <f t="shared" si="3"/>
        <v>#N/A</v>
      </c>
      <c r="H72" s="18" t="e">
        <f t="shared" si="4"/>
        <v>#N/A</v>
      </c>
    </row>
    <row r="73" spans="1:8" x14ac:dyDescent="0.4">
      <c r="A73" s="18">
        <v>64</v>
      </c>
      <c r="B73" s="304"/>
      <c r="C73" s="305"/>
      <c r="D73" s="303" t="e">
        <f t="shared" si="0"/>
        <v>#N/A</v>
      </c>
      <c r="E73" s="18" t="e">
        <f t="shared" si="1"/>
        <v>#N/A</v>
      </c>
      <c r="F73" s="18" t="e">
        <f t="shared" si="2"/>
        <v>#N/A</v>
      </c>
      <c r="G73" s="18" t="e">
        <f t="shared" si="3"/>
        <v>#N/A</v>
      </c>
      <c r="H73" s="18" t="e">
        <f t="shared" si="4"/>
        <v>#N/A</v>
      </c>
    </row>
    <row r="74" spans="1:8" x14ac:dyDescent="0.4">
      <c r="A74" s="18">
        <v>65</v>
      </c>
      <c r="B74" s="304"/>
      <c r="C74" s="305"/>
      <c r="D74" s="303" t="e">
        <f t="shared" si="0"/>
        <v>#N/A</v>
      </c>
      <c r="E74" s="18" t="e">
        <f t="shared" si="1"/>
        <v>#N/A</v>
      </c>
      <c r="F74" s="18" t="e">
        <f t="shared" si="2"/>
        <v>#N/A</v>
      </c>
      <c r="G74" s="18" t="e">
        <f t="shared" si="3"/>
        <v>#N/A</v>
      </c>
      <c r="H74" s="18" t="e">
        <f t="shared" si="4"/>
        <v>#N/A</v>
      </c>
    </row>
    <row r="75" spans="1:8" x14ac:dyDescent="0.4">
      <c r="A75" s="18">
        <v>66</v>
      </c>
      <c r="B75" s="304"/>
      <c r="C75" s="305"/>
      <c r="D75" s="303" t="e">
        <f t="shared" ref="D75:D84" si="5">IF(C75&lt;&gt;"",B75/C75,NA())</f>
        <v>#N/A</v>
      </c>
      <c r="E75" s="18" t="e">
        <f t="shared" ref="E75:E84" si="6">IF(C75&lt;&gt;"",SQRT($C$5/C75),NA())</f>
        <v>#N/A</v>
      </c>
      <c r="F75" s="18" t="e">
        <f t="shared" ref="F75:F84" si="7">IF(B75&lt;&gt;"",MAX(0,$C$5-3*E75),NA())</f>
        <v>#N/A</v>
      </c>
      <c r="G75" s="18" t="e">
        <f t="shared" ref="G75:G84" si="8">IF(B75&lt;&gt;"",$C$5,NA())</f>
        <v>#N/A</v>
      </c>
      <c r="H75" s="18" t="e">
        <f t="shared" ref="H75:H84" si="9">IF(C75&lt;&gt;"",MAX(0,$C$5+3*E75),NA())</f>
        <v>#N/A</v>
      </c>
    </row>
    <row r="76" spans="1:8" x14ac:dyDescent="0.4">
      <c r="A76" s="18">
        <v>67</v>
      </c>
      <c r="B76" s="304"/>
      <c r="C76" s="305"/>
      <c r="D76" s="303" t="e">
        <f t="shared" si="5"/>
        <v>#N/A</v>
      </c>
      <c r="E76" s="18" t="e">
        <f t="shared" si="6"/>
        <v>#N/A</v>
      </c>
      <c r="F76" s="18" t="e">
        <f t="shared" si="7"/>
        <v>#N/A</v>
      </c>
      <c r="G76" s="18" t="e">
        <f t="shared" si="8"/>
        <v>#N/A</v>
      </c>
      <c r="H76" s="18" t="e">
        <f t="shared" si="9"/>
        <v>#N/A</v>
      </c>
    </row>
    <row r="77" spans="1:8" x14ac:dyDescent="0.4">
      <c r="A77" s="18">
        <v>68</v>
      </c>
      <c r="B77" s="304"/>
      <c r="C77" s="305"/>
      <c r="D77" s="303" t="e">
        <f t="shared" si="5"/>
        <v>#N/A</v>
      </c>
      <c r="E77" s="18" t="e">
        <f t="shared" si="6"/>
        <v>#N/A</v>
      </c>
      <c r="F77" s="18" t="e">
        <f t="shared" si="7"/>
        <v>#N/A</v>
      </c>
      <c r="G77" s="18" t="e">
        <f t="shared" si="8"/>
        <v>#N/A</v>
      </c>
      <c r="H77" s="18" t="e">
        <f t="shared" si="9"/>
        <v>#N/A</v>
      </c>
    </row>
    <row r="78" spans="1:8" x14ac:dyDescent="0.4">
      <c r="A78" s="18">
        <v>69</v>
      </c>
      <c r="B78" s="304"/>
      <c r="C78" s="305"/>
      <c r="D78" s="303" t="e">
        <f t="shared" si="5"/>
        <v>#N/A</v>
      </c>
      <c r="E78" s="18" t="e">
        <f t="shared" si="6"/>
        <v>#N/A</v>
      </c>
      <c r="F78" s="18" t="e">
        <f t="shared" si="7"/>
        <v>#N/A</v>
      </c>
      <c r="G78" s="18" t="e">
        <f t="shared" si="8"/>
        <v>#N/A</v>
      </c>
      <c r="H78" s="18" t="e">
        <f t="shared" si="9"/>
        <v>#N/A</v>
      </c>
    </row>
    <row r="79" spans="1:8" x14ac:dyDescent="0.4">
      <c r="A79" s="18">
        <v>70</v>
      </c>
      <c r="B79" s="304"/>
      <c r="C79" s="305"/>
      <c r="D79" s="303" t="e">
        <f t="shared" si="5"/>
        <v>#N/A</v>
      </c>
      <c r="E79" s="18" t="e">
        <f t="shared" si="6"/>
        <v>#N/A</v>
      </c>
      <c r="F79" s="18" t="e">
        <f t="shared" si="7"/>
        <v>#N/A</v>
      </c>
      <c r="G79" s="18" t="e">
        <f t="shared" si="8"/>
        <v>#N/A</v>
      </c>
      <c r="H79" s="18" t="e">
        <f t="shared" si="9"/>
        <v>#N/A</v>
      </c>
    </row>
    <row r="80" spans="1:8" x14ac:dyDescent="0.4">
      <c r="A80" s="18">
        <v>71</v>
      </c>
      <c r="B80" s="304"/>
      <c r="C80" s="305"/>
      <c r="D80" s="303" t="e">
        <f t="shared" si="5"/>
        <v>#N/A</v>
      </c>
      <c r="E80" s="18" t="e">
        <f t="shared" si="6"/>
        <v>#N/A</v>
      </c>
      <c r="F80" s="18" t="e">
        <f t="shared" si="7"/>
        <v>#N/A</v>
      </c>
      <c r="G80" s="18" t="e">
        <f t="shared" si="8"/>
        <v>#N/A</v>
      </c>
      <c r="H80" s="18" t="e">
        <f t="shared" si="9"/>
        <v>#N/A</v>
      </c>
    </row>
    <row r="81" spans="1:8" x14ac:dyDescent="0.4">
      <c r="A81" s="18">
        <v>72</v>
      </c>
      <c r="B81" s="304"/>
      <c r="C81" s="305"/>
      <c r="D81" s="303" t="e">
        <f t="shared" si="5"/>
        <v>#N/A</v>
      </c>
      <c r="E81" s="18" t="e">
        <f t="shared" si="6"/>
        <v>#N/A</v>
      </c>
      <c r="F81" s="18" t="e">
        <f t="shared" si="7"/>
        <v>#N/A</v>
      </c>
      <c r="G81" s="18" t="e">
        <f t="shared" si="8"/>
        <v>#N/A</v>
      </c>
      <c r="H81" s="18" t="e">
        <f t="shared" si="9"/>
        <v>#N/A</v>
      </c>
    </row>
    <row r="82" spans="1:8" x14ac:dyDescent="0.4">
      <c r="A82" s="18">
        <v>73</v>
      </c>
      <c r="B82" s="304"/>
      <c r="C82" s="305"/>
      <c r="D82" s="303" t="e">
        <f t="shared" si="5"/>
        <v>#N/A</v>
      </c>
      <c r="E82" s="18" t="e">
        <f t="shared" si="6"/>
        <v>#N/A</v>
      </c>
      <c r="F82" s="18" t="e">
        <f t="shared" si="7"/>
        <v>#N/A</v>
      </c>
      <c r="G82" s="18" t="e">
        <f t="shared" si="8"/>
        <v>#N/A</v>
      </c>
      <c r="H82" s="18" t="e">
        <f t="shared" si="9"/>
        <v>#N/A</v>
      </c>
    </row>
    <row r="83" spans="1:8" x14ac:dyDescent="0.4">
      <c r="A83" s="18">
        <v>74</v>
      </c>
      <c r="B83" s="304"/>
      <c r="C83" s="305"/>
      <c r="D83" s="303" t="e">
        <f t="shared" si="5"/>
        <v>#N/A</v>
      </c>
      <c r="E83" s="18" t="e">
        <f t="shared" si="6"/>
        <v>#N/A</v>
      </c>
      <c r="F83" s="18" t="e">
        <f t="shared" si="7"/>
        <v>#N/A</v>
      </c>
      <c r="G83" s="18" t="e">
        <f t="shared" si="8"/>
        <v>#N/A</v>
      </c>
      <c r="H83" s="18" t="e">
        <f t="shared" si="9"/>
        <v>#N/A</v>
      </c>
    </row>
    <row r="84" spans="1:8" ht="12.6" thickBot="1" x14ac:dyDescent="0.45">
      <c r="A84" s="18">
        <v>75</v>
      </c>
      <c r="B84" s="306"/>
      <c r="C84" s="307"/>
      <c r="D84" s="303" t="e">
        <f t="shared" si="5"/>
        <v>#N/A</v>
      </c>
      <c r="E84" s="18" t="e">
        <f t="shared" si="6"/>
        <v>#N/A</v>
      </c>
      <c r="F84" s="18" t="e">
        <f t="shared" si="7"/>
        <v>#N/A</v>
      </c>
      <c r="G84" s="18" t="e">
        <f t="shared" si="8"/>
        <v>#N/A</v>
      </c>
      <c r="H84" s="18" t="e">
        <f t="shared" si="9"/>
        <v>#N/A</v>
      </c>
    </row>
  </sheetData>
  <mergeCells count="3">
    <mergeCell ref="A1:E1"/>
    <mergeCell ref="C5:D5"/>
    <mergeCell ref="K1:M1"/>
  </mergeCells>
  <dataValidations count="1">
    <dataValidation type="whole" allowBlank="1" showInputMessage="1" showErrorMessage="1" errorTitle="Input Error!" error="The cell entry must be a whole number." sqref="B10:B84 IX10:IX84 ST10:ST84 ACP10:ACP84 AML10:AML84 AWH10:AWH84 BGD10:BGD84 BPZ10:BPZ84 BZV10:BZV84 CJR10:CJR84 CTN10:CTN84 DDJ10:DDJ84 DNF10:DNF84 DXB10:DXB84 EGX10:EGX84 EQT10:EQT84 FAP10:FAP84 FKL10:FKL84 FUH10:FUH84 GED10:GED84 GNZ10:GNZ84 GXV10:GXV84 HHR10:HHR84 HRN10:HRN84 IBJ10:IBJ84 ILF10:ILF84 IVB10:IVB84 JEX10:JEX84 JOT10:JOT84 JYP10:JYP84 KIL10:KIL84 KSH10:KSH84 LCD10:LCD84 LLZ10:LLZ84 LVV10:LVV84 MFR10:MFR84 MPN10:MPN84 MZJ10:MZJ84 NJF10:NJF84 NTB10:NTB84 OCX10:OCX84 OMT10:OMT84 OWP10:OWP84 PGL10:PGL84 PQH10:PQH84 QAD10:QAD84 QJZ10:QJZ84 QTV10:QTV84 RDR10:RDR84 RNN10:RNN84 RXJ10:RXJ84 SHF10:SHF84 SRB10:SRB84 TAX10:TAX84 TKT10:TKT84 TUP10:TUP84 UEL10:UEL84 UOH10:UOH84 UYD10:UYD84 VHZ10:VHZ84 VRV10:VRV84 WBR10:WBR84 WLN10:WLN84 WVJ10:WVJ84 B65546:B65620 IX65546:IX65620 ST65546:ST65620 ACP65546:ACP65620 AML65546:AML65620 AWH65546:AWH65620 BGD65546:BGD65620 BPZ65546:BPZ65620 BZV65546:BZV65620 CJR65546:CJR65620 CTN65546:CTN65620 DDJ65546:DDJ65620 DNF65546:DNF65620 DXB65546:DXB65620 EGX65546:EGX65620 EQT65546:EQT65620 FAP65546:FAP65620 FKL65546:FKL65620 FUH65546:FUH65620 GED65546:GED65620 GNZ65546:GNZ65620 GXV65546:GXV65620 HHR65546:HHR65620 HRN65546:HRN65620 IBJ65546:IBJ65620 ILF65546:ILF65620 IVB65546:IVB65620 JEX65546:JEX65620 JOT65546:JOT65620 JYP65546:JYP65620 KIL65546:KIL65620 KSH65546:KSH65620 LCD65546:LCD65620 LLZ65546:LLZ65620 LVV65546:LVV65620 MFR65546:MFR65620 MPN65546:MPN65620 MZJ65546:MZJ65620 NJF65546:NJF65620 NTB65546:NTB65620 OCX65546:OCX65620 OMT65546:OMT65620 OWP65546:OWP65620 PGL65546:PGL65620 PQH65546:PQH65620 QAD65546:QAD65620 QJZ65546:QJZ65620 QTV65546:QTV65620 RDR65546:RDR65620 RNN65546:RNN65620 RXJ65546:RXJ65620 SHF65546:SHF65620 SRB65546:SRB65620 TAX65546:TAX65620 TKT65546:TKT65620 TUP65546:TUP65620 UEL65546:UEL65620 UOH65546:UOH65620 UYD65546:UYD65620 VHZ65546:VHZ65620 VRV65546:VRV65620 WBR65546:WBR65620 WLN65546:WLN65620 WVJ65546:WVJ65620 B131082:B131156 IX131082:IX131156 ST131082:ST131156 ACP131082:ACP131156 AML131082:AML131156 AWH131082:AWH131156 BGD131082:BGD131156 BPZ131082:BPZ131156 BZV131082:BZV131156 CJR131082:CJR131156 CTN131082:CTN131156 DDJ131082:DDJ131156 DNF131082:DNF131156 DXB131082:DXB131156 EGX131082:EGX131156 EQT131082:EQT131156 FAP131082:FAP131156 FKL131082:FKL131156 FUH131082:FUH131156 GED131082:GED131156 GNZ131082:GNZ131156 GXV131082:GXV131156 HHR131082:HHR131156 HRN131082:HRN131156 IBJ131082:IBJ131156 ILF131082:ILF131156 IVB131082:IVB131156 JEX131082:JEX131156 JOT131082:JOT131156 JYP131082:JYP131156 KIL131082:KIL131156 KSH131082:KSH131156 LCD131082:LCD131156 LLZ131082:LLZ131156 LVV131082:LVV131156 MFR131082:MFR131156 MPN131082:MPN131156 MZJ131082:MZJ131156 NJF131082:NJF131156 NTB131082:NTB131156 OCX131082:OCX131156 OMT131082:OMT131156 OWP131082:OWP131156 PGL131082:PGL131156 PQH131082:PQH131156 QAD131082:QAD131156 QJZ131082:QJZ131156 QTV131082:QTV131156 RDR131082:RDR131156 RNN131082:RNN131156 RXJ131082:RXJ131156 SHF131082:SHF131156 SRB131082:SRB131156 TAX131082:TAX131156 TKT131082:TKT131156 TUP131082:TUP131156 UEL131082:UEL131156 UOH131082:UOH131156 UYD131082:UYD131156 VHZ131082:VHZ131156 VRV131082:VRV131156 WBR131082:WBR131156 WLN131082:WLN131156 WVJ131082:WVJ131156 B196618:B196692 IX196618:IX196692 ST196618:ST196692 ACP196618:ACP196692 AML196618:AML196692 AWH196618:AWH196692 BGD196618:BGD196692 BPZ196618:BPZ196692 BZV196618:BZV196692 CJR196618:CJR196692 CTN196618:CTN196692 DDJ196618:DDJ196692 DNF196618:DNF196692 DXB196618:DXB196692 EGX196618:EGX196692 EQT196618:EQT196692 FAP196618:FAP196692 FKL196618:FKL196692 FUH196618:FUH196692 GED196618:GED196692 GNZ196618:GNZ196692 GXV196618:GXV196692 HHR196618:HHR196692 HRN196618:HRN196692 IBJ196618:IBJ196692 ILF196618:ILF196692 IVB196618:IVB196692 JEX196618:JEX196692 JOT196618:JOT196692 JYP196618:JYP196692 KIL196618:KIL196692 KSH196618:KSH196692 LCD196618:LCD196692 LLZ196618:LLZ196692 LVV196618:LVV196692 MFR196618:MFR196692 MPN196618:MPN196692 MZJ196618:MZJ196692 NJF196618:NJF196692 NTB196618:NTB196692 OCX196618:OCX196692 OMT196618:OMT196692 OWP196618:OWP196692 PGL196618:PGL196692 PQH196618:PQH196692 QAD196618:QAD196692 QJZ196618:QJZ196692 QTV196618:QTV196692 RDR196618:RDR196692 RNN196618:RNN196692 RXJ196618:RXJ196692 SHF196618:SHF196692 SRB196618:SRB196692 TAX196618:TAX196692 TKT196618:TKT196692 TUP196618:TUP196692 UEL196618:UEL196692 UOH196618:UOH196692 UYD196618:UYD196692 VHZ196618:VHZ196692 VRV196618:VRV196692 WBR196618:WBR196692 WLN196618:WLN196692 WVJ196618:WVJ196692 B262154:B262228 IX262154:IX262228 ST262154:ST262228 ACP262154:ACP262228 AML262154:AML262228 AWH262154:AWH262228 BGD262154:BGD262228 BPZ262154:BPZ262228 BZV262154:BZV262228 CJR262154:CJR262228 CTN262154:CTN262228 DDJ262154:DDJ262228 DNF262154:DNF262228 DXB262154:DXB262228 EGX262154:EGX262228 EQT262154:EQT262228 FAP262154:FAP262228 FKL262154:FKL262228 FUH262154:FUH262228 GED262154:GED262228 GNZ262154:GNZ262228 GXV262154:GXV262228 HHR262154:HHR262228 HRN262154:HRN262228 IBJ262154:IBJ262228 ILF262154:ILF262228 IVB262154:IVB262228 JEX262154:JEX262228 JOT262154:JOT262228 JYP262154:JYP262228 KIL262154:KIL262228 KSH262154:KSH262228 LCD262154:LCD262228 LLZ262154:LLZ262228 LVV262154:LVV262228 MFR262154:MFR262228 MPN262154:MPN262228 MZJ262154:MZJ262228 NJF262154:NJF262228 NTB262154:NTB262228 OCX262154:OCX262228 OMT262154:OMT262228 OWP262154:OWP262228 PGL262154:PGL262228 PQH262154:PQH262228 QAD262154:QAD262228 QJZ262154:QJZ262228 QTV262154:QTV262228 RDR262154:RDR262228 RNN262154:RNN262228 RXJ262154:RXJ262228 SHF262154:SHF262228 SRB262154:SRB262228 TAX262154:TAX262228 TKT262154:TKT262228 TUP262154:TUP262228 UEL262154:UEL262228 UOH262154:UOH262228 UYD262154:UYD262228 VHZ262154:VHZ262228 VRV262154:VRV262228 WBR262154:WBR262228 WLN262154:WLN262228 WVJ262154:WVJ262228 B327690:B327764 IX327690:IX327764 ST327690:ST327764 ACP327690:ACP327764 AML327690:AML327764 AWH327690:AWH327764 BGD327690:BGD327764 BPZ327690:BPZ327764 BZV327690:BZV327764 CJR327690:CJR327764 CTN327690:CTN327764 DDJ327690:DDJ327764 DNF327690:DNF327764 DXB327690:DXB327764 EGX327690:EGX327764 EQT327690:EQT327764 FAP327690:FAP327764 FKL327690:FKL327764 FUH327690:FUH327764 GED327690:GED327764 GNZ327690:GNZ327764 GXV327690:GXV327764 HHR327690:HHR327764 HRN327690:HRN327764 IBJ327690:IBJ327764 ILF327690:ILF327764 IVB327690:IVB327764 JEX327690:JEX327764 JOT327690:JOT327764 JYP327690:JYP327764 KIL327690:KIL327764 KSH327690:KSH327764 LCD327690:LCD327764 LLZ327690:LLZ327764 LVV327690:LVV327764 MFR327690:MFR327764 MPN327690:MPN327764 MZJ327690:MZJ327764 NJF327690:NJF327764 NTB327690:NTB327764 OCX327690:OCX327764 OMT327690:OMT327764 OWP327690:OWP327764 PGL327690:PGL327764 PQH327690:PQH327764 QAD327690:QAD327764 QJZ327690:QJZ327764 QTV327690:QTV327764 RDR327690:RDR327764 RNN327690:RNN327764 RXJ327690:RXJ327764 SHF327690:SHF327764 SRB327690:SRB327764 TAX327690:TAX327764 TKT327690:TKT327764 TUP327690:TUP327764 UEL327690:UEL327764 UOH327690:UOH327764 UYD327690:UYD327764 VHZ327690:VHZ327764 VRV327690:VRV327764 WBR327690:WBR327764 WLN327690:WLN327764 WVJ327690:WVJ327764 B393226:B393300 IX393226:IX393300 ST393226:ST393300 ACP393226:ACP393300 AML393226:AML393300 AWH393226:AWH393300 BGD393226:BGD393300 BPZ393226:BPZ393300 BZV393226:BZV393300 CJR393226:CJR393300 CTN393226:CTN393300 DDJ393226:DDJ393300 DNF393226:DNF393300 DXB393226:DXB393300 EGX393226:EGX393300 EQT393226:EQT393300 FAP393226:FAP393300 FKL393226:FKL393300 FUH393226:FUH393300 GED393226:GED393300 GNZ393226:GNZ393300 GXV393226:GXV393300 HHR393226:HHR393300 HRN393226:HRN393300 IBJ393226:IBJ393300 ILF393226:ILF393300 IVB393226:IVB393300 JEX393226:JEX393300 JOT393226:JOT393300 JYP393226:JYP393300 KIL393226:KIL393300 KSH393226:KSH393300 LCD393226:LCD393300 LLZ393226:LLZ393300 LVV393226:LVV393300 MFR393226:MFR393300 MPN393226:MPN393300 MZJ393226:MZJ393300 NJF393226:NJF393300 NTB393226:NTB393300 OCX393226:OCX393300 OMT393226:OMT393300 OWP393226:OWP393300 PGL393226:PGL393300 PQH393226:PQH393300 QAD393226:QAD393300 QJZ393226:QJZ393300 QTV393226:QTV393300 RDR393226:RDR393300 RNN393226:RNN393300 RXJ393226:RXJ393300 SHF393226:SHF393300 SRB393226:SRB393300 TAX393226:TAX393300 TKT393226:TKT393300 TUP393226:TUP393300 UEL393226:UEL393300 UOH393226:UOH393300 UYD393226:UYD393300 VHZ393226:VHZ393300 VRV393226:VRV393300 WBR393226:WBR393300 WLN393226:WLN393300 WVJ393226:WVJ393300 B458762:B458836 IX458762:IX458836 ST458762:ST458836 ACP458762:ACP458836 AML458762:AML458836 AWH458762:AWH458836 BGD458762:BGD458836 BPZ458762:BPZ458836 BZV458762:BZV458836 CJR458762:CJR458836 CTN458762:CTN458836 DDJ458762:DDJ458836 DNF458762:DNF458836 DXB458762:DXB458836 EGX458762:EGX458836 EQT458762:EQT458836 FAP458762:FAP458836 FKL458762:FKL458836 FUH458762:FUH458836 GED458762:GED458836 GNZ458762:GNZ458836 GXV458762:GXV458836 HHR458762:HHR458836 HRN458762:HRN458836 IBJ458762:IBJ458836 ILF458762:ILF458836 IVB458762:IVB458836 JEX458762:JEX458836 JOT458762:JOT458836 JYP458762:JYP458836 KIL458762:KIL458836 KSH458762:KSH458836 LCD458762:LCD458836 LLZ458762:LLZ458836 LVV458762:LVV458836 MFR458762:MFR458836 MPN458762:MPN458836 MZJ458762:MZJ458836 NJF458762:NJF458836 NTB458762:NTB458836 OCX458762:OCX458836 OMT458762:OMT458836 OWP458762:OWP458836 PGL458762:PGL458836 PQH458762:PQH458836 QAD458762:QAD458836 QJZ458762:QJZ458836 QTV458762:QTV458836 RDR458762:RDR458836 RNN458762:RNN458836 RXJ458762:RXJ458836 SHF458762:SHF458836 SRB458762:SRB458836 TAX458762:TAX458836 TKT458762:TKT458836 TUP458762:TUP458836 UEL458762:UEL458836 UOH458762:UOH458836 UYD458762:UYD458836 VHZ458762:VHZ458836 VRV458762:VRV458836 WBR458762:WBR458836 WLN458762:WLN458836 WVJ458762:WVJ458836 B524298:B524372 IX524298:IX524372 ST524298:ST524372 ACP524298:ACP524372 AML524298:AML524372 AWH524298:AWH524372 BGD524298:BGD524372 BPZ524298:BPZ524372 BZV524298:BZV524372 CJR524298:CJR524372 CTN524298:CTN524372 DDJ524298:DDJ524372 DNF524298:DNF524372 DXB524298:DXB524372 EGX524298:EGX524372 EQT524298:EQT524372 FAP524298:FAP524372 FKL524298:FKL524372 FUH524298:FUH524372 GED524298:GED524372 GNZ524298:GNZ524372 GXV524298:GXV524372 HHR524298:HHR524372 HRN524298:HRN524372 IBJ524298:IBJ524372 ILF524298:ILF524372 IVB524298:IVB524372 JEX524298:JEX524372 JOT524298:JOT524372 JYP524298:JYP524372 KIL524298:KIL524372 KSH524298:KSH524372 LCD524298:LCD524372 LLZ524298:LLZ524372 LVV524298:LVV524372 MFR524298:MFR524372 MPN524298:MPN524372 MZJ524298:MZJ524372 NJF524298:NJF524372 NTB524298:NTB524372 OCX524298:OCX524372 OMT524298:OMT524372 OWP524298:OWP524372 PGL524298:PGL524372 PQH524298:PQH524372 QAD524298:QAD524372 QJZ524298:QJZ524372 QTV524298:QTV524372 RDR524298:RDR524372 RNN524298:RNN524372 RXJ524298:RXJ524372 SHF524298:SHF524372 SRB524298:SRB524372 TAX524298:TAX524372 TKT524298:TKT524372 TUP524298:TUP524372 UEL524298:UEL524372 UOH524298:UOH524372 UYD524298:UYD524372 VHZ524298:VHZ524372 VRV524298:VRV524372 WBR524298:WBR524372 WLN524298:WLN524372 WVJ524298:WVJ524372 B589834:B589908 IX589834:IX589908 ST589834:ST589908 ACP589834:ACP589908 AML589834:AML589908 AWH589834:AWH589908 BGD589834:BGD589908 BPZ589834:BPZ589908 BZV589834:BZV589908 CJR589834:CJR589908 CTN589834:CTN589908 DDJ589834:DDJ589908 DNF589834:DNF589908 DXB589834:DXB589908 EGX589834:EGX589908 EQT589834:EQT589908 FAP589834:FAP589908 FKL589834:FKL589908 FUH589834:FUH589908 GED589834:GED589908 GNZ589834:GNZ589908 GXV589834:GXV589908 HHR589834:HHR589908 HRN589834:HRN589908 IBJ589834:IBJ589908 ILF589834:ILF589908 IVB589834:IVB589908 JEX589834:JEX589908 JOT589834:JOT589908 JYP589834:JYP589908 KIL589834:KIL589908 KSH589834:KSH589908 LCD589834:LCD589908 LLZ589834:LLZ589908 LVV589834:LVV589908 MFR589834:MFR589908 MPN589834:MPN589908 MZJ589834:MZJ589908 NJF589834:NJF589908 NTB589834:NTB589908 OCX589834:OCX589908 OMT589834:OMT589908 OWP589834:OWP589908 PGL589834:PGL589908 PQH589834:PQH589908 QAD589834:QAD589908 QJZ589834:QJZ589908 QTV589834:QTV589908 RDR589834:RDR589908 RNN589834:RNN589908 RXJ589834:RXJ589908 SHF589834:SHF589908 SRB589834:SRB589908 TAX589834:TAX589908 TKT589834:TKT589908 TUP589834:TUP589908 UEL589834:UEL589908 UOH589834:UOH589908 UYD589834:UYD589908 VHZ589834:VHZ589908 VRV589834:VRV589908 WBR589834:WBR589908 WLN589834:WLN589908 WVJ589834:WVJ589908 B655370:B655444 IX655370:IX655444 ST655370:ST655444 ACP655370:ACP655444 AML655370:AML655444 AWH655370:AWH655444 BGD655370:BGD655444 BPZ655370:BPZ655444 BZV655370:BZV655444 CJR655370:CJR655444 CTN655370:CTN655444 DDJ655370:DDJ655444 DNF655370:DNF655444 DXB655370:DXB655444 EGX655370:EGX655444 EQT655370:EQT655444 FAP655370:FAP655444 FKL655370:FKL655444 FUH655370:FUH655444 GED655370:GED655444 GNZ655370:GNZ655444 GXV655370:GXV655444 HHR655370:HHR655444 HRN655370:HRN655444 IBJ655370:IBJ655444 ILF655370:ILF655444 IVB655370:IVB655444 JEX655370:JEX655444 JOT655370:JOT655444 JYP655370:JYP655444 KIL655370:KIL655444 KSH655370:KSH655444 LCD655370:LCD655444 LLZ655370:LLZ655444 LVV655370:LVV655444 MFR655370:MFR655444 MPN655370:MPN655444 MZJ655370:MZJ655444 NJF655370:NJF655444 NTB655370:NTB655444 OCX655370:OCX655444 OMT655370:OMT655444 OWP655370:OWP655444 PGL655370:PGL655444 PQH655370:PQH655444 QAD655370:QAD655444 QJZ655370:QJZ655444 QTV655370:QTV655444 RDR655370:RDR655444 RNN655370:RNN655444 RXJ655370:RXJ655444 SHF655370:SHF655444 SRB655370:SRB655444 TAX655370:TAX655444 TKT655370:TKT655444 TUP655370:TUP655444 UEL655370:UEL655444 UOH655370:UOH655444 UYD655370:UYD655444 VHZ655370:VHZ655444 VRV655370:VRV655444 WBR655370:WBR655444 WLN655370:WLN655444 WVJ655370:WVJ655444 B720906:B720980 IX720906:IX720980 ST720906:ST720980 ACP720906:ACP720980 AML720906:AML720980 AWH720906:AWH720980 BGD720906:BGD720980 BPZ720906:BPZ720980 BZV720906:BZV720980 CJR720906:CJR720980 CTN720906:CTN720980 DDJ720906:DDJ720980 DNF720906:DNF720980 DXB720906:DXB720980 EGX720906:EGX720980 EQT720906:EQT720980 FAP720906:FAP720980 FKL720906:FKL720980 FUH720906:FUH720980 GED720906:GED720980 GNZ720906:GNZ720980 GXV720906:GXV720980 HHR720906:HHR720980 HRN720906:HRN720980 IBJ720906:IBJ720980 ILF720906:ILF720980 IVB720906:IVB720980 JEX720906:JEX720980 JOT720906:JOT720980 JYP720906:JYP720980 KIL720906:KIL720980 KSH720906:KSH720980 LCD720906:LCD720980 LLZ720906:LLZ720980 LVV720906:LVV720980 MFR720906:MFR720980 MPN720906:MPN720980 MZJ720906:MZJ720980 NJF720906:NJF720980 NTB720906:NTB720980 OCX720906:OCX720980 OMT720906:OMT720980 OWP720906:OWP720980 PGL720906:PGL720980 PQH720906:PQH720980 QAD720906:QAD720980 QJZ720906:QJZ720980 QTV720906:QTV720980 RDR720906:RDR720980 RNN720906:RNN720980 RXJ720906:RXJ720980 SHF720906:SHF720980 SRB720906:SRB720980 TAX720906:TAX720980 TKT720906:TKT720980 TUP720906:TUP720980 UEL720906:UEL720980 UOH720906:UOH720980 UYD720906:UYD720980 VHZ720906:VHZ720980 VRV720906:VRV720980 WBR720906:WBR720980 WLN720906:WLN720980 WVJ720906:WVJ720980 B786442:B786516 IX786442:IX786516 ST786442:ST786516 ACP786442:ACP786516 AML786442:AML786516 AWH786442:AWH786516 BGD786442:BGD786516 BPZ786442:BPZ786516 BZV786442:BZV786516 CJR786442:CJR786516 CTN786442:CTN786516 DDJ786442:DDJ786516 DNF786442:DNF786516 DXB786442:DXB786516 EGX786442:EGX786516 EQT786442:EQT786516 FAP786442:FAP786516 FKL786442:FKL786516 FUH786442:FUH786516 GED786442:GED786516 GNZ786442:GNZ786516 GXV786442:GXV786516 HHR786442:HHR786516 HRN786442:HRN786516 IBJ786442:IBJ786516 ILF786442:ILF786516 IVB786442:IVB786516 JEX786442:JEX786516 JOT786442:JOT786516 JYP786442:JYP786516 KIL786442:KIL786516 KSH786442:KSH786516 LCD786442:LCD786516 LLZ786442:LLZ786516 LVV786442:LVV786516 MFR786442:MFR786516 MPN786442:MPN786516 MZJ786442:MZJ786516 NJF786442:NJF786516 NTB786442:NTB786516 OCX786442:OCX786516 OMT786442:OMT786516 OWP786442:OWP786516 PGL786442:PGL786516 PQH786442:PQH786516 QAD786442:QAD786516 QJZ786442:QJZ786516 QTV786442:QTV786516 RDR786442:RDR786516 RNN786442:RNN786516 RXJ786442:RXJ786516 SHF786442:SHF786516 SRB786442:SRB786516 TAX786442:TAX786516 TKT786442:TKT786516 TUP786442:TUP786516 UEL786442:UEL786516 UOH786442:UOH786516 UYD786442:UYD786516 VHZ786442:VHZ786516 VRV786442:VRV786516 WBR786442:WBR786516 WLN786442:WLN786516 WVJ786442:WVJ786516 B851978:B852052 IX851978:IX852052 ST851978:ST852052 ACP851978:ACP852052 AML851978:AML852052 AWH851978:AWH852052 BGD851978:BGD852052 BPZ851978:BPZ852052 BZV851978:BZV852052 CJR851978:CJR852052 CTN851978:CTN852052 DDJ851978:DDJ852052 DNF851978:DNF852052 DXB851978:DXB852052 EGX851978:EGX852052 EQT851978:EQT852052 FAP851978:FAP852052 FKL851978:FKL852052 FUH851978:FUH852052 GED851978:GED852052 GNZ851978:GNZ852052 GXV851978:GXV852052 HHR851978:HHR852052 HRN851978:HRN852052 IBJ851978:IBJ852052 ILF851978:ILF852052 IVB851978:IVB852052 JEX851978:JEX852052 JOT851978:JOT852052 JYP851978:JYP852052 KIL851978:KIL852052 KSH851978:KSH852052 LCD851978:LCD852052 LLZ851978:LLZ852052 LVV851978:LVV852052 MFR851978:MFR852052 MPN851978:MPN852052 MZJ851978:MZJ852052 NJF851978:NJF852052 NTB851978:NTB852052 OCX851978:OCX852052 OMT851978:OMT852052 OWP851978:OWP852052 PGL851978:PGL852052 PQH851978:PQH852052 QAD851978:QAD852052 QJZ851978:QJZ852052 QTV851978:QTV852052 RDR851978:RDR852052 RNN851978:RNN852052 RXJ851978:RXJ852052 SHF851978:SHF852052 SRB851978:SRB852052 TAX851978:TAX852052 TKT851978:TKT852052 TUP851978:TUP852052 UEL851978:UEL852052 UOH851978:UOH852052 UYD851978:UYD852052 VHZ851978:VHZ852052 VRV851978:VRV852052 WBR851978:WBR852052 WLN851978:WLN852052 WVJ851978:WVJ852052 B917514:B917588 IX917514:IX917588 ST917514:ST917588 ACP917514:ACP917588 AML917514:AML917588 AWH917514:AWH917588 BGD917514:BGD917588 BPZ917514:BPZ917588 BZV917514:BZV917588 CJR917514:CJR917588 CTN917514:CTN917588 DDJ917514:DDJ917588 DNF917514:DNF917588 DXB917514:DXB917588 EGX917514:EGX917588 EQT917514:EQT917588 FAP917514:FAP917588 FKL917514:FKL917588 FUH917514:FUH917588 GED917514:GED917588 GNZ917514:GNZ917588 GXV917514:GXV917588 HHR917514:HHR917588 HRN917514:HRN917588 IBJ917514:IBJ917588 ILF917514:ILF917588 IVB917514:IVB917588 JEX917514:JEX917588 JOT917514:JOT917588 JYP917514:JYP917588 KIL917514:KIL917588 KSH917514:KSH917588 LCD917514:LCD917588 LLZ917514:LLZ917588 LVV917514:LVV917588 MFR917514:MFR917588 MPN917514:MPN917588 MZJ917514:MZJ917588 NJF917514:NJF917588 NTB917514:NTB917588 OCX917514:OCX917588 OMT917514:OMT917588 OWP917514:OWP917588 PGL917514:PGL917588 PQH917514:PQH917588 QAD917514:QAD917588 QJZ917514:QJZ917588 QTV917514:QTV917588 RDR917514:RDR917588 RNN917514:RNN917588 RXJ917514:RXJ917588 SHF917514:SHF917588 SRB917514:SRB917588 TAX917514:TAX917588 TKT917514:TKT917588 TUP917514:TUP917588 UEL917514:UEL917588 UOH917514:UOH917588 UYD917514:UYD917588 VHZ917514:VHZ917588 VRV917514:VRV917588 WBR917514:WBR917588 WLN917514:WLN917588 WVJ917514:WVJ917588 B983050:B983124 IX983050:IX983124 ST983050:ST983124 ACP983050:ACP983124 AML983050:AML983124 AWH983050:AWH983124 BGD983050:BGD983124 BPZ983050:BPZ983124 BZV983050:BZV983124 CJR983050:CJR983124 CTN983050:CTN983124 DDJ983050:DDJ983124 DNF983050:DNF983124 DXB983050:DXB983124 EGX983050:EGX983124 EQT983050:EQT983124 FAP983050:FAP983124 FKL983050:FKL983124 FUH983050:FUH983124 GED983050:GED983124 GNZ983050:GNZ983124 GXV983050:GXV983124 HHR983050:HHR983124 HRN983050:HRN983124 IBJ983050:IBJ983124 ILF983050:ILF983124 IVB983050:IVB983124 JEX983050:JEX983124 JOT983050:JOT983124 JYP983050:JYP983124 KIL983050:KIL983124 KSH983050:KSH983124 LCD983050:LCD983124 LLZ983050:LLZ983124 LVV983050:LVV983124 MFR983050:MFR983124 MPN983050:MPN983124 MZJ983050:MZJ983124 NJF983050:NJF983124 NTB983050:NTB983124 OCX983050:OCX983124 OMT983050:OMT983124 OWP983050:OWP983124 PGL983050:PGL983124 PQH983050:PQH983124 QAD983050:QAD983124 QJZ983050:QJZ983124 QTV983050:QTV983124 RDR983050:RDR983124 RNN983050:RNN983124 RXJ983050:RXJ983124 SHF983050:SHF983124 SRB983050:SRB983124 TAX983050:TAX983124 TKT983050:TKT983124 TUP983050:TUP983124 UEL983050:UEL983124 UOH983050:UOH983124 UYD983050:UYD983124 VHZ983050:VHZ983124 VRV983050:VRV983124 WBR983050:WBR983124 WLN983050:WLN983124 WVJ983050:WVJ983124" xr:uid="{00000000-0002-0000-1F00-000000000000}">
      <formula1>0</formula1>
      <formula2>999999</formula2>
    </dataValidation>
  </dataValidations>
  <hyperlinks>
    <hyperlink ref="K1" location="Menu!A1" display="Return to menu" xr:uid="{00000000-0004-0000-1F00-000000000000}"/>
  </hyperlinks>
  <pageMargins left="0.75" right="0.75" top="1" bottom="1" header="0.5" footer="0.5"/>
  <pageSetup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dimension ref="P1:R1"/>
  <sheetViews>
    <sheetView workbookViewId="0">
      <selection activeCell="P1" sqref="P1:R1"/>
    </sheetView>
  </sheetViews>
  <sheetFormatPr defaultColWidth="9.1015625" defaultRowHeight="12.3" x14ac:dyDescent="0.4"/>
  <cols>
    <col min="1" max="16384" width="9.1015625" style="18"/>
  </cols>
  <sheetData>
    <row r="1" spans="16:18" ht="20.399999999999999" x14ac:dyDescent="0.75">
      <c r="P1" s="598" t="s">
        <v>20</v>
      </c>
      <c r="Q1" s="598"/>
      <c r="R1" s="598"/>
    </row>
  </sheetData>
  <mergeCells count="1">
    <mergeCell ref="P1:R1"/>
  </mergeCells>
  <hyperlinks>
    <hyperlink ref="P1" location="Menu!A1" display="Return to menu" xr:uid="{00000000-0004-0000-2000-000000000000}"/>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4"/>
  <dimension ref="A1"/>
  <sheetViews>
    <sheetView workbookViewId="0"/>
  </sheetViews>
  <sheetFormatPr defaultRowHeight="14.4" x14ac:dyDescent="0.55000000000000004"/>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5"/>
  <dimension ref="A1"/>
  <sheetViews>
    <sheetView workbookViewId="0">
      <selection activeCell="F31" sqref="F31"/>
    </sheetView>
  </sheetViews>
  <sheetFormatPr defaultRowHeight="14.4" x14ac:dyDescent="0.550000000000000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9</vt:i4>
      </vt:variant>
    </vt:vector>
  </HeadingPairs>
  <TitlesOfParts>
    <vt:vector size="44" baseType="lpstr">
      <vt:lpstr>Menu</vt:lpstr>
      <vt:lpstr>A3 Template</vt:lpstr>
      <vt:lpstr>Boxplot</vt:lpstr>
      <vt:lpstr>C chart Data and calculations</vt:lpstr>
      <vt:lpstr>c-chart</vt:lpstr>
      <vt:lpstr>Control plan</vt:lpstr>
      <vt:lpstr>FMEA</vt:lpstr>
      <vt:lpstr>GRR Instructions</vt:lpstr>
      <vt:lpstr>GRR AIAG GR&amp;R</vt:lpstr>
      <vt:lpstr>GRR Graphical Summary</vt:lpstr>
      <vt:lpstr>GRR Numerical Summary</vt:lpstr>
      <vt:lpstr>GRR Calculations</vt:lpstr>
      <vt:lpstr>Hist 10 bars</vt:lpstr>
      <vt:lpstr>IMR Data and calculations</vt:lpstr>
      <vt:lpstr>IMR x-chart</vt:lpstr>
      <vt:lpstr>IMR Moving range chart</vt:lpstr>
      <vt:lpstr>Ishikawa</vt:lpstr>
      <vt:lpstr>np Data and calculations</vt:lpstr>
      <vt:lpstr>np-chart</vt:lpstr>
      <vt:lpstr>p Data and calculations</vt:lpstr>
      <vt:lpstr>p-chart</vt:lpstr>
      <vt:lpstr>p-chart (approx. ctl. limits)</vt:lpstr>
      <vt:lpstr>Pareto</vt:lpstr>
      <vt:lpstr>Proc. Cap Table</vt:lpstr>
      <vt:lpstr>Pugh Matrix</vt:lpstr>
      <vt:lpstr>Sigma Boxplot</vt:lpstr>
      <vt:lpstr>Simple data collection</vt:lpstr>
      <vt:lpstr>SIPOC</vt:lpstr>
      <vt:lpstr>Xbar R chart data</vt:lpstr>
      <vt:lpstr>X-bar chart</vt:lpstr>
      <vt:lpstr>R-chart</vt:lpstr>
      <vt:lpstr>u Data and calculations</vt:lpstr>
      <vt:lpstr>u-chart</vt:lpstr>
      <vt:lpstr>Sheet3</vt:lpstr>
      <vt:lpstr>Sheet2</vt:lpstr>
      <vt:lpstr>'A3 Template'!Print_Area</vt:lpstr>
      <vt:lpstr>'GRR AIAG GR&amp;R'!Print_Area</vt:lpstr>
      <vt:lpstr>'GRR Calculations'!Print_Area</vt:lpstr>
      <vt:lpstr>'GRR Graphical Summary'!Print_Area</vt:lpstr>
      <vt:lpstr>'GRR Instructions'!Print_Area</vt:lpstr>
      <vt:lpstr>'Hist 10 bars'!Print_Area</vt:lpstr>
      <vt:lpstr>Pareto!Print_Area</vt:lpstr>
      <vt:lpstr>SIPOC!Print_Area</vt:lpstr>
      <vt:lpstr>FMEA!Print_Titles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2019-07-12T16:18:32Z</dcterms:modified>
</cp:coreProperties>
</file>