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omments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52F7A5EF-865B-4E07-97EE-D6C8D0FE9731}" xr6:coauthVersionLast="47" xr6:coauthVersionMax="47" xr10:uidLastSave="{00000000-0000-0000-0000-000000000000}"/>
  <bookViews>
    <workbookView xWindow="57480" yWindow="-120" windowWidth="29040" windowHeight="15840" xr2:uid="{00000000-000D-0000-FFFF-FFFF00000000}"/>
  </bookViews>
  <sheets>
    <sheet name="Menu" sheetId="1" r:id="rId1"/>
    <sheet name="5W-2H" sheetId="60" r:id="rId2"/>
    <sheet name="5 whys" sheetId="97" r:id="rId3"/>
    <sheet name="A3 Template" sheetId="16" r:id="rId4"/>
    <sheet name="Project Charter" sheetId="61" r:id="rId5"/>
    <sheet name="att Instructions" sheetId="42" r:id="rId6"/>
    <sheet name="att Data Entry" sheetId="43" r:id="rId7"/>
    <sheet name="att Report" sheetId="44" r:id="rId8"/>
    <sheet name="att Statistical Report" sheetId="45" r:id="rId9"/>
    <sheet name="att Calculations" sheetId="46" r:id="rId10"/>
    <sheet name="Benefit vs Effort" sheetId="71" r:id="rId11"/>
    <sheet name="Boxplot" sheetId="6" r:id="rId12"/>
    <sheet name="C chart Data and calculations" sheetId="32" r:id="rId13"/>
    <sheet name="c-chart" sheetId="33" r:id="rId14"/>
    <sheet name="Communication Plan" sheetId="76" r:id="rId15"/>
    <sheet name="Control plan" sheetId="8" r:id="rId16"/>
    <sheet name="Decision Matrix" sheetId="14" r:id="rId17"/>
    <sheet name="FMEA" sheetId="27" r:id="rId18"/>
    <sheet name="Force Field Analysis" sheetId="56" r:id="rId19"/>
    <sheet name="GRR Instructions" sheetId="90" r:id="rId20"/>
    <sheet name="GRR AIAG GR&amp;R" sheetId="91" r:id="rId21"/>
    <sheet name="GRR Graphical Summary" sheetId="92" r:id="rId22"/>
    <sheet name="GRR Numerical Summary" sheetId="93" r:id="rId23"/>
    <sheet name="Hist 10 bars" sheetId="4" r:id="rId24"/>
    <sheet name="Hoshin Kanri" sheetId="66" r:id="rId25"/>
    <sheet name="IMR Data and calculations" sheetId="29" r:id="rId26"/>
    <sheet name="IMR chart" sheetId="30" r:id="rId27"/>
    <sheet name="Ishikawa" sheetId="13" r:id="rId28"/>
    <sheet name="np Data and calculations" sheetId="34" r:id="rId29"/>
    <sheet name="np-chart" sheetId="35" r:id="rId30"/>
    <sheet name="p Data and calculations" sheetId="36" r:id="rId31"/>
    <sheet name="p-chart" sheetId="37" r:id="rId32"/>
    <sheet name="p-chart (approx. ctl. limits)" sheetId="38" r:id="rId33"/>
    <sheet name="Pareto" sheetId="10" r:id="rId34"/>
    <sheet name="Pie Chart" sheetId="81" r:id="rId35"/>
    <sheet name="Proc. Cap Table" sheetId="9" r:id="rId36"/>
    <sheet name="Process Map" sheetId="12" r:id="rId37"/>
    <sheet name="Pugh Matrix" sheetId="25" r:id="rId38"/>
    <sheet name="SIPOC" sheetId="23" r:id="rId39"/>
    <sheet name="To Do List" sheetId="53" r:id="rId40"/>
    <sheet name="SPC Selection Guide" sheetId="67" r:id="rId41"/>
    <sheet name="Xbar R chart data" sheetId="17" r:id="rId42"/>
    <sheet name="X-bar R chart" sheetId="18" r:id="rId43"/>
    <sheet name="u Data and calculations" sheetId="39" r:id="rId44"/>
    <sheet name="u-chart" sheetId="40" r:id="rId45"/>
    <sheet name="VSM" sheetId="77" r:id="rId46"/>
    <sheet name="VSM example" sheetId="78" r:id="rId47"/>
    <sheet name="SWOT" sheetId="96" r:id="rId48"/>
    <sheet name="GRR Calculations (2)" sheetId="94" r:id="rId49"/>
  </sheets>
  <externalReferences>
    <externalReference r:id="rId50"/>
    <externalReference r:id="rId51"/>
    <externalReference r:id="rId52"/>
  </externalReferences>
  <definedNames>
    <definedName name="Aone" localSheetId="2">OFFSET(#REF!,0,0,SUM(#REF!))</definedName>
    <definedName name="Aone" localSheetId="14">OFFSET('[1]GRR Calculations'!$AF$74,0,0,SUM('[1]GRR Calculations'!$X$13:$X$13))</definedName>
    <definedName name="Aone" localSheetId="45">OFFSET('[2]GRR Calculations'!$AF$74,0,0,SUM('[2]GRR Calculations'!$X$13:$X$13))</definedName>
    <definedName name="Aone" localSheetId="46">OFFSET('[2]GRR Calculations'!$AF$74,0,0,SUM('[2]GRR Calculations'!$X$13:$X$13))</definedName>
    <definedName name="Aone">OFFSET(#REF!,0,0,SUM(#REF!))</definedName>
    <definedName name="Athree" localSheetId="2">OFFSET(#REF!,0,0,SUM(#REF!))</definedName>
    <definedName name="Athree" localSheetId="14">OFFSET('[1]GRR Calculations'!$AH$74,0,0,SUM('[1]GRR Calculations'!$X$13:$X$13))</definedName>
    <definedName name="Athree" localSheetId="45">OFFSET('[2]GRR Calculations'!$AH$74,0,0,SUM('[2]GRR Calculations'!$X$13:$X$13))</definedName>
    <definedName name="Athree" localSheetId="46">OFFSET('[2]GRR Calculations'!$AH$74,0,0,SUM('[2]GRR Calculations'!$X$13:$X$13))</definedName>
    <definedName name="Athree">OFFSET(#REF!,0,0,SUM(#REF!))</definedName>
    <definedName name="Atwo" localSheetId="2">OFFSET(#REF!,0,0,SUM(#REF!))</definedName>
    <definedName name="Atwo" localSheetId="14">OFFSET('[1]GRR Calculations'!$AG$74,0,0,SUM('[1]GRR Calculations'!$X$13:$X$13))</definedName>
    <definedName name="Atwo" localSheetId="45">OFFSET('[2]GRR Calculations'!$AG$74,0,0,SUM('[2]GRR Calculations'!$X$13:$X$13))</definedName>
    <definedName name="Atwo" localSheetId="46">OFFSET('[2]GRR Calculations'!$AG$74,0,0,SUM('[2]GRR Calculations'!$X$13:$X$13))</definedName>
    <definedName name="Atwo">OFFSET(#REF!,0,0,SUM(#REF!))</definedName>
    <definedName name="AvgTen" localSheetId="2">OFFSET(#REF!,0,0,SUM(#REF!))</definedName>
    <definedName name="AvgTen" localSheetId="14">OFFSET('[1]GRR Calculations'!$AO$74,0,0,SUM('[1]GRR Calculations'!$X$13:$X$13))</definedName>
    <definedName name="AvgTen" localSheetId="45">OFFSET('[2]GRR Calculations'!$AO$74,0,0,SUM('[2]GRR Calculations'!$X$13:$X$13))</definedName>
    <definedName name="AvgTen" localSheetId="46">OFFSET('[2]GRR Calculations'!$AO$74,0,0,SUM('[2]GRR Calculations'!$X$13:$X$13))</definedName>
    <definedName name="AvgTen">OFFSET(#REF!,0,0,SUM(#REF!))</definedName>
    <definedName name="Bone" localSheetId="2">OFFSET(#REF!,0,0,SUM(#REF!))</definedName>
    <definedName name="Bone" localSheetId="14">OFFSET('[1]GRR Calculations'!$AI$74,0,0,SUM('[1]GRR Calculations'!$X$13:$X$13))</definedName>
    <definedName name="Bone" localSheetId="45">OFFSET('[2]GRR Calculations'!$AI$74,0,0,SUM('[2]GRR Calculations'!$X$13:$X$13))</definedName>
    <definedName name="Bone" localSheetId="46">OFFSET('[2]GRR Calculations'!$AI$74,0,0,SUM('[2]GRR Calculations'!$X$13:$X$13))</definedName>
    <definedName name="Bone">OFFSET(#REF!,0,0,SUM(#REF!))</definedName>
    <definedName name="Bthree" localSheetId="2">OFFSET(#REF!,0,0,SUM(#REF!))</definedName>
    <definedName name="Bthree" localSheetId="14">OFFSET('[1]GRR Calculations'!$AK$74,0,0,SUM('[1]GRR Calculations'!$X$13:$X$13))</definedName>
    <definedName name="Bthree" localSheetId="45">OFFSET('[2]GRR Calculations'!$AK$74,0,0,SUM('[2]GRR Calculations'!$X$13:$X$13))</definedName>
    <definedName name="Bthree" localSheetId="46">OFFSET('[2]GRR Calculations'!$AK$74,0,0,SUM('[2]GRR Calculations'!$X$13:$X$13))</definedName>
    <definedName name="Bthree">OFFSET(#REF!,0,0,SUM(#REF!))</definedName>
    <definedName name="Btwo" localSheetId="2">OFFSET(#REF!,0,0,SUM(#REF!))</definedName>
    <definedName name="Btwo" localSheetId="14">OFFSET('[1]GRR Calculations'!$AJ$74,0,0,SUM('[1]GRR Calculations'!$X$13:$X$13))</definedName>
    <definedName name="Btwo" localSheetId="45">OFFSET('[2]GRR Calculations'!$AJ$74,0,0,SUM('[2]GRR Calculations'!$X$13:$X$13))</definedName>
    <definedName name="Btwo" localSheetId="46">OFFSET('[2]GRR Calculations'!$AJ$74,0,0,SUM('[2]GRR Calculations'!$X$13:$X$13))</definedName>
    <definedName name="Btwo">OFFSET(#REF!,0,0,SUM(#REF!))</definedName>
    <definedName name="com">#N/A</definedName>
    <definedName name="Cone" localSheetId="2">OFFSET(#REF!,0,0,SUM(#REF!))</definedName>
    <definedName name="Cone" localSheetId="14">OFFSET('[1]GRR Calculations'!$AL$74,0,0,SUM('[1]GRR Calculations'!$X$13:$X$13))</definedName>
    <definedName name="Cone" localSheetId="45">OFFSET('[2]GRR Calculations'!$AL$74,0,0,SUM('[2]GRR Calculations'!$X$13:$X$13))</definedName>
    <definedName name="Cone" localSheetId="46">OFFSET('[2]GRR Calculations'!$AL$74,0,0,SUM('[2]GRR Calculations'!$X$13:$X$13))</definedName>
    <definedName name="Cone">OFFSET(#REF!,0,0,SUM(#REF!))</definedName>
    <definedName name="Cthree" localSheetId="2">OFFSET(#REF!,0,0,SUM(#REF!))</definedName>
    <definedName name="Cthree" localSheetId="14">OFFSET('[1]GRR Calculations'!$AN$74,0,0,SUM('[1]GRR Calculations'!$X$13:$X$13))</definedName>
    <definedName name="Cthree" localSheetId="45">OFFSET('[2]GRR Calculations'!$AN$74,0,0,SUM('[2]GRR Calculations'!$X$13:$X$13))</definedName>
    <definedName name="Cthree" localSheetId="46">OFFSET('[2]GRR Calculations'!$AN$74,0,0,SUM('[2]GRR Calculations'!$X$13:$X$13))</definedName>
    <definedName name="Cthree">OFFSET(#REF!,0,0,SUM(#REF!))</definedName>
    <definedName name="Ctwo" localSheetId="2">OFFSET(#REF!,0,0,SUM(#REF!))</definedName>
    <definedName name="Ctwo" localSheetId="14">OFFSET('[1]GRR Calculations'!$AM$74,0,0,SUM('[1]GRR Calculations'!$X$13:$X$13))</definedName>
    <definedName name="Ctwo" localSheetId="45">OFFSET('[2]GRR Calculations'!$AM$74,0,0,SUM('[2]GRR Calculations'!$X$13:$X$13))</definedName>
    <definedName name="Ctwo" localSheetId="46">OFFSET('[2]GRR Calculations'!$AM$74,0,0,SUM('[2]GRR Calculations'!$X$13:$X$13))</definedName>
    <definedName name="Ctwo">OFFSET(#REF!,0,0,SUM(#REF!))</definedName>
    <definedName name="eight" localSheetId="2">OFFSET(#REF!,0,0,SUM(#REF!))</definedName>
    <definedName name="eight" localSheetId="14">OFFSET('[1]GRR Calculations'!$AZ$72,0,0,SUM('[1]GRR Calculations'!$X$12))</definedName>
    <definedName name="eight" localSheetId="45">OFFSET('[2]GRR Calculations'!$AZ$72,0,0,SUM('[2]GRR Calculations'!$X$12))</definedName>
    <definedName name="eight" localSheetId="46">OFFSET('[2]GRR Calculations'!$AZ$72,0,0,SUM('[2]GRR Calculations'!$X$12))</definedName>
    <definedName name="eight">OFFSET(#REF!,0,0,SUM(#REF!))</definedName>
    <definedName name="eighteen" localSheetId="2">OFFSET(#REF!,0,0,SUM(#REF!))</definedName>
    <definedName name="eighteen" localSheetId="14">OFFSET('[1]GRR Calculations'!$BJ$72,0,0,SUM('[1]GRR Calculations'!$X$12))</definedName>
    <definedName name="eighteen" localSheetId="45">OFFSET('[2]GRR Calculations'!$BJ$72,0,0,SUM('[2]GRR Calculations'!$X$12))</definedName>
    <definedName name="eighteen" localSheetId="46">OFFSET('[2]GRR Calculations'!$BJ$72,0,0,SUM('[2]GRR Calculations'!$X$12))</definedName>
    <definedName name="eighteen">OFFSET(#REF!,0,0,SUM(#REF!))</definedName>
    <definedName name="eleven" localSheetId="2">OFFSET(#REF!,0,0,SUM(#REF!))</definedName>
    <definedName name="eleven" localSheetId="14">OFFSET('[1]GRR Calculations'!$BC$72,0,0,SUM('[1]GRR Calculations'!$X$12))</definedName>
    <definedName name="eleven" localSheetId="45">OFFSET('[2]GRR Calculations'!$BC$72,0,0,SUM('[2]GRR Calculations'!$X$12))</definedName>
    <definedName name="eleven" localSheetId="46">OFFSET('[2]GRR Calculations'!$BC$72,0,0,SUM('[2]GRR Calculations'!$X$12))</definedName>
    <definedName name="eleven">OFFSET(#REF!,0,0,SUM(#REF!))</definedName>
    <definedName name="fifteen" localSheetId="2">OFFSET(#REF!,0,0,SUM(#REF!))</definedName>
    <definedName name="fifteen" localSheetId="14">OFFSET('[1]GRR Calculations'!$BG$72,0,0,SUM('[1]GRR Calculations'!$X$12))</definedName>
    <definedName name="fifteen" localSheetId="45">OFFSET('[2]GRR Calculations'!$BG$72,0,0,SUM('[2]GRR Calculations'!$X$12))</definedName>
    <definedName name="fifteen" localSheetId="46">OFFSET('[2]GRR Calculations'!$BG$72,0,0,SUM('[2]GRR Calculations'!$X$12))</definedName>
    <definedName name="fifteen">OFFSET(#REF!,0,0,SUM(#REF!))</definedName>
    <definedName name="five" localSheetId="2">OFFSET(#REF!,0,0,SUM(#REF!))</definedName>
    <definedName name="five" localSheetId="14">OFFSET('[1]GRR Calculations'!$AW$72,0,0,SUM('[1]GRR Calculations'!$X$12))</definedName>
    <definedName name="five" localSheetId="45">OFFSET('[2]GRR Calculations'!$AW$72,0,0,SUM('[2]GRR Calculations'!$X$12))</definedName>
    <definedName name="five" localSheetId="46">OFFSET('[2]GRR Calculations'!$AW$72,0,0,SUM('[2]GRR Calculations'!$X$12))</definedName>
    <definedName name="five">OFFSET(#REF!,0,0,SUM(#REF!))</definedName>
    <definedName name="four" localSheetId="2">OFFSET(#REF!,0,0,SUM(#REF!))</definedName>
    <definedName name="four" localSheetId="14">OFFSET('[1]GRR Calculations'!$AV$72,0,0,SUM('[1]GRR Calculations'!$X$12))</definedName>
    <definedName name="four" localSheetId="45">OFFSET('[2]GRR Calculations'!$AV$72,0,0,SUM('[2]GRR Calculations'!$X$12))</definedName>
    <definedName name="four" localSheetId="46">OFFSET('[2]GRR Calculations'!$AV$72,0,0,SUM('[2]GRR Calculations'!$X$12))</definedName>
    <definedName name="four">OFFSET(#REF!,0,0,SUM(#REF!))</definedName>
    <definedName name="fourteen" localSheetId="2">OFFSET(#REF!,0,0,SUM(#REF!))</definedName>
    <definedName name="fourteen" localSheetId="14">OFFSET('[1]GRR Calculations'!$BF$72,0,0,SUM('[1]GRR Calculations'!$X$12))</definedName>
    <definedName name="fourteen" localSheetId="45">OFFSET('[2]GRR Calculations'!$BF$72,0,0,SUM('[2]GRR Calculations'!$X$12))</definedName>
    <definedName name="fourteen" localSheetId="46">OFFSET('[2]GRR Calculations'!$BF$72,0,0,SUM('[2]GRR Calculations'!$X$12))</definedName>
    <definedName name="fourteen">OFFSET(#REF!,0,0,SUM(#REF!))</definedName>
    <definedName name="gdf">[3]df!$C$28</definedName>
    <definedName name="LCLx" localSheetId="2">OFFSET(#REF!,0,0,SUM(#REF!))</definedName>
    <definedName name="LCLx" localSheetId="14">OFFSET('[1]GRR Calculations'!$Y$108,0,0,SUM('[1]GRR Calculations'!$AC$111:$AC$111))</definedName>
    <definedName name="LCLx" localSheetId="45">OFFSET('[2]GRR Calculations'!$Y$108,0,0,SUM('[2]GRR Calculations'!$AC$111:$AC$111))</definedName>
    <definedName name="LCLx" localSheetId="46">OFFSET('[2]GRR Calculations'!$Y$108,0,0,SUM('[2]GRR Calculations'!$AC$111:$AC$111))</definedName>
    <definedName name="LCLx">OFFSET(#REF!,0,0,SUM(#REF!))</definedName>
    <definedName name="List1" localSheetId="2">OFFSET(#REF!,,,'5 whys'!Singles,1)</definedName>
    <definedName name="List1" localSheetId="14">OFFSET(#REF!,,,'Communication Plan'!Singles,1)</definedName>
    <definedName name="List1" localSheetId="45">OFFSET(#REF!,,,[0]!Singles,1)</definedName>
    <definedName name="List1" localSheetId="46">OFFSET(#REF!,,,'VSM example'!Singles,1)</definedName>
    <definedName name="List1">OFFSET(#REF!,,,[0]!Singles,1)</definedName>
    <definedName name="List2" localSheetId="2">OFFSET(#REF!,,,'5 whys'!Singles-1,1)</definedName>
    <definedName name="List2" localSheetId="14">OFFSET(#REF!,,,'Communication Plan'!Singles-1,1)</definedName>
    <definedName name="List2" localSheetId="45">OFFSET(#REF!,,,[0]!Singles-1,1)</definedName>
    <definedName name="List2" localSheetId="46">OFFSET(#REF!,,,'VSM example'!Singles-1,1)</definedName>
    <definedName name="List2">OFFSET(#REF!,,,[0]!Singles-1,1)</definedName>
    <definedName name="mdf">[3]df!$C$27</definedName>
    <definedName name="nine" localSheetId="2">OFFSET(#REF!,0,0,SUM(#REF!))</definedName>
    <definedName name="nine" localSheetId="14">OFFSET('[1]GRR Calculations'!$BA$72,0,0,SUM('[1]GRR Calculations'!$X$12))</definedName>
    <definedName name="nine" localSheetId="45">OFFSET('[2]GRR Calculations'!$BA$72,0,0,SUM('[2]GRR Calculations'!$X$12))</definedName>
    <definedName name="nine" localSheetId="46">OFFSET('[2]GRR Calculations'!$BA$72,0,0,SUM('[2]GRR Calculations'!$X$12))</definedName>
    <definedName name="nine">OFFSET(#REF!,0,0,SUM(#REF!))</definedName>
    <definedName name="nineteen" localSheetId="2">OFFSET(#REF!,0,0,SUM(#REF!))</definedName>
    <definedName name="nineteen" localSheetId="14">OFFSET('[1]GRR Calculations'!$BK$72,0,0,SUM('[1]GRR Calculations'!$X$12))</definedName>
    <definedName name="nineteen" localSheetId="45">OFFSET('[2]GRR Calculations'!$BK$72,0,0,SUM('[2]GRR Calculations'!$X$12))</definedName>
    <definedName name="nineteen" localSheetId="46">OFFSET('[2]GRR Calculations'!$BK$72,0,0,SUM('[2]GRR Calculations'!$X$12))</definedName>
    <definedName name="nineteen">OFFSET(#REF!,0,0,SUM(#REF!))</definedName>
    <definedName name="one" localSheetId="2">OFFSET(#REF!,0,0,SUM(#REF!))</definedName>
    <definedName name="one" localSheetId="14">OFFSET('[1]GRR Calculations'!$AS$72,0,0,SUM('[1]GRR Calculations'!$X$12))</definedName>
    <definedName name="one" localSheetId="45">OFFSET('[2]GRR Calculations'!$AS$72,0,0,SUM('[2]GRR Calculations'!$X$12))</definedName>
    <definedName name="one" localSheetId="46">OFFSET('[2]GRR Calculations'!$AS$72,0,0,SUM('[2]GRR Calculations'!$X$12))</definedName>
    <definedName name="one">OFFSET(#REF!,0,0,SUM(#REF!))</definedName>
    <definedName name="OpA" localSheetId="2">OFFSET(#REF!,0,0,SUM(#REF!))</definedName>
    <definedName name="OpA" localSheetId="14">OFFSET('[1]GRR Calculations'!$AO$84,0,0,SUM('[1]GRR Calculations'!$X$13:$X$13))</definedName>
    <definedName name="OpA" localSheetId="45">OFFSET('[2]GRR Calculations'!$AO$84,0,0,SUM('[2]GRR Calculations'!$X$13:$X$13))</definedName>
    <definedName name="OpA" localSheetId="46">OFFSET('[2]GRR Calculations'!$AO$84,0,0,SUM('[2]GRR Calculations'!$X$13:$X$13))</definedName>
    <definedName name="OpA">OFFSET(#REF!,0,0,SUM(#REF!))</definedName>
    <definedName name="OpB" localSheetId="2">OFFSET(#REF!,0,0,SUM(#REF!))</definedName>
    <definedName name="OpB" localSheetId="14">OFFSET('[1]GRR Calculations'!$AP$84,0,0,SUM('[1]GRR Calculations'!$X$13:$X$13))</definedName>
    <definedName name="OpB" localSheetId="45">OFFSET('[2]GRR Calculations'!$AP$84,0,0,SUM('[2]GRR Calculations'!$X$13:$X$13))</definedName>
    <definedName name="OpB" localSheetId="46">OFFSET('[2]GRR Calculations'!$AP$84,0,0,SUM('[2]GRR Calculations'!$X$13:$X$13))</definedName>
    <definedName name="OpB">OFFSET(#REF!,0,0,SUM(#REF!))</definedName>
    <definedName name="OpC" localSheetId="2">OFFSET(#REF!,0,0,SUM(#REF!))</definedName>
    <definedName name="OpC" localSheetId="14">OFFSET('[1]GRR Calculations'!$AQ$84,0,0,SUM('[1]GRR Calculations'!$X$13:$X$13))</definedName>
    <definedName name="OpC" localSheetId="45">OFFSET('[2]GRR Calculations'!$AQ$84,0,0,SUM('[2]GRR Calculations'!$X$13:$X$13))</definedName>
    <definedName name="OpC" localSheetId="46">OFFSET('[2]GRR Calculations'!$AQ$84,0,0,SUM('[2]GRR Calculations'!$X$13:$X$13))</definedName>
    <definedName name="OpC">OFFSET(#REF!,0,0,SUM(#REF!))</definedName>
    <definedName name="OperatorA" localSheetId="2">OFFSET(#REF!,0,0,SUM(#REF!))</definedName>
    <definedName name="OperatorA" localSheetId="14">OFFSET('[1]GRR Calculations'!$O$108,0,0,SUM('[1]GRR Calculations'!$AC$111:$AC$111))</definedName>
    <definedName name="OperatorA" localSheetId="45">OFFSET('[2]GRR Calculations'!$O$108,0,0,SUM('[2]GRR Calculations'!$AC$111:$AC$111))</definedName>
    <definedName name="OperatorA" localSheetId="46">OFFSET('[2]GRR Calculations'!$O$108,0,0,SUM('[2]GRR Calculations'!$AC$111:$AC$111))</definedName>
    <definedName name="OperatorA">OFFSET(#REF!,0,0,SUM(#REF!))</definedName>
    <definedName name="OperatorA_R" localSheetId="2">OFFSET(#REF!,0,0,SUM(#REF!))</definedName>
    <definedName name="OperatorA_R" localSheetId="14">OFFSET('[1]GRR Calculations'!$R$108,0,0,SUM('[1]GRR Calculations'!$AC$111:$AC$111))</definedName>
    <definedName name="OperatorA_R" localSheetId="45">OFFSET('[2]GRR Calculations'!$R$108,0,0,SUM('[2]GRR Calculations'!$AC$111:$AC$111))</definedName>
    <definedName name="OperatorA_R" localSheetId="46">OFFSET('[2]GRR Calculations'!$R$108,0,0,SUM('[2]GRR Calculations'!$AC$111:$AC$111))</definedName>
    <definedName name="OperatorA_R">OFFSET(#REF!,0,0,SUM(#REF!))</definedName>
    <definedName name="OperatorB" localSheetId="2">OFFSET(#REF!,0,0,SUM(#REF!))</definedName>
    <definedName name="OperatorB" localSheetId="14">OFFSET('[1]GRR Calculations'!$P$108,0,0,SUM('[1]GRR Calculations'!$AC$111:$AC$111))</definedName>
    <definedName name="OperatorB" localSheetId="45">OFFSET('[2]GRR Calculations'!$P$108,0,0,SUM('[2]GRR Calculations'!$AC$111:$AC$111))</definedName>
    <definedName name="OperatorB" localSheetId="46">OFFSET('[2]GRR Calculations'!$P$108,0,0,SUM('[2]GRR Calculations'!$AC$111:$AC$111))</definedName>
    <definedName name="OperatorB">OFFSET(#REF!,0,0,SUM(#REF!))</definedName>
    <definedName name="OperatorB_R" localSheetId="2">OFFSET(#REF!,0,0,SUM(#REF!))</definedName>
    <definedName name="OperatorB_R" localSheetId="14">OFFSET('[1]GRR Calculations'!$S$108,0,0,SUM('[1]GRR Calculations'!$AC$111:$AC$111))</definedName>
    <definedName name="OperatorB_R" localSheetId="45">OFFSET('[2]GRR Calculations'!$S$108,0,0,SUM('[2]GRR Calculations'!$AC$111:$AC$111))</definedName>
    <definedName name="OperatorB_R" localSheetId="46">OFFSET('[2]GRR Calculations'!$S$108,0,0,SUM('[2]GRR Calculations'!$AC$111:$AC$111))</definedName>
    <definedName name="OperatorB_R">OFFSET(#REF!,0,0,SUM(#REF!))</definedName>
    <definedName name="OperatorC" localSheetId="2">OFFSET(#REF!,0,0,SUM(#REF!))</definedName>
    <definedName name="OperatorC" localSheetId="14">OFFSET('[1]GRR Calculations'!$Q$108,0,0,SUM('[1]GRR Calculations'!$AC$111:$AC$111))</definedName>
    <definedName name="OperatorC" localSheetId="45">OFFSET('[2]GRR Calculations'!$Q$108,0,0,SUM('[2]GRR Calculations'!$AC$111:$AC$111))</definedName>
    <definedName name="OperatorC" localSheetId="46">OFFSET('[2]GRR Calculations'!$Q$108,0,0,SUM('[2]GRR Calculations'!$AC$111:$AC$111))</definedName>
    <definedName name="OperatorC">OFFSET(#REF!,0,0,SUM(#REF!))</definedName>
    <definedName name="OperatorC_R" localSheetId="2">OFFSET(#REF!,0,0,SUM(#REF!))</definedName>
    <definedName name="OperatorC_R" localSheetId="14">OFFSET('[1]GRR Calculations'!$T$108,0,0,SUM('[1]GRR Calculations'!$AC$111:$AC$111))</definedName>
    <definedName name="OperatorC_R" localSheetId="45">OFFSET('[2]GRR Calculations'!$T$108,0,0,SUM('[2]GRR Calculations'!$AC$111:$AC$111))</definedName>
    <definedName name="OperatorC_R" localSheetId="46">OFFSET('[2]GRR Calculations'!$T$108,0,0,SUM('[2]GRR Calculations'!$AC$111:$AC$111))</definedName>
    <definedName name="OperatorC_R">OFFSET(#REF!,0,0,SUM(#REF!))</definedName>
    <definedName name="_xlnm.Print_Area" localSheetId="1">'5W-2H'!$A$1:$K$25</definedName>
    <definedName name="_xlnm.Print_Area" localSheetId="3">'A3 Template'!$B$1:$P$49</definedName>
    <definedName name="_xlnm.Print_Area" localSheetId="6">'att Data Entry'!$Q$131</definedName>
    <definedName name="_xlnm.Print_Area" localSheetId="5">'att Instructions'!$O$44</definedName>
    <definedName name="_xlnm.Print_Area" localSheetId="7">'att Report'!$C$2:$N$127</definedName>
    <definedName name="_xlnm.Print_Area" localSheetId="8">'att Statistical Report'!$A$1:$G$50</definedName>
    <definedName name="_xlnm.Print_Area" localSheetId="14">'Communication Plan'!$A$1:$H$37</definedName>
    <definedName name="_xlnm.Print_Area" localSheetId="20">'GRR AIAG GR&amp;R'!$1:$101</definedName>
    <definedName name="_xlnm.Print_Area" localSheetId="48">'GRR Calculations (2)'!$A$1:$W$45</definedName>
    <definedName name="_xlnm.Print_Area" localSheetId="21">'GRR Graphical Summary'!$A$1:$R$45</definedName>
    <definedName name="_xlnm.Print_Area" localSheetId="19">'GRR Instructions'!$A$1:$J$50</definedName>
    <definedName name="_xlnm.Print_Area" localSheetId="23">'Hist 10 bars'!$F$4:$Q$31</definedName>
    <definedName name="_xlnm.Print_Area" localSheetId="33">Pareto!$A$1:$J$38</definedName>
    <definedName name="_xlnm.Print_Area" localSheetId="38">SIPOC!$A$4:$E$40</definedName>
    <definedName name="_xlnm.Print_Titles" localSheetId="17">FMEA!$1:$1</definedName>
    <definedName name="_xlnm.Print_Titles" localSheetId="39">'To Do List'!$1:$3</definedName>
    <definedName name="Rbar" localSheetId="2">OFFSET(#REF!,0,0,SUM(#REF!))</definedName>
    <definedName name="Rbar" localSheetId="14">OFFSET('[1]GRR Calculations'!$W$108,0,0,SUM('[1]GRR Calculations'!$AC$111:$AC$111))</definedName>
    <definedName name="Rbar" localSheetId="45">OFFSET('[2]GRR Calculations'!$W$108,0,0,SUM('[2]GRR Calculations'!$AC$111:$AC$111))</definedName>
    <definedName name="Rbar" localSheetId="46">OFFSET('[2]GRR Calculations'!$W$108,0,0,SUM('[2]GRR Calculations'!$AC$111:$AC$111))</definedName>
    <definedName name="Rbar">OFFSET(#REF!,0,0,SUM(#REF!))</definedName>
    <definedName name="_xlnm.Recorder" localSheetId="2">#REF!</definedName>
    <definedName name="_xlnm.Recorder" localSheetId="14">#REF!</definedName>
    <definedName name="_xlnm.Recorder" localSheetId="46">#REF!</definedName>
    <definedName name="_xlnm.Recorder">#REF!</definedName>
    <definedName name="seven" localSheetId="2">OFFSET(#REF!,0,0,SUM(#REF!))</definedName>
    <definedName name="seven" localSheetId="14">OFFSET('[1]GRR Calculations'!$AY$72,0,0,SUM('[1]GRR Calculations'!$X$12))</definedName>
    <definedName name="seven" localSheetId="45">OFFSET('[2]GRR Calculations'!$AY$72,0,0,SUM('[2]GRR Calculations'!$X$12))</definedName>
    <definedName name="seven" localSheetId="46">OFFSET('[2]GRR Calculations'!$AY$72,0,0,SUM('[2]GRR Calculations'!$X$12))</definedName>
    <definedName name="seven">OFFSET(#REF!,0,0,SUM(#REF!))</definedName>
    <definedName name="seventeen" localSheetId="2">OFFSET(#REF!,0,0,SUM(#REF!))</definedName>
    <definedName name="seventeen" localSheetId="14">OFFSET('[1]GRR Calculations'!$BI$72,0,0,SUM('[1]GRR Calculations'!$X$12))</definedName>
    <definedName name="seventeen" localSheetId="45">OFFSET('[2]GRR Calculations'!$BI$72,0,0,SUM('[2]GRR Calculations'!$X$12))</definedName>
    <definedName name="seventeen" localSheetId="46">OFFSET('[2]GRR Calculations'!$BI$72,0,0,SUM('[2]GRR Calculations'!$X$12))</definedName>
    <definedName name="seventeen">OFFSET(#REF!,0,0,SUM(#REF!))</definedName>
    <definedName name="SheetName" localSheetId="2">#REF!</definedName>
    <definedName name="SheetName" localSheetId="14">#REF!</definedName>
    <definedName name="SheetName" localSheetId="46">#REF!</definedName>
    <definedName name="SheetName">#REF!</definedName>
    <definedName name="Singles" localSheetId="2">#REF!</definedName>
    <definedName name="Singles" localSheetId="14">#REF!</definedName>
    <definedName name="Singles" localSheetId="46">#REF!</definedName>
    <definedName name="Singles">#REF!</definedName>
    <definedName name="six" localSheetId="2">OFFSET(#REF!,0,0,SUM(#REF!))</definedName>
    <definedName name="six" localSheetId="14">OFFSET('[1]GRR Calculations'!$AX$72,0,0,SUM('[1]GRR Calculations'!$X$12))</definedName>
    <definedName name="six" localSheetId="45">OFFSET('[2]GRR Calculations'!$AX$72,0,0,SUM('[2]GRR Calculations'!$X$12))</definedName>
    <definedName name="six" localSheetId="46">OFFSET('[2]GRR Calculations'!$AX$72,0,0,SUM('[2]GRR Calculations'!$X$12))</definedName>
    <definedName name="six">OFFSET(#REF!,0,0,SUM(#REF!))</definedName>
    <definedName name="sixteen" localSheetId="2">OFFSET(#REF!,0,0,SUM(#REF!))</definedName>
    <definedName name="sixteen" localSheetId="14">OFFSET('[1]GRR Calculations'!$BH$72,0,0,SUM('[1]GRR Calculations'!$X$12))</definedName>
    <definedName name="sixteen" localSheetId="45">OFFSET('[2]GRR Calculations'!$BH$72,0,0,SUM('[2]GRR Calculations'!$X$12))</definedName>
    <definedName name="sixteen" localSheetId="46">OFFSET('[2]GRR Calculations'!$BH$72,0,0,SUM('[2]GRR Calculations'!$X$12))</definedName>
    <definedName name="sixteen">OFFSET(#REF!,0,0,SUM(#REF!))</definedName>
    <definedName name="ten" localSheetId="2">OFFSET(#REF!,0,0,SUM(#REF!))</definedName>
    <definedName name="ten" localSheetId="14">OFFSET('[1]GRR Calculations'!$BB$72,0,0,SUM('[1]GRR Calculations'!$X$12))</definedName>
    <definedName name="ten" localSheetId="45">OFFSET('[2]GRR Calculations'!$BB$72,0,0,SUM('[2]GRR Calculations'!$X$12))</definedName>
    <definedName name="ten" localSheetId="46">OFFSET('[2]GRR Calculations'!$BB$72,0,0,SUM('[2]GRR Calculations'!$X$12))</definedName>
    <definedName name="ten">OFFSET(#REF!,0,0,SUM(#REF!))</definedName>
    <definedName name="thirteen" localSheetId="2">OFFSET(#REF!,0,0,SUM(#REF!))</definedName>
    <definedName name="thirteen" localSheetId="14">OFFSET('[1]GRR Calculations'!$BE$72,0,0,SUM('[1]GRR Calculations'!$X$12))</definedName>
    <definedName name="thirteen" localSheetId="45">OFFSET('[2]GRR Calculations'!$BE$72,0,0,SUM('[2]GRR Calculations'!$X$12))</definedName>
    <definedName name="thirteen" localSheetId="46">OFFSET('[2]GRR Calculations'!$BE$72,0,0,SUM('[2]GRR Calculations'!$X$12))</definedName>
    <definedName name="thirteen">OFFSET(#REF!,0,0,SUM(#REF!))</definedName>
    <definedName name="thirty" localSheetId="2">OFFSET(#REF!,0,0,SUM(#REF!))</definedName>
    <definedName name="thirty" localSheetId="14">OFFSET('[1]GRR Calculations'!$BV$72,0,0,SUM('[1]GRR Calculations'!$X$12))</definedName>
    <definedName name="thirty" localSheetId="45">OFFSET('[2]GRR Calculations'!$BV$72,0,0,SUM('[2]GRR Calculations'!$X$12))</definedName>
    <definedName name="thirty" localSheetId="46">OFFSET('[2]GRR Calculations'!$BV$72,0,0,SUM('[2]GRR Calculations'!$X$12))</definedName>
    <definedName name="thirty">OFFSET(#REF!,0,0,SUM(#REF!))</definedName>
    <definedName name="thirtyone" localSheetId="2">OFFSET(#REF!,0,0,SUM(#REF!))</definedName>
    <definedName name="thirtyone" localSheetId="14">OFFSET('[1]GRR Calculations'!$BW$72,0,0,SUM('[1]GRR Calculations'!$X$12))</definedName>
    <definedName name="thirtyone" localSheetId="45">OFFSET('[2]GRR Calculations'!$BW$72,0,0,SUM('[2]GRR Calculations'!$X$12))</definedName>
    <definedName name="thirtyone" localSheetId="46">OFFSET('[2]GRR Calculations'!$BW$72,0,0,SUM('[2]GRR Calculations'!$X$12))</definedName>
    <definedName name="thirtyone">OFFSET(#REF!,0,0,SUM(#REF!))</definedName>
    <definedName name="three" localSheetId="2">OFFSET(#REF!,0,0,SUM(#REF!))</definedName>
    <definedName name="three" localSheetId="14">OFFSET('[1]GRR Calculations'!$AU$72,0,0,SUM('[1]GRR Calculations'!$X$12))</definedName>
    <definedName name="three" localSheetId="45">OFFSET('[2]GRR Calculations'!$AU$72,0,0,SUM('[2]GRR Calculations'!$X$12))</definedName>
    <definedName name="three" localSheetId="46">OFFSET('[2]GRR Calculations'!$AU$72,0,0,SUM('[2]GRR Calculations'!$X$12))</definedName>
    <definedName name="three">OFFSET(#REF!,0,0,SUM(#REF!))</definedName>
    <definedName name="twelve" localSheetId="2">OFFSET(#REF!,0,0,SUM(#REF!))</definedName>
    <definedName name="twelve" localSheetId="14">OFFSET('[1]GRR Calculations'!$BD$72,0,0,SUM('[1]GRR Calculations'!$X$12))</definedName>
    <definedName name="twelve" localSheetId="45">OFFSET('[2]GRR Calculations'!$BD$72,0,0,SUM('[2]GRR Calculations'!$X$12))</definedName>
    <definedName name="twelve" localSheetId="46">OFFSET('[2]GRR Calculations'!$BD$72,0,0,SUM('[2]GRR Calculations'!$X$12))</definedName>
    <definedName name="twelve">OFFSET(#REF!,0,0,SUM(#REF!))</definedName>
    <definedName name="twenty" localSheetId="2">OFFSET(#REF!,0,0,SUM(#REF!))</definedName>
    <definedName name="twenty" localSheetId="14">OFFSET('[1]GRR Calculations'!$BL$72,0,0,SUM('[1]GRR Calculations'!$X$12))</definedName>
    <definedName name="twenty" localSheetId="45">OFFSET('[2]GRR Calculations'!$BL$72,0,0,SUM('[2]GRR Calculations'!$X$12))</definedName>
    <definedName name="twenty" localSheetId="46">OFFSET('[2]GRR Calculations'!$BL$72,0,0,SUM('[2]GRR Calculations'!$X$12))</definedName>
    <definedName name="twenty">OFFSET(#REF!,0,0,SUM(#REF!))</definedName>
    <definedName name="twentyeight" localSheetId="2">OFFSET(#REF!,0,0,SUM(#REF!))</definedName>
    <definedName name="twentyeight" localSheetId="14">OFFSET('[1]GRR Calculations'!$BT$72,0,0,SUM('[1]GRR Calculations'!$X$12))</definedName>
    <definedName name="twentyeight" localSheetId="45">OFFSET('[2]GRR Calculations'!$BT$72,0,0,SUM('[2]GRR Calculations'!$X$12))</definedName>
    <definedName name="twentyeight" localSheetId="46">OFFSET('[2]GRR Calculations'!$BT$72,0,0,SUM('[2]GRR Calculations'!$X$12))</definedName>
    <definedName name="twentyeight">OFFSET(#REF!,0,0,SUM(#REF!))</definedName>
    <definedName name="twentyfive" localSheetId="2">OFFSET(#REF!,0,0,SUM(#REF!))</definedName>
    <definedName name="twentyfive" localSheetId="14">OFFSET('[1]GRR Calculations'!$BQ$72,0,0,SUM('[1]GRR Calculations'!$X$12))</definedName>
    <definedName name="twentyfive" localSheetId="45">OFFSET('[2]GRR Calculations'!$BQ$72,0,0,SUM('[2]GRR Calculations'!$X$12))</definedName>
    <definedName name="twentyfive" localSheetId="46">OFFSET('[2]GRR Calculations'!$BQ$72,0,0,SUM('[2]GRR Calculations'!$X$12))</definedName>
    <definedName name="twentyfive">OFFSET(#REF!,0,0,SUM(#REF!))</definedName>
    <definedName name="twentyfour" localSheetId="2">OFFSET(#REF!,0,0,SUM(#REF!))</definedName>
    <definedName name="twentyfour" localSheetId="14">OFFSET('[1]GRR Calculations'!$BP$72,0,0,SUM('[1]GRR Calculations'!$X$12))</definedName>
    <definedName name="twentyfour" localSheetId="45">OFFSET('[2]GRR Calculations'!$BP$72,0,0,SUM('[2]GRR Calculations'!$X$12))</definedName>
    <definedName name="twentyfour" localSheetId="46">OFFSET('[2]GRR Calculations'!$BP$72,0,0,SUM('[2]GRR Calculations'!$X$12))</definedName>
    <definedName name="twentyfour">OFFSET(#REF!,0,0,SUM(#REF!))</definedName>
    <definedName name="twentynine" localSheetId="2">OFFSET(#REF!,0,0,SUM(#REF!))</definedName>
    <definedName name="twentynine" localSheetId="14">OFFSET('[1]GRR Calculations'!$BU$72,0,0,SUM('[1]GRR Calculations'!$X$12))</definedName>
    <definedName name="twentynine" localSheetId="45">OFFSET('[2]GRR Calculations'!$BU$72,0,0,SUM('[2]GRR Calculations'!$X$12))</definedName>
    <definedName name="twentynine" localSheetId="46">OFFSET('[2]GRR Calculations'!$BU$72,0,0,SUM('[2]GRR Calculations'!$X$12))</definedName>
    <definedName name="twentynine">OFFSET(#REF!,0,0,SUM(#REF!))</definedName>
    <definedName name="twentyone" localSheetId="2">OFFSET(#REF!,0,0,SUM(#REF!))</definedName>
    <definedName name="twentyone" localSheetId="14">OFFSET('[1]GRR Calculations'!$BM$72,0,0,SUM('[1]GRR Calculations'!$X$12))</definedName>
    <definedName name="twentyone" localSheetId="45">OFFSET('[2]GRR Calculations'!$BM$72,0,0,SUM('[2]GRR Calculations'!$X$12))</definedName>
    <definedName name="twentyone" localSheetId="46">OFFSET('[2]GRR Calculations'!$BM$72,0,0,SUM('[2]GRR Calculations'!$X$12))</definedName>
    <definedName name="twentyone">OFFSET(#REF!,0,0,SUM(#REF!))</definedName>
    <definedName name="twentyseven" localSheetId="2">OFFSET(#REF!,0,0,SUM(#REF!))</definedName>
    <definedName name="twentyseven" localSheetId="14">OFFSET('[1]GRR Calculations'!$BS$72,0,0,SUM('[1]GRR Calculations'!$X$12))</definedName>
    <definedName name="twentyseven" localSheetId="45">OFFSET('[2]GRR Calculations'!$BS$72,0,0,SUM('[2]GRR Calculations'!$X$12))</definedName>
    <definedName name="twentyseven" localSheetId="46">OFFSET('[2]GRR Calculations'!$BS$72,0,0,SUM('[2]GRR Calculations'!$X$12))</definedName>
    <definedName name="twentyseven">OFFSET(#REF!,0,0,SUM(#REF!))</definedName>
    <definedName name="twentysix" localSheetId="2">OFFSET(#REF!,0,0,SUM(#REF!))</definedName>
    <definedName name="twentysix" localSheetId="14">OFFSET('[1]GRR Calculations'!$BR$72,0,0,SUM('[1]GRR Calculations'!$X$12))</definedName>
    <definedName name="twentysix" localSheetId="45">OFFSET('[2]GRR Calculations'!$BR$72,0,0,SUM('[2]GRR Calculations'!$X$12))</definedName>
    <definedName name="twentysix" localSheetId="46">OFFSET('[2]GRR Calculations'!$BR$72,0,0,SUM('[2]GRR Calculations'!$X$12))</definedName>
    <definedName name="twentysix">OFFSET(#REF!,0,0,SUM(#REF!))</definedName>
    <definedName name="twentythree" localSheetId="2">OFFSET(#REF!,0,0,SUM(#REF!))</definedName>
    <definedName name="twentythree" localSheetId="14">OFFSET('[1]GRR Calculations'!$BO$72,0,0,SUM('[1]GRR Calculations'!$X$12))</definedName>
    <definedName name="twentythree" localSheetId="45">OFFSET('[2]GRR Calculations'!$BO$72,0,0,SUM('[2]GRR Calculations'!$X$12))</definedName>
    <definedName name="twentythree" localSheetId="46">OFFSET('[2]GRR Calculations'!$BO$72,0,0,SUM('[2]GRR Calculations'!$X$12))</definedName>
    <definedName name="twentythree">OFFSET(#REF!,0,0,SUM(#REF!))</definedName>
    <definedName name="twentytwo" localSheetId="2">OFFSET(#REF!,0,0,SUM(#REF!))</definedName>
    <definedName name="twentytwo" localSheetId="14">OFFSET('[1]GRR Calculations'!$BN$72,0,0,SUM('[1]GRR Calculations'!$X$12))</definedName>
    <definedName name="twentytwo" localSheetId="45">OFFSET('[2]GRR Calculations'!$BN$72,0,0,SUM('[2]GRR Calculations'!$X$12))</definedName>
    <definedName name="twentytwo" localSheetId="46">OFFSET('[2]GRR Calculations'!$BN$72,0,0,SUM('[2]GRR Calculations'!$X$12))</definedName>
    <definedName name="twentytwo">OFFSET(#REF!,0,0,SUM(#REF!))</definedName>
    <definedName name="two" localSheetId="2">OFFSET(#REF!,0,0,SUM(#REF!))</definedName>
    <definedName name="two" localSheetId="14">OFFSET('[1]GRR Calculations'!$AT$72,0,0,SUM('[1]GRR Calculations'!$X$12))</definedName>
    <definedName name="two" localSheetId="45">OFFSET('[2]GRR Calculations'!$AT$72,0,0,SUM('[2]GRR Calculations'!$X$12))</definedName>
    <definedName name="two" localSheetId="46">OFFSET('[2]GRR Calculations'!$AT$72,0,0,SUM('[2]GRR Calculations'!$X$12))</definedName>
    <definedName name="two">OFFSET(#REF!,0,0,SUM(#REF!))</definedName>
    <definedName name="UCLr" localSheetId="2">OFFSET(#REF!,0,0,SUM(#REF!))</definedName>
    <definedName name="UCLr" localSheetId="14">OFFSET('[1]GRR Calculations'!$Z$108,0,0,SUM('[1]GRR Calculations'!$AC$111:$AC$111))</definedName>
    <definedName name="UCLr" localSheetId="45">OFFSET('[2]GRR Calculations'!$Z$108,0,0,SUM('[2]GRR Calculations'!$AC$111:$AC$111))</definedName>
    <definedName name="UCLr" localSheetId="46">OFFSET('[2]GRR Calculations'!$Z$108,0,0,SUM('[2]GRR Calculations'!$AC$111:$AC$111))</definedName>
    <definedName name="UCLr">OFFSET(#REF!,0,0,SUM(#REF!))</definedName>
    <definedName name="UCLx" localSheetId="2">OFFSET(#REF!,0,0,SUM(#REF!))</definedName>
    <definedName name="UCLx" localSheetId="14">OFFSET('[1]GRR Calculations'!$X$108,0,0,SUM('[1]GRR Calculations'!$AC$111:$AC$111))</definedName>
    <definedName name="UCLx" localSheetId="45">OFFSET('[2]GRR Calculations'!$X$108,0,0,SUM('[2]GRR Calculations'!$AC$111:$AC$111))</definedName>
    <definedName name="UCLx" localSheetId="46">OFFSET('[2]GRR Calculations'!$X$108,0,0,SUM('[2]GRR Calculations'!$AC$111:$AC$111))</definedName>
    <definedName name="UCLx">OFFSET(#REF!,0,0,SUM(#REF!))</definedName>
    <definedName name="Xaxis" localSheetId="2">OFFSET(#REF!,0,0,SUM(#REF!))</definedName>
    <definedName name="Xaxis" localSheetId="14">OFFSET('[1]GRR Calculations'!$N$108,0,0,SUM('[1]GRR Calculations'!$AC$111:$AC$111))</definedName>
    <definedName name="Xaxis" localSheetId="45">OFFSET('[2]GRR Calculations'!$N$108,0,0,SUM('[2]GRR Calculations'!$AC$111:$AC$111))</definedName>
    <definedName name="Xaxis" localSheetId="46">OFFSET('[2]GRR Calculations'!$N$108,0,0,SUM('[2]GRR Calculations'!$AC$111:$AC$111))</definedName>
    <definedName name="Xaxis">OFFSET(#REF!,0,0,SUM(#REF!))</definedName>
    <definedName name="Xbarbar" localSheetId="2">OFFSET(#REF!,0,0,SUM(#REF!))</definedName>
    <definedName name="Xbarbar" localSheetId="14">OFFSET('[1]GRR Calculations'!$V$108,0,0,SUM('[1]GRR Calculations'!$AC$111:$AC$111))</definedName>
    <definedName name="Xbarbar" localSheetId="45">OFFSET('[2]GRR Calculations'!$V$108,0,0,SUM('[2]GRR Calculations'!$AC$111:$AC$111))</definedName>
    <definedName name="Xbarbar" localSheetId="46">OFFSET('[2]GRR Calculations'!$V$108,0,0,SUM('[2]GRR Calculations'!$AC$111:$AC$111))</definedName>
    <definedName name="Xbarbar">OFFSET(#REF!,0,0,SUM(#REF!))</definedName>
    <definedName name="zero" localSheetId="2">OFFSET(#REF!,0,0,SUM(#REF!))</definedName>
    <definedName name="zero" localSheetId="14">OFFSET('[1]GRR Calculations'!$AR$72,0,0,SUM('[1]GRR Calculations'!$X$12))</definedName>
    <definedName name="zero" localSheetId="45">OFFSET('[2]GRR Calculations'!$AR$72,0,0,SUM('[2]GRR Calculations'!$X$12))</definedName>
    <definedName name="zero" localSheetId="46">OFFSET('[2]GRR Calculations'!$AR$72,0,0,SUM('[2]GRR Calculations'!$X$12))</definedName>
    <definedName name="zero">OFFSET(#REF!,0,0,SUM(#REF!))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U12" i="4" l="1"/>
  <c r="U2" i="4"/>
  <c r="CF70" i="94" l="1"/>
  <c r="CE70" i="94"/>
  <c r="CD70" i="94"/>
  <c r="CC70" i="94"/>
  <c r="CB70" i="94"/>
  <c r="CA70" i="94"/>
  <c r="BX70" i="94"/>
  <c r="BW70" i="94"/>
  <c r="BV70" i="94"/>
  <c r="BU70" i="94"/>
  <c r="BT70" i="94"/>
  <c r="BS70" i="94"/>
  <c r="BP70" i="94"/>
  <c r="BO70" i="94"/>
  <c r="BN70" i="94"/>
  <c r="BM70" i="94"/>
  <c r="BL70" i="94"/>
  <c r="BK70" i="94"/>
  <c r="BH70" i="94"/>
  <c r="BG70" i="94"/>
  <c r="BF70" i="94"/>
  <c r="BE70" i="94"/>
  <c r="BD70" i="94"/>
  <c r="BC70" i="94"/>
  <c r="AZ70" i="94"/>
  <c r="AY70" i="94"/>
  <c r="AX70" i="94"/>
  <c r="AW70" i="94"/>
  <c r="AV70" i="94"/>
  <c r="AU70" i="94"/>
  <c r="AR70" i="94"/>
  <c r="AQ70" i="94"/>
  <c r="AP70" i="94"/>
  <c r="AO70" i="94"/>
  <c r="AN70" i="94"/>
  <c r="AM70" i="94"/>
  <c r="AJ70" i="94"/>
  <c r="AI70" i="94"/>
  <c r="AH70" i="94"/>
  <c r="AG70" i="94"/>
  <c r="AF70" i="94"/>
  <c r="AE70" i="94"/>
  <c r="AB70" i="94"/>
  <c r="AA70" i="94"/>
  <c r="Z70" i="94"/>
  <c r="Y70" i="94"/>
  <c r="X70" i="94"/>
  <c r="W70" i="94"/>
  <c r="S70" i="94"/>
  <c r="R70" i="94"/>
  <c r="P70" i="94"/>
  <c r="O70" i="94"/>
  <c r="I70" i="94"/>
  <c r="BV74" i="94" s="1"/>
  <c r="H70" i="94"/>
  <c r="G70" i="94"/>
  <c r="K70" i="94" s="1"/>
  <c r="CF69" i="94"/>
  <c r="CE69" i="94"/>
  <c r="CD69" i="94"/>
  <c r="CC69" i="94"/>
  <c r="CB69" i="94"/>
  <c r="CA69" i="94"/>
  <c r="BX69" i="94"/>
  <c r="BW69" i="94"/>
  <c r="BV69" i="94"/>
  <c r="BU69" i="94"/>
  <c r="BT69" i="94"/>
  <c r="BS69" i="94"/>
  <c r="BP69" i="94"/>
  <c r="BO69" i="94"/>
  <c r="BN69" i="94"/>
  <c r="BM69" i="94"/>
  <c r="BL69" i="94"/>
  <c r="BK69" i="94"/>
  <c r="BH69" i="94"/>
  <c r="BG69" i="94"/>
  <c r="BF69" i="94"/>
  <c r="BE69" i="94"/>
  <c r="BD69" i="94"/>
  <c r="BC69" i="94"/>
  <c r="AZ69" i="94"/>
  <c r="AY69" i="94"/>
  <c r="AX69" i="94"/>
  <c r="AW69" i="94"/>
  <c r="AV69" i="94"/>
  <c r="AU69" i="94"/>
  <c r="AR69" i="94"/>
  <c r="AQ69" i="94"/>
  <c r="AP69" i="94"/>
  <c r="AO69" i="94"/>
  <c r="AN69" i="94"/>
  <c r="AM69" i="94"/>
  <c r="AJ69" i="94"/>
  <c r="AI69" i="94"/>
  <c r="AH69" i="94"/>
  <c r="AG69" i="94"/>
  <c r="AF69" i="94"/>
  <c r="AE69" i="94"/>
  <c r="AB69" i="94"/>
  <c r="AA69" i="94"/>
  <c r="Z69" i="94"/>
  <c r="Y69" i="94"/>
  <c r="X69" i="94"/>
  <c r="W69" i="94"/>
  <c r="S69" i="94"/>
  <c r="R69" i="94"/>
  <c r="P69" i="94"/>
  <c r="O69" i="94"/>
  <c r="I69" i="94"/>
  <c r="AN82" i="94" s="1"/>
  <c r="H69" i="94"/>
  <c r="G69" i="94"/>
  <c r="K69" i="94" s="1"/>
  <c r="CF68" i="94"/>
  <c r="CE68" i="94"/>
  <c r="CD68" i="94"/>
  <c r="CC68" i="94"/>
  <c r="CB68" i="94"/>
  <c r="CA68" i="94"/>
  <c r="BX68" i="94"/>
  <c r="BW68" i="94"/>
  <c r="BV68" i="94"/>
  <c r="BU68" i="94"/>
  <c r="BT68" i="94"/>
  <c r="BS68" i="94"/>
  <c r="BP68" i="94"/>
  <c r="BO68" i="94"/>
  <c r="BN68" i="94"/>
  <c r="BM68" i="94"/>
  <c r="BL68" i="94"/>
  <c r="BK68" i="94"/>
  <c r="BH68" i="94"/>
  <c r="BG68" i="94"/>
  <c r="BF68" i="94"/>
  <c r="BE68" i="94"/>
  <c r="BD68" i="94"/>
  <c r="BC68" i="94"/>
  <c r="AZ68" i="94"/>
  <c r="AY68" i="94"/>
  <c r="AX68" i="94"/>
  <c r="AW68" i="94"/>
  <c r="AV68" i="94"/>
  <c r="AU68" i="94"/>
  <c r="AR68" i="94"/>
  <c r="AQ68" i="94"/>
  <c r="AP68" i="94"/>
  <c r="AO68" i="94"/>
  <c r="AN68" i="94"/>
  <c r="AM68" i="94"/>
  <c r="AJ68" i="94"/>
  <c r="AI68" i="94"/>
  <c r="AH68" i="94"/>
  <c r="AG68" i="94"/>
  <c r="AF68" i="94"/>
  <c r="AE68" i="94"/>
  <c r="AB68" i="94"/>
  <c r="AA68" i="94"/>
  <c r="Z68" i="94"/>
  <c r="Y68" i="94"/>
  <c r="X68" i="94"/>
  <c r="W68" i="94"/>
  <c r="S68" i="94"/>
  <c r="R68" i="94"/>
  <c r="P68" i="94"/>
  <c r="O68" i="94"/>
  <c r="I68" i="94"/>
  <c r="H68" i="94"/>
  <c r="G68" i="94"/>
  <c r="Q68" i="94" s="1"/>
  <c r="CF67" i="94"/>
  <c r="CE67" i="94"/>
  <c r="CD67" i="94"/>
  <c r="CC67" i="94"/>
  <c r="CB67" i="94"/>
  <c r="CA67" i="94"/>
  <c r="BX67" i="94"/>
  <c r="BW67" i="94"/>
  <c r="BV67" i="94"/>
  <c r="BU67" i="94"/>
  <c r="BT67" i="94"/>
  <c r="BS67" i="94"/>
  <c r="BP67" i="94"/>
  <c r="BO67" i="94"/>
  <c r="BN67" i="94"/>
  <c r="BM67" i="94"/>
  <c r="BL67" i="94"/>
  <c r="BK67" i="94"/>
  <c r="BH67" i="94"/>
  <c r="BG67" i="94"/>
  <c r="BF67" i="94"/>
  <c r="BE67" i="94"/>
  <c r="BD67" i="94"/>
  <c r="BC67" i="94"/>
  <c r="AZ67" i="94"/>
  <c r="AY67" i="94"/>
  <c r="AX67" i="94"/>
  <c r="AW67" i="94"/>
  <c r="AV67" i="94"/>
  <c r="AU67" i="94"/>
  <c r="AR67" i="94"/>
  <c r="AQ67" i="94"/>
  <c r="AP67" i="94"/>
  <c r="AO67" i="94"/>
  <c r="AN67" i="94"/>
  <c r="AM67" i="94"/>
  <c r="AJ67" i="94"/>
  <c r="AI67" i="94"/>
  <c r="AH67" i="94"/>
  <c r="AG67" i="94"/>
  <c r="AF67" i="94"/>
  <c r="AE67" i="94"/>
  <c r="AA67" i="94"/>
  <c r="Z67" i="94"/>
  <c r="X67" i="94"/>
  <c r="W67" i="94"/>
  <c r="S67" i="94"/>
  <c r="R67" i="94"/>
  <c r="Z65" i="94" s="1"/>
  <c r="P67" i="94"/>
  <c r="O67" i="94"/>
  <c r="W65" i="94" s="1"/>
  <c r="I67" i="94"/>
  <c r="H67" i="94"/>
  <c r="G67" i="94"/>
  <c r="Q67" i="94" s="1"/>
  <c r="CF66" i="94"/>
  <c r="CE66" i="94"/>
  <c r="CD66" i="94"/>
  <c r="CC66" i="94"/>
  <c r="CB66" i="94"/>
  <c r="CA66" i="94"/>
  <c r="BX66" i="94"/>
  <c r="BW66" i="94"/>
  <c r="BV66" i="94"/>
  <c r="BU66" i="94"/>
  <c r="BT66" i="94"/>
  <c r="BS66" i="94"/>
  <c r="BP66" i="94"/>
  <c r="BO66" i="94"/>
  <c r="BN66" i="94"/>
  <c r="BM66" i="94"/>
  <c r="BL66" i="94"/>
  <c r="BK66" i="94"/>
  <c r="BH66" i="94"/>
  <c r="BG66" i="94"/>
  <c r="BF66" i="94"/>
  <c r="BE66" i="94"/>
  <c r="BD66" i="94"/>
  <c r="BC66" i="94"/>
  <c r="AZ66" i="94"/>
  <c r="AY66" i="94"/>
  <c r="AX66" i="94"/>
  <c r="AW66" i="94"/>
  <c r="AV66" i="94"/>
  <c r="AU66" i="94"/>
  <c r="AR66" i="94"/>
  <c r="AQ66" i="94"/>
  <c r="AP66" i="94"/>
  <c r="AO66" i="94"/>
  <c r="AN66" i="94"/>
  <c r="AM66" i="94"/>
  <c r="AJ66" i="94"/>
  <c r="AI66" i="94"/>
  <c r="AH66" i="94"/>
  <c r="AG66" i="94"/>
  <c r="AF66" i="94"/>
  <c r="AE66" i="94"/>
  <c r="AA66" i="94"/>
  <c r="Z66" i="94"/>
  <c r="X66" i="94"/>
  <c r="W66" i="94"/>
  <c r="S66" i="94"/>
  <c r="AY58" i="94" s="1"/>
  <c r="R66" i="94"/>
  <c r="P66" i="94"/>
  <c r="O66" i="94"/>
  <c r="AM60" i="94" s="1"/>
  <c r="I66" i="94"/>
  <c r="BJ74" i="94" s="1"/>
  <c r="H66" i="94"/>
  <c r="G66" i="94"/>
  <c r="L19" i="94" s="1"/>
  <c r="CF65" i="94"/>
  <c r="CE65" i="94"/>
  <c r="CD65" i="94"/>
  <c r="CC65" i="94"/>
  <c r="CB65" i="94"/>
  <c r="CA65" i="94"/>
  <c r="BX65" i="94"/>
  <c r="BW65" i="94"/>
  <c r="BV65" i="94"/>
  <c r="BU65" i="94"/>
  <c r="BT65" i="94"/>
  <c r="BS65" i="94"/>
  <c r="BP65" i="94"/>
  <c r="BO65" i="94"/>
  <c r="BN65" i="94"/>
  <c r="BM65" i="94"/>
  <c r="BL65" i="94"/>
  <c r="BK65" i="94"/>
  <c r="BH65" i="94"/>
  <c r="BG65" i="94"/>
  <c r="BF65" i="94"/>
  <c r="BE65" i="94"/>
  <c r="BD65" i="94"/>
  <c r="BC65" i="94"/>
  <c r="AZ65" i="94"/>
  <c r="AY65" i="94"/>
  <c r="AX65" i="94"/>
  <c r="AW65" i="94"/>
  <c r="AV65" i="94"/>
  <c r="AU65" i="94"/>
  <c r="AR65" i="94"/>
  <c r="AQ65" i="94"/>
  <c r="AP65" i="94"/>
  <c r="AO65" i="94"/>
  <c r="AN65" i="94"/>
  <c r="AM65" i="94"/>
  <c r="AJ65" i="94"/>
  <c r="AI65" i="94"/>
  <c r="AH65" i="94"/>
  <c r="AG65" i="94"/>
  <c r="AF65" i="94"/>
  <c r="AE65" i="94"/>
  <c r="AA65" i="94"/>
  <c r="X65" i="94"/>
  <c r="T65" i="94"/>
  <c r="S65" i="94"/>
  <c r="AQ59" i="94" s="1"/>
  <c r="R65" i="94"/>
  <c r="Q65" i="94"/>
  <c r="Y63" i="94" s="1"/>
  <c r="P65" i="94"/>
  <c r="O65" i="94"/>
  <c r="K65" i="94"/>
  <c r="I65" i="94"/>
  <c r="AN78" i="94" s="1"/>
  <c r="H65" i="94"/>
  <c r="BF74" i="94" s="1"/>
  <c r="G65" i="94"/>
  <c r="CF64" i="94"/>
  <c r="CE64" i="94"/>
  <c r="CD64" i="94"/>
  <c r="CC64" i="94"/>
  <c r="CB64" i="94"/>
  <c r="CA64" i="94"/>
  <c r="BX64" i="94"/>
  <c r="BW64" i="94"/>
  <c r="BV64" i="94"/>
  <c r="BU64" i="94"/>
  <c r="BT64" i="94"/>
  <c r="BS64" i="94"/>
  <c r="BP64" i="94"/>
  <c r="BO64" i="94"/>
  <c r="BN64" i="94"/>
  <c r="BM64" i="94"/>
  <c r="BL64" i="94"/>
  <c r="BK64" i="94"/>
  <c r="BH64" i="94"/>
  <c r="BG64" i="94"/>
  <c r="BF64" i="94"/>
  <c r="BE64" i="94"/>
  <c r="BD64" i="94"/>
  <c r="BC64" i="94"/>
  <c r="AZ64" i="94"/>
  <c r="AY64" i="94"/>
  <c r="AX64" i="94"/>
  <c r="AW64" i="94"/>
  <c r="AV64" i="94"/>
  <c r="AU64" i="94"/>
  <c r="AR64" i="94"/>
  <c r="AQ64" i="94"/>
  <c r="AP64" i="94"/>
  <c r="AO64" i="94"/>
  <c r="AN64" i="94"/>
  <c r="AM64" i="94"/>
  <c r="AI64" i="94"/>
  <c r="AH64" i="94"/>
  <c r="AF64" i="94"/>
  <c r="AE64" i="94"/>
  <c r="Z64" i="94"/>
  <c r="X64" i="94"/>
  <c r="T64" i="94"/>
  <c r="AZ56" i="94" s="1"/>
  <c r="S64" i="94"/>
  <c r="R64" i="94"/>
  <c r="P64" i="94"/>
  <c r="X62" i="94" s="1"/>
  <c r="O64" i="94"/>
  <c r="I64" i="94"/>
  <c r="H64" i="94"/>
  <c r="G64" i="94"/>
  <c r="Q64" i="94" s="1"/>
  <c r="CF63" i="94"/>
  <c r="CE63" i="94"/>
  <c r="CD63" i="94"/>
  <c r="CC63" i="94"/>
  <c r="CB63" i="94"/>
  <c r="CA63" i="94"/>
  <c r="BX63" i="94"/>
  <c r="BW63" i="94"/>
  <c r="BV63" i="94"/>
  <c r="BU63" i="94"/>
  <c r="BT63" i="94"/>
  <c r="BS63" i="94"/>
  <c r="BP63" i="94"/>
  <c r="BO63" i="94"/>
  <c r="BN63" i="94"/>
  <c r="BM63" i="94"/>
  <c r="BL63" i="94"/>
  <c r="BK63" i="94"/>
  <c r="BH63" i="94"/>
  <c r="BG63" i="94"/>
  <c r="BF63" i="94"/>
  <c r="BE63" i="94"/>
  <c r="BD63" i="94"/>
  <c r="BC63" i="94"/>
  <c r="AZ63" i="94"/>
  <c r="AY63" i="94"/>
  <c r="AX63" i="94"/>
  <c r="AW63" i="94"/>
  <c r="AV63" i="94"/>
  <c r="AU63" i="94"/>
  <c r="AR63" i="94"/>
  <c r="AQ63" i="94"/>
  <c r="AP63" i="94"/>
  <c r="AO63" i="94"/>
  <c r="AN63" i="94"/>
  <c r="AM63" i="94"/>
  <c r="AI63" i="94"/>
  <c r="AH63" i="94"/>
  <c r="AF63" i="94"/>
  <c r="AE63" i="94"/>
  <c r="AB63" i="94"/>
  <c r="Z63" i="94"/>
  <c r="X63" i="94"/>
  <c r="W63" i="94"/>
  <c r="S63" i="94"/>
  <c r="AI59" i="94" s="1"/>
  <c r="R63" i="94"/>
  <c r="BN51" i="94" s="1"/>
  <c r="P63" i="94"/>
  <c r="O63" i="94"/>
  <c r="I63" i="94"/>
  <c r="H63" i="94"/>
  <c r="AM86" i="94" s="1"/>
  <c r="G63" i="94"/>
  <c r="Q63" i="94" s="1"/>
  <c r="CF62" i="94"/>
  <c r="CE62" i="94"/>
  <c r="CD62" i="94"/>
  <c r="CC62" i="94"/>
  <c r="CB62" i="94"/>
  <c r="CA62" i="94"/>
  <c r="BX62" i="94"/>
  <c r="BW62" i="94"/>
  <c r="BV62" i="94"/>
  <c r="BU62" i="94"/>
  <c r="BT62" i="94"/>
  <c r="BS62" i="94"/>
  <c r="BP62" i="94"/>
  <c r="BO62" i="94"/>
  <c r="BN62" i="94"/>
  <c r="BM62" i="94"/>
  <c r="BL62" i="94"/>
  <c r="BK62" i="94"/>
  <c r="BH62" i="94"/>
  <c r="BG62" i="94"/>
  <c r="BF62" i="94"/>
  <c r="BE62" i="94"/>
  <c r="BD62" i="94"/>
  <c r="BC62" i="94"/>
  <c r="AZ62" i="94"/>
  <c r="AY62" i="94"/>
  <c r="AX62" i="94"/>
  <c r="AW62" i="94"/>
  <c r="AV62" i="94"/>
  <c r="AU62" i="94"/>
  <c r="AR62" i="94"/>
  <c r="AQ62" i="94"/>
  <c r="AP62" i="94"/>
  <c r="AO62" i="94"/>
  <c r="AN62" i="94"/>
  <c r="AM62" i="94"/>
  <c r="AI62" i="94"/>
  <c r="AH62" i="94"/>
  <c r="AF62" i="94"/>
  <c r="AE62" i="94"/>
  <c r="AA62" i="94"/>
  <c r="Z62" i="94"/>
  <c r="W62" i="94"/>
  <c r="S62" i="94"/>
  <c r="AA60" i="94" s="1"/>
  <c r="R62" i="94"/>
  <c r="P62" i="94"/>
  <c r="X60" i="94" s="1"/>
  <c r="O62" i="94"/>
  <c r="AE58" i="94" s="1"/>
  <c r="I62" i="94"/>
  <c r="AN85" i="94" s="1"/>
  <c r="H62" i="94"/>
  <c r="G62" i="94"/>
  <c r="L62" i="94" s="1"/>
  <c r="CF61" i="94"/>
  <c r="CE61" i="94"/>
  <c r="CD61" i="94"/>
  <c r="CC61" i="94"/>
  <c r="CB61" i="94"/>
  <c r="CA61" i="94"/>
  <c r="BX61" i="94"/>
  <c r="BW61" i="94"/>
  <c r="BV61" i="94"/>
  <c r="BU61" i="94"/>
  <c r="BT61" i="94"/>
  <c r="BS61" i="94"/>
  <c r="BP61" i="94"/>
  <c r="BO61" i="94"/>
  <c r="BN61" i="94"/>
  <c r="BM61" i="94"/>
  <c r="BL61" i="94"/>
  <c r="BK61" i="94"/>
  <c r="BH61" i="94"/>
  <c r="BG61" i="94"/>
  <c r="BF61" i="94"/>
  <c r="BE61" i="94"/>
  <c r="BD61" i="94"/>
  <c r="BC61" i="94"/>
  <c r="AZ61" i="94"/>
  <c r="AY61" i="94"/>
  <c r="AX61" i="94"/>
  <c r="AW61" i="94"/>
  <c r="AV61" i="94"/>
  <c r="AU61" i="94"/>
  <c r="AQ61" i="94"/>
  <c r="AP61" i="94"/>
  <c r="AN61" i="94"/>
  <c r="AM61" i="94"/>
  <c r="AJ61" i="94"/>
  <c r="AH61" i="94"/>
  <c r="AG61" i="94"/>
  <c r="AF61" i="94"/>
  <c r="AE61" i="94"/>
  <c r="AA61" i="94"/>
  <c r="X61" i="94"/>
  <c r="W61" i="94"/>
  <c r="S61" i="94"/>
  <c r="R61" i="94"/>
  <c r="Z59" i="94" s="1"/>
  <c r="P61" i="94"/>
  <c r="O61" i="94"/>
  <c r="AE57" i="94" s="1"/>
  <c r="I61" i="94"/>
  <c r="H61" i="94"/>
  <c r="AT74" i="94" s="1"/>
  <c r="G61" i="94"/>
  <c r="K61" i="94" s="1"/>
  <c r="CF60" i="94"/>
  <c r="CE60" i="94"/>
  <c r="CD60" i="94"/>
  <c r="CC60" i="94"/>
  <c r="CB60" i="94"/>
  <c r="CA60" i="94"/>
  <c r="BX60" i="94"/>
  <c r="BW60" i="94"/>
  <c r="BV60" i="94"/>
  <c r="BU60" i="94"/>
  <c r="BT60" i="94"/>
  <c r="BS60" i="94"/>
  <c r="BP60" i="94"/>
  <c r="BO60" i="94"/>
  <c r="BN60" i="94"/>
  <c r="BM60" i="94"/>
  <c r="BL60" i="94"/>
  <c r="BK60" i="94"/>
  <c r="BH60" i="94"/>
  <c r="BG60" i="94"/>
  <c r="BF60" i="94"/>
  <c r="BE60" i="94"/>
  <c r="BD60" i="94"/>
  <c r="BC60" i="94"/>
  <c r="AZ60" i="94"/>
  <c r="AY60" i="94"/>
  <c r="AX60" i="94"/>
  <c r="AW60" i="94"/>
  <c r="AV60" i="94"/>
  <c r="AU60" i="94"/>
  <c r="AQ60" i="94"/>
  <c r="AP60" i="94"/>
  <c r="AN60" i="94"/>
  <c r="AI60" i="94"/>
  <c r="AH60" i="94"/>
  <c r="AE60" i="94"/>
  <c r="Z60" i="94"/>
  <c r="T60" i="94"/>
  <c r="R60" i="94"/>
  <c r="Q60" i="94"/>
  <c r="P60" i="94"/>
  <c r="O60" i="94"/>
  <c r="I60" i="94"/>
  <c r="H60" i="94"/>
  <c r="AJ83" i="94" s="1"/>
  <c r="G60" i="94"/>
  <c r="K60" i="94" s="1"/>
  <c r="CF59" i="94"/>
  <c r="CE59" i="94"/>
  <c r="CD59" i="94"/>
  <c r="CC59" i="94"/>
  <c r="CB59" i="94"/>
  <c r="CA59" i="94"/>
  <c r="BX59" i="94"/>
  <c r="BW59" i="94"/>
  <c r="BV59" i="94"/>
  <c r="BU59" i="94"/>
  <c r="BT59" i="94"/>
  <c r="BS59" i="94"/>
  <c r="BP59" i="94"/>
  <c r="BO59" i="94"/>
  <c r="BN59" i="94"/>
  <c r="BM59" i="94"/>
  <c r="BL59" i="94"/>
  <c r="BK59" i="94"/>
  <c r="BH59" i="94"/>
  <c r="BG59" i="94"/>
  <c r="BF59" i="94"/>
  <c r="BE59" i="94"/>
  <c r="BD59" i="94"/>
  <c r="BC59" i="94"/>
  <c r="AZ59" i="94"/>
  <c r="AY59" i="94"/>
  <c r="AX59" i="94"/>
  <c r="AW59" i="94"/>
  <c r="AV59" i="94"/>
  <c r="AU59" i="94"/>
  <c r="AR59" i="94"/>
  <c r="AP59" i="94"/>
  <c r="AO59" i="94"/>
  <c r="AN59" i="94"/>
  <c r="AM59" i="94"/>
  <c r="AF59" i="94"/>
  <c r="AE59" i="94"/>
  <c r="AA59" i="94"/>
  <c r="X59" i="94"/>
  <c r="T59" i="94"/>
  <c r="R59" i="94"/>
  <c r="Q59" i="94"/>
  <c r="Y58" i="94" s="1"/>
  <c r="O59" i="94"/>
  <c r="W58" i="94" s="1"/>
  <c r="I59" i="94"/>
  <c r="H59" i="94"/>
  <c r="G59" i="94"/>
  <c r="AI92" i="94" s="1"/>
  <c r="AP92" i="94" s="1"/>
  <c r="CF58" i="94"/>
  <c r="CE58" i="94"/>
  <c r="CD58" i="94"/>
  <c r="CC58" i="94"/>
  <c r="CB58" i="94"/>
  <c r="CA58" i="94"/>
  <c r="BX58" i="94"/>
  <c r="BW58" i="94"/>
  <c r="BV58" i="94"/>
  <c r="BU58" i="94"/>
  <c r="BT58" i="94"/>
  <c r="BS58" i="94"/>
  <c r="BP58" i="94"/>
  <c r="BO58" i="94"/>
  <c r="BN58" i="94"/>
  <c r="BM58" i="94"/>
  <c r="BL58" i="94"/>
  <c r="BK58" i="94"/>
  <c r="BH58" i="94"/>
  <c r="BG58" i="94"/>
  <c r="BF58" i="94"/>
  <c r="BE58" i="94"/>
  <c r="BD58" i="94"/>
  <c r="BC58" i="94"/>
  <c r="AX58" i="94"/>
  <c r="AV58" i="94"/>
  <c r="AQ58" i="94"/>
  <c r="AP58" i="94"/>
  <c r="AM58" i="94"/>
  <c r="AI58" i="94"/>
  <c r="AH58" i="94"/>
  <c r="AF58" i="94"/>
  <c r="AB58" i="94"/>
  <c r="Z58" i="94"/>
  <c r="T58" i="94"/>
  <c r="AB57" i="94" s="1"/>
  <c r="R58" i="94"/>
  <c r="Q58" i="94"/>
  <c r="AG56" i="94" s="1"/>
  <c r="O58" i="94"/>
  <c r="I58" i="94"/>
  <c r="BP73" i="94" s="1"/>
  <c r="H58" i="94"/>
  <c r="AJ81" i="94" s="1"/>
  <c r="G58" i="94"/>
  <c r="L58" i="94" s="1"/>
  <c r="CF57" i="94"/>
  <c r="CE57" i="94"/>
  <c r="CD57" i="94"/>
  <c r="CC57" i="94"/>
  <c r="CB57" i="94"/>
  <c r="CA57" i="94"/>
  <c r="BX57" i="94"/>
  <c r="BW57" i="94"/>
  <c r="BV57" i="94"/>
  <c r="BU57" i="94"/>
  <c r="BT57" i="94"/>
  <c r="BS57" i="94"/>
  <c r="BP57" i="94"/>
  <c r="BO57" i="94"/>
  <c r="BN57" i="94"/>
  <c r="BM57" i="94"/>
  <c r="BL57" i="94"/>
  <c r="BK57" i="94"/>
  <c r="BH57" i="94"/>
  <c r="BG57" i="94"/>
  <c r="BF57" i="94"/>
  <c r="BE57" i="94"/>
  <c r="BD57" i="94"/>
  <c r="BC57" i="94"/>
  <c r="AZ57" i="94"/>
  <c r="AY57" i="94"/>
  <c r="AX57" i="94"/>
  <c r="AW57" i="94"/>
  <c r="AV57" i="94"/>
  <c r="AU57" i="94"/>
  <c r="AN57" i="94"/>
  <c r="AM57" i="94"/>
  <c r="AI57" i="94"/>
  <c r="AF57" i="94"/>
  <c r="W57" i="94"/>
  <c r="T57" i="94"/>
  <c r="AJ55" i="94" s="1"/>
  <c r="S57" i="94"/>
  <c r="AA56" i="94" s="1"/>
  <c r="R57" i="94"/>
  <c r="Z56" i="94" s="1"/>
  <c r="Q57" i="94"/>
  <c r="P57" i="94"/>
  <c r="AF55" i="94" s="1"/>
  <c r="O57" i="94"/>
  <c r="W56" i="94" s="1"/>
  <c r="K57" i="94"/>
  <c r="I57" i="94"/>
  <c r="H57" i="94"/>
  <c r="AJ80" i="94" s="1"/>
  <c r="G57" i="94"/>
  <c r="AI90" i="94" s="1"/>
  <c r="AP90" i="94" s="1"/>
  <c r="CF56" i="94"/>
  <c r="CE56" i="94"/>
  <c r="CD56" i="94"/>
  <c r="CC56" i="94"/>
  <c r="CB56" i="94"/>
  <c r="CA56" i="94"/>
  <c r="BX56" i="94"/>
  <c r="BW56" i="94"/>
  <c r="BV56" i="94"/>
  <c r="BU56" i="94"/>
  <c r="BT56" i="94"/>
  <c r="BS56" i="94"/>
  <c r="BP56" i="94"/>
  <c r="BO56" i="94"/>
  <c r="BN56" i="94"/>
  <c r="BM56" i="94"/>
  <c r="BL56" i="94"/>
  <c r="BK56" i="94"/>
  <c r="BH56" i="94"/>
  <c r="BG56" i="94"/>
  <c r="BF56" i="94"/>
  <c r="BE56" i="94"/>
  <c r="BD56" i="94"/>
  <c r="BC56" i="94"/>
  <c r="AY56" i="94"/>
  <c r="AX56" i="94"/>
  <c r="AU56" i="94"/>
  <c r="AQ56" i="94"/>
  <c r="AP56" i="94"/>
  <c r="AN56" i="94"/>
  <c r="AJ56" i="94"/>
  <c r="AE56" i="94"/>
  <c r="X56" i="94"/>
  <c r="T56" i="94"/>
  <c r="R56" i="94"/>
  <c r="Z55" i="94" s="1"/>
  <c r="Q56" i="94"/>
  <c r="AO53" i="94" s="1"/>
  <c r="O56" i="94"/>
  <c r="AE54" i="94" s="1"/>
  <c r="I56" i="94"/>
  <c r="H56" i="94"/>
  <c r="AJ79" i="94" s="1"/>
  <c r="G56" i="94"/>
  <c r="K56" i="94" s="1"/>
  <c r="CF55" i="94"/>
  <c r="CE55" i="94"/>
  <c r="CD55" i="94"/>
  <c r="CC55" i="94"/>
  <c r="CB55" i="94"/>
  <c r="CA55" i="94"/>
  <c r="BX55" i="94"/>
  <c r="BW55" i="94"/>
  <c r="BV55" i="94"/>
  <c r="BU55" i="94"/>
  <c r="BT55" i="94"/>
  <c r="BS55" i="94"/>
  <c r="BP55" i="94"/>
  <c r="BO55" i="94"/>
  <c r="BN55" i="94"/>
  <c r="BM55" i="94"/>
  <c r="BL55" i="94"/>
  <c r="BK55" i="94"/>
  <c r="BH55" i="94"/>
  <c r="BF55" i="94"/>
  <c r="BE55" i="94"/>
  <c r="BD55" i="94"/>
  <c r="BC55" i="94"/>
  <c r="AX55" i="94"/>
  <c r="AV55" i="94"/>
  <c r="AU55" i="94"/>
  <c r="AQ55" i="94"/>
  <c r="AN55" i="94"/>
  <c r="AI55" i="94"/>
  <c r="Y55" i="94"/>
  <c r="T55" i="94"/>
  <c r="AB54" i="94" s="1"/>
  <c r="R55" i="94"/>
  <c r="AH53" i="94" s="1"/>
  <c r="Q55" i="94"/>
  <c r="Y54" i="94" s="1"/>
  <c r="O55" i="94"/>
  <c r="I55" i="94"/>
  <c r="H55" i="94"/>
  <c r="G55" i="94"/>
  <c r="K89" i="94" s="1"/>
  <c r="CF54" i="94"/>
  <c r="CE54" i="94"/>
  <c r="CD54" i="94"/>
  <c r="CC54" i="94"/>
  <c r="CB54" i="94"/>
  <c r="CA54" i="94"/>
  <c r="BX54" i="94"/>
  <c r="BW54" i="94"/>
  <c r="BV54" i="94"/>
  <c r="BU54" i="94"/>
  <c r="BT54" i="94"/>
  <c r="BS54" i="94"/>
  <c r="BP54" i="94"/>
  <c r="BO54" i="94"/>
  <c r="BN54" i="94"/>
  <c r="BM54" i="94"/>
  <c r="BL54" i="94"/>
  <c r="BK54" i="94"/>
  <c r="BH54" i="94"/>
  <c r="BG54" i="94"/>
  <c r="BF54" i="94"/>
  <c r="BC54" i="94"/>
  <c r="AY54" i="94"/>
  <c r="AX54" i="94"/>
  <c r="AV54" i="94"/>
  <c r="AU54" i="94"/>
  <c r="AR54" i="94"/>
  <c r="AQ54" i="94"/>
  <c r="AN54" i="94"/>
  <c r="AH54" i="94"/>
  <c r="AG54" i="94"/>
  <c r="Z54" i="94"/>
  <c r="T54" i="94"/>
  <c r="AB53" i="94" s="1"/>
  <c r="R54" i="94"/>
  <c r="Q54" i="94"/>
  <c r="AG52" i="94" s="1"/>
  <c r="O54" i="94"/>
  <c r="W53" i="94" s="1"/>
  <c r="I54" i="94"/>
  <c r="BD73" i="94" s="1"/>
  <c r="H54" i="94"/>
  <c r="AJ77" i="94" s="1"/>
  <c r="G54" i="94"/>
  <c r="L54" i="94" s="1"/>
  <c r="CF53" i="94"/>
  <c r="CE53" i="94"/>
  <c r="CD53" i="94"/>
  <c r="CC53" i="94"/>
  <c r="CB53" i="94"/>
  <c r="CA53" i="94"/>
  <c r="BX53" i="94"/>
  <c r="BW53" i="94"/>
  <c r="BV53" i="94"/>
  <c r="BU53" i="94"/>
  <c r="BT53" i="94"/>
  <c r="BS53" i="94"/>
  <c r="BP53" i="94"/>
  <c r="BO53" i="94"/>
  <c r="BN53" i="94"/>
  <c r="BM53" i="94"/>
  <c r="BL53" i="94"/>
  <c r="BK53" i="94"/>
  <c r="BD53" i="94"/>
  <c r="BC53" i="94"/>
  <c r="AY53" i="94"/>
  <c r="AX53" i="94"/>
  <c r="AV53" i="94"/>
  <c r="AP53" i="94"/>
  <c r="AM53" i="94"/>
  <c r="AJ53" i="94"/>
  <c r="AG53" i="94"/>
  <c r="Y53" i="94"/>
  <c r="T53" i="94"/>
  <c r="AJ51" i="94" s="1"/>
  <c r="R53" i="94"/>
  <c r="AX49" i="94" s="1"/>
  <c r="Q53" i="94"/>
  <c r="AW49" i="94" s="1"/>
  <c r="O53" i="94"/>
  <c r="W52" i="94" s="1"/>
  <c r="I53" i="94"/>
  <c r="BA73" i="94" s="1"/>
  <c r="H53" i="94"/>
  <c r="AJ76" i="94" s="1"/>
  <c r="G53" i="94"/>
  <c r="K53" i="94" s="1"/>
  <c r="P53" i="94" s="1"/>
  <c r="BT46" i="94" s="1"/>
  <c r="CF52" i="94"/>
  <c r="CE52" i="94"/>
  <c r="CD52" i="94"/>
  <c r="CC52" i="94"/>
  <c r="CB52" i="94"/>
  <c r="CA52" i="94"/>
  <c r="BX52" i="94"/>
  <c r="BW52" i="94"/>
  <c r="BV52" i="94"/>
  <c r="BU52" i="94"/>
  <c r="BT52" i="94"/>
  <c r="BS52" i="94"/>
  <c r="BP52" i="94"/>
  <c r="BO52" i="94"/>
  <c r="BN52" i="94"/>
  <c r="BK52" i="94"/>
  <c r="BG52" i="94"/>
  <c r="BF52" i="94"/>
  <c r="BD52" i="94"/>
  <c r="BC52" i="94"/>
  <c r="AZ52" i="94"/>
  <c r="AX52" i="94"/>
  <c r="AW52" i="94"/>
  <c r="AU52" i="94"/>
  <c r="AR52" i="94"/>
  <c r="AO52" i="94"/>
  <c r="AJ52" i="94"/>
  <c r="T52" i="94"/>
  <c r="R52" i="94"/>
  <c r="Z51" i="94" s="1"/>
  <c r="Q52" i="94"/>
  <c r="BE47" i="94" s="1"/>
  <c r="O52" i="94"/>
  <c r="AE50" i="94" s="1"/>
  <c r="I52" i="94"/>
  <c r="H52" i="94"/>
  <c r="AJ75" i="94" s="1"/>
  <c r="G52" i="94"/>
  <c r="CF51" i="94"/>
  <c r="CE51" i="94"/>
  <c r="CD51" i="94"/>
  <c r="CC51" i="94"/>
  <c r="CB51" i="94"/>
  <c r="CA51" i="94"/>
  <c r="BX51" i="94"/>
  <c r="BW51" i="94"/>
  <c r="BV51" i="94"/>
  <c r="BU51" i="94"/>
  <c r="BT51" i="94"/>
  <c r="BS51" i="94"/>
  <c r="BL51" i="94"/>
  <c r="BK51" i="94"/>
  <c r="BG51" i="94"/>
  <c r="BD51" i="94"/>
  <c r="AZ51" i="94"/>
  <c r="AX51" i="94"/>
  <c r="AW51" i="94"/>
  <c r="AU51" i="94"/>
  <c r="AR51" i="94"/>
  <c r="AO51" i="94"/>
  <c r="AE51" i="94"/>
  <c r="W51" i="94"/>
  <c r="T51" i="94"/>
  <c r="R51" i="94"/>
  <c r="AH49" i="94" s="1"/>
  <c r="Q51" i="94"/>
  <c r="Y50" i="94" s="1"/>
  <c r="O51" i="94"/>
  <c r="AU47" i="94" s="1"/>
  <c r="I51" i="94"/>
  <c r="H51" i="94"/>
  <c r="D34" i="94" s="1"/>
  <c r="G51" i="94"/>
  <c r="CF50" i="94"/>
  <c r="CE50" i="94"/>
  <c r="CD50" i="94"/>
  <c r="CC50" i="94"/>
  <c r="CB50" i="94"/>
  <c r="CA50" i="94"/>
  <c r="BX50" i="94"/>
  <c r="BW50" i="94"/>
  <c r="BV50" i="94"/>
  <c r="BU50" i="94"/>
  <c r="BT50" i="94"/>
  <c r="BS50" i="94"/>
  <c r="BO50" i="94"/>
  <c r="BN50" i="94"/>
  <c r="BL50" i="94"/>
  <c r="BK50" i="94"/>
  <c r="BH50" i="94"/>
  <c r="BF50" i="94"/>
  <c r="AW50" i="94"/>
  <c r="AR50" i="94"/>
  <c r="AP50" i="94"/>
  <c r="AM50" i="94"/>
  <c r="AB50" i="94"/>
  <c r="Z50" i="94"/>
  <c r="T50" i="94"/>
  <c r="S50" i="94"/>
  <c r="Q50" i="94"/>
  <c r="P50" i="94"/>
  <c r="I50" i="94"/>
  <c r="H50" i="94"/>
  <c r="C31" i="94" s="1"/>
  <c r="N31" i="94" s="1"/>
  <c r="G50" i="94"/>
  <c r="L84" i="94" s="1"/>
  <c r="CF49" i="94"/>
  <c r="CE49" i="94"/>
  <c r="CD49" i="94"/>
  <c r="CC49" i="94"/>
  <c r="CB49" i="94"/>
  <c r="CA49" i="94"/>
  <c r="BW49" i="94"/>
  <c r="BV49" i="94"/>
  <c r="BT49" i="94"/>
  <c r="BS49" i="94"/>
  <c r="BO49" i="94"/>
  <c r="BL49" i="94"/>
  <c r="BE49" i="94"/>
  <c r="AZ49" i="94"/>
  <c r="AU49" i="94"/>
  <c r="AP49" i="94"/>
  <c r="AO49" i="94"/>
  <c r="AM49" i="94"/>
  <c r="AJ49" i="94"/>
  <c r="AA49" i="94"/>
  <c r="T49" i="94"/>
  <c r="AB49" i="94" s="1"/>
  <c r="S49" i="94"/>
  <c r="Q49" i="94"/>
  <c r="Y49" i="94" s="1"/>
  <c r="P49" i="94"/>
  <c r="X49" i="94" s="1"/>
  <c r="O49" i="94"/>
  <c r="W49" i="94" s="1"/>
  <c r="K49" i="94"/>
  <c r="I49" i="94"/>
  <c r="BS72" i="94" s="1"/>
  <c r="H49" i="94"/>
  <c r="J28" i="94" s="1"/>
  <c r="G49" i="94"/>
  <c r="CF48" i="94"/>
  <c r="CE48" i="94"/>
  <c r="CD48" i="94"/>
  <c r="CC48" i="94"/>
  <c r="CB48" i="94"/>
  <c r="CA48" i="94"/>
  <c r="BW48" i="94"/>
  <c r="BV48" i="94"/>
  <c r="BT48" i="94"/>
  <c r="BS48" i="94"/>
  <c r="BH48" i="94"/>
  <c r="AX48" i="94"/>
  <c r="AW48" i="94"/>
  <c r="AU48" i="94"/>
  <c r="AR48" i="94"/>
  <c r="AP48" i="94"/>
  <c r="Y48" i="94"/>
  <c r="T48" i="94"/>
  <c r="AB48" i="94" s="1"/>
  <c r="S48" i="94"/>
  <c r="AI48" i="94" s="1"/>
  <c r="Q48" i="94"/>
  <c r="AG48" i="94" s="1"/>
  <c r="P48" i="94"/>
  <c r="X48" i="94" s="1"/>
  <c r="I48" i="94"/>
  <c r="H48" i="94"/>
  <c r="BO72" i="94" s="1"/>
  <c r="G48" i="94"/>
  <c r="K48" i="94" s="1"/>
  <c r="CF47" i="94"/>
  <c r="CE47" i="94"/>
  <c r="CD47" i="94"/>
  <c r="CC47" i="94"/>
  <c r="CB47" i="94"/>
  <c r="CA47" i="94"/>
  <c r="BW47" i="94"/>
  <c r="BT47" i="94"/>
  <c r="BS47" i="94"/>
  <c r="BK47" i="94"/>
  <c r="BC47" i="94"/>
  <c r="AZ47" i="94"/>
  <c r="AX47" i="94"/>
  <c r="AI47" i="94"/>
  <c r="X47" i="94"/>
  <c r="T47" i="94"/>
  <c r="AJ47" i="94" s="1"/>
  <c r="S47" i="94"/>
  <c r="Q47" i="94"/>
  <c r="AG47" i="94" s="1"/>
  <c r="P47" i="94"/>
  <c r="AF47" i="94" s="1"/>
  <c r="I47" i="94"/>
  <c r="BM72" i="94" s="1"/>
  <c r="H47" i="94"/>
  <c r="G47" i="94"/>
  <c r="BK72" i="94" s="1"/>
  <c r="CE46" i="94"/>
  <c r="CD46" i="94"/>
  <c r="CB46" i="94"/>
  <c r="CA46" i="94"/>
  <c r="BX46" i="94"/>
  <c r="BS46" i="94"/>
  <c r="BN46" i="94"/>
  <c r="BH46" i="94"/>
  <c r="BF46" i="94"/>
  <c r="T46" i="94"/>
  <c r="AZ46" i="94" s="1"/>
  <c r="S46" i="94"/>
  <c r="AY46" i="94" s="1"/>
  <c r="Q46" i="94"/>
  <c r="AW46" i="94" s="1"/>
  <c r="P46" i="94"/>
  <c r="AV46" i="94" s="1"/>
  <c r="I46" i="94"/>
  <c r="H46" i="94"/>
  <c r="J19" i="94" s="1"/>
  <c r="G46" i="94"/>
  <c r="L46" i="94" s="1"/>
  <c r="CE45" i="94"/>
  <c r="CB45" i="94"/>
  <c r="CA45" i="94"/>
  <c r="BV45" i="94"/>
  <c r="BS45" i="94"/>
  <c r="BP45" i="94"/>
  <c r="BM45" i="94"/>
  <c r="AA45" i="94"/>
  <c r="T45" i="94"/>
  <c r="AZ45" i="94" s="1"/>
  <c r="S45" i="94"/>
  <c r="AY45" i="94" s="1"/>
  <c r="Q45" i="94"/>
  <c r="P45" i="94"/>
  <c r="AV45" i="94" s="1"/>
  <c r="I45" i="94"/>
  <c r="H45" i="94"/>
  <c r="AG88" i="94" s="1"/>
  <c r="G45" i="94"/>
  <c r="K45" i="94" s="1"/>
  <c r="O45" i="94" s="1"/>
  <c r="W45" i="94" s="1"/>
  <c r="CD44" i="94"/>
  <c r="CA44" i="94"/>
  <c r="BX44" i="94"/>
  <c r="BV44" i="94"/>
  <c r="BS44" i="94"/>
  <c r="BG44" i="94"/>
  <c r="T44" i="94"/>
  <c r="BP44" i="94" s="1"/>
  <c r="S44" i="94"/>
  <c r="BO44" i="94" s="1"/>
  <c r="Q44" i="94"/>
  <c r="AG44" i="94" s="1"/>
  <c r="P44" i="94"/>
  <c r="BL44" i="94" s="1"/>
  <c r="I44" i="94"/>
  <c r="AH87" i="94" s="1"/>
  <c r="H44" i="94"/>
  <c r="BC72" i="94" s="1"/>
  <c r="G44" i="94"/>
  <c r="K44" i="94" s="1"/>
  <c r="O44" i="94" s="1"/>
  <c r="BC44" i="94" s="1"/>
  <c r="CF43" i="94"/>
  <c r="CD43" i="94"/>
  <c r="BM43" i="94"/>
  <c r="AO43" i="94"/>
  <c r="T43" i="94"/>
  <c r="AZ43" i="94" s="1"/>
  <c r="S43" i="94"/>
  <c r="BO43" i="94" s="1"/>
  <c r="Q43" i="94"/>
  <c r="BU43" i="94" s="1"/>
  <c r="P43" i="94"/>
  <c r="AF43" i="94" s="1"/>
  <c r="I43" i="94"/>
  <c r="AU107" i="94" s="1"/>
  <c r="H43" i="94"/>
  <c r="G43" i="94"/>
  <c r="AF76" i="94" s="1"/>
  <c r="BM42" i="94"/>
  <c r="AV42" i="94"/>
  <c r="AO42" i="94"/>
  <c r="AG42" i="94"/>
  <c r="T42" i="94"/>
  <c r="AJ42" i="94" s="1"/>
  <c r="S42" i="94"/>
  <c r="BO42" i="94" s="1"/>
  <c r="Q42" i="94"/>
  <c r="CC42" i="94" s="1"/>
  <c r="P42" i="94"/>
  <c r="BL42" i="94" s="1"/>
  <c r="I42" i="94"/>
  <c r="H42" i="94"/>
  <c r="K42" i="94" s="1"/>
  <c r="O42" i="94" s="1"/>
  <c r="G42" i="94"/>
  <c r="L76" i="94" s="1"/>
  <c r="BP41" i="94"/>
  <c r="BM41" i="94"/>
  <c r="AY41" i="94"/>
  <c r="AO41" i="94"/>
  <c r="AJ41" i="94"/>
  <c r="T41" i="94"/>
  <c r="AZ41" i="94" s="1"/>
  <c r="S41" i="94"/>
  <c r="AI41" i="94" s="1"/>
  <c r="Q41" i="94"/>
  <c r="BE41" i="94" s="1"/>
  <c r="P41" i="94"/>
  <c r="I41" i="94"/>
  <c r="C5" i="94" s="1"/>
  <c r="N5" i="94" s="1"/>
  <c r="H41" i="94"/>
  <c r="G41" i="94"/>
  <c r="W38" i="94"/>
  <c r="AE38" i="94" s="1"/>
  <c r="AM38" i="94" s="1"/>
  <c r="AU38" i="94" s="1"/>
  <c r="BC38" i="94" s="1"/>
  <c r="BK38" i="94" s="1"/>
  <c r="BS38" i="94" s="1"/>
  <c r="CA38" i="94" s="1"/>
  <c r="E32" i="94"/>
  <c r="P32" i="94" s="1"/>
  <c r="D32" i="94"/>
  <c r="O32" i="94" s="1"/>
  <c r="C32" i="94"/>
  <c r="N32" i="94" s="1"/>
  <c r="P31" i="94"/>
  <c r="L31" i="94"/>
  <c r="K31" i="94"/>
  <c r="G31" i="94"/>
  <c r="E31" i="94"/>
  <c r="D31" i="94"/>
  <c r="O31" i="94" s="1"/>
  <c r="E30" i="94"/>
  <c r="P30" i="94" s="1"/>
  <c r="D30" i="94"/>
  <c r="O30" i="94" s="1"/>
  <c r="E29" i="94"/>
  <c r="P29" i="94" s="1"/>
  <c r="D29" i="94"/>
  <c r="O29" i="94" s="1"/>
  <c r="C29" i="94"/>
  <c r="N29" i="94" s="1"/>
  <c r="P28" i="94"/>
  <c r="L28" i="94"/>
  <c r="K28" i="94"/>
  <c r="H28" i="94"/>
  <c r="E28" i="94"/>
  <c r="D28" i="94"/>
  <c r="O28" i="94" s="1"/>
  <c r="C28" i="94"/>
  <c r="N28" i="94" s="1"/>
  <c r="E27" i="94"/>
  <c r="P27" i="94" s="1"/>
  <c r="D27" i="94"/>
  <c r="O27" i="94" s="1"/>
  <c r="C27" i="94"/>
  <c r="N27" i="94" s="1"/>
  <c r="D26" i="94"/>
  <c r="O26" i="94" s="1"/>
  <c r="C26" i="94"/>
  <c r="N26" i="94" s="1"/>
  <c r="H25" i="94"/>
  <c r="E25" i="94"/>
  <c r="P25" i="94" s="1"/>
  <c r="C25" i="94"/>
  <c r="N25" i="94" s="1"/>
  <c r="E24" i="94"/>
  <c r="P24" i="94" s="1"/>
  <c r="C24" i="94"/>
  <c r="N24" i="94" s="1"/>
  <c r="P23" i="94"/>
  <c r="O23" i="94"/>
  <c r="E23" i="94"/>
  <c r="D23" i="94"/>
  <c r="C23" i="94"/>
  <c r="N23" i="94" s="1"/>
  <c r="O22" i="94"/>
  <c r="K22" i="94"/>
  <c r="J22" i="94"/>
  <c r="H22" i="94"/>
  <c r="E22" i="94"/>
  <c r="P22" i="94" s="1"/>
  <c r="D22" i="94"/>
  <c r="O21" i="94"/>
  <c r="E21" i="94"/>
  <c r="P21" i="94" s="1"/>
  <c r="D21" i="94"/>
  <c r="C21" i="94"/>
  <c r="N21" i="94" s="1"/>
  <c r="E20" i="94"/>
  <c r="P20" i="94" s="1"/>
  <c r="C20" i="94"/>
  <c r="N20" i="94" s="1"/>
  <c r="P19" i="94"/>
  <c r="H19" i="94"/>
  <c r="E19" i="94"/>
  <c r="D19" i="94"/>
  <c r="O19" i="94" s="1"/>
  <c r="C19" i="94"/>
  <c r="N19" i="94" s="1"/>
  <c r="N18" i="94"/>
  <c r="D18" i="94"/>
  <c r="O18" i="94" s="1"/>
  <c r="C18" i="94"/>
  <c r="N17" i="94"/>
  <c r="E17" i="94"/>
  <c r="P17" i="94" s="1"/>
  <c r="D17" i="94"/>
  <c r="O17" i="94" s="1"/>
  <c r="C17" i="94"/>
  <c r="P16" i="94"/>
  <c r="L16" i="94"/>
  <c r="K16" i="94"/>
  <c r="J16" i="94"/>
  <c r="G16" i="94"/>
  <c r="E16" i="94"/>
  <c r="C16" i="94"/>
  <c r="N16" i="94" s="1"/>
  <c r="E15" i="94"/>
  <c r="P15" i="94" s="1"/>
  <c r="D15" i="94"/>
  <c r="O15" i="94" s="1"/>
  <c r="C15" i="94"/>
  <c r="E14" i="94"/>
  <c r="P14" i="94" s="1"/>
  <c r="D14" i="94"/>
  <c r="O14" i="94" s="1"/>
  <c r="O13" i="94"/>
  <c r="L13" i="94"/>
  <c r="K13" i="94"/>
  <c r="G13" i="94"/>
  <c r="E13" i="94"/>
  <c r="P13" i="94" s="1"/>
  <c r="D13" i="94"/>
  <c r="C13" i="94"/>
  <c r="N13" i="94" s="1"/>
  <c r="E12" i="94"/>
  <c r="P12" i="94" s="1"/>
  <c r="D12" i="94"/>
  <c r="O12" i="94" s="1"/>
  <c r="C12" i="94"/>
  <c r="N12" i="94" s="1"/>
  <c r="E11" i="94"/>
  <c r="P11" i="94" s="1"/>
  <c r="D11" i="94"/>
  <c r="O11" i="94" s="1"/>
  <c r="C11" i="94"/>
  <c r="N11" i="94" s="1"/>
  <c r="L10" i="94"/>
  <c r="E10" i="94"/>
  <c r="P10" i="94" s="1"/>
  <c r="D10" i="94"/>
  <c r="O10" i="94" s="1"/>
  <c r="E9" i="94"/>
  <c r="P9" i="94" s="1"/>
  <c r="D9" i="94"/>
  <c r="O9" i="94" s="1"/>
  <c r="P8" i="94"/>
  <c r="E8" i="94"/>
  <c r="D8" i="94"/>
  <c r="O8" i="94" s="1"/>
  <c r="C8" i="94"/>
  <c r="N8" i="94" s="1"/>
  <c r="L7" i="94"/>
  <c r="K7" i="94"/>
  <c r="H7" i="94"/>
  <c r="E7" i="94"/>
  <c r="P7" i="94" s="1"/>
  <c r="D7" i="94"/>
  <c r="O7" i="94" s="1"/>
  <c r="P6" i="94"/>
  <c r="N6" i="94"/>
  <c r="E6" i="94"/>
  <c r="D6" i="94"/>
  <c r="O6" i="94" s="1"/>
  <c r="C6" i="94"/>
  <c r="E5" i="94"/>
  <c r="P5" i="94" s="1"/>
  <c r="D5" i="94"/>
  <c r="O5" i="94" s="1"/>
  <c r="P4" i="94"/>
  <c r="L4" i="94"/>
  <c r="G4" i="94"/>
  <c r="E4" i="94"/>
  <c r="C4" i="94"/>
  <c r="N4" i="94" s="1"/>
  <c r="E3" i="94"/>
  <c r="P3" i="94" s="1"/>
  <c r="D3" i="94"/>
  <c r="O3" i="94" s="1"/>
  <c r="C3" i="94"/>
  <c r="J4" i="93"/>
  <c r="D4" i="93"/>
  <c r="P3" i="93"/>
  <c r="J3" i="93"/>
  <c r="D3" i="93"/>
  <c r="P2" i="93"/>
  <c r="J2" i="93"/>
  <c r="D2" i="93"/>
  <c r="A1" i="93"/>
  <c r="J4" i="92"/>
  <c r="D4" i="92"/>
  <c r="P3" i="92"/>
  <c r="J3" i="92"/>
  <c r="D3" i="92"/>
  <c r="P2" i="92"/>
  <c r="J2" i="92"/>
  <c r="D2" i="92"/>
  <c r="A1" i="92"/>
  <c r="C100" i="91"/>
  <c r="C99" i="91"/>
  <c r="C83" i="91"/>
  <c r="C73" i="91"/>
  <c r="C72" i="91"/>
  <c r="H70" i="91"/>
  <c r="C70" i="91"/>
  <c r="M69" i="91"/>
  <c r="H69" i="91"/>
  <c r="C69" i="91"/>
  <c r="M68" i="91"/>
  <c r="H68" i="91"/>
  <c r="C68" i="91"/>
  <c r="C48" i="91"/>
  <c r="C38" i="91"/>
  <c r="C37" i="91"/>
  <c r="H35" i="91"/>
  <c r="C35" i="91"/>
  <c r="M34" i="91"/>
  <c r="H34" i="91"/>
  <c r="C34" i="91"/>
  <c r="M33" i="91"/>
  <c r="H33" i="91"/>
  <c r="C33" i="91"/>
  <c r="E26" i="91"/>
  <c r="M24" i="91"/>
  <c r="M23" i="91"/>
  <c r="M22" i="91"/>
  <c r="M19" i="91"/>
  <c r="M14" i="91"/>
  <c r="F8" i="91"/>
  <c r="AC112" i="94" s="1"/>
  <c r="C8" i="91"/>
  <c r="P4" i="93" s="1"/>
  <c r="F7" i="91"/>
  <c r="X12" i="94" s="1"/>
  <c r="S4" i="94" s="1"/>
  <c r="F6" i="91"/>
  <c r="M17" i="91" s="1"/>
  <c r="D4" i="94" l="1"/>
  <c r="O4" i="94" s="1"/>
  <c r="K10" i="94"/>
  <c r="D25" i="94"/>
  <c r="O25" i="94" s="1"/>
  <c r="BU41" i="94"/>
  <c r="AW42" i="94"/>
  <c r="AG43" i="94"/>
  <c r="AQ45" i="94"/>
  <c r="AN46" i="94"/>
  <c r="Y47" i="94"/>
  <c r="AZ50" i="94"/>
  <c r="AE55" i="94"/>
  <c r="W60" i="94"/>
  <c r="Q70" i="94"/>
  <c r="M18" i="91"/>
  <c r="C30" i="94"/>
  <c r="N30" i="94" s="1"/>
  <c r="BE42" i="94"/>
  <c r="AJ43" i="94"/>
  <c r="CC44" i="94"/>
  <c r="BG45" i="94"/>
  <c r="AQ46" i="94"/>
  <c r="AB47" i="94"/>
  <c r="BN47" i="94"/>
  <c r="BC49" i="94"/>
  <c r="W82" i="94" s="1"/>
  <c r="O116" i="94" s="1"/>
  <c r="BC51" i="94"/>
  <c r="BF53" i="94"/>
  <c r="AH55" i="94"/>
  <c r="AM56" i="94"/>
  <c r="AH57" i="94"/>
  <c r="Q61" i="94"/>
  <c r="AI61" i="94"/>
  <c r="AB62" i="94"/>
  <c r="Q69" i="94"/>
  <c r="Y67" i="94" s="1"/>
  <c r="AR46" i="94"/>
  <c r="H6" i="91"/>
  <c r="H72" i="91" s="1"/>
  <c r="H13" i="94"/>
  <c r="K25" i="94"/>
  <c r="BP42" i="94"/>
  <c r="AQ43" i="94"/>
  <c r="AN47" i="94"/>
  <c r="BK49" i="94"/>
  <c r="Y51" i="94"/>
  <c r="AM55" i="94"/>
  <c r="AN58" i="94"/>
  <c r="AH59" i="94"/>
  <c r="T70" i="94"/>
  <c r="G28" i="94"/>
  <c r="M6" i="91"/>
  <c r="M37" i="91" s="1"/>
  <c r="D25" i="91"/>
  <c r="C7" i="94"/>
  <c r="N7" i="94" s="1"/>
  <c r="J13" i="94"/>
  <c r="AG41" i="94"/>
  <c r="BU42" i="94"/>
  <c r="AY43" i="94"/>
  <c r="AO47" i="94"/>
  <c r="BF48" i="94"/>
  <c r="BF51" i="94"/>
  <c r="BG55" i="94"/>
  <c r="P56" i="94"/>
  <c r="AV52" i="94" s="1"/>
  <c r="T61" i="94"/>
  <c r="AA63" i="94"/>
  <c r="F72" i="91"/>
  <c r="K4" i="94"/>
  <c r="AA44" i="94"/>
  <c r="BU45" i="94"/>
  <c r="BM46" i="94"/>
  <c r="AR47" i="94"/>
  <c r="BV47" i="94"/>
  <c r="AG49" i="94"/>
  <c r="AG50" i="94"/>
  <c r="AH51" i="94"/>
  <c r="Z52" i="94"/>
  <c r="AU53" i="94"/>
  <c r="BD54" i="94"/>
  <c r="S59" i="94"/>
  <c r="AA58" i="94" s="1"/>
  <c r="AF60" i="94"/>
  <c r="T69" i="94"/>
  <c r="AB67" i="94" s="1"/>
  <c r="AF80" i="94"/>
  <c r="H25" i="91"/>
  <c r="H7" i="91"/>
  <c r="H73" i="91" s="1"/>
  <c r="J25" i="91"/>
  <c r="CC43" i="94"/>
  <c r="AQ44" i="94"/>
  <c r="O47" i="94"/>
  <c r="AM47" i="94" s="1"/>
  <c r="BK48" i="94"/>
  <c r="BN49" i="94"/>
  <c r="AH50" i="94"/>
  <c r="AM51" i="94"/>
  <c r="AB52" i="94"/>
  <c r="AP55" i="94"/>
  <c r="AV56" i="94"/>
  <c r="AP57" i="94"/>
  <c r="AR58" i="94"/>
  <c r="W64" i="94"/>
  <c r="L25" i="91"/>
  <c r="M18" i="93"/>
  <c r="D20" i="93" s="1"/>
  <c r="G7" i="94"/>
  <c r="AQ41" i="94"/>
  <c r="AW47" i="94"/>
  <c r="BP48" i="94"/>
  <c r="K51" i="94"/>
  <c r="AE52" i="94"/>
  <c r="AM54" i="94"/>
  <c r="AU58" i="94"/>
  <c r="W59" i="94"/>
  <c r="Z61" i="94"/>
  <c r="T68" i="94"/>
  <c r="AJ60" i="94"/>
  <c r="BI73" i="94"/>
  <c r="AJ85" i="94"/>
  <c r="M12" i="91"/>
  <c r="G26" i="91"/>
  <c r="J7" i="94"/>
  <c r="C14" i="94"/>
  <c r="N14" i="94" s="1"/>
  <c r="J31" i="94"/>
  <c r="BU44" i="94"/>
  <c r="X46" i="94"/>
  <c r="BV46" i="94"/>
  <c r="AP54" i="94"/>
  <c r="Y57" i="94"/>
  <c r="AA64" i="94"/>
  <c r="BN73" i="94"/>
  <c r="F37" i="91"/>
  <c r="I26" i="91"/>
  <c r="CD45" i="94"/>
  <c r="AA46" i="94"/>
  <c r="AO48" i="94"/>
  <c r="L50" i="94"/>
  <c r="AU50" i="94"/>
  <c r="K52" i="94"/>
  <c r="P52" i="94" s="1"/>
  <c r="CB44" i="94" s="1"/>
  <c r="AP52" i="94"/>
  <c r="BL52" i="94"/>
  <c r="W55" i="94"/>
  <c r="AB56" i="94"/>
  <c r="BT73" i="94"/>
  <c r="AB46" i="94"/>
  <c r="AM74" i="94"/>
  <c r="F25" i="91"/>
  <c r="C26" i="91"/>
  <c r="N26" i="91" s="1"/>
  <c r="K26" i="91"/>
  <c r="F4" i="94"/>
  <c r="I4" i="94" s="1"/>
  <c r="AS73" i="94"/>
  <c r="C37" i="94"/>
  <c r="H10" i="94"/>
  <c r="K43" i="94"/>
  <c r="O43" i="94" s="1"/>
  <c r="BS43" i="94" s="1"/>
  <c r="C9" i="94"/>
  <c r="N9" i="94" s="1"/>
  <c r="X51" i="94"/>
  <c r="BD47" i="94"/>
  <c r="AN49" i="94"/>
  <c r="BT45" i="94"/>
  <c r="AV48" i="94"/>
  <c r="AU42" i="94"/>
  <c r="AM42" i="94"/>
  <c r="AE42" i="94"/>
  <c r="W42" i="94"/>
  <c r="BC42" i="94"/>
  <c r="CA42" i="94"/>
  <c r="BS42" i="94"/>
  <c r="BK42" i="94"/>
  <c r="BK43" i="94"/>
  <c r="BC43" i="94"/>
  <c r="W76" i="94" s="1"/>
  <c r="O110" i="94" s="1"/>
  <c r="AU43" i="94"/>
  <c r="AM43" i="94"/>
  <c r="AE43" i="94"/>
  <c r="D52" i="93"/>
  <c r="C16" i="91"/>
  <c r="K16" i="91"/>
  <c r="I20" i="91"/>
  <c r="J21" i="91"/>
  <c r="F74" i="91"/>
  <c r="BT41" i="94"/>
  <c r="BD41" i="94"/>
  <c r="AN41" i="94"/>
  <c r="X41" i="94"/>
  <c r="CB41" i="94"/>
  <c r="BW42" i="94"/>
  <c r="CE42" i="94"/>
  <c r="L111" i="94"/>
  <c r="AT111" i="94"/>
  <c r="AG90" i="94"/>
  <c r="AG80" i="94"/>
  <c r="BL72" i="94"/>
  <c r="G22" i="94"/>
  <c r="AT119" i="94"/>
  <c r="L119" i="94"/>
  <c r="AJ88" i="94"/>
  <c r="AJ78" i="94"/>
  <c r="BF73" i="94"/>
  <c r="L150" i="94"/>
  <c r="AU120" i="94"/>
  <c r="AK89" i="94"/>
  <c r="AK79" i="94"/>
  <c r="BJ73" i="94"/>
  <c r="AT131" i="94"/>
  <c r="L131" i="94"/>
  <c r="AM80" i="94"/>
  <c r="BL74" i="94"/>
  <c r="AM90" i="94"/>
  <c r="L162" i="94"/>
  <c r="AU132" i="94"/>
  <c r="AN91" i="94"/>
  <c r="BP74" i="94"/>
  <c r="AN81" i="94"/>
  <c r="E26" i="94"/>
  <c r="P26" i="94" s="1"/>
  <c r="Q81" i="94"/>
  <c r="Z83" i="94"/>
  <c r="R117" i="94" s="1"/>
  <c r="O90" i="94"/>
  <c r="O93" i="94"/>
  <c r="H8" i="91"/>
  <c r="C15" i="91"/>
  <c r="G15" i="91"/>
  <c r="K15" i="91"/>
  <c r="D16" i="91"/>
  <c r="H16" i="91"/>
  <c r="L16" i="91"/>
  <c r="F20" i="91"/>
  <c r="J20" i="91"/>
  <c r="C21" i="91"/>
  <c r="G21" i="91"/>
  <c r="K21" i="91"/>
  <c r="E25" i="91"/>
  <c r="I25" i="91"/>
  <c r="F26" i="91"/>
  <c r="J26" i="91"/>
  <c r="C27" i="91"/>
  <c r="G27" i="91"/>
  <c r="K27" i="91"/>
  <c r="H37" i="91"/>
  <c r="F38" i="91"/>
  <c r="C39" i="91"/>
  <c r="P4" i="92"/>
  <c r="H4" i="94"/>
  <c r="F13" i="94"/>
  <c r="I13" i="94" s="1"/>
  <c r="N15" i="94"/>
  <c r="D16" i="94"/>
  <c r="O16" i="94" s="1"/>
  <c r="H16" i="94"/>
  <c r="E18" i="94"/>
  <c r="P18" i="94" s="1"/>
  <c r="G19" i="94"/>
  <c r="K19" i="94"/>
  <c r="G25" i="94"/>
  <c r="L25" i="94"/>
  <c r="F28" i="94"/>
  <c r="I28" i="94" s="1"/>
  <c r="L135" i="94"/>
  <c r="AH74" i="94"/>
  <c r="AU105" i="94"/>
  <c r="AH84" i="94"/>
  <c r="AU72" i="94"/>
  <c r="Y41" i="94"/>
  <c r="AF41" i="94"/>
  <c r="BG41" i="94"/>
  <c r="BO41" i="94"/>
  <c r="CC41" i="94"/>
  <c r="BX42" i="94"/>
  <c r="BH42" i="94"/>
  <c r="AR42" i="94"/>
  <c r="AB42" i="94"/>
  <c r="AA42" i="94"/>
  <c r="AI42" i="94"/>
  <c r="CF42" i="94"/>
  <c r="L137" i="94"/>
  <c r="AH86" i="94"/>
  <c r="AH76" i="94"/>
  <c r="BA72" i="94"/>
  <c r="Y43" i="94"/>
  <c r="BG43" i="94"/>
  <c r="K140" i="94"/>
  <c r="J140" i="94"/>
  <c r="AR110" i="94"/>
  <c r="J110" i="94"/>
  <c r="AS110" i="94"/>
  <c r="K110" i="94"/>
  <c r="AQ110" i="94"/>
  <c r="K80" i="94"/>
  <c r="AE79" i="94"/>
  <c r="J80" i="94"/>
  <c r="K46" i="94"/>
  <c r="AF79" i="94"/>
  <c r="O46" i="94"/>
  <c r="AQ47" i="94"/>
  <c r="AA47" i="94"/>
  <c r="R50" i="94"/>
  <c r="AT115" i="94"/>
  <c r="L115" i="94"/>
  <c r="AJ84" i="94"/>
  <c r="AJ74" i="94"/>
  <c r="AT73" i="94"/>
  <c r="L146" i="94"/>
  <c r="AU116" i="94"/>
  <c r="AK85" i="94"/>
  <c r="AK75" i="94"/>
  <c r="AY55" i="94"/>
  <c r="AB55" i="94"/>
  <c r="AJ54" i="94"/>
  <c r="AR53" i="94"/>
  <c r="AS126" i="94"/>
  <c r="K126" i="94"/>
  <c r="K156" i="94"/>
  <c r="J156" i="94"/>
  <c r="AQ126" i="94"/>
  <c r="AR126" i="94"/>
  <c r="J126" i="94"/>
  <c r="K96" i="94"/>
  <c r="AL85" i="94"/>
  <c r="AQ85" i="94" s="1"/>
  <c r="AL75" i="94"/>
  <c r="AV74" i="94"/>
  <c r="L96" i="94"/>
  <c r="Q62" i="94"/>
  <c r="K62" i="94"/>
  <c r="J96" i="94"/>
  <c r="T62" i="94"/>
  <c r="E35" i="94"/>
  <c r="E34" i="94"/>
  <c r="E36" i="94" s="1"/>
  <c r="L158" i="94"/>
  <c r="AU128" i="94"/>
  <c r="AN87" i="94"/>
  <c r="BD74" i="94"/>
  <c r="AN77" i="94"/>
  <c r="BH72" i="94"/>
  <c r="AX73" i="94"/>
  <c r="Q77" i="94"/>
  <c r="Z79" i="94"/>
  <c r="R113" i="94" s="1"/>
  <c r="S86" i="94"/>
  <c r="Z88" i="94"/>
  <c r="X94" i="94"/>
  <c r="P128" i="94" s="1"/>
  <c r="F15" i="91"/>
  <c r="F21" i="91"/>
  <c r="F27" i="91"/>
  <c r="F7" i="94"/>
  <c r="I7" i="94" s="1"/>
  <c r="AT105" i="94"/>
  <c r="AG74" i="94"/>
  <c r="AT72" i="94"/>
  <c r="L105" i="94"/>
  <c r="BT43" i="94"/>
  <c r="BD43" i="94"/>
  <c r="X76" i="94" s="1"/>
  <c r="P110" i="94" s="1"/>
  <c r="AN43" i="94"/>
  <c r="X43" i="94"/>
  <c r="AU45" i="94"/>
  <c r="AE45" i="94"/>
  <c r="AM45" i="94"/>
  <c r="AV49" i="94"/>
  <c r="X52" i="94"/>
  <c r="BD48" i="94"/>
  <c r="X81" i="94" s="1"/>
  <c r="P115" i="94" s="1"/>
  <c r="AF51" i="94"/>
  <c r="BL47" i="94"/>
  <c r="H15" i="91"/>
  <c r="E16" i="91"/>
  <c r="G20" i="91"/>
  <c r="D21" i="91"/>
  <c r="D27" i="91"/>
  <c r="H27" i="91"/>
  <c r="L27" i="91"/>
  <c r="H38" i="91"/>
  <c r="J10" i="94"/>
  <c r="X11" i="94"/>
  <c r="C22" i="94"/>
  <c r="N22" i="94" s="1"/>
  <c r="L22" i="94"/>
  <c r="F31" i="94"/>
  <c r="I31" i="94" s="1"/>
  <c r="C35" i="94"/>
  <c r="K41" i="94"/>
  <c r="AV41" i="94"/>
  <c r="BW41" i="94"/>
  <c r="CE41" i="94"/>
  <c r="L106" i="94"/>
  <c r="AT106" i="94"/>
  <c r="AG85" i="94"/>
  <c r="AG75" i="94"/>
  <c r="BT42" i="94"/>
  <c r="BD42" i="94"/>
  <c r="AN42" i="94"/>
  <c r="X42" i="94"/>
  <c r="AQ42" i="94"/>
  <c r="AY42" i="94"/>
  <c r="CB42" i="94"/>
  <c r="AV43" i="94"/>
  <c r="BW43" i="94"/>
  <c r="BK44" i="94"/>
  <c r="AU44" i="94"/>
  <c r="AE44" i="94"/>
  <c r="AM44" i="94"/>
  <c r="BE45" i="94"/>
  <c r="Y78" i="94" s="1"/>
  <c r="Q112" i="94" s="1"/>
  <c r="AO45" i="94"/>
  <c r="Y45" i="94"/>
  <c r="AW45" i="94"/>
  <c r="AF48" i="94"/>
  <c r="AN50" i="94"/>
  <c r="BO51" i="94"/>
  <c r="AB51" i="94"/>
  <c r="BH47" i="94"/>
  <c r="CF44" i="94"/>
  <c r="AJ50" i="94"/>
  <c r="BP46" i="94"/>
  <c r="AR49" i="94"/>
  <c r="BX45" i="94"/>
  <c r="Y52" i="94"/>
  <c r="BE48" i="94"/>
  <c r="Y81" i="94" s="1"/>
  <c r="Q115" i="94" s="1"/>
  <c r="AG51" i="94"/>
  <c r="BM47" i="94"/>
  <c r="AO50" i="94"/>
  <c r="BU46" i="94"/>
  <c r="K148" i="94"/>
  <c r="J148" i="94"/>
  <c r="AQ118" i="94"/>
  <c r="AS118" i="94"/>
  <c r="K118" i="94"/>
  <c r="K88" i="94"/>
  <c r="AI77" i="94"/>
  <c r="J118" i="94"/>
  <c r="J88" i="94"/>
  <c r="AR118" i="94"/>
  <c r="AI87" i="94"/>
  <c r="BB73" i="94"/>
  <c r="K54" i="94"/>
  <c r="P54" i="94" s="1"/>
  <c r="L88" i="94"/>
  <c r="S54" i="94"/>
  <c r="W54" i="94"/>
  <c r="BC50" i="94"/>
  <c r="AE53" i="94"/>
  <c r="AM52" i="94"/>
  <c r="X55" i="94"/>
  <c r="AF54" i="94"/>
  <c r="AN53" i="94"/>
  <c r="K152" i="94"/>
  <c r="J152" i="94"/>
  <c r="AQ122" i="94"/>
  <c r="L92" i="94"/>
  <c r="AS122" i="94"/>
  <c r="K122" i="94"/>
  <c r="AI91" i="94"/>
  <c r="AP91" i="94" s="1"/>
  <c r="AI81" i="94"/>
  <c r="K92" i="94"/>
  <c r="J122" i="94"/>
  <c r="J92" i="94"/>
  <c r="K58" i="94"/>
  <c r="AR122" i="94"/>
  <c r="P58" i="94"/>
  <c r="S58" i="94"/>
  <c r="D24" i="94"/>
  <c r="O24" i="94" s="1"/>
  <c r="L154" i="94"/>
  <c r="AU124" i="94"/>
  <c r="AK93" i="94"/>
  <c r="AK83" i="94"/>
  <c r="BV73" i="94"/>
  <c r="Y61" i="94"/>
  <c r="AG59" i="94"/>
  <c r="AO57" i="94"/>
  <c r="AW55" i="94"/>
  <c r="BE53" i="94"/>
  <c r="BM51" i="94"/>
  <c r="BU49" i="94"/>
  <c r="Y66" i="94"/>
  <c r="AG64" i="94"/>
  <c r="W71" i="94"/>
  <c r="T74" i="94"/>
  <c r="L80" i="94"/>
  <c r="V82" i="94"/>
  <c r="AG84" i="94"/>
  <c r="W91" i="94"/>
  <c r="O125" i="94" s="1"/>
  <c r="O97" i="94"/>
  <c r="AB103" i="94"/>
  <c r="T137" i="94" s="1"/>
  <c r="X103" i="94"/>
  <c r="P137" i="94" s="1"/>
  <c r="S103" i="94"/>
  <c r="O103" i="94"/>
  <c r="Y102" i="94"/>
  <c r="Q136" i="94" s="1"/>
  <c r="T102" i="94"/>
  <c r="P102" i="94"/>
  <c r="Z101" i="94"/>
  <c r="R135" i="94" s="1"/>
  <c r="V101" i="94"/>
  <c r="Q101" i="94"/>
  <c r="AA100" i="94"/>
  <c r="S134" i="94" s="1"/>
  <c r="W100" i="94"/>
  <c r="O134" i="94" s="1"/>
  <c r="R100" i="94"/>
  <c r="AB99" i="94"/>
  <c r="T133" i="94" s="1"/>
  <c r="X99" i="94"/>
  <c r="P133" i="94" s="1"/>
  <c r="S99" i="94"/>
  <c r="O99" i="94"/>
  <c r="Y98" i="94"/>
  <c r="Q132" i="94" s="1"/>
  <c r="T98" i="94"/>
  <c r="P98" i="94"/>
  <c r="Z97" i="94"/>
  <c r="R131" i="94" s="1"/>
  <c r="V97" i="94"/>
  <c r="Q97" i="94"/>
  <c r="AA96" i="94"/>
  <c r="S130" i="94" s="1"/>
  <c r="W96" i="94"/>
  <c r="O130" i="94" s="1"/>
  <c r="R96" i="94"/>
  <c r="AB95" i="94"/>
  <c r="T129" i="94" s="1"/>
  <c r="X95" i="94"/>
  <c r="P129" i="94" s="1"/>
  <c r="S95" i="94"/>
  <c r="O95" i="94"/>
  <c r="Y94" i="94"/>
  <c r="Q128" i="94" s="1"/>
  <c r="T94" i="94"/>
  <c r="P94" i="94"/>
  <c r="Z93" i="94"/>
  <c r="R127" i="94" s="1"/>
  <c r="V93" i="94"/>
  <c r="Q93" i="94"/>
  <c r="AA92" i="94"/>
  <c r="S126" i="94" s="1"/>
  <c r="W92" i="94"/>
  <c r="R92" i="94"/>
  <c r="AA103" i="94"/>
  <c r="S137" i="94" s="1"/>
  <c r="V103" i="94"/>
  <c r="P103" i="94"/>
  <c r="AB102" i="94"/>
  <c r="T136" i="94" s="1"/>
  <c r="W102" i="94"/>
  <c r="O136" i="94" s="1"/>
  <c r="Q102" i="94"/>
  <c r="X101" i="94"/>
  <c r="P135" i="94" s="1"/>
  <c r="R101" i="94"/>
  <c r="Y100" i="94"/>
  <c r="Q134" i="94" s="1"/>
  <c r="S100" i="94"/>
  <c r="Z99" i="94"/>
  <c r="R133" i="94" s="1"/>
  <c r="T99" i="94"/>
  <c r="AA98" i="94"/>
  <c r="S132" i="94" s="1"/>
  <c r="V98" i="94"/>
  <c r="O98" i="94"/>
  <c r="AB97" i="94"/>
  <c r="T131" i="94" s="1"/>
  <c r="W97" i="94"/>
  <c r="O131" i="94" s="1"/>
  <c r="P97" i="94"/>
  <c r="X96" i="94"/>
  <c r="P130" i="94" s="1"/>
  <c r="Q96" i="94"/>
  <c r="Y95" i="94"/>
  <c r="Q129" i="94" s="1"/>
  <c r="R95" i="94"/>
  <c r="Z94" i="94"/>
  <c r="R128" i="94" s="1"/>
  <c r="S94" i="94"/>
  <c r="AB93" i="94"/>
  <c r="T127" i="94" s="1"/>
  <c r="W93" i="94"/>
  <c r="O127" i="94" s="1"/>
  <c r="P93" i="94"/>
  <c r="Y92" i="94"/>
  <c r="Q126" i="94" s="1"/>
  <c r="S92" i="94"/>
  <c r="Z91" i="94"/>
  <c r="R125" i="94" s="1"/>
  <c r="V91" i="94"/>
  <c r="Q91" i="94"/>
  <c r="Z103" i="94"/>
  <c r="R137" i="94" s="1"/>
  <c r="T103" i="94"/>
  <c r="AA102" i="94"/>
  <c r="S136" i="94" s="1"/>
  <c r="V102" i="94"/>
  <c r="O102" i="94"/>
  <c r="AB101" i="94"/>
  <c r="T135" i="94" s="1"/>
  <c r="W101" i="94"/>
  <c r="O135" i="94" s="1"/>
  <c r="P101" i="94"/>
  <c r="X100" i="94"/>
  <c r="P134" i="94" s="1"/>
  <c r="Q100" i="94"/>
  <c r="Y99" i="94"/>
  <c r="Q133" i="94" s="1"/>
  <c r="R99" i="94"/>
  <c r="R122" i="94"/>
  <c r="Y103" i="94"/>
  <c r="Q137" i="94" s="1"/>
  <c r="R103" i="94"/>
  <c r="Z102" i="94"/>
  <c r="R136" i="94" s="1"/>
  <c r="S102" i="94"/>
  <c r="AA101" i="94"/>
  <c r="S135" i="94" s="1"/>
  <c r="T101" i="94"/>
  <c r="O101" i="94"/>
  <c r="AB100" i="94"/>
  <c r="T134" i="94" s="1"/>
  <c r="V100" i="94"/>
  <c r="P100" i="94"/>
  <c r="W99" i="94"/>
  <c r="O133" i="94" s="1"/>
  <c r="Q99" i="94"/>
  <c r="X98" i="94"/>
  <c r="P132" i="94" s="1"/>
  <c r="R98" i="94"/>
  <c r="Y97" i="94"/>
  <c r="Q131" i="94" s="1"/>
  <c r="S97" i="94"/>
  <c r="Z96" i="94"/>
  <c r="R130" i="94" s="1"/>
  <c r="T96" i="94"/>
  <c r="O96" i="94"/>
  <c r="AA95" i="94"/>
  <c r="S129" i="94" s="1"/>
  <c r="V95" i="94"/>
  <c r="P95" i="94"/>
  <c r="AB94" i="94"/>
  <c r="T128" i="94" s="1"/>
  <c r="W94" i="94"/>
  <c r="O128" i="94" s="1"/>
  <c r="Q94" i="94"/>
  <c r="O126" i="94"/>
  <c r="X102" i="94"/>
  <c r="P136" i="94" s="1"/>
  <c r="S101" i="94"/>
  <c r="O100" i="94"/>
  <c r="AB98" i="94"/>
  <c r="T132" i="94" s="1"/>
  <c r="Q98" i="94"/>
  <c r="X97" i="94"/>
  <c r="P131" i="94" s="1"/>
  <c r="S96" i="94"/>
  <c r="Z95" i="94"/>
  <c r="R129" i="94" s="1"/>
  <c r="V94" i="94"/>
  <c r="T93" i="94"/>
  <c r="V92" i="94"/>
  <c r="O92" i="94"/>
  <c r="AA91" i="94"/>
  <c r="S125" i="94" s="1"/>
  <c r="T91" i="94"/>
  <c r="O91" i="94"/>
  <c r="AA90" i="94"/>
  <c r="S124" i="94" s="1"/>
  <c r="W90" i="94"/>
  <c r="O124" i="94" s="1"/>
  <c r="R90" i="94"/>
  <c r="AB89" i="94"/>
  <c r="T123" i="94" s="1"/>
  <c r="X89" i="94"/>
  <c r="P123" i="94" s="1"/>
  <c r="S89" i="94"/>
  <c r="O89" i="94"/>
  <c r="Y88" i="94"/>
  <c r="Q122" i="94" s="1"/>
  <c r="T88" i="94"/>
  <c r="P88" i="94"/>
  <c r="Z87" i="94"/>
  <c r="R121" i="94" s="1"/>
  <c r="V87" i="94"/>
  <c r="Q87" i="94"/>
  <c r="W86" i="94"/>
  <c r="O120" i="94" s="1"/>
  <c r="R86" i="94"/>
  <c r="X85" i="94"/>
  <c r="P119" i="94" s="1"/>
  <c r="S85" i="94"/>
  <c r="O85" i="94"/>
  <c r="T84" i="94"/>
  <c r="P84" i="94"/>
  <c r="T83" i="94"/>
  <c r="P83" i="94"/>
  <c r="Y82" i="94"/>
  <c r="Q116" i="94" s="1"/>
  <c r="T82" i="94"/>
  <c r="P82" i="94"/>
  <c r="T81" i="94"/>
  <c r="P81" i="94"/>
  <c r="Y80" i="94"/>
  <c r="Q114" i="94" s="1"/>
  <c r="T80" i="94"/>
  <c r="P80" i="94"/>
  <c r="T79" i="94"/>
  <c r="P79" i="94"/>
  <c r="T78" i="94"/>
  <c r="P78" i="94"/>
  <c r="T77" i="94"/>
  <c r="P77" i="94"/>
  <c r="T76" i="94"/>
  <c r="P76" i="94"/>
  <c r="Y75" i="94"/>
  <c r="Q109" i="94" s="1"/>
  <c r="T75" i="94"/>
  <c r="P75" i="94"/>
  <c r="X74" i="94"/>
  <c r="S74" i="94"/>
  <c r="O74" i="94"/>
  <c r="W103" i="94"/>
  <c r="O137" i="94" s="1"/>
  <c r="R102" i="94"/>
  <c r="AA99" i="94"/>
  <c r="S133" i="94" s="1"/>
  <c r="Z98" i="94"/>
  <c r="R132" i="94" s="1"/>
  <c r="T97" i="94"/>
  <c r="AB96" i="94"/>
  <c r="T130" i="94" s="1"/>
  <c r="P96" i="94"/>
  <c r="W95" i="94"/>
  <c r="O129" i="94" s="1"/>
  <c r="R94" i="94"/>
  <c r="AA93" i="94"/>
  <c r="S127" i="94" s="1"/>
  <c r="S93" i="94"/>
  <c r="AB92" i="94"/>
  <c r="T126" i="94" s="1"/>
  <c r="T92" i="94"/>
  <c r="Y91" i="94"/>
  <c r="Q125" i="94" s="1"/>
  <c r="S91" i="94"/>
  <c r="Z90" i="94"/>
  <c r="R124" i="94" s="1"/>
  <c r="V90" i="94"/>
  <c r="Q90" i="94"/>
  <c r="AA89" i="94"/>
  <c r="S123" i="94" s="1"/>
  <c r="W89" i="94"/>
  <c r="O123" i="94" s="1"/>
  <c r="R89" i="94"/>
  <c r="AB88" i="94"/>
  <c r="T122" i="94" s="1"/>
  <c r="X88" i="94"/>
  <c r="P122" i="94" s="1"/>
  <c r="S88" i="94"/>
  <c r="O88" i="94"/>
  <c r="T87" i="94"/>
  <c r="P87" i="94"/>
  <c r="Z86" i="94"/>
  <c r="R120" i="94" s="1"/>
  <c r="V86" i="94"/>
  <c r="Q86" i="94"/>
  <c r="AA85" i="94"/>
  <c r="S119" i="94" s="1"/>
  <c r="W85" i="94"/>
  <c r="O119" i="94" s="1"/>
  <c r="R85" i="94"/>
  <c r="X84" i="94"/>
  <c r="P118" i="94" s="1"/>
  <c r="S84" i="94"/>
  <c r="O84" i="94"/>
  <c r="AB83" i="94"/>
  <c r="T117" i="94" s="1"/>
  <c r="S83" i="94"/>
  <c r="O83" i="94"/>
  <c r="S82" i="94"/>
  <c r="O82" i="94"/>
  <c r="AB81" i="94"/>
  <c r="T115" i="94" s="1"/>
  <c r="S81" i="94"/>
  <c r="O81" i="94"/>
  <c r="AB80" i="94"/>
  <c r="T114" i="94" s="1"/>
  <c r="X80" i="94"/>
  <c r="S80" i="94"/>
  <c r="O80" i="94"/>
  <c r="AB79" i="94"/>
  <c r="S79" i="94"/>
  <c r="O79" i="94"/>
  <c r="S78" i="94"/>
  <c r="O78" i="94"/>
  <c r="S77" i="94"/>
  <c r="O77" i="94"/>
  <c r="S76" i="94"/>
  <c r="O76" i="94"/>
  <c r="AB75" i="94"/>
  <c r="T109" i="94" s="1"/>
  <c r="X75" i="94"/>
  <c r="P109" i="94" s="1"/>
  <c r="S75" i="94"/>
  <c r="O75" i="94"/>
  <c r="AA74" i="94"/>
  <c r="S108" i="94" s="1"/>
  <c r="R74" i="94"/>
  <c r="T113" i="94"/>
  <c r="P108" i="94"/>
  <c r="Q103" i="94"/>
  <c r="Z100" i="94"/>
  <c r="R134" i="94" s="1"/>
  <c r="V99" i="94"/>
  <c r="W98" i="94"/>
  <c r="O132" i="94" s="1"/>
  <c r="R97" i="94"/>
  <c r="Y96" i="94"/>
  <c r="Q130" i="94" s="1"/>
  <c r="T95" i="94"/>
  <c r="AA94" i="94"/>
  <c r="S128" i="94" s="1"/>
  <c r="O94" i="94"/>
  <c r="Y93" i="94"/>
  <c r="Q127" i="94" s="1"/>
  <c r="R93" i="94"/>
  <c r="Z92" i="94"/>
  <c r="R126" i="94" s="1"/>
  <c r="Q92" i="94"/>
  <c r="X91" i="94"/>
  <c r="P125" i="94" s="1"/>
  <c r="R91" i="94"/>
  <c r="Y90" i="94"/>
  <c r="Q124" i="94" s="1"/>
  <c r="T90" i="94"/>
  <c r="P90" i="94"/>
  <c r="Z89" i="94"/>
  <c r="R123" i="94" s="1"/>
  <c r="V89" i="94"/>
  <c r="Q89" i="94"/>
  <c r="AA88" i="94"/>
  <c r="S122" i="94" s="1"/>
  <c r="W88" i="94"/>
  <c r="O122" i="94" s="1"/>
  <c r="R88" i="94"/>
  <c r="AB87" i="94"/>
  <c r="T121" i="94" s="1"/>
  <c r="X87" i="94"/>
  <c r="P121" i="94" s="1"/>
  <c r="S87" i="94"/>
  <c r="O87" i="94"/>
  <c r="Y86" i="94"/>
  <c r="Q120" i="94" s="1"/>
  <c r="T86" i="94"/>
  <c r="P86" i="94"/>
  <c r="Z85" i="94"/>
  <c r="R119" i="94" s="1"/>
  <c r="V85" i="94"/>
  <c r="Q85" i="94"/>
  <c r="AA84" i="94"/>
  <c r="S118" i="94" s="1"/>
  <c r="W84" i="94"/>
  <c r="O118" i="94" s="1"/>
  <c r="R84" i="94"/>
  <c r="W83" i="94"/>
  <c r="O117" i="94" s="1"/>
  <c r="R83" i="94"/>
  <c r="R82" i="94"/>
  <c r="R81" i="94"/>
  <c r="W80" i="94"/>
  <c r="O114" i="94" s="1"/>
  <c r="R80" i="94"/>
  <c r="W79" i="94"/>
  <c r="O113" i="94" s="1"/>
  <c r="R79" i="94"/>
  <c r="AA78" i="94"/>
  <c r="S112" i="94" s="1"/>
  <c r="R78" i="94"/>
  <c r="AA77" i="94"/>
  <c r="S111" i="94" s="1"/>
  <c r="W77" i="94"/>
  <c r="O111" i="94" s="1"/>
  <c r="R77" i="94"/>
  <c r="AA76" i="94"/>
  <c r="S110" i="94" s="1"/>
  <c r="R76" i="94"/>
  <c r="W75" i="94"/>
  <c r="O109" i="94" s="1"/>
  <c r="R75" i="94"/>
  <c r="V74" i="94"/>
  <c r="Q74" i="94"/>
  <c r="P99" i="94"/>
  <c r="V96" i="94"/>
  <c r="P91" i="94"/>
  <c r="AB90" i="94"/>
  <c r="T124" i="94" s="1"/>
  <c r="Y89" i="94"/>
  <c r="Q123" i="94" s="1"/>
  <c r="V88" i="94"/>
  <c r="R87" i="94"/>
  <c r="O86" i="94"/>
  <c r="Z84" i="94"/>
  <c r="R118" i="94" s="1"/>
  <c r="V83" i="94"/>
  <c r="Q82" i="94"/>
  <c r="V79" i="94"/>
  <c r="Q78" i="94"/>
  <c r="V75" i="94"/>
  <c r="P74" i="94"/>
  <c r="O71" i="94"/>
  <c r="P114" i="94"/>
  <c r="S98" i="94"/>
  <c r="X90" i="94"/>
  <c r="P124" i="94" s="1"/>
  <c r="T89" i="94"/>
  <c r="Q88" i="94"/>
  <c r="V84" i="94"/>
  <c r="Q83" i="94"/>
  <c r="Z81" i="94"/>
  <c r="R115" i="94" s="1"/>
  <c r="V80" i="94"/>
  <c r="Q79" i="94"/>
  <c r="V76" i="94"/>
  <c r="Q75" i="94"/>
  <c r="Y101" i="94"/>
  <c r="Q135" i="94" s="1"/>
  <c r="AA97" i="94"/>
  <c r="S131" i="94" s="1"/>
  <c r="Q95" i="94"/>
  <c r="X93" i="94"/>
  <c r="P127" i="94" s="1"/>
  <c r="X92" i="94"/>
  <c r="P126" i="94" s="1"/>
  <c r="AB91" i="94"/>
  <c r="T125" i="94" s="1"/>
  <c r="S90" i="94"/>
  <c r="P89" i="94"/>
  <c r="AA87" i="94"/>
  <c r="S121" i="94" s="1"/>
  <c r="X86" i="94"/>
  <c r="P120" i="94" s="1"/>
  <c r="T85" i="94"/>
  <c r="Q84" i="94"/>
  <c r="V81" i="94"/>
  <c r="Q80" i="94"/>
  <c r="V77" i="94"/>
  <c r="Q76" i="94"/>
  <c r="Y74" i="94"/>
  <c r="Q108" i="94" s="1"/>
  <c r="J15" i="91"/>
  <c r="G16" i="91"/>
  <c r="E20" i="91"/>
  <c r="J27" i="91"/>
  <c r="C39" i="94"/>
  <c r="AT107" i="94"/>
  <c r="L107" i="94"/>
  <c r="AG86" i="94"/>
  <c r="AG76" i="94"/>
  <c r="AZ72" i="94"/>
  <c r="BE44" i="94"/>
  <c r="Y77" i="94" s="1"/>
  <c r="Q111" i="94" s="1"/>
  <c r="AO44" i="94"/>
  <c r="Y44" i="94"/>
  <c r="AW44" i="94"/>
  <c r="Z53" i="94"/>
  <c r="BF49" i="94"/>
  <c r="Z82" i="94" s="1"/>
  <c r="R116" i="94" s="1"/>
  <c r="AH52" i="94"/>
  <c r="BN48" i="94"/>
  <c r="AP51" i="94"/>
  <c r="Z57" i="94"/>
  <c r="AH56" i="94"/>
  <c r="AS130" i="94"/>
  <c r="K130" i="94"/>
  <c r="K160" i="94"/>
  <c r="AR130" i="94"/>
  <c r="J130" i="94"/>
  <c r="J160" i="94"/>
  <c r="AQ130" i="94"/>
  <c r="L100" i="94"/>
  <c r="K100" i="94"/>
  <c r="J100" i="94"/>
  <c r="AL89" i="94"/>
  <c r="AQ89" i="94" s="1"/>
  <c r="AL79" i="94"/>
  <c r="BH74" i="94"/>
  <c r="Q66" i="94"/>
  <c r="K66" i="94"/>
  <c r="T66" i="94"/>
  <c r="D15" i="91"/>
  <c r="L15" i="91"/>
  <c r="I16" i="91"/>
  <c r="C20" i="91"/>
  <c r="K20" i="91"/>
  <c r="H21" i="91"/>
  <c r="L21" i="91"/>
  <c r="F39" i="91"/>
  <c r="AC111" i="94"/>
  <c r="AO74" i="94"/>
  <c r="AO83" i="94"/>
  <c r="AO82" i="94"/>
  <c r="AO81" i="94"/>
  <c r="AO80" i="94"/>
  <c r="AO79" i="94"/>
  <c r="AO78" i="94"/>
  <c r="AO77" i="94"/>
  <c r="AO76" i="94"/>
  <c r="AO75" i="94"/>
  <c r="M13" i="91"/>
  <c r="N27" i="91" s="1"/>
  <c r="E15" i="91"/>
  <c r="I15" i="91"/>
  <c r="F16" i="91"/>
  <c r="J16" i="91"/>
  <c r="D20" i="91"/>
  <c r="H20" i="91"/>
  <c r="L20" i="91"/>
  <c r="E21" i="91"/>
  <c r="I21" i="91"/>
  <c r="C25" i="91"/>
  <c r="N25" i="91" s="1"/>
  <c r="G25" i="91"/>
  <c r="K25" i="91"/>
  <c r="D26" i="91"/>
  <c r="H26" i="91"/>
  <c r="L26" i="91"/>
  <c r="E27" i="91"/>
  <c r="I27" i="91"/>
  <c r="F73" i="91"/>
  <c r="C74" i="91"/>
  <c r="N3" i="94"/>
  <c r="J4" i="94"/>
  <c r="C10" i="94"/>
  <c r="N10" i="94" s="1"/>
  <c r="G10" i="94"/>
  <c r="G34" i="94" s="1"/>
  <c r="X13" i="94"/>
  <c r="S3" i="94" s="1"/>
  <c r="D20" i="94"/>
  <c r="O20" i="94" s="1"/>
  <c r="C34" i="94"/>
  <c r="D35" i="94"/>
  <c r="BX41" i="94"/>
  <c r="BH41" i="94"/>
  <c r="AB74" i="94" s="1"/>
  <c r="T108" i="94" s="1"/>
  <c r="AR41" i="94"/>
  <c r="AB41" i="94"/>
  <c r="AA41" i="94"/>
  <c r="AW41" i="94"/>
  <c r="BL41" i="94"/>
  <c r="CF41" i="94"/>
  <c r="L136" i="94"/>
  <c r="AU106" i="94"/>
  <c r="AH85" i="94"/>
  <c r="AH75" i="94"/>
  <c r="AX72" i="94"/>
  <c r="Y42" i="94"/>
  <c r="AF42" i="94"/>
  <c r="AZ42" i="94"/>
  <c r="BG42" i="94"/>
  <c r="AA75" i="94" s="1"/>
  <c r="S109" i="94" s="1"/>
  <c r="BP43" i="94"/>
  <c r="BX43" i="94"/>
  <c r="BH43" i="94"/>
  <c r="AB76" i="94" s="1"/>
  <c r="T110" i="94" s="1"/>
  <c r="AR43" i="94"/>
  <c r="AB43" i="94"/>
  <c r="AA43" i="94"/>
  <c r="AI43" i="94"/>
  <c r="AW43" i="94"/>
  <c r="BE43" i="94"/>
  <c r="Y76" i="94" s="1"/>
  <c r="Q110" i="94" s="1"/>
  <c r="BL43" i="94"/>
  <c r="W44" i="94"/>
  <c r="BM44" i="94"/>
  <c r="AG45" i="94"/>
  <c r="BC45" i="94"/>
  <c r="W78" i="94" s="1"/>
  <c r="O112" i="94" s="1"/>
  <c r="R46" i="94"/>
  <c r="L142" i="94"/>
  <c r="AU112" i="94"/>
  <c r="AH91" i="94"/>
  <c r="AH81" i="94"/>
  <c r="BP72" i="94"/>
  <c r="J25" i="94"/>
  <c r="AJ48" i="94"/>
  <c r="AZ48" i="94"/>
  <c r="K144" i="94"/>
  <c r="J144" i="94"/>
  <c r="AQ114" i="94"/>
  <c r="AS114" i="94"/>
  <c r="K114" i="94"/>
  <c r="J114" i="94"/>
  <c r="AF93" i="94"/>
  <c r="AO93" i="94" s="1"/>
  <c r="K84" i="94"/>
  <c r="AE83" i="94"/>
  <c r="AR114" i="94"/>
  <c r="J84" i="94"/>
  <c r="K50" i="94"/>
  <c r="AF83" i="94"/>
  <c r="BT72" i="94"/>
  <c r="O50" i="94"/>
  <c r="H31" i="94"/>
  <c r="AX50" i="94"/>
  <c r="W50" i="94"/>
  <c r="BC46" i="94"/>
  <c r="AE49" i="94"/>
  <c r="BK45" i="94"/>
  <c r="CA43" i="94"/>
  <c r="AM48" i="94"/>
  <c r="BG53" i="94"/>
  <c r="AA86" i="94" s="1"/>
  <c r="S120" i="94" s="1"/>
  <c r="K55" i="94"/>
  <c r="Y56" i="94"/>
  <c r="AG55" i="94"/>
  <c r="AO54" i="94"/>
  <c r="AQ57" i="94"/>
  <c r="AT123" i="94"/>
  <c r="L123" i="94"/>
  <c r="AJ92" i="94"/>
  <c r="AJ82" i="94"/>
  <c r="BR73" i="94"/>
  <c r="AT127" i="94"/>
  <c r="L127" i="94"/>
  <c r="AM76" i="94"/>
  <c r="AZ74" i="94"/>
  <c r="Y62" i="94"/>
  <c r="AG60" i="94"/>
  <c r="AO58" i="94"/>
  <c r="AW56" i="94"/>
  <c r="BE54" i="94"/>
  <c r="Y87" i="94" s="1"/>
  <c r="Q121" i="94" s="1"/>
  <c r="BM52" i="94"/>
  <c r="L66" i="94"/>
  <c r="Y65" i="94"/>
  <c r="AG63" i="94"/>
  <c r="AO61" i="94"/>
  <c r="AW72" i="94"/>
  <c r="V78" i="94"/>
  <c r="P85" i="94"/>
  <c r="W87" i="94"/>
  <c r="O121" i="94" s="1"/>
  <c r="AF89" i="94"/>
  <c r="AO89" i="94" s="1"/>
  <c r="P92" i="94"/>
  <c r="T100" i="94"/>
  <c r="K135" i="94"/>
  <c r="J135" i="94"/>
  <c r="AR105" i="94"/>
  <c r="J105" i="94"/>
  <c r="K105" i="94"/>
  <c r="AS105" i="94"/>
  <c r="AQ105" i="94"/>
  <c r="AF84" i="94"/>
  <c r="K75" i="94"/>
  <c r="J75" i="94"/>
  <c r="AF74" i="94"/>
  <c r="L41" i="94"/>
  <c r="K136" i="94"/>
  <c r="J136" i="94"/>
  <c r="AR106" i="94"/>
  <c r="J106" i="94"/>
  <c r="AQ106" i="94"/>
  <c r="K106" i="94"/>
  <c r="K76" i="94"/>
  <c r="AE75" i="94"/>
  <c r="AS106" i="94"/>
  <c r="J76" i="94"/>
  <c r="L42" i="94"/>
  <c r="R42" i="94" s="1"/>
  <c r="K137" i="94"/>
  <c r="AR107" i="94"/>
  <c r="J107" i="94"/>
  <c r="K107" i="94"/>
  <c r="J137" i="94"/>
  <c r="AS107" i="94"/>
  <c r="AQ107" i="94"/>
  <c r="K77" i="94"/>
  <c r="AE76" i="94"/>
  <c r="J77" i="94"/>
  <c r="AF86" i="94"/>
  <c r="L43" i="94"/>
  <c r="R43" i="94" s="1"/>
  <c r="J138" i="94"/>
  <c r="AR108" i="94"/>
  <c r="J108" i="94"/>
  <c r="K138" i="94"/>
  <c r="AS108" i="94"/>
  <c r="K108" i="94"/>
  <c r="AQ108" i="94"/>
  <c r="K78" i="94"/>
  <c r="AE77" i="94"/>
  <c r="AF87" i="94"/>
  <c r="J78" i="94"/>
  <c r="BB72" i="94"/>
  <c r="L44" i="94"/>
  <c r="R44" i="94"/>
  <c r="X44" i="94"/>
  <c r="AB44" i="94"/>
  <c r="AN44" i="94"/>
  <c r="AR44" i="94"/>
  <c r="BD44" i="94"/>
  <c r="X77" i="94" s="1"/>
  <c r="P111" i="94" s="1"/>
  <c r="BH44" i="94"/>
  <c r="AB77" i="94" s="1"/>
  <c r="T111" i="94" s="1"/>
  <c r="K139" i="94"/>
  <c r="J139" i="94"/>
  <c r="AR109" i="94"/>
  <c r="J109" i="94"/>
  <c r="AQ109" i="94"/>
  <c r="AS109" i="94"/>
  <c r="AF88" i="94"/>
  <c r="K79" i="94"/>
  <c r="AE78" i="94"/>
  <c r="J79" i="94"/>
  <c r="L45" i="94"/>
  <c r="R45" i="94" s="1"/>
  <c r="X45" i="94"/>
  <c r="AB45" i="94"/>
  <c r="AN45" i="94"/>
  <c r="AR45" i="94"/>
  <c r="BD45" i="94"/>
  <c r="X78" i="94" s="1"/>
  <c r="P112" i="94" s="1"/>
  <c r="BH45" i="94"/>
  <c r="AB78" i="94" s="1"/>
  <c r="T112" i="94" s="1"/>
  <c r="BN45" i="94"/>
  <c r="AT110" i="94"/>
  <c r="AG89" i="94"/>
  <c r="AG79" i="94"/>
  <c r="Y46" i="94"/>
  <c r="AI46" i="94"/>
  <c r="AO46" i="94"/>
  <c r="BE46" i="94"/>
  <c r="Y79" i="94" s="1"/>
  <c r="Q113" i="94" s="1"/>
  <c r="BK46" i="94"/>
  <c r="L141" i="94"/>
  <c r="AU111" i="94"/>
  <c r="AH90" i="94"/>
  <c r="AH80" i="94"/>
  <c r="BF47" i="94"/>
  <c r="Z80" i="94" s="1"/>
  <c r="R114" i="94" s="1"/>
  <c r="BP47" i="94"/>
  <c r="AA48" i="94"/>
  <c r="BC48" i="94"/>
  <c r="W81" i="94" s="1"/>
  <c r="O115" i="94" s="1"/>
  <c r="BM48" i="94"/>
  <c r="K143" i="94"/>
  <c r="J143" i="94"/>
  <c r="AS113" i="94"/>
  <c r="K113" i="94"/>
  <c r="AR113" i="94"/>
  <c r="J113" i="94"/>
  <c r="AF92" i="94"/>
  <c r="AO92" i="94" s="1"/>
  <c r="K83" i="94"/>
  <c r="AE82" i="94"/>
  <c r="AQ113" i="94"/>
  <c r="J83" i="94"/>
  <c r="L49" i="94"/>
  <c r="R49" i="94"/>
  <c r="Z49" i="94" s="1"/>
  <c r="BH49" i="94"/>
  <c r="AB82" i="94" s="1"/>
  <c r="T116" i="94" s="1"/>
  <c r="AT114" i="94"/>
  <c r="L114" i="94"/>
  <c r="AG93" i="94"/>
  <c r="AG83" i="94"/>
  <c r="BE50" i="94"/>
  <c r="Y83" i="94" s="1"/>
  <c r="Q117" i="94" s="1"/>
  <c r="L145" i="94"/>
  <c r="AU115" i="94"/>
  <c r="AK74" i="94"/>
  <c r="AU73" i="94"/>
  <c r="P51" i="94"/>
  <c r="K147" i="94"/>
  <c r="J147" i="94"/>
  <c r="AS117" i="94"/>
  <c r="K117" i="94"/>
  <c r="AR117" i="94"/>
  <c r="J117" i="94"/>
  <c r="L87" i="94"/>
  <c r="AI76" i="94"/>
  <c r="K87" i="94"/>
  <c r="AQ117" i="94"/>
  <c r="J87" i="94"/>
  <c r="AY73" i="94"/>
  <c r="L53" i="94"/>
  <c r="S53" i="94" s="1"/>
  <c r="AT118" i="94"/>
  <c r="L118" i="94"/>
  <c r="AJ87" i="94"/>
  <c r="BC73" i="94"/>
  <c r="L149" i="94"/>
  <c r="AU119" i="94"/>
  <c r="AK78" i="94"/>
  <c r="BG73" i="94"/>
  <c r="P55" i="94"/>
  <c r="K151" i="94"/>
  <c r="J151" i="94"/>
  <c r="L91" i="94"/>
  <c r="AS121" i="94"/>
  <c r="K121" i="94"/>
  <c r="AR121" i="94"/>
  <c r="J121" i="94"/>
  <c r="AI80" i="94"/>
  <c r="K91" i="94"/>
  <c r="BK73" i="94"/>
  <c r="L57" i="94"/>
  <c r="AT122" i="94"/>
  <c r="L122" i="94"/>
  <c r="BO73" i="94"/>
  <c r="L153" i="94"/>
  <c r="AU123" i="94"/>
  <c r="AK92" i="94"/>
  <c r="AK82" i="94"/>
  <c r="BS73" i="94"/>
  <c r="P59" i="94"/>
  <c r="X58" i="94" s="1"/>
  <c r="K155" i="94"/>
  <c r="AS125" i="94"/>
  <c r="K125" i="94"/>
  <c r="J155" i="94"/>
  <c r="AQ125" i="94"/>
  <c r="J95" i="94"/>
  <c r="AR125" i="94"/>
  <c r="L95" i="94"/>
  <c r="J125" i="94"/>
  <c r="AS74" i="94"/>
  <c r="BW74" i="94" s="1"/>
  <c r="AL74" i="94"/>
  <c r="K95" i="94"/>
  <c r="AL84" i="94"/>
  <c r="AQ84" i="94" s="1"/>
  <c r="L61" i="94"/>
  <c r="AT126" i="94"/>
  <c r="L126" i="94"/>
  <c r="AM85" i="94"/>
  <c r="AM75" i="94"/>
  <c r="AW74" i="94"/>
  <c r="L157" i="94"/>
  <c r="AU127" i="94"/>
  <c r="BA74" i="94"/>
  <c r="AN86" i="94"/>
  <c r="T63" i="94"/>
  <c r="K64" i="94"/>
  <c r="K159" i="94"/>
  <c r="AS129" i="94"/>
  <c r="K129" i="94"/>
  <c r="J159" i="94"/>
  <c r="AR129" i="94"/>
  <c r="J129" i="94"/>
  <c r="AQ129" i="94"/>
  <c r="J99" i="94"/>
  <c r="L99" i="94"/>
  <c r="K99" i="94"/>
  <c r="BE74" i="94"/>
  <c r="AL78" i="94"/>
  <c r="AL88" i="94"/>
  <c r="AQ88" i="94" s="1"/>
  <c r="L65" i="94"/>
  <c r="AT130" i="94"/>
  <c r="L130" i="94"/>
  <c r="AM89" i="94"/>
  <c r="AM79" i="94"/>
  <c r="BI74" i="94"/>
  <c r="L161" i="94"/>
  <c r="AU131" i="94"/>
  <c r="BM74" i="94"/>
  <c r="AN90" i="94"/>
  <c r="T67" i="94"/>
  <c r="K68" i="94"/>
  <c r="K163" i="94"/>
  <c r="AS133" i="94"/>
  <c r="K133" i="94"/>
  <c r="J163" i="94"/>
  <c r="AR133" i="94"/>
  <c r="J133" i="94"/>
  <c r="AQ133" i="94"/>
  <c r="J103" i="94"/>
  <c r="AL92" i="94"/>
  <c r="AQ92" i="94" s="1"/>
  <c r="L103" i="94"/>
  <c r="BQ74" i="94"/>
  <c r="AL82" i="94"/>
  <c r="L69" i="94"/>
  <c r="L134" i="94"/>
  <c r="AM93" i="94"/>
  <c r="AM83" i="94"/>
  <c r="BU74" i="94"/>
  <c r="AT134" i="94"/>
  <c r="AS72" i="94"/>
  <c r="BW72" i="94" s="1"/>
  <c r="AY72" i="94"/>
  <c r="BD72" i="94"/>
  <c r="BI72" i="94"/>
  <c r="AZ73" i="94"/>
  <c r="BE73" i="94"/>
  <c r="BU73" i="94"/>
  <c r="L75" i="94"/>
  <c r="AF75" i="94"/>
  <c r="L79" i="94"/>
  <c r="L83" i="94"/>
  <c r="AK84" i="94"/>
  <c r="AJ89" i="94"/>
  <c r="K109" i="94"/>
  <c r="AQ121" i="94"/>
  <c r="AT108" i="94"/>
  <c r="L108" i="94"/>
  <c r="AG87" i="94"/>
  <c r="AG77" i="94"/>
  <c r="AI44" i="94"/>
  <c r="AY44" i="94"/>
  <c r="AT109" i="94"/>
  <c r="L109" i="94"/>
  <c r="AG78" i="94"/>
  <c r="BF72" i="94"/>
  <c r="AI45" i="94"/>
  <c r="L140" i="94"/>
  <c r="AU110" i="94"/>
  <c r="AH89" i="94"/>
  <c r="AH79" i="94"/>
  <c r="BJ72" i="94"/>
  <c r="AF46" i="94"/>
  <c r="AJ46" i="94"/>
  <c r="K47" i="94"/>
  <c r="J142" i="94"/>
  <c r="K142" i="94"/>
  <c r="AS112" i="94"/>
  <c r="AR112" i="94"/>
  <c r="K112" i="94"/>
  <c r="AQ112" i="94"/>
  <c r="J112" i="94"/>
  <c r="K82" i="94"/>
  <c r="AE81" i="94"/>
  <c r="J82" i="94"/>
  <c r="AF91" i="94"/>
  <c r="AO91" i="94" s="1"/>
  <c r="BN72" i="94"/>
  <c r="L48" i="94"/>
  <c r="R48" i="94"/>
  <c r="AT113" i="94"/>
  <c r="L113" i="94"/>
  <c r="AG92" i="94"/>
  <c r="AG82" i="94"/>
  <c r="BR72" i="94"/>
  <c r="L144" i="94"/>
  <c r="AU114" i="94"/>
  <c r="AH93" i="94"/>
  <c r="AH83" i="94"/>
  <c r="BV72" i="94"/>
  <c r="J146" i="94"/>
  <c r="K146" i="94"/>
  <c r="AS116" i="94"/>
  <c r="K116" i="94"/>
  <c r="AR116" i="94"/>
  <c r="J116" i="94"/>
  <c r="AQ116" i="94"/>
  <c r="AI85" i="94"/>
  <c r="AP85" i="94" s="1"/>
  <c r="AI75" i="94"/>
  <c r="L86" i="94"/>
  <c r="K86" i="94"/>
  <c r="L52" i="94"/>
  <c r="AT117" i="94"/>
  <c r="L117" i="94"/>
  <c r="AJ86" i="94"/>
  <c r="L148" i="94"/>
  <c r="AU118" i="94"/>
  <c r="AK87" i="94"/>
  <c r="AK77" i="94"/>
  <c r="J150" i="94"/>
  <c r="K150" i="94"/>
  <c r="AS120" i="94"/>
  <c r="K120" i="94"/>
  <c r="AR120" i="94"/>
  <c r="J120" i="94"/>
  <c r="AQ120" i="94"/>
  <c r="AI89" i="94"/>
  <c r="AP89" i="94" s="1"/>
  <c r="AI79" i="94"/>
  <c r="L90" i="94"/>
  <c r="K90" i="94"/>
  <c r="L56" i="94"/>
  <c r="AT121" i="94"/>
  <c r="L121" i="94"/>
  <c r="AJ90" i="94"/>
  <c r="L152" i="94"/>
  <c r="AU122" i="94"/>
  <c r="AK91" i="94"/>
  <c r="AK81" i="94"/>
  <c r="K59" i="94"/>
  <c r="J154" i="94"/>
  <c r="AS124" i="94"/>
  <c r="AQ124" i="94"/>
  <c r="AR124" i="94"/>
  <c r="K124" i="94"/>
  <c r="K94" i="94"/>
  <c r="K154" i="94"/>
  <c r="J124" i="94"/>
  <c r="J94" i="94"/>
  <c r="AI83" i="94"/>
  <c r="L60" i="94"/>
  <c r="AT125" i="94"/>
  <c r="L125" i="94"/>
  <c r="AM84" i="94"/>
  <c r="L156" i="94"/>
  <c r="AU126" i="94"/>
  <c r="K63" i="94"/>
  <c r="J158" i="94"/>
  <c r="AS128" i="94"/>
  <c r="K128" i="94"/>
  <c r="AR128" i="94"/>
  <c r="J128" i="94"/>
  <c r="AQ128" i="94"/>
  <c r="K158" i="94"/>
  <c r="K98" i="94"/>
  <c r="L98" i="94"/>
  <c r="AL77" i="94"/>
  <c r="J98" i="94"/>
  <c r="L64" i="94"/>
  <c r="AT129" i="94"/>
  <c r="L129" i="94"/>
  <c r="AM78" i="94"/>
  <c r="AM88" i="94"/>
  <c r="L160" i="94"/>
  <c r="AU130" i="94"/>
  <c r="K67" i="94"/>
  <c r="J162" i="94"/>
  <c r="AS132" i="94"/>
  <c r="K132" i="94"/>
  <c r="AR132" i="94"/>
  <c r="J132" i="94"/>
  <c r="AQ132" i="94"/>
  <c r="K162" i="94"/>
  <c r="K102" i="94"/>
  <c r="J102" i="94"/>
  <c r="AL81" i="94"/>
  <c r="L102" i="94"/>
  <c r="AL91" i="94"/>
  <c r="AQ91" i="94" s="1"/>
  <c r="L68" i="94"/>
  <c r="AT133" i="94"/>
  <c r="L133" i="94"/>
  <c r="AM92" i="94"/>
  <c r="AM82" i="94"/>
  <c r="L164" i="94"/>
  <c r="AU134" i="94"/>
  <c r="AN93" i="94"/>
  <c r="BE72" i="94"/>
  <c r="BU72" i="94"/>
  <c r="AV73" i="94"/>
  <c r="BL73" i="94"/>
  <c r="BQ73" i="94"/>
  <c r="AE74" i="94"/>
  <c r="AX74" i="94"/>
  <c r="BN74" i="94"/>
  <c r="AN76" i="94"/>
  <c r="L78" i="94"/>
  <c r="AF78" i="94"/>
  <c r="AN80" i="94"/>
  <c r="L82" i="94"/>
  <c r="AF82" i="94"/>
  <c r="J86" i="94"/>
  <c r="AK88" i="94"/>
  <c r="AN89" i="94"/>
  <c r="J91" i="94"/>
  <c r="AJ91" i="94"/>
  <c r="AI93" i="94"/>
  <c r="AP93" i="94" s="1"/>
  <c r="K103" i="94"/>
  <c r="L110" i="94"/>
  <c r="L138" i="94"/>
  <c r="AU108" i="94"/>
  <c r="AH77" i="94"/>
  <c r="AF44" i="94"/>
  <c r="AJ44" i="94"/>
  <c r="AV44" i="94"/>
  <c r="AZ44" i="94"/>
  <c r="L139" i="94"/>
  <c r="AU109" i="94"/>
  <c r="AH78" i="94"/>
  <c r="AH88" i="94"/>
  <c r="AF45" i="94"/>
  <c r="AJ45" i="94"/>
  <c r="AG46" i="94"/>
  <c r="K141" i="94"/>
  <c r="J141" i="94"/>
  <c r="AQ111" i="94"/>
  <c r="J111" i="94"/>
  <c r="AS111" i="94"/>
  <c r="AR111" i="94"/>
  <c r="K111" i="94"/>
  <c r="K81" i="94"/>
  <c r="AE80" i="94"/>
  <c r="J81" i="94"/>
  <c r="AF90" i="94"/>
  <c r="AO90" i="94" s="1"/>
  <c r="L47" i="94"/>
  <c r="R47" i="94"/>
  <c r="AT112" i="94"/>
  <c r="L112" i="94"/>
  <c r="AG91" i="94"/>
  <c r="AG81" i="94"/>
  <c r="O48" i="94"/>
  <c r="AH92" i="94"/>
  <c r="AU113" i="94"/>
  <c r="L143" i="94"/>
  <c r="AH82" i="94"/>
  <c r="K145" i="94"/>
  <c r="J145" i="94"/>
  <c r="AR115" i="94"/>
  <c r="J115" i="94"/>
  <c r="AQ115" i="94"/>
  <c r="K115" i="94"/>
  <c r="J85" i="94"/>
  <c r="AS115" i="94"/>
  <c r="AI84" i="94"/>
  <c r="L85" i="94"/>
  <c r="L51" i="94"/>
  <c r="S51" i="94" s="1"/>
  <c r="AT116" i="94"/>
  <c r="L116" i="94"/>
  <c r="S52" i="94"/>
  <c r="L147" i="94"/>
  <c r="AU117" i="94"/>
  <c r="AK86" i="94"/>
  <c r="AK76" i="94"/>
  <c r="K149" i="94"/>
  <c r="AR119" i="94"/>
  <c r="J119" i="94"/>
  <c r="AQ119" i="94"/>
  <c r="J149" i="94"/>
  <c r="J89" i="94"/>
  <c r="AI78" i="94"/>
  <c r="K119" i="94"/>
  <c r="AI88" i="94"/>
  <c r="AS119" i="94"/>
  <c r="L89" i="94"/>
  <c r="L55" i="94"/>
  <c r="S55" i="94" s="1"/>
  <c r="AT120" i="94"/>
  <c r="L120" i="94"/>
  <c r="S56" i="94"/>
  <c r="L151" i="94"/>
  <c r="AU121" i="94"/>
  <c r="AK90" i="94"/>
  <c r="AK80" i="94"/>
  <c r="K153" i="94"/>
  <c r="AQ123" i="94"/>
  <c r="J153" i="94"/>
  <c r="J123" i="94"/>
  <c r="AS123" i="94"/>
  <c r="AR123" i="94"/>
  <c r="L93" i="94"/>
  <c r="J93" i="94"/>
  <c r="K123" i="94"/>
  <c r="AI82" i="94"/>
  <c r="K93" i="94"/>
  <c r="L59" i="94"/>
  <c r="AT124" i="94"/>
  <c r="L124" i="94"/>
  <c r="AJ93" i="94"/>
  <c r="S60" i="94"/>
  <c r="AU125" i="94"/>
  <c r="L155" i="94"/>
  <c r="AN84" i="94"/>
  <c r="AU74" i="94"/>
  <c r="AN74" i="94"/>
  <c r="AS127" i="94"/>
  <c r="K127" i="94"/>
  <c r="AR127" i="94"/>
  <c r="K157" i="94"/>
  <c r="AQ127" i="94"/>
  <c r="J157" i="94"/>
  <c r="L97" i="94"/>
  <c r="J97" i="94"/>
  <c r="J127" i="94"/>
  <c r="K97" i="94"/>
  <c r="AL86" i="94"/>
  <c r="AQ86" i="94" s="1"/>
  <c r="AL76" i="94"/>
  <c r="AY74" i="94"/>
  <c r="L63" i="94"/>
  <c r="AT128" i="94"/>
  <c r="L128" i="94"/>
  <c r="AM77" i="94"/>
  <c r="AM87" i="94"/>
  <c r="BC74" i="94"/>
  <c r="AU129" i="94"/>
  <c r="L159" i="94"/>
  <c r="AN88" i="94"/>
  <c r="BG74" i="94"/>
  <c r="AS131" i="94"/>
  <c r="K131" i="94"/>
  <c r="AR131" i="94"/>
  <c r="J131" i="94"/>
  <c r="K161" i="94"/>
  <c r="AQ131" i="94"/>
  <c r="J161" i="94"/>
  <c r="L101" i="94"/>
  <c r="K101" i="94"/>
  <c r="J101" i="94"/>
  <c r="AL90" i="94"/>
  <c r="AQ90" i="94" s="1"/>
  <c r="AL80" i="94"/>
  <c r="BK74" i="94"/>
  <c r="L67" i="94"/>
  <c r="AT132" i="94"/>
  <c r="L132" i="94"/>
  <c r="AM81" i="94"/>
  <c r="AM91" i="94"/>
  <c r="BO74" i="94"/>
  <c r="AU133" i="94"/>
  <c r="L163" i="94"/>
  <c r="AN92" i="94"/>
  <c r="BS74" i="94"/>
  <c r="AV72" i="94"/>
  <c r="BG72" i="94"/>
  <c r="BQ72" i="94"/>
  <c r="AW73" i="94"/>
  <c r="BH73" i="94"/>
  <c r="BM73" i="94"/>
  <c r="AI74" i="94"/>
  <c r="BB74" i="94"/>
  <c r="BR74" i="94"/>
  <c r="AN75" i="94"/>
  <c r="L77" i="94"/>
  <c r="AF77" i="94"/>
  <c r="AN79" i="94"/>
  <c r="L81" i="94"/>
  <c r="AF81" i="94"/>
  <c r="AN83" i="94"/>
  <c r="K85" i="94"/>
  <c r="AF85" i="94"/>
  <c r="AO85" i="94" s="1"/>
  <c r="AI86" i="94"/>
  <c r="AL87" i="94"/>
  <c r="AQ87" i="94" s="1"/>
  <c r="J90" i="94"/>
  <c r="L94" i="94"/>
  <c r="AS134" i="94"/>
  <c r="K134" i="94"/>
  <c r="K164" i="94"/>
  <c r="AR134" i="94"/>
  <c r="J134" i="94"/>
  <c r="J164" i="94"/>
  <c r="AQ134" i="94"/>
  <c r="L104" i="94"/>
  <c r="K104" i="94"/>
  <c r="L70" i="94"/>
  <c r="AL93" i="94"/>
  <c r="AQ93" i="94" s="1"/>
  <c r="BT74" i="94"/>
  <c r="AL83" i="94"/>
  <c r="J104" i="94"/>
  <c r="E33" i="94" l="1"/>
  <c r="AB66" i="94"/>
  <c r="AJ64" i="94"/>
  <c r="AE47" i="94"/>
  <c r="W47" i="94"/>
  <c r="M72" i="91"/>
  <c r="W43" i="94"/>
  <c r="BL46" i="94"/>
  <c r="AP84" i="94"/>
  <c r="AF50" i="94"/>
  <c r="Y59" i="94"/>
  <c r="CC45" i="94"/>
  <c r="AW53" i="94"/>
  <c r="AO55" i="94"/>
  <c r="BM49" i="94"/>
  <c r="BU47" i="94"/>
  <c r="BE51" i="94"/>
  <c r="Y84" i="94" s="1"/>
  <c r="Q118" i="94" s="1"/>
  <c r="AG57" i="94"/>
  <c r="AO87" i="94"/>
  <c r="BW73" i="94"/>
  <c r="AZ53" i="94"/>
  <c r="BP49" i="94"/>
  <c r="AR55" i="94"/>
  <c r="BX47" i="94"/>
  <c r="BH51" i="94"/>
  <c r="AB84" i="94" s="1"/>
  <c r="T118" i="94" s="1"/>
  <c r="AJ57" i="94"/>
  <c r="AB59" i="94"/>
  <c r="CF45" i="94"/>
  <c r="AO84" i="94"/>
  <c r="AO86" i="94"/>
  <c r="BV43" i="94"/>
  <c r="BN43" i="94"/>
  <c r="AX43" i="94"/>
  <c r="AH43" i="94"/>
  <c r="AP43" i="94"/>
  <c r="BF43" i="94"/>
  <c r="Z76" i="94" s="1"/>
  <c r="R110" i="94" s="1"/>
  <c r="Z43" i="94"/>
  <c r="CD42" i="94"/>
  <c r="BN42" i="94"/>
  <c r="AX42" i="94"/>
  <c r="AH42" i="94"/>
  <c r="BV42" i="94"/>
  <c r="Z42" i="94"/>
  <c r="BF42" i="94"/>
  <c r="Z75" i="94" s="1"/>
  <c r="R109" i="94" s="1"/>
  <c r="AP42" i="94"/>
  <c r="BF45" i="94"/>
  <c r="Z78" i="94" s="1"/>
  <c r="R112" i="94" s="1"/>
  <c r="AP45" i="94"/>
  <c r="Z45" i="94"/>
  <c r="AX45" i="94"/>
  <c r="AH45" i="94"/>
  <c r="AN51" i="94"/>
  <c r="AV50" i="94"/>
  <c r="X53" i="94"/>
  <c r="BD49" i="94"/>
  <c r="X82" i="94" s="1"/>
  <c r="P116" i="94" s="1"/>
  <c r="BL48" i="94"/>
  <c r="AF52" i="94"/>
  <c r="AH48" i="94"/>
  <c r="Z48" i="94"/>
  <c r="AF53" i="94"/>
  <c r="AN52" i="94"/>
  <c r="AV51" i="94"/>
  <c r="X54" i="94"/>
  <c r="BD50" i="94"/>
  <c r="X83" i="94" s="1"/>
  <c r="P117" i="94" s="1"/>
  <c r="L71" i="94"/>
  <c r="AI52" i="94"/>
  <c r="BO48" i="94"/>
  <c r="AQ51" i="94"/>
  <c r="AY50" i="94"/>
  <c r="AA53" i="94"/>
  <c r="BG49" i="94"/>
  <c r="AA82" i="94" s="1"/>
  <c r="S116" i="94" s="1"/>
  <c r="AB60" i="94"/>
  <c r="AJ58" i="94"/>
  <c r="AR56" i="94"/>
  <c r="AZ54" i="94"/>
  <c r="BH52" i="94"/>
  <c r="AB85" i="94" s="1"/>
  <c r="T119" i="94" s="1"/>
  <c r="BP50" i="94"/>
  <c r="BX48" i="94"/>
  <c r="CF46" i="94"/>
  <c r="AM46" i="94"/>
  <c r="W46" i="94"/>
  <c r="AU46" i="94"/>
  <c r="AE46" i="94"/>
  <c r="N21" i="91"/>
  <c r="D33" i="94"/>
  <c r="D36" i="94" s="1"/>
  <c r="AE48" i="94"/>
  <c r="W48" i="94"/>
  <c r="AQ50" i="94"/>
  <c r="BW46" i="94"/>
  <c r="AY49" i="94"/>
  <c r="AA52" i="94"/>
  <c r="BG48" i="94"/>
  <c r="AA81" i="94" s="1"/>
  <c r="S115" i="94" s="1"/>
  <c r="AI51" i="94"/>
  <c r="BO47" i="94"/>
  <c r="N137" i="94"/>
  <c r="N135" i="94"/>
  <c r="N134" i="94"/>
  <c r="N133" i="94"/>
  <c r="N132" i="94"/>
  <c r="N131" i="94"/>
  <c r="N130" i="94"/>
  <c r="N129" i="94"/>
  <c r="N128" i="94"/>
  <c r="N127" i="94"/>
  <c r="N126" i="94"/>
  <c r="N125" i="94"/>
  <c r="N124" i="94"/>
  <c r="N123" i="94"/>
  <c r="N136" i="94"/>
  <c r="N112" i="94"/>
  <c r="N100" i="94"/>
  <c r="N96" i="94"/>
  <c r="N92" i="94"/>
  <c r="N121" i="94"/>
  <c r="N117" i="94"/>
  <c r="N113" i="94"/>
  <c r="N108" i="94"/>
  <c r="N99" i="94"/>
  <c r="N94" i="94"/>
  <c r="N122" i="94"/>
  <c r="N118" i="94"/>
  <c r="N114" i="94"/>
  <c r="N109" i="94"/>
  <c r="N103" i="94"/>
  <c r="N119" i="94"/>
  <c r="N115" i="94"/>
  <c r="N110" i="94"/>
  <c r="N102" i="94"/>
  <c r="N97" i="94"/>
  <c r="N116" i="94"/>
  <c r="N95" i="94"/>
  <c r="N93" i="94"/>
  <c r="N90" i="94"/>
  <c r="N86" i="94"/>
  <c r="N120" i="94"/>
  <c r="N101" i="94"/>
  <c r="N98" i="94"/>
  <c r="N91" i="94"/>
  <c r="N89" i="94"/>
  <c r="N85" i="94"/>
  <c r="N74" i="94"/>
  <c r="N88" i="94"/>
  <c r="N84" i="94"/>
  <c r="N83" i="94"/>
  <c r="N82" i="94"/>
  <c r="N81" i="94"/>
  <c r="N80" i="94"/>
  <c r="N79" i="94"/>
  <c r="N78" i="94"/>
  <c r="N77" i="94"/>
  <c r="N76" i="94"/>
  <c r="N75" i="94"/>
  <c r="N111" i="94"/>
  <c r="N87" i="94"/>
  <c r="AP87" i="94"/>
  <c r="N28" i="91"/>
  <c r="H39" i="91"/>
  <c r="H74" i="91"/>
  <c r="AB61" i="94"/>
  <c r="AJ59" i="94"/>
  <c r="AR57" i="94"/>
  <c r="AZ55" i="94"/>
  <c r="BH53" i="94"/>
  <c r="AB86" i="94" s="1"/>
  <c r="T120" i="94" s="1"/>
  <c r="BP51" i="94"/>
  <c r="BX49" i="94"/>
  <c r="BF44" i="94"/>
  <c r="Z77" i="94" s="1"/>
  <c r="R111" i="94" s="1"/>
  <c r="AP44" i="94"/>
  <c r="Z44" i="94"/>
  <c r="BN44" i="94"/>
  <c r="AX44" i="94"/>
  <c r="AH44" i="94"/>
  <c r="AP46" i="94"/>
  <c r="Z46" i="94"/>
  <c r="AX46" i="94"/>
  <c r="AH46" i="94"/>
  <c r="Y64" i="94"/>
  <c r="AG62" i="94"/>
  <c r="AO60" i="94"/>
  <c r="AW58" i="94"/>
  <c r="N15" i="91"/>
  <c r="F16" i="94"/>
  <c r="I16" i="94" s="1"/>
  <c r="AP86" i="94"/>
  <c r="AP88" i="94"/>
  <c r="AA50" i="94"/>
  <c r="BG46" i="94"/>
  <c r="AA79" i="94" s="1"/>
  <c r="S113" i="94" s="1"/>
  <c r="AI49" i="94"/>
  <c r="BO45" i="94"/>
  <c r="CE43" i="94"/>
  <c r="AQ48" i="94"/>
  <c r="BW44" i="94"/>
  <c r="AY47" i="94"/>
  <c r="AH47" i="94"/>
  <c r="AP47" i="94"/>
  <c r="Z47" i="94"/>
  <c r="AF49" i="94"/>
  <c r="BL45" i="94"/>
  <c r="CB43" i="94"/>
  <c r="AN48" i="94"/>
  <c r="AV47" i="94"/>
  <c r="BT44" i="94"/>
  <c r="BD46" i="94"/>
  <c r="X79" i="94" s="1"/>
  <c r="P113" i="94" s="1"/>
  <c r="X50" i="94"/>
  <c r="K35" i="94"/>
  <c r="N20" i="91"/>
  <c r="AB64" i="94"/>
  <c r="AJ62" i="94"/>
  <c r="AR60" i="94"/>
  <c r="AZ58" i="94"/>
  <c r="AI56" i="94"/>
  <c r="AA57" i="94"/>
  <c r="F25" i="94"/>
  <c r="I25" i="94" s="1"/>
  <c r="C33" i="94"/>
  <c r="F33" i="94" s="1"/>
  <c r="N16" i="91"/>
  <c r="AY52" i="94"/>
  <c r="AA55" i="94"/>
  <c r="AI54" i="94"/>
  <c r="AQ53" i="94"/>
  <c r="AA54" i="94"/>
  <c r="BG50" i="94"/>
  <c r="AA83" i="94" s="1"/>
  <c r="S117" i="94" s="1"/>
  <c r="AI53" i="94"/>
  <c r="AQ52" i="94"/>
  <c r="AY51" i="94"/>
  <c r="AY48" i="94"/>
  <c r="AA51" i="94"/>
  <c r="BG47" i="94"/>
  <c r="AA80" i="94" s="1"/>
  <c r="S114" i="94" s="1"/>
  <c r="CE44" i="94"/>
  <c r="AI50" i="94"/>
  <c r="BO46" i="94"/>
  <c r="AQ49" i="94"/>
  <c r="BW45" i="94"/>
  <c r="AB65" i="94"/>
  <c r="AJ63" i="94"/>
  <c r="AR61" i="94"/>
  <c r="AO88" i="94"/>
  <c r="R41" i="94"/>
  <c r="D51" i="93"/>
  <c r="C38" i="94"/>
  <c r="X57" i="94"/>
  <c r="AF56" i="94"/>
  <c r="K71" i="94"/>
  <c r="O41" i="94"/>
  <c r="F10" i="94"/>
  <c r="I10" i="94" s="1"/>
  <c r="F19" i="94"/>
  <c r="I19" i="94" s="1"/>
  <c r="Y60" i="94"/>
  <c r="AG58" i="94"/>
  <c r="AO56" i="94"/>
  <c r="AW54" i="94"/>
  <c r="BE52" i="94"/>
  <c r="Y85" i="94" s="1"/>
  <c r="Q119" i="94" s="1"/>
  <c r="BM50" i="94"/>
  <c r="BU48" i="94"/>
  <c r="CC46" i="94"/>
  <c r="F22" i="94"/>
  <c r="I22" i="94" s="1"/>
  <c r="C40" i="94"/>
  <c r="S5" i="94"/>
  <c r="D53" i="93" s="1"/>
  <c r="I35" i="94" l="1"/>
  <c r="C43" i="94" s="1"/>
  <c r="T3" i="94" s="1"/>
  <c r="E51" i="93" s="1"/>
  <c r="S6" i="94"/>
  <c r="D54" i="93" s="1"/>
  <c r="U3" i="94"/>
  <c r="CD41" i="94"/>
  <c r="BN41" i="94"/>
  <c r="AX41" i="94"/>
  <c r="AH41" i="94"/>
  <c r="AP41" i="94"/>
  <c r="BF41" i="94"/>
  <c r="Z74" i="94" s="1"/>
  <c r="R108" i="94" s="1"/>
  <c r="Z41" i="94"/>
  <c r="BV41" i="94"/>
  <c r="A30" i="91"/>
  <c r="N30" i="91"/>
  <c r="K6" i="91"/>
  <c r="C94" i="91"/>
  <c r="M7" i="91"/>
  <c r="W137" i="94"/>
  <c r="Z137" i="94" s="1"/>
  <c r="W135" i="94"/>
  <c r="Z135" i="94" s="1"/>
  <c r="W134" i="94"/>
  <c r="Z134" i="94" s="1"/>
  <c r="W133" i="94"/>
  <c r="Z133" i="94" s="1"/>
  <c r="W132" i="94"/>
  <c r="Z132" i="94" s="1"/>
  <c r="W131" i="94"/>
  <c r="Z131" i="94" s="1"/>
  <c r="W130" i="94"/>
  <c r="Z130" i="94" s="1"/>
  <c r="W129" i="94"/>
  <c r="Z129" i="94" s="1"/>
  <c r="W128" i="94"/>
  <c r="Z128" i="94" s="1"/>
  <c r="W127" i="94"/>
  <c r="Z127" i="94" s="1"/>
  <c r="W126" i="94"/>
  <c r="Z126" i="94" s="1"/>
  <c r="W125" i="94"/>
  <c r="Z125" i="94" s="1"/>
  <c r="W124" i="94"/>
  <c r="Z124" i="94" s="1"/>
  <c r="W123" i="94"/>
  <c r="Z123" i="94" s="1"/>
  <c r="W136" i="94"/>
  <c r="Z136" i="94" s="1"/>
  <c r="W112" i="94"/>
  <c r="Z112" i="94" s="1"/>
  <c r="W119" i="94"/>
  <c r="Z119" i="94" s="1"/>
  <c r="W115" i="94"/>
  <c r="Z115" i="94" s="1"/>
  <c r="W110" i="94"/>
  <c r="Z110" i="94" s="1"/>
  <c r="W120" i="94"/>
  <c r="Z120" i="94" s="1"/>
  <c r="W116" i="94"/>
  <c r="Z116" i="94" s="1"/>
  <c r="W111" i="94"/>
  <c r="Z111" i="94" s="1"/>
  <c r="W121" i="94"/>
  <c r="Z121" i="94" s="1"/>
  <c r="W117" i="94"/>
  <c r="Z117" i="94" s="1"/>
  <c r="W113" i="94"/>
  <c r="Z113" i="94" s="1"/>
  <c r="W108" i="94"/>
  <c r="Z108" i="94" s="1"/>
  <c r="W122" i="94"/>
  <c r="Z122" i="94" s="1"/>
  <c r="W109" i="94"/>
  <c r="Z109" i="94" s="1"/>
  <c r="W114" i="94"/>
  <c r="Z114" i="94" s="1"/>
  <c r="W118" i="94"/>
  <c r="Z118" i="94" s="1"/>
  <c r="C41" i="94"/>
  <c r="CA41" i="94"/>
  <c r="BS41" i="94"/>
  <c r="W41" i="94"/>
  <c r="BK41" i="94"/>
  <c r="BC41" i="94"/>
  <c r="W74" i="94" s="1"/>
  <c r="O108" i="94" s="1"/>
  <c r="AU41" i="94"/>
  <c r="AM41" i="94"/>
  <c r="AE41" i="94"/>
  <c r="V136" i="94"/>
  <c r="V137" i="94"/>
  <c r="V135" i="94"/>
  <c r="V131" i="94"/>
  <c r="V127" i="94"/>
  <c r="V126" i="94"/>
  <c r="V124" i="94"/>
  <c r="V134" i="94"/>
  <c r="V130" i="94"/>
  <c r="V133" i="94"/>
  <c r="V129" i="94"/>
  <c r="V125" i="94"/>
  <c r="V123" i="94"/>
  <c r="V122" i="94"/>
  <c r="V121" i="94"/>
  <c r="V120" i="94"/>
  <c r="V119" i="94"/>
  <c r="V118" i="94"/>
  <c r="V117" i="94"/>
  <c r="V116" i="94"/>
  <c r="V115" i="94"/>
  <c r="V114" i="94"/>
  <c r="V113" i="94"/>
  <c r="V109" i="94"/>
  <c r="V110" i="94"/>
  <c r="V132" i="94"/>
  <c r="V112" i="94"/>
  <c r="V111" i="94"/>
  <c r="V108" i="94"/>
  <c r="V128" i="94"/>
  <c r="N29" i="91"/>
  <c r="A29" i="91"/>
  <c r="C36" i="94"/>
  <c r="F36" i="94" s="1"/>
  <c r="C42" i="94" s="1"/>
  <c r="T4" i="94" s="1"/>
  <c r="C44" i="94" l="1"/>
  <c r="T5" i="94" s="1"/>
  <c r="U5" i="94" s="1"/>
  <c r="Z8" i="94" s="1"/>
  <c r="F17" i="93" s="1"/>
  <c r="S7" i="94"/>
  <c r="D55" i="93" s="1"/>
  <c r="Y109" i="94"/>
  <c r="X109" i="94"/>
  <c r="Y131" i="94"/>
  <c r="X131" i="94"/>
  <c r="N31" i="91"/>
  <c r="A31" i="91"/>
  <c r="K7" i="91"/>
  <c r="C44" i="91"/>
  <c r="C80" i="91"/>
  <c r="C45" i="91"/>
  <c r="C79" i="91"/>
  <c r="Y113" i="94"/>
  <c r="X113" i="94"/>
  <c r="Y121" i="94"/>
  <c r="X121" i="94"/>
  <c r="Y124" i="94"/>
  <c r="X124" i="94"/>
  <c r="X116" i="94"/>
  <c r="Y116" i="94"/>
  <c r="X125" i="94"/>
  <c r="Y125" i="94"/>
  <c r="M73" i="91"/>
  <c r="M38" i="91"/>
  <c r="C95" i="91"/>
  <c r="C59" i="91"/>
  <c r="X112" i="94"/>
  <c r="Y112" i="94"/>
  <c r="X117" i="94"/>
  <c r="Y117" i="94"/>
  <c r="X129" i="94"/>
  <c r="Y129" i="94"/>
  <c r="Y135" i="94"/>
  <c r="X135" i="94"/>
  <c r="C45" i="94"/>
  <c r="T6" i="94" s="1"/>
  <c r="X128" i="94"/>
  <c r="Y128" i="94"/>
  <c r="X132" i="94"/>
  <c r="Y132" i="94"/>
  <c r="Y114" i="94"/>
  <c r="X114" i="94"/>
  <c r="Y118" i="94"/>
  <c r="X118" i="94"/>
  <c r="Y122" i="94"/>
  <c r="X122" i="94"/>
  <c r="X133" i="94"/>
  <c r="Y133" i="94"/>
  <c r="Y126" i="94"/>
  <c r="X126" i="94"/>
  <c r="X137" i="94"/>
  <c r="Y137" i="94"/>
  <c r="K37" i="91"/>
  <c r="K72" i="91"/>
  <c r="F51" i="93"/>
  <c r="X111" i="94"/>
  <c r="Y111" i="94"/>
  <c r="X120" i="94"/>
  <c r="Y120" i="94"/>
  <c r="Y134" i="94"/>
  <c r="X134" i="94"/>
  <c r="U4" i="94"/>
  <c r="E52" i="93"/>
  <c r="Y108" i="94"/>
  <c r="X108" i="94"/>
  <c r="Y110" i="94"/>
  <c r="X110" i="94"/>
  <c r="Y115" i="94"/>
  <c r="X115" i="94"/>
  <c r="Y119" i="94"/>
  <c r="X119" i="94"/>
  <c r="Y123" i="94"/>
  <c r="X123" i="94"/>
  <c r="Y130" i="94"/>
  <c r="X130" i="94"/>
  <c r="Y127" i="94"/>
  <c r="X127" i="94"/>
  <c r="X136" i="94"/>
  <c r="Y136" i="94"/>
  <c r="E53" i="93" l="1"/>
  <c r="F52" i="93"/>
  <c r="Z6" i="94"/>
  <c r="D17" i="93"/>
  <c r="M15" i="93"/>
  <c r="K38" i="91"/>
  <c r="K73" i="91"/>
  <c r="C84" i="91"/>
  <c r="C85" i="91"/>
  <c r="C90" i="91" s="1"/>
  <c r="K100" i="91" s="1"/>
  <c r="N100" i="91" s="1"/>
  <c r="K95" i="91"/>
  <c r="K94" i="91"/>
  <c r="F53" i="93"/>
  <c r="M13" i="93"/>
  <c r="U6" i="94"/>
  <c r="V5" i="94" s="1"/>
  <c r="E54" i="93"/>
  <c r="T7" i="94"/>
  <c r="E55" i="93" s="1"/>
  <c r="C49" i="91"/>
  <c r="C50" i="91"/>
  <c r="C54" i="91" s="1"/>
  <c r="K79" i="91"/>
  <c r="K80" i="91"/>
  <c r="C89" i="91" l="1"/>
  <c r="M39" i="93"/>
  <c r="M27" i="93"/>
  <c r="O13" i="93"/>
  <c r="D43" i="93"/>
  <c r="D31" i="93"/>
  <c r="M14" i="93"/>
  <c r="Z4" i="94"/>
  <c r="F54" i="93"/>
  <c r="Z7" i="94"/>
  <c r="F16" i="93" s="1"/>
  <c r="F15" i="93"/>
  <c r="W5" i="94"/>
  <c r="G53" i="93"/>
  <c r="K90" i="91"/>
  <c r="K89" i="91"/>
  <c r="C55" i="91"/>
  <c r="K99" i="91"/>
  <c r="K85" i="91"/>
  <c r="K84" i="91"/>
  <c r="M41" i="93"/>
  <c r="M29" i="93"/>
  <c r="O15" i="93"/>
  <c r="Q29" i="93" l="1"/>
  <c r="V14" i="94" s="1"/>
  <c r="Q41" i="93"/>
  <c r="V15" i="94" s="1"/>
  <c r="D16" i="93"/>
  <c r="M12" i="93"/>
  <c r="C63" i="91"/>
  <c r="C64" i="91"/>
  <c r="K55" i="91" s="1"/>
  <c r="K65" i="91"/>
  <c r="N65" i="91" s="1"/>
  <c r="N44" i="93" s="1"/>
  <c r="K64" i="91"/>
  <c r="Z5" i="94"/>
  <c r="F14" i="93" s="1"/>
  <c r="F13" i="93"/>
  <c r="H31" i="93"/>
  <c r="V20" i="94" s="1"/>
  <c r="Q27" i="93"/>
  <c r="T14" i="94" s="1"/>
  <c r="V4" i="94"/>
  <c r="G52" i="93" s="1"/>
  <c r="H53" i="93"/>
  <c r="V3" i="94"/>
  <c r="G51" i="93" s="1"/>
  <c r="O14" i="93"/>
  <c r="M40" i="93"/>
  <c r="M28" i="93"/>
  <c r="D15" i="93"/>
  <c r="H43" i="93"/>
  <c r="V21" i="94" s="1"/>
  <c r="Q39" i="93"/>
  <c r="T15" i="94" s="1"/>
  <c r="D29" i="93" l="1"/>
  <c r="D41" i="93"/>
  <c r="Q40" i="93"/>
  <c r="U15" i="94" s="1"/>
  <c r="D13" i="93"/>
  <c r="K54" i="91"/>
  <c r="W3" i="94"/>
  <c r="H51" i="93" s="1"/>
  <c r="Z3" i="94"/>
  <c r="F12" i="93" s="1"/>
  <c r="M38" i="93"/>
  <c r="M26" i="93"/>
  <c r="O12" i="93"/>
  <c r="D14" i="93"/>
  <c r="M16" i="93"/>
  <c r="K44" i="91"/>
  <c r="K59" i="91"/>
  <c r="K60" i="91"/>
  <c r="K45" i="91"/>
  <c r="K50" i="91"/>
  <c r="K49" i="91"/>
  <c r="D42" i="93"/>
  <c r="D30" i="93"/>
  <c r="Q28" i="93"/>
  <c r="U14" i="94" s="1"/>
  <c r="W4" i="94"/>
  <c r="H52" i="93" s="1"/>
  <c r="Z9" i="94"/>
  <c r="F18" i="93" s="1"/>
  <c r="H13" i="93" s="1"/>
  <c r="T18" i="94" s="1"/>
  <c r="D40" i="93" l="1"/>
  <c r="D28" i="93"/>
  <c r="H14" i="93"/>
  <c r="U18" i="94" s="1"/>
  <c r="D12" i="93"/>
  <c r="H12" i="93"/>
  <c r="S18" i="94" s="1"/>
  <c r="H41" i="93"/>
  <c r="H18" i="93"/>
  <c r="D18" i="93"/>
  <c r="H17" i="93"/>
  <c r="V18" i="94" s="1"/>
  <c r="H16" i="93"/>
  <c r="H15" i="93"/>
  <c r="H30" i="93"/>
  <c r="O16" i="93"/>
  <c r="Q12" i="93" s="1"/>
  <c r="S12" i="94" s="1"/>
  <c r="M42" i="93"/>
  <c r="M30" i="93"/>
  <c r="O26" i="93" s="1"/>
  <c r="S13" i="94" s="1"/>
  <c r="Q26" i="93"/>
  <c r="S14" i="94" s="1"/>
  <c r="H42" i="93"/>
  <c r="Q38" i="93"/>
  <c r="S15" i="94" s="1"/>
  <c r="D39" i="93"/>
  <c r="D27" i="93"/>
  <c r="H29" i="93"/>
  <c r="Q42" i="93" l="1"/>
  <c r="O42" i="93"/>
  <c r="O41" i="93"/>
  <c r="O39" i="93"/>
  <c r="O40" i="93"/>
  <c r="D38" i="93"/>
  <c r="D26" i="93"/>
  <c r="E46" i="93"/>
  <c r="O38" i="93"/>
  <c r="Q16" i="93"/>
  <c r="Q15" i="93"/>
  <c r="V12" i="94" s="1"/>
  <c r="Q13" i="93"/>
  <c r="T12" i="94" s="1"/>
  <c r="Q14" i="93"/>
  <c r="U12" i="94" s="1"/>
  <c r="H27" i="93"/>
  <c r="T20" i="94" s="1"/>
  <c r="H28" i="93"/>
  <c r="U20" i="94" s="1"/>
  <c r="H39" i="93"/>
  <c r="T21" i="94" s="1"/>
  <c r="Q30" i="93"/>
  <c r="O30" i="93"/>
  <c r="O29" i="93"/>
  <c r="V13" i="94" s="1"/>
  <c r="O27" i="93"/>
  <c r="T13" i="94" s="1"/>
  <c r="O28" i="93"/>
  <c r="U13" i="94" s="1"/>
  <c r="D44" i="93"/>
  <c r="F39" i="93" s="1"/>
  <c r="D32" i="93"/>
  <c r="F27" i="93" s="1"/>
  <c r="T19" i="94" s="1"/>
  <c r="H40" i="93"/>
  <c r="U21" i="94" s="1"/>
  <c r="F40" i="93" l="1"/>
  <c r="F28" i="93"/>
  <c r="U19" i="94" s="1"/>
  <c r="F26" i="93"/>
  <c r="S19" i="94" s="1"/>
  <c r="H26" i="93"/>
  <c r="S20" i="94" s="1"/>
  <c r="H32" i="93"/>
  <c r="F32" i="93"/>
  <c r="F31" i="93"/>
  <c r="F30" i="93"/>
  <c r="F29" i="93"/>
  <c r="F38" i="93"/>
  <c r="H38" i="93"/>
  <c r="S21" i="94" s="1"/>
  <c r="F44" i="93"/>
  <c r="H44" i="93"/>
  <c r="F43" i="93"/>
  <c r="V19" i="94" s="1"/>
  <c r="F41" i="93"/>
  <c r="F42" i="93"/>
  <c r="S16" i="78" l="1"/>
  <c r="Q16" i="78"/>
  <c r="O16" i="78"/>
  <c r="M16" i="78"/>
  <c r="K16" i="78"/>
  <c r="I16" i="78"/>
  <c r="G16" i="78"/>
  <c r="E16" i="78"/>
  <c r="C16" i="78"/>
  <c r="R15" i="78"/>
  <c r="P15" i="78"/>
  <c r="N15" i="78"/>
  <c r="L15" i="78"/>
  <c r="J15" i="78"/>
  <c r="H15" i="78"/>
  <c r="F15" i="78"/>
  <c r="D15" i="78"/>
  <c r="B15" i="78"/>
  <c r="BM16" i="77"/>
  <c r="BK16" i="77"/>
  <c r="BI16" i="77"/>
  <c r="BG16" i="77"/>
  <c r="BE16" i="77"/>
  <c r="BC16" i="77"/>
  <c r="BA16" i="77"/>
  <c r="AY16" i="77"/>
  <c r="AW16" i="77"/>
  <c r="AU16" i="77"/>
  <c r="AS16" i="77"/>
  <c r="AQ16" i="77"/>
  <c r="AO16" i="77"/>
  <c r="AM16" i="77"/>
  <c r="AK16" i="77"/>
  <c r="AI16" i="77"/>
  <c r="AG16" i="77"/>
  <c r="AE16" i="77"/>
  <c r="AC16" i="77"/>
  <c r="AA16" i="77"/>
  <c r="Y16" i="77"/>
  <c r="W16" i="77"/>
  <c r="U16" i="77"/>
  <c r="S16" i="77"/>
  <c r="Q16" i="77"/>
  <c r="O16" i="77"/>
  <c r="M16" i="77"/>
  <c r="K16" i="77"/>
  <c r="I16" i="77"/>
  <c r="G16" i="77"/>
  <c r="E16" i="77"/>
  <c r="C16" i="77"/>
  <c r="BL15" i="77"/>
  <c r="BJ15" i="77"/>
  <c r="BH15" i="77"/>
  <c r="BF15" i="77"/>
  <c r="BD15" i="77"/>
  <c r="BB15" i="77"/>
  <c r="AZ15" i="77"/>
  <c r="AX15" i="77"/>
  <c r="AV15" i="77"/>
  <c r="AT15" i="77"/>
  <c r="AR15" i="77"/>
  <c r="AP15" i="77"/>
  <c r="AN15" i="77"/>
  <c r="AL15" i="77"/>
  <c r="AJ15" i="77"/>
  <c r="AH15" i="77"/>
  <c r="AF15" i="77"/>
  <c r="AD15" i="77"/>
  <c r="AB15" i="77"/>
  <c r="Z15" i="77"/>
  <c r="X15" i="77"/>
  <c r="V15" i="77"/>
  <c r="T15" i="77"/>
  <c r="R15" i="77"/>
  <c r="P15" i="77"/>
  <c r="N15" i="77"/>
  <c r="L15" i="77"/>
  <c r="J15" i="77"/>
  <c r="H15" i="77"/>
  <c r="F15" i="77"/>
  <c r="D15" i="77"/>
  <c r="B15" i="77"/>
  <c r="V15" i="78" l="1"/>
  <c r="V16" i="78" s="1"/>
  <c r="V17" i="78" s="1"/>
  <c r="BP15" i="77"/>
  <c r="BP16" i="77" l="1"/>
  <c r="BP17" i="77" s="1"/>
  <c r="M18" i="14"/>
  <c r="M8" i="14"/>
  <c r="M9" i="14"/>
  <c r="M10" i="14"/>
  <c r="M11" i="14"/>
  <c r="M12" i="14"/>
  <c r="M13" i="14"/>
  <c r="M14" i="14"/>
  <c r="M15" i="14"/>
  <c r="M16" i="14"/>
  <c r="M17" i="14"/>
  <c r="M7" i="14"/>
  <c r="Q101" i="27"/>
  <c r="J101" i="27"/>
  <c r="A3" i="27"/>
  <c r="A4" i="27" s="1"/>
  <c r="A5" i="27" s="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Q100" i="27"/>
  <c r="J100" i="27"/>
  <c r="Q99" i="27"/>
  <c r="J99" i="27"/>
  <c r="Q98" i="27"/>
  <c r="J98" i="27"/>
  <c r="Q97" i="27"/>
  <c r="J97" i="27"/>
  <c r="Q96" i="27"/>
  <c r="J96" i="27"/>
  <c r="Q95" i="27"/>
  <c r="J95" i="27"/>
  <c r="Q94" i="27"/>
  <c r="J94" i="27"/>
  <c r="Q93" i="27"/>
  <c r="J93" i="27"/>
  <c r="Q92" i="27"/>
  <c r="J92" i="27"/>
  <c r="Q91" i="27"/>
  <c r="J91" i="27"/>
  <c r="Q90" i="27"/>
  <c r="J90" i="27"/>
  <c r="Q89" i="27"/>
  <c r="J89" i="27"/>
  <c r="Q88" i="27"/>
  <c r="J88" i="27"/>
  <c r="Q87" i="27"/>
  <c r="J87" i="27"/>
  <c r="Q86" i="27"/>
  <c r="J86" i="27"/>
  <c r="Q85" i="27"/>
  <c r="J85" i="27"/>
  <c r="Q84" i="27"/>
  <c r="J84" i="27"/>
  <c r="Q83" i="27"/>
  <c r="J83" i="27"/>
  <c r="Q82" i="27"/>
  <c r="J82" i="27"/>
  <c r="Q81" i="27"/>
  <c r="J81" i="27"/>
  <c r="Q80" i="27"/>
  <c r="J80" i="27"/>
  <c r="Q79" i="27"/>
  <c r="J79" i="27"/>
  <c r="Q78" i="27"/>
  <c r="J78" i="27"/>
  <c r="Q77" i="27"/>
  <c r="J77" i="27"/>
  <c r="Q76" i="27"/>
  <c r="J76" i="27"/>
  <c r="Q75" i="27"/>
  <c r="J75" i="27"/>
  <c r="Q74" i="27"/>
  <c r="J74" i="27"/>
  <c r="Q73" i="27"/>
  <c r="J73" i="27"/>
  <c r="Q72" i="27"/>
  <c r="J72" i="27"/>
  <c r="Q71" i="27"/>
  <c r="J71" i="27"/>
  <c r="Q70" i="27"/>
  <c r="J70" i="27"/>
  <c r="Q69" i="27"/>
  <c r="J69" i="27"/>
  <c r="Q68" i="27"/>
  <c r="J68" i="27"/>
  <c r="Q67" i="27"/>
  <c r="J67" i="27"/>
  <c r="Q66" i="27"/>
  <c r="J66" i="27"/>
  <c r="Q65" i="27"/>
  <c r="J65" i="27"/>
  <c r="Q64" i="27"/>
  <c r="J64" i="27"/>
  <c r="Q63" i="27"/>
  <c r="J63" i="27"/>
  <c r="Q62" i="27"/>
  <c r="J62" i="27"/>
  <c r="Q61" i="27"/>
  <c r="J61" i="27"/>
  <c r="Q60" i="27"/>
  <c r="J60" i="27"/>
  <c r="Q59" i="27"/>
  <c r="J59" i="27"/>
  <c r="Q58" i="27"/>
  <c r="J58" i="27"/>
  <c r="Q57" i="27"/>
  <c r="J57" i="27"/>
  <c r="Q56" i="27"/>
  <c r="J56" i="27"/>
  <c r="Q55" i="27"/>
  <c r="J55" i="27"/>
  <c r="Q54" i="27"/>
  <c r="J54" i="27"/>
  <c r="Q53" i="27"/>
  <c r="J53" i="27"/>
  <c r="Q52" i="27"/>
  <c r="J52" i="27"/>
  <c r="Q51" i="27"/>
  <c r="J51" i="27"/>
  <c r="Q50" i="27"/>
  <c r="J50" i="27"/>
  <c r="Q49" i="27"/>
  <c r="J49" i="27"/>
  <c r="Q48" i="27"/>
  <c r="J48" i="27"/>
  <c r="Q47" i="27"/>
  <c r="J47" i="27"/>
  <c r="Q46" i="27"/>
  <c r="J46" i="27"/>
  <c r="Q45" i="27"/>
  <c r="J45" i="27"/>
  <c r="Q44" i="27"/>
  <c r="J44" i="27"/>
  <c r="Q43" i="27"/>
  <c r="J43" i="27"/>
  <c r="Q42" i="27"/>
  <c r="J42" i="27"/>
  <c r="Q41" i="27"/>
  <c r="J41" i="27"/>
  <c r="Q40" i="27"/>
  <c r="J40" i="27"/>
  <c r="Q39" i="27"/>
  <c r="J39" i="27"/>
  <c r="Q38" i="27"/>
  <c r="J38" i="27"/>
  <c r="Q37" i="27"/>
  <c r="J37" i="27"/>
  <c r="Q36" i="27"/>
  <c r="J36" i="27"/>
  <c r="Q35" i="27"/>
  <c r="J35" i="27"/>
  <c r="Q34" i="27"/>
  <c r="J34" i="27"/>
  <c r="Q33" i="27"/>
  <c r="J33" i="27"/>
  <c r="Q32" i="27"/>
  <c r="J32" i="27"/>
  <c r="Q31" i="27"/>
  <c r="J31" i="27"/>
  <c r="Q30" i="27"/>
  <c r="J30" i="27"/>
  <c r="Q29" i="27"/>
  <c r="J29" i="27"/>
  <c r="Q28" i="27"/>
  <c r="J28" i="27"/>
  <c r="Q27" i="27"/>
  <c r="J27" i="27"/>
  <c r="Q26" i="27"/>
  <c r="J26" i="27"/>
  <c r="Q25" i="27"/>
  <c r="J25" i="27"/>
  <c r="Q24" i="27"/>
  <c r="J24" i="27"/>
  <c r="Q23" i="27"/>
  <c r="J23" i="27"/>
  <c r="Q22" i="27"/>
  <c r="J22" i="27"/>
  <c r="Q21" i="27"/>
  <c r="J21" i="27"/>
  <c r="Q20" i="27"/>
  <c r="J20" i="27"/>
  <c r="Q19" i="27"/>
  <c r="J19" i="27"/>
  <c r="Q18" i="27"/>
  <c r="J18" i="27"/>
  <c r="Q17" i="27"/>
  <c r="J17" i="27"/>
  <c r="Q16" i="27"/>
  <c r="J16" i="27"/>
  <c r="Q15" i="27"/>
  <c r="J15" i="27"/>
  <c r="Q14" i="27"/>
  <c r="J14" i="27"/>
  <c r="Q13" i="27"/>
  <c r="J13" i="27"/>
  <c r="Q12" i="27"/>
  <c r="J12" i="27"/>
  <c r="Q11" i="27"/>
  <c r="J11" i="27"/>
  <c r="Q10" i="27"/>
  <c r="J10" i="27"/>
  <c r="Q9" i="27"/>
  <c r="J9" i="27"/>
  <c r="Q8" i="27"/>
  <c r="J8" i="27"/>
  <c r="Q7" i="27"/>
  <c r="J7" i="27"/>
  <c r="Q6" i="27"/>
  <c r="J6" i="27"/>
  <c r="Q5" i="27"/>
  <c r="J5" i="27"/>
  <c r="Q4" i="27"/>
  <c r="J4" i="27"/>
  <c r="Q3" i="27"/>
  <c r="J3" i="27"/>
  <c r="Q2" i="27"/>
  <c r="J2" i="27"/>
  <c r="H28" i="4"/>
  <c r="H27" i="4"/>
  <c r="U3" i="4"/>
  <c r="U4" i="4" s="1"/>
  <c r="B20" i="10"/>
  <c r="H25" i="4"/>
  <c r="H26" i="4"/>
  <c r="L25" i="4" s="1"/>
  <c r="K37" i="56"/>
  <c r="C37" i="56"/>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5" i="9"/>
  <c r="C83" i="9"/>
  <c r="A83" i="9" s="1"/>
  <c r="F83" i="9"/>
  <c r="B83" i="9" s="1"/>
  <c r="G83" i="9" s="1"/>
  <c r="H83" i="9" s="1"/>
  <c r="I83" i="9" s="1"/>
  <c r="J83" i="9" s="1"/>
  <c r="K83" i="9" s="1"/>
  <c r="C76" i="9"/>
  <c r="A76" i="9" s="1"/>
  <c r="F76" i="9"/>
  <c r="B76" i="9" s="1"/>
  <c r="G76" i="9" s="1"/>
  <c r="H76" i="9" s="1"/>
  <c r="I76" i="9" s="1"/>
  <c r="J76" i="9" s="1"/>
  <c r="K76" i="9" s="1"/>
  <c r="C77" i="9"/>
  <c r="A77" i="9" s="1"/>
  <c r="F77" i="9"/>
  <c r="B77" i="9" s="1"/>
  <c r="G77" i="9" s="1"/>
  <c r="H77" i="9" s="1"/>
  <c r="I77" i="9" s="1"/>
  <c r="J77" i="9" s="1"/>
  <c r="K77" i="9" s="1"/>
  <c r="C78" i="9"/>
  <c r="A78" i="9" s="1"/>
  <c r="F78" i="9"/>
  <c r="B78" i="9" s="1"/>
  <c r="G78" i="9" s="1"/>
  <c r="H78" i="9" s="1"/>
  <c r="I78" i="9" s="1"/>
  <c r="J78" i="9" s="1"/>
  <c r="K78" i="9" s="1"/>
  <c r="C79" i="9"/>
  <c r="A79" i="9" s="1"/>
  <c r="F79" i="9"/>
  <c r="B79" i="9" s="1"/>
  <c r="G79" i="9" s="1"/>
  <c r="H79" i="9" s="1"/>
  <c r="I79" i="9" s="1"/>
  <c r="J79" i="9" s="1"/>
  <c r="K79" i="9" s="1"/>
  <c r="C80" i="9"/>
  <c r="A80" i="9" s="1"/>
  <c r="F80" i="9"/>
  <c r="B80" i="9" s="1"/>
  <c r="G80" i="9" s="1"/>
  <c r="H80" i="9" s="1"/>
  <c r="I80" i="9" s="1"/>
  <c r="J80" i="9" s="1"/>
  <c r="K80" i="9" s="1"/>
  <c r="C81" i="9"/>
  <c r="A81" i="9" s="1"/>
  <c r="F81" i="9"/>
  <c r="B81" i="9" s="1"/>
  <c r="G81" i="9" s="1"/>
  <c r="H81" i="9" s="1"/>
  <c r="I81" i="9" s="1"/>
  <c r="C82" i="9"/>
  <c r="A82" i="9" s="1"/>
  <c r="F82" i="9"/>
  <c r="B82" i="9" s="1"/>
  <c r="G82" i="9" s="1"/>
  <c r="H82" i="9" s="1"/>
  <c r="I82" i="9" s="1"/>
  <c r="J82" i="9" s="1"/>
  <c r="K82" i="9" s="1"/>
  <c r="C56" i="9"/>
  <c r="A56" i="9" s="1"/>
  <c r="F56" i="9"/>
  <c r="B56" i="9" s="1"/>
  <c r="G56" i="9" s="1"/>
  <c r="H56" i="9" s="1"/>
  <c r="I56" i="9" s="1"/>
  <c r="J56" i="9" s="1"/>
  <c r="K56" i="9" s="1"/>
  <c r="C57" i="9"/>
  <c r="A57" i="9" s="1"/>
  <c r="F57" i="9"/>
  <c r="B57" i="9" s="1"/>
  <c r="G57" i="9" s="1"/>
  <c r="H57" i="9" s="1"/>
  <c r="I57" i="9" s="1"/>
  <c r="J57" i="9" s="1"/>
  <c r="K57" i="9" s="1"/>
  <c r="C58" i="9"/>
  <c r="A58" i="9" s="1"/>
  <c r="F58" i="9"/>
  <c r="B58" i="9" s="1"/>
  <c r="G58" i="9" s="1"/>
  <c r="H58" i="9" s="1"/>
  <c r="I58" i="9" s="1"/>
  <c r="J58" i="9" s="1"/>
  <c r="K58" i="9" s="1"/>
  <c r="C59" i="9"/>
  <c r="A59" i="9" s="1"/>
  <c r="F59" i="9"/>
  <c r="B59" i="9" s="1"/>
  <c r="G59" i="9" s="1"/>
  <c r="H59" i="9" s="1"/>
  <c r="I59" i="9" s="1"/>
  <c r="J59" i="9" s="1"/>
  <c r="K59" i="9" s="1"/>
  <c r="C60" i="9"/>
  <c r="A60" i="9" s="1"/>
  <c r="F60" i="9"/>
  <c r="B60" i="9" s="1"/>
  <c r="G60" i="9" s="1"/>
  <c r="H60" i="9" s="1"/>
  <c r="I60" i="9" s="1"/>
  <c r="J60" i="9" s="1"/>
  <c r="K60" i="9" s="1"/>
  <c r="C61" i="9"/>
  <c r="A61" i="9" s="1"/>
  <c r="F61" i="9"/>
  <c r="B61" i="9" s="1"/>
  <c r="G61" i="9" s="1"/>
  <c r="H61" i="9" s="1"/>
  <c r="I61" i="9" s="1"/>
  <c r="J61" i="9" s="1"/>
  <c r="K61" i="9" s="1"/>
  <c r="C62" i="9"/>
  <c r="A62" i="9" s="1"/>
  <c r="F62" i="9"/>
  <c r="B62" i="9" s="1"/>
  <c r="G62" i="9" s="1"/>
  <c r="H62" i="9" s="1"/>
  <c r="I62" i="9" s="1"/>
  <c r="J62" i="9" s="1"/>
  <c r="K62" i="9" s="1"/>
  <c r="C63" i="9"/>
  <c r="A63" i="9" s="1"/>
  <c r="F63" i="9"/>
  <c r="B63" i="9" s="1"/>
  <c r="G63" i="9"/>
  <c r="H63" i="9" s="1"/>
  <c r="I63" i="9" s="1"/>
  <c r="J63" i="9" s="1"/>
  <c r="K63" i="9" s="1"/>
  <c r="C64" i="9"/>
  <c r="A64" i="9" s="1"/>
  <c r="F64" i="9"/>
  <c r="B64" i="9"/>
  <c r="G64" i="9" s="1"/>
  <c r="H64" i="9" s="1"/>
  <c r="I64" i="9" s="1"/>
  <c r="J64" i="9" s="1"/>
  <c r="K64" i="9" s="1"/>
  <c r="C65" i="9"/>
  <c r="A65" i="9" s="1"/>
  <c r="F65" i="9"/>
  <c r="B65" i="9" s="1"/>
  <c r="G65" i="9" s="1"/>
  <c r="H65" i="9" s="1"/>
  <c r="I65" i="9" s="1"/>
  <c r="J65" i="9" s="1"/>
  <c r="K65" i="9" s="1"/>
  <c r="C66" i="9"/>
  <c r="A66" i="9"/>
  <c r="F66" i="9"/>
  <c r="B66" i="9" s="1"/>
  <c r="G66" i="9" s="1"/>
  <c r="H66" i="9" s="1"/>
  <c r="I66" i="9" s="1"/>
  <c r="J66" i="9" s="1"/>
  <c r="K66" i="9" s="1"/>
  <c r="C67" i="9"/>
  <c r="A67" i="9" s="1"/>
  <c r="F67" i="9"/>
  <c r="B67" i="9" s="1"/>
  <c r="G67" i="9" s="1"/>
  <c r="H67" i="9" s="1"/>
  <c r="I67" i="9" s="1"/>
  <c r="J67" i="9" s="1"/>
  <c r="K67" i="9" s="1"/>
  <c r="C68" i="9"/>
  <c r="A68" i="9" s="1"/>
  <c r="F68" i="9"/>
  <c r="B68" i="9" s="1"/>
  <c r="G68" i="9" s="1"/>
  <c r="H68" i="9" s="1"/>
  <c r="I68" i="9" s="1"/>
  <c r="J68" i="9" s="1"/>
  <c r="K68" i="9" s="1"/>
  <c r="C69" i="9"/>
  <c r="A69" i="9" s="1"/>
  <c r="F69" i="9"/>
  <c r="B69" i="9" s="1"/>
  <c r="G69" i="9" s="1"/>
  <c r="H69" i="9" s="1"/>
  <c r="I69" i="9" s="1"/>
  <c r="J69" i="9" s="1"/>
  <c r="K69" i="9" s="1"/>
  <c r="C70" i="9"/>
  <c r="A70" i="9" s="1"/>
  <c r="F70" i="9"/>
  <c r="B70" i="9" s="1"/>
  <c r="G70" i="9" s="1"/>
  <c r="H70" i="9" s="1"/>
  <c r="I70" i="9" s="1"/>
  <c r="J70" i="9" s="1"/>
  <c r="K70" i="9" s="1"/>
  <c r="C71" i="9"/>
  <c r="A71" i="9" s="1"/>
  <c r="F71" i="9"/>
  <c r="B71" i="9" s="1"/>
  <c r="G71" i="9" s="1"/>
  <c r="H71" i="9" s="1"/>
  <c r="I71" i="9" s="1"/>
  <c r="J71" i="9" s="1"/>
  <c r="K71" i="9" s="1"/>
  <c r="C72" i="9"/>
  <c r="A72" i="9" s="1"/>
  <c r="F72" i="9"/>
  <c r="B72" i="9" s="1"/>
  <c r="G72" i="9" s="1"/>
  <c r="H72" i="9" s="1"/>
  <c r="I72" i="9" s="1"/>
  <c r="J72" i="9" s="1"/>
  <c r="K72" i="9" s="1"/>
  <c r="C73" i="9"/>
  <c r="A73" i="9" s="1"/>
  <c r="F73" i="9"/>
  <c r="B73" i="9" s="1"/>
  <c r="G73" i="9" s="1"/>
  <c r="H73" i="9"/>
  <c r="I73" i="9" s="1"/>
  <c r="J73" i="9" s="1"/>
  <c r="K73" i="9" s="1"/>
  <c r="C74" i="9"/>
  <c r="A74" i="9" s="1"/>
  <c r="F74" i="9"/>
  <c r="B74" i="9"/>
  <c r="G74" i="9" s="1"/>
  <c r="H74" i="9" s="1"/>
  <c r="I74" i="9" s="1"/>
  <c r="J74" i="9" s="1"/>
  <c r="K74" i="9" s="1"/>
  <c r="C75" i="9"/>
  <c r="A75" i="9" s="1"/>
  <c r="F75" i="9"/>
  <c r="B75" i="9" s="1"/>
  <c r="G75" i="9" s="1"/>
  <c r="H75" i="9" s="1"/>
  <c r="I75" i="9" s="1"/>
  <c r="J75" i="9" s="1"/>
  <c r="K75" i="9" s="1"/>
  <c r="J81" i="9"/>
  <c r="K81" i="9" s="1"/>
  <c r="Z110" i="46"/>
  <c r="Y110" i="46"/>
  <c r="X110" i="46"/>
  <c r="W110" i="46"/>
  <c r="V110" i="46"/>
  <c r="U110" i="46"/>
  <c r="T110" i="46"/>
  <c r="R110" i="46"/>
  <c r="Q110" i="46"/>
  <c r="P110" i="46"/>
  <c r="N110" i="46"/>
  <c r="M110" i="46"/>
  <c r="O110" i="46" s="1"/>
  <c r="L110" i="46"/>
  <c r="J110" i="46"/>
  <c r="I110" i="46"/>
  <c r="K110" i="46" s="1"/>
  <c r="H110" i="46"/>
  <c r="F110" i="46"/>
  <c r="E110" i="46"/>
  <c r="G110" i="46" s="1"/>
  <c r="D110" i="46"/>
  <c r="AI110" i="46" s="1"/>
  <c r="Z109" i="46"/>
  <c r="Y109" i="46"/>
  <c r="X109" i="46"/>
  <c r="W109" i="46"/>
  <c r="V109" i="46"/>
  <c r="U109" i="46"/>
  <c r="T109" i="46"/>
  <c r="R109" i="46"/>
  <c r="Q109" i="46"/>
  <c r="P109" i="46"/>
  <c r="N109" i="46"/>
  <c r="M109" i="46"/>
  <c r="O109" i="46" s="1"/>
  <c r="L109" i="46"/>
  <c r="J109" i="46"/>
  <c r="I109" i="46"/>
  <c r="K109" i="46" s="1"/>
  <c r="H109" i="46"/>
  <c r="F109" i="46"/>
  <c r="E109" i="46"/>
  <c r="G109" i="46" s="1"/>
  <c r="D109" i="46"/>
  <c r="Z108" i="46"/>
  <c r="Y108" i="46"/>
  <c r="X108" i="46"/>
  <c r="W108" i="46"/>
  <c r="V108" i="46"/>
  <c r="U108" i="46"/>
  <c r="T108" i="46"/>
  <c r="R108" i="46"/>
  <c r="Q108" i="46"/>
  <c r="P108" i="46"/>
  <c r="N108" i="46"/>
  <c r="M108" i="46"/>
  <c r="O108" i="46" s="1"/>
  <c r="L108" i="46"/>
  <c r="J108" i="46"/>
  <c r="I108" i="46"/>
  <c r="K108" i="46" s="1"/>
  <c r="H108" i="46"/>
  <c r="F108" i="46"/>
  <c r="E108" i="46"/>
  <c r="G108" i="46" s="1"/>
  <c r="D108" i="46"/>
  <c r="AH108" i="46" s="1"/>
  <c r="Z107" i="46"/>
  <c r="Y107" i="46"/>
  <c r="X107" i="46"/>
  <c r="W107" i="46"/>
  <c r="V107" i="46"/>
  <c r="U107" i="46"/>
  <c r="T107" i="46"/>
  <c r="R107" i="46"/>
  <c r="Q107" i="46"/>
  <c r="P107" i="46"/>
  <c r="N107" i="46"/>
  <c r="M107" i="46"/>
  <c r="O107" i="46" s="1"/>
  <c r="L107" i="46"/>
  <c r="J107" i="46"/>
  <c r="I107" i="46"/>
  <c r="K107" i="46" s="1"/>
  <c r="H107" i="46"/>
  <c r="F107" i="46"/>
  <c r="E107" i="46"/>
  <c r="G107" i="46" s="1"/>
  <c r="D107" i="46"/>
  <c r="AH107" i="46" s="1"/>
  <c r="Z106" i="46"/>
  <c r="Y106" i="46"/>
  <c r="X106" i="46"/>
  <c r="W106" i="46"/>
  <c r="V106" i="46"/>
  <c r="U106" i="46"/>
  <c r="T106" i="46"/>
  <c r="R106" i="46"/>
  <c r="Q106" i="46"/>
  <c r="P106" i="46"/>
  <c r="N106" i="46"/>
  <c r="M106" i="46"/>
  <c r="O106" i="46" s="1"/>
  <c r="L106" i="46"/>
  <c r="J106" i="46"/>
  <c r="I106" i="46"/>
  <c r="K106" i="46" s="1"/>
  <c r="H106" i="46"/>
  <c r="F106" i="46"/>
  <c r="E106" i="46"/>
  <c r="G106" i="46" s="1"/>
  <c r="D106" i="46"/>
  <c r="AE106" i="46" s="1"/>
  <c r="Z105" i="46"/>
  <c r="Y105" i="46"/>
  <c r="X105" i="46"/>
  <c r="W105" i="46"/>
  <c r="V105" i="46"/>
  <c r="U105" i="46"/>
  <c r="T105" i="46"/>
  <c r="R105" i="46"/>
  <c r="Q105" i="46"/>
  <c r="P105" i="46"/>
  <c r="M105" i="46"/>
  <c r="O105" i="46" s="1"/>
  <c r="N105" i="46"/>
  <c r="L105" i="46"/>
  <c r="J105" i="46"/>
  <c r="I105" i="46"/>
  <c r="K105" i="46" s="1"/>
  <c r="H105" i="46"/>
  <c r="E105" i="46"/>
  <c r="G105" i="46" s="1"/>
  <c r="F105" i="46"/>
  <c r="D105" i="46"/>
  <c r="AC105" i="46"/>
  <c r="Z104" i="46"/>
  <c r="Y104" i="46"/>
  <c r="X104" i="46"/>
  <c r="W104" i="46"/>
  <c r="V104" i="46"/>
  <c r="U104" i="46"/>
  <c r="T104" i="46"/>
  <c r="R104" i="46"/>
  <c r="Q104" i="46"/>
  <c r="P104" i="46"/>
  <c r="N104" i="46"/>
  <c r="M104" i="46"/>
  <c r="O104" i="46" s="1"/>
  <c r="L104" i="46"/>
  <c r="J104" i="46"/>
  <c r="I104" i="46"/>
  <c r="K104" i="46" s="1"/>
  <c r="H104" i="46"/>
  <c r="F104" i="46"/>
  <c r="E104" i="46"/>
  <c r="G104" i="46" s="1"/>
  <c r="D104" i="46"/>
  <c r="Z103" i="46"/>
  <c r="Y103" i="46"/>
  <c r="X103" i="46"/>
  <c r="W103" i="46"/>
  <c r="V103" i="46"/>
  <c r="U103" i="46"/>
  <c r="T103" i="46"/>
  <c r="R103" i="46"/>
  <c r="Q103" i="46"/>
  <c r="P103" i="46"/>
  <c r="N103" i="46"/>
  <c r="M103" i="46"/>
  <c r="O103" i="46" s="1"/>
  <c r="L103" i="46"/>
  <c r="J103" i="46"/>
  <c r="I103" i="46"/>
  <c r="K103" i="46" s="1"/>
  <c r="H103" i="46"/>
  <c r="F103" i="46"/>
  <c r="E103" i="46"/>
  <c r="G103" i="46" s="1"/>
  <c r="D103" i="46"/>
  <c r="AC103" i="46" s="1"/>
  <c r="Z102" i="46"/>
  <c r="Y102" i="46"/>
  <c r="X102" i="46"/>
  <c r="W102" i="46"/>
  <c r="V102" i="46"/>
  <c r="U102" i="46"/>
  <c r="T102" i="46"/>
  <c r="R102" i="46"/>
  <c r="Q102" i="46"/>
  <c r="P102" i="46"/>
  <c r="N102" i="46"/>
  <c r="M102" i="46"/>
  <c r="O102" i="46" s="1"/>
  <c r="L102" i="46"/>
  <c r="J102" i="46"/>
  <c r="I102" i="46"/>
  <c r="K102" i="46" s="1"/>
  <c r="H102" i="46"/>
  <c r="F102" i="46"/>
  <c r="E102" i="46"/>
  <c r="G102" i="46" s="1"/>
  <c r="D102" i="46"/>
  <c r="AD102" i="46" s="1"/>
  <c r="Z101" i="46"/>
  <c r="Y101" i="46"/>
  <c r="X101" i="46"/>
  <c r="W101" i="46"/>
  <c r="V101" i="46"/>
  <c r="U101" i="46"/>
  <c r="T101" i="46"/>
  <c r="R101" i="46"/>
  <c r="Q101" i="46"/>
  <c r="P101" i="46"/>
  <c r="N101" i="46"/>
  <c r="M101" i="46"/>
  <c r="O101" i="46" s="1"/>
  <c r="L101" i="46"/>
  <c r="J101" i="46"/>
  <c r="I101" i="46"/>
  <c r="K101" i="46" s="1"/>
  <c r="H101" i="46"/>
  <c r="F101" i="46"/>
  <c r="E101" i="46"/>
  <c r="G101" i="46" s="1"/>
  <c r="D101" i="46"/>
  <c r="AG101" i="46" s="1"/>
  <c r="Z100" i="46"/>
  <c r="Y100" i="46"/>
  <c r="X100" i="46"/>
  <c r="W100" i="46"/>
  <c r="V100" i="46"/>
  <c r="U100" i="46"/>
  <c r="T100" i="46"/>
  <c r="R100" i="46"/>
  <c r="Q100" i="46"/>
  <c r="P100" i="46"/>
  <c r="N100" i="46"/>
  <c r="M100" i="46"/>
  <c r="O100" i="46" s="1"/>
  <c r="L100" i="46"/>
  <c r="J100" i="46"/>
  <c r="I100" i="46"/>
  <c r="K100" i="46" s="1"/>
  <c r="H100" i="46"/>
  <c r="F100" i="46"/>
  <c r="E100" i="46"/>
  <c r="G100" i="46" s="1"/>
  <c r="D100" i="46"/>
  <c r="Z99" i="46"/>
  <c r="Y99" i="46"/>
  <c r="X99" i="46"/>
  <c r="W99" i="46"/>
  <c r="V99" i="46"/>
  <c r="U99" i="46"/>
  <c r="T99" i="46"/>
  <c r="R99" i="46"/>
  <c r="Q99" i="46"/>
  <c r="P99" i="46"/>
  <c r="N99" i="46"/>
  <c r="M99" i="46"/>
  <c r="O99" i="46" s="1"/>
  <c r="L99" i="46"/>
  <c r="J99" i="46"/>
  <c r="I99" i="46"/>
  <c r="K99" i="46" s="1"/>
  <c r="H99" i="46"/>
  <c r="F99" i="46"/>
  <c r="E99" i="46"/>
  <c r="G99" i="46" s="1"/>
  <c r="D99" i="46"/>
  <c r="AF99" i="46" s="1"/>
  <c r="Z98" i="46"/>
  <c r="Y98" i="46"/>
  <c r="X98" i="46"/>
  <c r="W98" i="46"/>
  <c r="V98" i="46"/>
  <c r="U98" i="46"/>
  <c r="T98" i="46"/>
  <c r="R98" i="46"/>
  <c r="Q98" i="46"/>
  <c r="P98" i="46"/>
  <c r="N98" i="46"/>
  <c r="M98" i="46"/>
  <c r="O98" i="46" s="1"/>
  <c r="L98" i="46"/>
  <c r="J98" i="46"/>
  <c r="I98" i="46"/>
  <c r="K98" i="46" s="1"/>
  <c r="H98" i="46"/>
  <c r="E98" i="46"/>
  <c r="G98" i="46" s="1"/>
  <c r="F98" i="46"/>
  <c r="D98" i="46"/>
  <c r="AA98" i="46" s="1"/>
  <c r="Z97" i="46"/>
  <c r="Y97" i="46"/>
  <c r="X97" i="46"/>
  <c r="W97" i="46"/>
  <c r="V97" i="46"/>
  <c r="U97" i="46"/>
  <c r="T97" i="46"/>
  <c r="R97" i="46"/>
  <c r="Q97" i="46"/>
  <c r="P97" i="46"/>
  <c r="N97" i="46"/>
  <c r="M97" i="46"/>
  <c r="O97" i="46" s="1"/>
  <c r="L97" i="46"/>
  <c r="J97" i="46"/>
  <c r="I97" i="46"/>
  <c r="K97" i="46" s="1"/>
  <c r="H97" i="46"/>
  <c r="F97" i="46"/>
  <c r="E97" i="46"/>
  <c r="G97" i="46" s="1"/>
  <c r="D97" i="46"/>
  <c r="AF97" i="46" s="1"/>
  <c r="Z96" i="46"/>
  <c r="Y96" i="46"/>
  <c r="X96" i="46"/>
  <c r="W96" i="46"/>
  <c r="V96" i="46"/>
  <c r="U96" i="46"/>
  <c r="T96" i="46"/>
  <c r="R96" i="46"/>
  <c r="Q96" i="46"/>
  <c r="P96" i="46"/>
  <c r="N96" i="46"/>
  <c r="M96" i="46"/>
  <c r="O96" i="46" s="1"/>
  <c r="L96" i="46"/>
  <c r="J96" i="46"/>
  <c r="I96" i="46"/>
  <c r="K96" i="46" s="1"/>
  <c r="H96" i="46"/>
  <c r="F96" i="46"/>
  <c r="E96" i="46"/>
  <c r="G96" i="46" s="1"/>
  <c r="D96" i="46"/>
  <c r="Z95" i="46"/>
  <c r="Y95" i="46"/>
  <c r="X95" i="46"/>
  <c r="W95" i="46"/>
  <c r="V95" i="46"/>
  <c r="U95" i="46"/>
  <c r="T95" i="46"/>
  <c r="R95" i="46"/>
  <c r="Q95" i="46"/>
  <c r="P95" i="46"/>
  <c r="N95" i="46"/>
  <c r="M95" i="46"/>
  <c r="O95" i="46" s="1"/>
  <c r="L95" i="46"/>
  <c r="J95" i="46"/>
  <c r="I95" i="46"/>
  <c r="K95" i="46" s="1"/>
  <c r="H95" i="46"/>
  <c r="F95" i="46"/>
  <c r="E95" i="46"/>
  <c r="G95" i="46" s="1"/>
  <c r="D95" i="46"/>
  <c r="AG95" i="46" s="1"/>
  <c r="Z94" i="46"/>
  <c r="Y94" i="46"/>
  <c r="X94" i="46"/>
  <c r="W94" i="46"/>
  <c r="V94" i="46"/>
  <c r="U94" i="46"/>
  <c r="T94" i="46"/>
  <c r="R94" i="46"/>
  <c r="Q94" i="46"/>
  <c r="P94" i="46"/>
  <c r="N94" i="46"/>
  <c r="M94" i="46"/>
  <c r="O94" i="46" s="1"/>
  <c r="L94" i="46"/>
  <c r="J94" i="46"/>
  <c r="I94" i="46"/>
  <c r="K94" i="46" s="1"/>
  <c r="H94" i="46"/>
  <c r="F94" i="46"/>
  <c r="E94" i="46"/>
  <c r="G94" i="46" s="1"/>
  <c r="D94" i="46"/>
  <c r="AD94" i="46" s="1"/>
  <c r="Z93" i="46"/>
  <c r="Y93" i="46"/>
  <c r="X93" i="46"/>
  <c r="W93" i="46"/>
  <c r="V93" i="46"/>
  <c r="U93" i="46"/>
  <c r="T93" i="46"/>
  <c r="R93" i="46"/>
  <c r="Q93" i="46"/>
  <c r="P93" i="46"/>
  <c r="N93" i="46"/>
  <c r="M93" i="46"/>
  <c r="O93" i="46" s="1"/>
  <c r="L93" i="46"/>
  <c r="J93" i="46"/>
  <c r="I93" i="46"/>
  <c r="K93" i="46" s="1"/>
  <c r="H93" i="46"/>
  <c r="F93" i="46"/>
  <c r="E93" i="46"/>
  <c r="G93" i="46" s="1"/>
  <c r="D93" i="46"/>
  <c r="AD93" i="46" s="1"/>
  <c r="Z92" i="46"/>
  <c r="Y92" i="46"/>
  <c r="X92" i="46"/>
  <c r="W92" i="46"/>
  <c r="V92" i="46"/>
  <c r="U92" i="46"/>
  <c r="T92" i="46"/>
  <c r="R92" i="46"/>
  <c r="Q92" i="46"/>
  <c r="P92" i="46"/>
  <c r="N92" i="46"/>
  <c r="M92" i="46"/>
  <c r="O92" i="46" s="1"/>
  <c r="L92" i="46"/>
  <c r="J92" i="46"/>
  <c r="I92" i="46"/>
  <c r="K92" i="46" s="1"/>
  <c r="H92" i="46"/>
  <c r="F92" i="46"/>
  <c r="E92" i="46"/>
  <c r="G92" i="46" s="1"/>
  <c r="D92" i="46"/>
  <c r="AG92" i="46" s="1"/>
  <c r="Z91" i="46"/>
  <c r="Y91" i="46"/>
  <c r="X91" i="46"/>
  <c r="W91" i="46"/>
  <c r="V91" i="46"/>
  <c r="U91" i="46"/>
  <c r="T91" i="46"/>
  <c r="R91" i="46"/>
  <c r="Q91" i="46"/>
  <c r="P91" i="46"/>
  <c r="N91" i="46"/>
  <c r="M91" i="46"/>
  <c r="O91" i="46" s="1"/>
  <c r="L91" i="46"/>
  <c r="J91" i="46"/>
  <c r="I91" i="46"/>
  <c r="K91" i="46" s="1"/>
  <c r="H91" i="46"/>
  <c r="F91" i="46"/>
  <c r="E91" i="46"/>
  <c r="G91" i="46" s="1"/>
  <c r="D91" i="46"/>
  <c r="Z90" i="46"/>
  <c r="Y90" i="46"/>
  <c r="X90" i="46"/>
  <c r="W90" i="46"/>
  <c r="V90" i="46"/>
  <c r="U90" i="46"/>
  <c r="T90" i="46"/>
  <c r="R90" i="46"/>
  <c r="Q90" i="46"/>
  <c r="P90" i="46"/>
  <c r="N90" i="46"/>
  <c r="M90" i="46"/>
  <c r="O90" i="46" s="1"/>
  <c r="L90" i="46"/>
  <c r="J90" i="46"/>
  <c r="I90" i="46"/>
  <c r="K90" i="46" s="1"/>
  <c r="H90" i="46"/>
  <c r="F90" i="46"/>
  <c r="E90" i="46"/>
  <c r="G90" i="46" s="1"/>
  <c r="D90" i="46"/>
  <c r="Z89" i="46"/>
  <c r="Y89" i="46"/>
  <c r="X89" i="46"/>
  <c r="W89" i="46"/>
  <c r="V89" i="46"/>
  <c r="U89" i="46"/>
  <c r="T89" i="46"/>
  <c r="R89" i="46"/>
  <c r="Q89" i="46"/>
  <c r="P89" i="46"/>
  <c r="N89" i="46"/>
  <c r="M89" i="46"/>
  <c r="O89" i="46" s="1"/>
  <c r="L89" i="46"/>
  <c r="J89" i="46"/>
  <c r="I89" i="46"/>
  <c r="K89" i="46" s="1"/>
  <c r="H89" i="46"/>
  <c r="F89" i="46"/>
  <c r="E89" i="46"/>
  <c r="G89" i="46" s="1"/>
  <c r="D89" i="46"/>
  <c r="Z88" i="46"/>
  <c r="Y88" i="46"/>
  <c r="X88" i="46"/>
  <c r="W88" i="46"/>
  <c r="V88" i="46"/>
  <c r="U88" i="46"/>
  <c r="T88" i="46"/>
  <c r="R88" i="46"/>
  <c r="Q88" i="46"/>
  <c r="P88" i="46"/>
  <c r="N88" i="46"/>
  <c r="M88" i="46"/>
  <c r="O88" i="46" s="1"/>
  <c r="L88" i="46"/>
  <c r="J88" i="46"/>
  <c r="I88" i="46"/>
  <c r="K88" i="46" s="1"/>
  <c r="H88" i="46"/>
  <c r="F88" i="46"/>
  <c r="E88" i="46"/>
  <c r="G88" i="46" s="1"/>
  <c r="D88" i="46"/>
  <c r="Z87" i="46"/>
  <c r="Y87" i="46"/>
  <c r="X87" i="46"/>
  <c r="W87" i="46"/>
  <c r="V87" i="46"/>
  <c r="U87" i="46"/>
  <c r="T87" i="46"/>
  <c r="R87" i="46"/>
  <c r="Q87" i="46"/>
  <c r="P87" i="46"/>
  <c r="N87" i="46"/>
  <c r="M87" i="46"/>
  <c r="O87" i="46" s="1"/>
  <c r="L87" i="46"/>
  <c r="J87" i="46"/>
  <c r="I87" i="46"/>
  <c r="K87" i="46" s="1"/>
  <c r="H87" i="46"/>
  <c r="F87" i="46"/>
  <c r="E87" i="46"/>
  <c r="G87" i="46" s="1"/>
  <c r="D87" i="46"/>
  <c r="AC87" i="46" s="1"/>
  <c r="Z86" i="46"/>
  <c r="Y86" i="46"/>
  <c r="X86" i="46"/>
  <c r="W86" i="46"/>
  <c r="V86" i="46"/>
  <c r="U86" i="46"/>
  <c r="T86" i="46"/>
  <c r="R86" i="46"/>
  <c r="Q86" i="46"/>
  <c r="P86" i="46"/>
  <c r="N86" i="46"/>
  <c r="M86" i="46"/>
  <c r="O86" i="46" s="1"/>
  <c r="L86" i="46"/>
  <c r="J86" i="46"/>
  <c r="I86" i="46"/>
  <c r="K86" i="46" s="1"/>
  <c r="H86" i="46"/>
  <c r="F86" i="46"/>
  <c r="E86" i="46"/>
  <c r="G86" i="46" s="1"/>
  <c r="D86" i="46"/>
  <c r="Z85" i="46"/>
  <c r="Y85" i="46"/>
  <c r="X85" i="46"/>
  <c r="W85" i="46"/>
  <c r="V85" i="46"/>
  <c r="U85" i="46"/>
  <c r="T85" i="46"/>
  <c r="R85" i="46"/>
  <c r="Q85" i="46"/>
  <c r="P85" i="46"/>
  <c r="N85" i="46"/>
  <c r="M85" i="46"/>
  <c r="O85" i="46" s="1"/>
  <c r="L85" i="46"/>
  <c r="J85" i="46"/>
  <c r="I85" i="46"/>
  <c r="K85" i="46" s="1"/>
  <c r="H85" i="46"/>
  <c r="F85" i="46"/>
  <c r="E85" i="46"/>
  <c r="G85" i="46" s="1"/>
  <c r="D85" i="46"/>
  <c r="AG85" i="46" s="1"/>
  <c r="Z84" i="46"/>
  <c r="Y84" i="46"/>
  <c r="X84" i="46"/>
  <c r="W84" i="46"/>
  <c r="V84" i="46"/>
  <c r="U84" i="46"/>
  <c r="T84" i="46"/>
  <c r="R84" i="46"/>
  <c r="Q84" i="46"/>
  <c r="P84" i="46"/>
  <c r="N84" i="46"/>
  <c r="M84" i="46"/>
  <c r="O84" i="46" s="1"/>
  <c r="L84" i="46"/>
  <c r="J84" i="46"/>
  <c r="I84" i="46"/>
  <c r="K84" i="46" s="1"/>
  <c r="H84" i="46"/>
  <c r="F84" i="46"/>
  <c r="E84" i="46"/>
  <c r="G84" i="46" s="1"/>
  <c r="D84" i="46"/>
  <c r="AF84" i="46" s="1"/>
  <c r="Z83" i="46"/>
  <c r="Y83" i="46"/>
  <c r="X83" i="46"/>
  <c r="W83" i="46"/>
  <c r="V83" i="46"/>
  <c r="U83" i="46"/>
  <c r="T83" i="46"/>
  <c r="R83" i="46"/>
  <c r="Q83" i="46"/>
  <c r="P83" i="46"/>
  <c r="N83" i="46"/>
  <c r="M83" i="46"/>
  <c r="O83" i="46" s="1"/>
  <c r="L83" i="46"/>
  <c r="J83" i="46"/>
  <c r="I83" i="46"/>
  <c r="K83" i="46" s="1"/>
  <c r="H83" i="46"/>
  <c r="F83" i="46"/>
  <c r="E83" i="46"/>
  <c r="G83" i="46" s="1"/>
  <c r="D83" i="46"/>
  <c r="AE83" i="46" s="1"/>
  <c r="Z82" i="46"/>
  <c r="Y82" i="46"/>
  <c r="X82" i="46"/>
  <c r="W82" i="46"/>
  <c r="V82" i="46"/>
  <c r="U82" i="46"/>
  <c r="T82" i="46"/>
  <c r="R82" i="46"/>
  <c r="Q82" i="46"/>
  <c r="P82" i="46"/>
  <c r="N82" i="46"/>
  <c r="M82" i="46"/>
  <c r="O82" i="46" s="1"/>
  <c r="L82" i="46"/>
  <c r="J82" i="46"/>
  <c r="I82" i="46"/>
  <c r="K82" i="46" s="1"/>
  <c r="H82" i="46"/>
  <c r="E82" i="46"/>
  <c r="G82" i="46" s="1"/>
  <c r="F82" i="46"/>
  <c r="D82" i="46"/>
  <c r="AG82" i="46" s="1"/>
  <c r="Z81" i="46"/>
  <c r="Y81" i="46"/>
  <c r="X81" i="46"/>
  <c r="W81" i="46"/>
  <c r="V81" i="46"/>
  <c r="U81" i="46"/>
  <c r="T81" i="46"/>
  <c r="R81" i="46"/>
  <c r="Q81" i="46"/>
  <c r="P81" i="46"/>
  <c r="N81" i="46"/>
  <c r="M81" i="46"/>
  <c r="O81" i="46" s="1"/>
  <c r="L81" i="46"/>
  <c r="J81" i="46"/>
  <c r="I81" i="46"/>
  <c r="K81" i="46" s="1"/>
  <c r="H81" i="46"/>
  <c r="F81" i="46"/>
  <c r="E81" i="46"/>
  <c r="G81" i="46" s="1"/>
  <c r="D81" i="46"/>
  <c r="AF81" i="46" s="1"/>
  <c r="Z80" i="46"/>
  <c r="Y80" i="46"/>
  <c r="X80" i="46"/>
  <c r="W80" i="46"/>
  <c r="V80" i="46"/>
  <c r="U80" i="46"/>
  <c r="T80" i="46"/>
  <c r="R80" i="46"/>
  <c r="Q80" i="46"/>
  <c r="P80" i="46"/>
  <c r="N80" i="46"/>
  <c r="M80" i="46"/>
  <c r="O80" i="46" s="1"/>
  <c r="L80" i="46"/>
  <c r="J80" i="46"/>
  <c r="I80" i="46"/>
  <c r="K80" i="46" s="1"/>
  <c r="H80" i="46"/>
  <c r="F80" i="46"/>
  <c r="E80" i="46"/>
  <c r="G80" i="46" s="1"/>
  <c r="D80" i="46"/>
  <c r="Z79" i="46"/>
  <c r="Y79" i="46"/>
  <c r="X79" i="46"/>
  <c r="W79" i="46"/>
  <c r="V79" i="46"/>
  <c r="U79" i="46"/>
  <c r="T79" i="46"/>
  <c r="R79" i="46"/>
  <c r="Q79" i="46"/>
  <c r="P79" i="46"/>
  <c r="N79" i="46"/>
  <c r="M79" i="46"/>
  <c r="O79" i="46" s="1"/>
  <c r="L79" i="46"/>
  <c r="J79" i="46"/>
  <c r="I79" i="46"/>
  <c r="K79" i="46" s="1"/>
  <c r="H79" i="46"/>
  <c r="F79" i="46"/>
  <c r="E79" i="46"/>
  <c r="G79" i="46" s="1"/>
  <c r="D79" i="46"/>
  <c r="AC79" i="46" s="1"/>
  <c r="Z78" i="46"/>
  <c r="Y78" i="46"/>
  <c r="X78" i="46"/>
  <c r="W78" i="46"/>
  <c r="V78" i="46"/>
  <c r="U78" i="46"/>
  <c r="T78" i="46"/>
  <c r="R78" i="46"/>
  <c r="Q78" i="46"/>
  <c r="P78" i="46"/>
  <c r="N78" i="46"/>
  <c r="M78" i="46"/>
  <c r="O78" i="46" s="1"/>
  <c r="L78" i="46"/>
  <c r="J78" i="46"/>
  <c r="I78" i="46"/>
  <c r="K78" i="46" s="1"/>
  <c r="H78" i="46"/>
  <c r="F78" i="46"/>
  <c r="E78" i="46"/>
  <c r="G78" i="46" s="1"/>
  <c r="D78" i="46"/>
  <c r="Z77" i="46"/>
  <c r="Y77" i="46"/>
  <c r="X77" i="46"/>
  <c r="W77" i="46"/>
  <c r="V77" i="46"/>
  <c r="U77" i="46"/>
  <c r="T77" i="46"/>
  <c r="R77" i="46"/>
  <c r="Q77" i="46"/>
  <c r="P77" i="46"/>
  <c r="M77" i="46"/>
  <c r="O77" i="46" s="1"/>
  <c r="N77" i="46"/>
  <c r="L77" i="46"/>
  <c r="J77" i="46"/>
  <c r="I77" i="46"/>
  <c r="K77" i="46" s="1"/>
  <c r="H77" i="46"/>
  <c r="E77" i="46"/>
  <c r="G77" i="46" s="1"/>
  <c r="F77" i="46"/>
  <c r="D77" i="46"/>
  <c r="AG77" i="46" s="1"/>
  <c r="Z76" i="46"/>
  <c r="Y76" i="46"/>
  <c r="X76" i="46"/>
  <c r="W76" i="46"/>
  <c r="V76" i="46"/>
  <c r="U76" i="46"/>
  <c r="T76" i="46"/>
  <c r="R76" i="46"/>
  <c r="Q76" i="46"/>
  <c r="P76" i="46"/>
  <c r="N76" i="46"/>
  <c r="M76" i="46"/>
  <c r="O76" i="46" s="1"/>
  <c r="L76" i="46"/>
  <c r="J76" i="46"/>
  <c r="I76" i="46"/>
  <c r="K76" i="46" s="1"/>
  <c r="H76" i="46"/>
  <c r="E76" i="46"/>
  <c r="G76" i="46" s="1"/>
  <c r="F76" i="46"/>
  <c r="D76" i="46"/>
  <c r="AB76" i="46" s="1"/>
  <c r="AD76" i="46"/>
  <c r="Z75" i="46"/>
  <c r="Y75" i="46"/>
  <c r="X75" i="46"/>
  <c r="W75" i="46"/>
  <c r="V75" i="46"/>
  <c r="U75" i="46"/>
  <c r="T75" i="46"/>
  <c r="R75" i="46"/>
  <c r="Q75" i="46"/>
  <c r="P75" i="46"/>
  <c r="N75" i="46"/>
  <c r="M75" i="46"/>
  <c r="O75" i="46" s="1"/>
  <c r="L75" i="46"/>
  <c r="J75" i="46"/>
  <c r="I75" i="46"/>
  <c r="K75" i="46" s="1"/>
  <c r="H75" i="46"/>
  <c r="F75" i="46"/>
  <c r="E75" i="46"/>
  <c r="G75" i="46" s="1"/>
  <c r="D75" i="46"/>
  <c r="D74" i="46"/>
  <c r="AD74" i="46" s="1"/>
  <c r="AF74" i="46"/>
  <c r="Z74" i="46"/>
  <c r="Y74" i="46"/>
  <c r="X74" i="46"/>
  <c r="W74" i="46"/>
  <c r="V74" i="46"/>
  <c r="U74" i="46"/>
  <c r="T74" i="46"/>
  <c r="R74" i="46"/>
  <c r="Q74" i="46"/>
  <c r="P74" i="46"/>
  <c r="N74" i="46"/>
  <c r="M74" i="46"/>
  <c r="O74" i="46" s="1"/>
  <c r="L74" i="46"/>
  <c r="J74" i="46"/>
  <c r="I74" i="46"/>
  <c r="K74" i="46" s="1"/>
  <c r="H74" i="46"/>
  <c r="F74" i="46"/>
  <c r="E74" i="46"/>
  <c r="G74" i="46" s="1"/>
  <c r="Z73" i="46"/>
  <c r="Y73" i="46"/>
  <c r="X73" i="46"/>
  <c r="W73" i="46"/>
  <c r="V73" i="46"/>
  <c r="U73" i="46"/>
  <c r="T73" i="46"/>
  <c r="R73" i="46"/>
  <c r="Q73" i="46"/>
  <c r="P73" i="46"/>
  <c r="N73" i="46"/>
  <c r="M73" i="46"/>
  <c r="O73" i="46"/>
  <c r="L73" i="46"/>
  <c r="I73" i="46"/>
  <c r="K73" i="46" s="1"/>
  <c r="J73" i="46"/>
  <c r="H73" i="46"/>
  <c r="F73" i="46"/>
  <c r="E73" i="46"/>
  <c r="G73" i="46"/>
  <c r="D73" i="46"/>
  <c r="AH73" i="46" s="1"/>
  <c r="Z72" i="46"/>
  <c r="Y72" i="46"/>
  <c r="X72" i="46"/>
  <c r="W72" i="46"/>
  <c r="V72" i="46"/>
  <c r="U72" i="46"/>
  <c r="T72" i="46"/>
  <c r="R72" i="46"/>
  <c r="Q72" i="46"/>
  <c r="P72" i="46"/>
  <c r="N72" i="46"/>
  <c r="M72" i="46"/>
  <c r="O72" i="46" s="1"/>
  <c r="L72" i="46"/>
  <c r="J72" i="46"/>
  <c r="I72" i="46"/>
  <c r="K72" i="46" s="1"/>
  <c r="H72" i="46"/>
  <c r="F72" i="46"/>
  <c r="E72" i="46"/>
  <c r="G72" i="46" s="1"/>
  <c r="D72" i="46"/>
  <c r="AD72" i="46" s="1"/>
  <c r="Z71" i="46"/>
  <c r="Y71" i="46"/>
  <c r="X71" i="46"/>
  <c r="W71" i="46"/>
  <c r="V71" i="46"/>
  <c r="U71" i="46"/>
  <c r="T71" i="46"/>
  <c r="R71" i="46"/>
  <c r="Q71" i="46"/>
  <c r="P71" i="46"/>
  <c r="N71" i="46"/>
  <c r="M71" i="46"/>
  <c r="O71" i="46" s="1"/>
  <c r="L71" i="46"/>
  <c r="I71" i="46"/>
  <c r="K71" i="46"/>
  <c r="J71" i="46"/>
  <c r="H71" i="46"/>
  <c r="F71" i="46"/>
  <c r="E71" i="46"/>
  <c r="G71" i="46" s="1"/>
  <c r="D71" i="46"/>
  <c r="AI71" i="46" s="1"/>
  <c r="Z70" i="46"/>
  <c r="Y70" i="46"/>
  <c r="X70" i="46"/>
  <c r="W70" i="46"/>
  <c r="V70" i="46"/>
  <c r="U70" i="46"/>
  <c r="T70" i="46"/>
  <c r="R70" i="46"/>
  <c r="Q70" i="46"/>
  <c r="P70" i="46"/>
  <c r="N70" i="46"/>
  <c r="M70" i="46"/>
  <c r="O70" i="46" s="1"/>
  <c r="L70" i="46"/>
  <c r="J70" i="46"/>
  <c r="I70" i="46"/>
  <c r="K70" i="46" s="1"/>
  <c r="H70" i="46"/>
  <c r="F70" i="46"/>
  <c r="E70" i="46"/>
  <c r="G70" i="46" s="1"/>
  <c r="D70" i="46"/>
  <c r="AC70" i="46" s="1"/>
  <c r="Z69" i="46"/>
  <c r="Y69" i="46"/>
  <c r="X69" i="46"/>
  <c r="W69" i="46"/>
  <c r="V69" i="46"/>
  <c r="U69" i="46"/>
  <c r="T69" i="46"/>
  <c r="R69" i="46"/>
  <c r="Q69" i="46"/>
  <c r="P69" i="46"/>
  <c r="N69" i="46"/>
  <c r="M69" i="46"/>
  <c r="O69" i="46" s="1"/>
  <c r="L69" i="46"/>
  <c r="J69" i="46"/>
  <c r="I69" i="46"/>
  <c r="K69" i="46" s="1"/>
  <c r="H69" i="46"/>
  <c r="F69" i="46"/>
  <c r="E69" i="46"/>
  <c r="G69" i="46" s="1"/>
  <c r="D69" i="46"/>
  <c r="AE69" i="46" s="1"/>
  <c r="Z68" i="46"/>
  <c r="Y68" i="46"/>
  <c r="X68" i="46"/>
  <c r="W68" i="46"/>
  <c r="V68" i="46"/>
  <c r="U68" i="46"/>
  <c r="T68" i="46"/>
  <c r="R68" i="46"/>
  <c r="Q68" i="46"/>
  <c r="P68" i="46"/>
  <c r="M68" i="46"/>
  <c r="O68" i="46" s="1"/>
  <c r="N68" i="46"/>
  <c r="L68" i="46"/>
  <c r="J68" i="46"/>
  <c r="I68" i="46"/>
  <c r="K68" i="46" s="1"/>
  <c r="H68" i="46"/>
  <c r="E68" i="46"/>
  <c r="G68" i="46"/>
  <c r="F68" i="46"/>
  <c r="D68" i="46"/>
  <c r="Z67" i="46"/>
  <c r="Y67" i="46"/>
  <c r="X67" i="46"/>
  <c r="W67" i="46"/>
  <c r="V67" i="46"/>
  <c r="U67" i="46"/>
  <c r="T67" i="46"/>
  <c r="R67" i="46"/>
  <c r="Q67" i="46"/>
  <c r="P67" i="46"/>
  <c r="N67" i="46"/>
  <c r="M67" i="46"/>
  <c r="O67" i="46" s="1"/>
  <c r="L67" i="46"/>
  <c r="J67" i="46"/>
  <c r="I67" i="46"/>
  <c r="K67" i="46" s="1"/>
  <c r="H67" i="46"/>
  <c r="E67" i="46"/>
  <c r="G67" i="46" s="1"/>
  <c r="F67" i="46"/>
  <c r="D67" i="46"/>
  <c r="AE67" i="46" s="1"/>
  <c r="AC67" i="46"/>
  <c r="D66" i="46"/>
  <c r="AC66" i="46" s="1"/>
  <c r="AF66" i="46"/>
  <c r="Z66" i="46"/>
  <c r="Y66" i="46"/>
  <c r="X66" i="46"/>
  <c r="W66" i="46"/>
  <c r="V66" i="46"/>
  <c r="U66" i="46"/>
  <c r="T66" i="46"/>
  <c r="R66" i="46"/>
  <c r="Q66" i="46"/>
  <c r="P66" i="46"/>
  <c r="M66" i="46"/>
  <c r="O66" i="46" s="1"/>
  <c r="N66" i="46"/>
  <c r="L66" i="46"/>
  <c r="J66" i="46"/>
  <c r="I66" i="46"/>
  <c r="K66" i="46"/>
  <c r="H66" i="46"/>
  <c r="F66" i="46"/>
  <c r="E66" i="46"/>
  <c r="G66" i="46" s="1"/>
  <c r="Z65" i="46"/>
  <c r="Y65" i="46"/>
  <c r="X65" i="46"/>
  <c r="W65" i="46"/>
  <c r="V65" i="46"/>
  <c r="U65" i="46"/>
  <c r="T65" i="46"/>
  <c r="R65" i="46"/>
  <c r="Q65" i="46"/>
  <c r="P65" i="46"/>
  <c r="N65" i="46"/>
  <c r="M65" i="46"/>
  <c r="O65" i="46" s="1"/>
  <c r="L65" i="46"/>
  <c r="J65" i="46"/>
  <c r="I65" i="46"/>
  <c r="K65" i="46" s="1"/>
  <c r="H65" i="46"/>
  <c r="F65" i="46"/>
  <c r="E65" i="46"/>
  <c r="G65" i="46" s="1"/>
  <c r="D65" i="46"/>
  <c r="AC65" i="46" s="1"/>
  <c r="Z64" i="46"/>
  <c r="Y64" i="46"/>
  <c r="X64" i="46"/>
  <c r="W64" i="46"/>
  <c r="V64" i="46"/>
  <c r="U64" i="46"/>
  <c r="T64" i="46"/>
  <c r="R64" i="46"/>
  <c r="Q64" i="46"/>
  <c r="P64" i="46"/>
  <c r="M64" i="46"/>
  <c r="O64" i="46" s="1"/>
  <c r="N64" i="46"/>
  <c r="L64" i="46"/>
  <c r="I64" i="46"/>
  <c r="K64" i="46" s="1"/>
  <c r="J64" i="46"/>
  <c r="H64" i="46"/>
  <c r="E64" i="46"/>
  <c r="G64" i="46" s="1"/>
  <c r="F64" i="46"/>
  <c r="D64" i="46"/>
  <c r="D63" i="46"/>
  <c r="AB63" i="46" s="1"/>
  <c r="Z63" i="46"/>
  <c r="Y63" i="46"/>
  <c r="X63" i="46"/>
  <c r="W63" i="46"/>
  <c r="V63" i="46"/>
  <c r="U63" i="46"/>
  <c r="T63" i="46"/>
  <c r="R63" i="46"/>
  <c r="Q63" i="46"/>
  <c r="P63" i="46"/>
  <c r="N63" i="46"/>
  <c r="M63" i="46"/>
  <c r="O63" i="46" s="1"/>
  <c r="L63" i="46"/>
  <c r="J63" i="46"/>
  <c r="I63" i="46"/>
  <c r="K63" i="46" s="1"/>
  <c r="H63" i="46"/>
  <c r="F63" i="46"/>
  <c r="E63" i="46"/>
  <c r="G63" i="46" s="1"/>
  <c r="Z62" i="46"/>
  <c r="Y62" i="46"/>
  <c r="X62" i="46"/>
  <c r="W62" i="46"/>
  <c r="V62" i="46"/>
  <c r="U62" i="46"/>
  <c r="T62" i="46"/>
  <c r="R62" i="46"/>
  <c r="Q62" i="46"/>
  <c r="P62" i="46"/>
  <c r="N62" i="46"/>
  <c r="M62" i="46"/>
  <c r="O62" i="46" s="1"/>
  <c r="L62" i="46"/>
  <c r="I62" i="46"/>
  <c r="K62" i="46" s="1"/>
  <c r="J62" i="46"/>
  <c r="H62" i="46"/>
  <c r="F62" i="46"/>
  <c r="E62" i="46"/>
  <c r="G62" i="46" s="1"/>
  <c r="D62" i="46"/>
  <c r="Z61" i="46"/>
  <c r="Y61" i="46"/>
  <c r="X61" i="46"/>
  <c r="W61" i="46"/>
  <c r="V61" i="46"/>
  <c r="U61" i="46"/>
  <c r="T61" i="46"/>
  <c r="R61" i="46"/>
  <c r="Q61" i="46"/>
  <c r="P61" i="46"/>
  <c r="N61" i="46"/>
  <c r="M61" i="46"/>
  <c r="O61" i="46" s="1"/>
  <c r="L61" i="46"/>
  <c r="J61" i="46"/>
  <c r="I61" i="46"/>
  <c r="K61" i="46" s="1"/>
  <c r="H61" i="46"/>
  <c r="F61" i="46"/>
  <c r="E61" i="46"/>
  <c r="G61" i="46" s="1"/>
  <c r="D61" i="46"/>
  <c r="AI61" i="46" s="1"/>
  <c r="Z60" i="46"/>
  <c r="Y60" i="46"/>
  <c r="X60" i="46"/>
  <c r="W60" i="46"/>
  <c r="V60" i="46"/>
  <c r="U60" i="46"/>
  <c r="T60" i="46"/>
  <c r="R60" i="46"/>
  <c r="Q60" i="46"/>
  <c r="P60" i="46"/>
  <c r="N60" i="46"/>
  <c r="M60" i="46"/>
  <c r="O60" i="46" s="1"/>
  <c r="L60" i="46"/>
  <c r="J60" i="46"/>
  <c r="I60" i="46"/>
  <c r="K60" i="46" s="1"/>
  <c r="H60" i="46"/>
  <c r="E60" i="46"/>
  <c r="G60" i="46" s="1"/>
  <c r="F60" i="46"/>
  <c r="D60" i="46"/>
  <c r="AD60" i="46" s="1"/>
  <c r="D59" i="46"/>
  <c r="Z59" i="46"/>
  <c r="Y59" i="46"/>
  <c r="X59" i="46"/>
  <c r="W59" i="46"/>
  <c r="V59" i="46"/>
  <c r="U59" i="46"/>
  <c r="T59" i="46"/>
  <c r="R59" i="46"/>
  <c r="Q59" i="46"/>
  <c r="P59" i="46"/>
  <c r="N59" i="46"/>
  <c r="M59" i="46"/>
  <c r="O59" i="46" s="1"/>
  <c r="L59" i="46"/>
  <c r="J59" i="46"/>
  <c r="I59" i="46"/>
  <c r="K59" i="46" s="1"/>
  <c r="H59" i="46"/>
  <c r="F59" i="46"/>
  <c r="E59" i="46"/>
  <c r="G59" i="46" s="1"/>
  <c r="Z58" i="46"/>
  <c r="Y58" i="46"/>
  <c r="X58" i="46"/>
  <c r="W58" i="46"/>
  <c r="V58" i="46"/>
  <c r="U58" i="46"/>
  <c r="T58" i="46"/>
  <c r="R58" i="46"/>
  <c r="Q58" i="46"/>
  <c r="P58" i="46"/>
  <c r="N58" i="46"/>
  <c r="M58" i="46"/>
  <c r="O58" i="46" s="1"/>
  <c r="L58" i="46"/>
  <c r="J58" i="46"/>
  <c r="I58" i="46"/>
  <c r="K58" i="46" s="1"/>
  <c r="H58" i="46"/>
  <c r="F58" i="46"/>
  <c r="E58" i="46"/>
  <c r="G58" i="46" s="1"/>
  <c r="D58" i="46"/>
  <c r="AB58" i="46" s="1"/>
  <c r="AE58" i="46"/>
  <c r="Z57" i="46"/>
  <c r="Y57" i="46"/>
  <c r="X57" i="46"/>
  <c r="W57" i="46"/>
  <c r="V57" i="46"/>
  <c r="U57" i="46"/>
  <c r="T57" i="46"/>
  <c r="R57" i="46"/>
  <c r="Q57" i="46"/>
  <c r="P57" i="46"/>
  <c r="N57" i="46"/>
  <c r="M57" i="46"/>
  <c r="O57" i="46" s="1"/>
  <c r="L57" i="46"/>
  <c r="J57" i="46"/>
  <c r="I57" i="46"/>
  <c r="K57" i="46" s="1"/>
  <c r="H57" i="46"/>
  <c r="F57" i="46"/>
  <c r="E57" i="46"/>
  <c r="G57" i="46" s="1"/>
  <c r="D57" i="46"/>
  <c r="AF57" i="46" s="1"/>
  <c r="AC57" i="46"/>
  <c r="Z56" i="46"/>
  <c r="Y56" i="46"/>
  <c r="X56" i="46"/>
  <c r="W56" i="46"/>
  <c r="V56" i="46"/>
  <c r="U56" i="46"/>
  <c r="T56" i="46"/>
  <c r="R56" i="46"/>
  <c r="Q56" i="46"/>
  <c r="P56" i="46"/>
  <c r="N56" i="46"/>
  <c r="M56" i="46"/>
  <c r="O56" i="46" s="1"/>
  <c r="L56" i="46"/>
  <c r="J56" i="46"/>
  <c r="I56" i="46"/>
  <c r="K56" i="46" s="1"/>
  <c r="H56" i="46"/>
  <c r="F56" i="46"/>
  <c r="E56" i="46"/>
  <c r="G56" i="46" s="1"/>
  <c r="D56" i="46"/>
  <c r="AE56" i="46" s="1"/>
  <c r="D55" i="46"/>
  <c r="AB55" i="46" s="1"/>
  <c r="Z55" i="46"/>
  <c r="Y55" i="46"/>
  <c r="X55" i="46"/>
  <c r="W55" i="46"/>
  <c r="V55" i="46"/>
  <c r="U55" i="46"/>
  <c r="T55" i="46"/>
  <c r="R55" i="46"/>
  <c r="Q55" i="46"/>
  <c r="P55" i="46"/>
  <c r="N55" i="46"/>
  <c r="M55" i="46"/>
  <c r="O55" i="46" s="1"/>
  <c r="L55" i="46"/>
  <c r="J55" i="46"/>
  <c r="I55" i="46"/>
  <c r="K55" i="46" s="1"/>
  <c r="H55" i="46"/>
  <c r="F55" i="46"/>
  <c r="E55" i="46"/>
  <c r="G55" i="46" s="1"/>
  <c r="Z54" i="46"/>
  <c r="Y54" i="46"/>
  <c r="X54" i="46"/>
  <c r="W54" i="46"/>
  <c r="V54" i="46"/>
  <c r="U54" i="46"/>
  <c r="T54" i="46"/>
  <c r="R54" i="46"/>
  <c r="Q54" i="46"/>
  <c r="P54" i="46"/>
  <c r="N54" i="46"/>
  <c r="M54" i="46"/>
  <c r="O54" i="46"/>
  <c r="L54" i="46"/>
  <c r="I54" i="46"/>
  <c r="K54" i="46" s="1"/>
  <c r="J54" i="46"/>
  <c r="H54" i="46"/>
  <c r="F54" i="46"/>
  <c r="E54" i="46"/>
  <c r="G54" i="46" s="1"/>
  <c r="D54" i="46"/>
  <c r="Z53" i="46"/>
  <c r="Y53" i="46"/>
  <c r="X53" i="46"/>
  <c r="W53" i="46"/>
  <c r="V53" i="46"/>
  <c r="U53" i="46"/>
  <c r="T53" i="46"/>
  <c r="R53" i="46"/>
  <c r="Q53" i="46"/>
  <c r="P53" i="46"/>
  <c r="N53" i="46"/>
  <c r="M53" i="46"/>
  <c r="O53" i="46" s="1"/>
  <c r="L53" i="46"/>
  <c r="I53" i="46"/>
  <c r="K53" i="46" s="1"/>
  <c r="J53" i="46"/>
  <c r="H53" i="46"/>
  <c r="F53" i="46"/>
  <c r="E53" i="46"/>
  <c r="G53" i="46" s="1"/>
  <c r="D53" i="46"/>
  <c r="AB53" i="46" s="1"/>
  <c r="Z52" i="46"/>
  <c r="Y52" i="46"/>
  <c r="X52" i="46"/>
  <c r="W52" i="46"/>
  <c r="V52" i="46"/>
  <c r="U52" i="46"/>
  <c r="T52" i="46"/>
  <c r="R52" i="46"/>
  <c r="Q52" i="46"/>
  <c r="P52" i="46"/>
  <c r="N52" i="46"/>
  <c r="M52" i="46"/>
  <c r="O52" i="46" s="1"/>
  <c r="L52" i="46"/>
  <c r="J52" i="46"/>
  <c r="I52" i="46"/>
  <c r="K52" i="46" s="1"/>
  <c r="H52" i="46"/>
  <c r="F52" i="46"/>
  <c r="E52" i="46"/>
  <c r="G52" i="46" s="1"/>
  <c r="D52" i="46"/>
  <c r="AG52" i="46"/>
  <c r="D51" i="46"/>
  <c r="AG51" i="46" s="1"/>
  <c r="Z51" i="46"/>
  <c r="Y51" i="46"/>
  <c r="X51" i="46"/>
  <c r="W51" i="46"/>
  <c r="V51" i="46"/>
  <c r="U51" i="46"/>
  <c r="T51" i="46"/>
  <c r="R51" i="46"/>
  <c r="Q51" i="46"/>
  <c r="P51" i="46"/>
  <c r="N51" i="46"/>
  <c r="M51" i="46"/>
  <c r="O51" i="46"/>
  <c r="L51" i="46"/>
  <c r="J51" i="46"/>
  <c r="I51" i="46"/>
  <c r="K51" i="46" s="1"/>
  <c r="H51" i="46"/>
  <c r="F51" i="46"/>
  <c r="E51" i="46"/>
  <c r="G51" i="46"/>
  <c r="Z50" i="46"/>
  <c r="Y50" i="46"/>
  <c r="X50" i="46"/>
  <c r="W50" i="46"/>
  <c r="V50" i="46"/>
  <c r="U50" i="46"/>
  <c r="T50" i="46"/>
  <c r="R50" i="46"/>
  <c r="Q50" i="46"/>
  <c r="P50" i="46"/>
  <c r="N50" i="46"/>
  <c r="M50" i="46"/>
  <c r="O50" i="46" s="1"/>
  <c r="L50" i="46"/>
  <c r="J50" i="46"/>
  <c r="I50" i="46"/>
  <c r="K50" i="46" s="1"/>
  <c r="H50" i="46"/>
  <c r="E50" i="46"/>
  <c r="G50" i="46" s="1"/>
  <c r="F50" i="46"/>
  <c r="D50" i="46"/>
  <c r="Z49" i="46"/>
  <c r="Y49" i="46"/>
  <c r="X49" i="46"/>
  <c r="W49" i="46"/>
  <c r="V49" i="46"/>
  <c r="U49" i="46"/>
  <c r="T49" i="46"/>
  <c r="R49" i="46"/>
  <c r="Q49" i="46"/>
  <c r="P49" i="46"/>
  <c r="M49" i="46"/>
  <c r="O49" i="46" s="1"/>
  <c r="N49" i="46"/>
  <c r="L49" i="46"/>
  <c r="J49" i="46"/>
  <c r="I49" i="46"/>
  <c r="K49" i="46" s="1"/>
  <c r="H49" i="46"/>
  <c r="F49" i="46"/>
  <c r="E49" i="46"/>
  <c r="G49" i="46" s="1"/>
  <c r="D49" i="46"/>
  <c r="Z48" i="46"/>
  <c r="Y48" i="46"/>
  <c r="X48" i="46"/>
  <c r="W48" i="46"/>
  <c r="V48" i="46"/>
  <c r="U48" i="46"/>
  <c r="T48" i="46"/>
  <c r="R48" i="46"/>
  <c r="Q48" i="46"/>
  <c r="P48" i="46"/>
  <c r="N48" i="46"/>
  <c r="M48" i="46"/>
  <c r="O48" i="46" s="1"/>
  <c r="L48" i="46"/>
  <c r="J48" i="46"/>
  <c r="I48" i="46"/>
  <c r="K48" i="46" s="1"/>
  <c r="H48" i="46"/>
  <c r="F48" i="46"/>
  <c r="E48" i="46"/>
  <c r="G48" i="46" s="1"/>
  <c r="D48" i="46"/>
  <c r="Z47" i="46"/>
  <c r="Y47" i="46"/>
  <c r="X47" i="46"/>
  <c r="W47" i="46"/>
  <c r="V47" i="46"/>
  <c r="U47" i="46"/>
  <c r="T47" i="46"/>
  <c r="R47" i="46"/>
  <c r="Q47" i="46"/>
  <c r="P47" i="46"/>
  <c r="N47" i="46"/>
  <c r="M47" i="46"/>
  <c r="O47" i="46" s="1"/>
  <c r="L47" i="46"/>
  <c r="J47" i="46"/>
  <c r="I47" i="46"/>
  <c r="K47" i="46" s="1"/>
  <c r="H47" i="46"/>
  <c r="F47" i="46"/>
  <c r="E47" i="46"/>
  <c r="G47" i="46" s="1"/>
  <c r="D47" i="46"/>
  <c r="Z46" i="46"/>
  <c r="Y46" i="46"/>
  <c r="X46" i="46"/>
  <c r="W46" i="46"/>
  <c r="V46" i="46"/>
  <c r="U46" i="46"/>
  <c r="T46" i="46"/>
  <c r="R46" i="46"/>
  <c r="Q46" i="46"/>
  <c r="P46" i="46"/>
  <c r="N46" i="46"/>
  <c r="M46" i="46"/>
  <c r="O46" i="46" s="1"/>
  <c r="L46" i="46"/>
  <c r="J46" i="46"/>
  <c r="I46" i="46"/>
  <c r="K46" i="46" s="1"/>
  <c r="H46" i="46"/>
  <c r="F46" i="46"/>
  <c r="E46" i="46"/>
  <c r="G46" i="46" s="1"/>
  <c r="D46" i="46"/>
  <c r="AB46" i="46" s="1"/>
  <c r="Z45" i="46"/>
  <c r="Y45" i="46"/>
  <c r="X45" i="46"/>
  <c r="W45" i="46"/>
  <c r="V45" i="46"/>
  <c r="U45" i="46"/>
  <c r="T45" i="46"/>
  <c r="R45" i="46"/>
  <c r="Q45" i="46"/>
  <c r="P45" i="46"/>
  <c r="N45" i="46"/>
  <c r="M45" i="46"/>
  <c r="O45" i="46" s="1"/>
  <c r="L45" i="46"/>
  <c r="J45" i="46"/>
  <c r="I45" i="46"/>
  <c r="K45" i="46" s="1"/>
  <c r="H45" i="46"/>
  <c r="F45" i="46"/>
  <c r="E45" i="46"/>
  <c r="G45" i="46" s="1"/>
  <c r="D45" i="46"/>
  <c r="AB45" i="46" s="1"/>
  <c r="Z44" i="46"/>
  <c r="Y44" i="46"/>
  <c r="X44" i="46"/>
  <c r="W44" i="46"/>
  <c r="V44" i="46"/>
  <c r="U44" i="46"/>
  <c r="T44" i="46"/>
  <c r="R44" i="46"/>
  <c r="Q44" i="46"/>
  <c r="P44" i="46"/>
  <c r="N44" i="46"/>
  <c r="M44" i="46"/>
  <c r="O44" i="46" s="1"/>
  <c r="L44" i="46"/>
  <c r="J44" i="46"/>
  <c r="I44" i="46"/>
  <c r="K44" i="46"/>
  <c r="H44" i="46"/>
  <c r="F44" i="46"/>
  <c r="E44" i="46"/>
  <c r="G44" i="46"/>
  <c r="D44" i="46"/>
  <c r="AE44" i="46" s="1"/>
  <c r="Z43" i="46"/>
  <c r="Y43" i="46"/>
  <c r="X43" i="46"/>
  <c r="W43" i="46"/>
  <c r="V43" i="46"/>
  <c r="U43" i="46"/>
  <c r="T43" i="46"/>
  <c r="R43" i="46"/>
  <c r="Q43" i="46"/>
  <c r="P43" i="46"/>
  <c r="N43" i="46"/>
  <c r="M43" i="46"/>
  <c r="O43" i="46" s="1"/>
  <c r="L43" i="46"/>
  <c r="J43" i="46"/>
  <c r="I43" i="46"/>
  <c r="K43" i="46" s="1"/>
  <c r="H43" i="46"/>
  <c r="F43" i="46"/>
  <c r="E43" i="46"/>
  <c r="G43" i="46" s="1"/>
  <c r="D43" i="46"/>
  <c r="Z42" i="46"/>
  <c r="Y42" i="46"/>
  <c r="X42" i="46"/>
  <c r="W42" i="46"/>
  <c r="V42" i="46"/>
  <c r="U42" i="46"/>
  <c r="T42" i="46"/>
  <c r="R42" i="46"/>
  <c r="Q42" i="46"/>
  <c r="P42" i="46"/>
  <c r="N42" i="46"/>
  <c r="M42" i="46"/>
  <c r="O42" i="46" s="1"/>
  <c r="L42" i="46"/>
  <c r="I42" i="46"/>
  <c r="K42" i="46" s="1"/>
  <c r="J42" i="46"/>
  <c r="H42" i="46"/>
  <c r="F42" i="46"/>
  <c r="E42" i="46"/>
  <c r="G42" i="46" s="1"/>
  <c r="D42" i="46"/>
  <c r="AH42" i="46" s="1"/>
  <c r="D41" i="46"/>
  <c r="Z41" i="46"/>
  <c r="Y41" i="46"/>
  <c r="X41" i="46"/>
  <c r="W41" i="46"/>
  <c r="V41" i="46"/>
  <c r="U41" i="46"/>
  <c r="T41" i="46"/>
  <c r="R41" i="46"/>
  <c r="Q41" i="46"/>
  <c r="P41" i="46"/>
  <c r="N41" i="46"/>
  <c r="M41" i="46"/>
  <c r="O41" i="46" s="1"/>
  <c r="L41" i="46"/>
  <c r="J41" i="46"/>
  <c r="I41" i="46"/>
  <c r="K41" i="46" s="1"/>
  <c r="H41" i="46"/>
  <c r="F41" i="46"/>
  <c r="E41" i="46"/>
  <c r="G41" i="46" s="1"/>
  <c r="Z40" i="46"/>
  <c r="Y40" i="46"/>
  <c r="X40" i="46"/>
  <c r="W40" i="46"/>
  <c r="V40" i="46"/>
  <c r="U40" i="46"/>
  <c r="T40" i="46"/>
  <c r="R40" i="46"/>
  <c r="Q40" i="46"/>
  <c r="P40" i="46"/>
  <c r="N40" i="46"/>
  <c r="M40" i="46"/>
  <c r="O40" i="46" s="1"/>
  <c r="L40" i="46"/>
  <c r="J40" i="46"/>
  <c r="I40" i="46"/>
  <c r="K40" i="46" s="1"/>
  <c r="H40" i="46"/>
  <c r="F40" i="46"/>
  <c r="E40" i="46"/>
  <c r="G40" i="46" s="1"/>
  <c r="D40" i="46"/>
  <c r="D39" i="46"/>
  <c r="AH39" i="46" s="1"/>
  <c r="Z39" i="46"/>
  <c r="Y39" i="46"/>
  <c r="X39" i="46"/>
  <c r="W39" i="46"/>
  <c r="V39" i="46"/>
  <c r="U39" i="46"/>
  <c r="T39" i="46"/>
  <c r="R39" i="46"/>
  <c r="Q39" i="46"/>
  <c r="P39" i="46"/>
  <c r="N39" i="46"/>
  <c r="M39" i="46"/>
  <c r="O39" i="46" s="1"/>
  <c r="L39" i="46"/>
  <c r="J39" i="46"/>
  <c r="I39" i="46"/>
  <c r="K39" i="46" s="1"/>
  <c r="H39" i="46"/>
  <c r="F39" i="46"/>
  <c r="E39" i="46"/>
  <c r="G39" i="46" s="1"/>
  <c r="Z38" i="46"/>
  <c r="Y38" i="46"/>
  <c r="X38" i="46"/>
  <c r="W38" i="46"/>
  <c r="V38" i="46"/>
  <c r="U38" i="46"/>
  <c r="T38" i="46"/>
  <c r="R38" i="46"/>
  <c r="Q38" i="46"/>
  <c r="P38" i="46"/>
  <c r="N38" i="46"/>
  <c r="M38" i="46"/>
  <c r="O38" i="46" s="1"/>
  <c r="L38" i="46"/>
  <c r="J38" i="46"/>
  <c r="I38" i="46"/>
  <c r="K38" i="46" s="1"/>
  <c r="H38" i="46"/>
  <c r="F38" i="46"/>
  <c r="E38" i="46"/>
  <c r="G38" i="46" s="1"/>
  <c r="D38" i="46"/>
  <c r="AE38" i="46" s="1"/>
  <c r="Z37" i="46"/>
  <c r="Y37" i="46"/>
  <c r="X37" i="46"/>
  <c r="W37" i="46"/>
  <c r="V37" i="46"/>
  <c r="U37" i="46"/>
  <c r="T37" i="46"/>
  <c r="R37" i="46"/>
  <c r="Q37" i="46"/>
  <c r="P37" i="46"/>
  <c r="N37" i="46"/>
  <c r="M37" i="46"/>
  <c r="O37" i="46"/>
  <c r="L37" i="46"/>
  <c r="J37" i="46"/>
  <c r="I37" i="46"/>
  <c r="K37" i="46"/>
  <c r="H37" i="46"/>
  <c r="F37" i="46"/>
  <c r="E37" i="46"/>
  <c r="G37" i="46" s="1"/>
  <c r="D37" i="46"/>
  <c r="D36" i="46"/>
  <c r="Z36" i="46"/>
  <c r="Y36" i="46"/>
  <c r="X36" i="46"/>
  <c r="W36" i="46"/>
  <c r="V36" i="46"/>
  <c r="U36" i="46"/>
  <c r="T36" i="46"/>
  <c r="R36" i="46"/>
  <c r="Q36" i="46"/>
  <c r="P36" i="46"/>
  <c r="N36" i="46"/>
  <c r="M36" i="46"/>
  <c r="O36" i="46" s="1"/>
  <c r="L36" i="46"/>
  <c r="J36" i="46"/>
  <c r="I36" i="46"/>
  <c r="K36" i="46" s="1"/>
  <c r="H36" i="46"/>
  <c r="F36" i="46"/>
  <c r="E36" i="46"/>
  <c r="G36" i="46" s="1"/>
  <c r="Z35" i="46"/>
  <c r="Y35" i="46"/>
  <c r="X35" i="46"/>
  <c r="W35" i="46"/>
  <c r="V35" i="46"/>
  <c r="U35" i="46"/>
  <c r="T35" i="46"/>
  <c r="R35" i="46"/>
  <c r="Q35" i="46"/>
  <c r="P35" i="46"/>
  <c r="N35" i="46"/>
  <c r="M35" i="46"/>
  <c r="O35" i="46" s="1"/>
  <c r="L35" i="46"/>
  <c r="J35" i="46"/>
  <c r="I35" i="46"/>
  <c r="K35" i="46" s="1"/>
  <c r="H35" i="46"/>
  <c r="F35" i="46"/>
  <c r="E35" i="46"/>
  <c r="G35" i="46" s="1"/>
  <c r="D35" i="46"/>
  <c r="AH35" i="46" s="1"/>
  <c r="Z34" i="46"/>
  <c r="Y34" i="46"/>
  <c r="X34" i="46"/>
  <c r="W34" i="46"/>
  <c r="V34" i="46"/>
  <c r="U34" i="46"/>
  <c r="T34" i="46"/>
  <c r="R34" i="46"/>
  <c r="Q34" i="46"/>
  <c r="P34" i="46"/>
  <c r="N34" i="46"/>
  <c r="M34" i="46"/>
  <c r="O34" i="46" s="1"/>
  <c r="L34" i="46"/>
  <c r="J34" i="46"/>
  <c r="I34" i="46"/>
  <c r="K34" i="46" s="1"/>
  <c r="H34" i="46"/>
  <c r="F34" i="46"/>
  <c r="E34" i="46"/>
  <c r="G34" i="46" s="1"/>
  <c r="D34" i="46"/>
  <c r="AE34" i="46" s="1"/>
  <c r="AF34" i="46"/>
  <c r="D33" i="46"/>
  <c r="Z33" i="46"/>
  <c r="Y33" i="46"/>
  <c r="X33" i="46"/>
  <c r="W33" i="46"/>
  <c r="V33" i="46"/>
  <c r="U33" i="46"/>
  <c r="T33" i="46"/>
  <c r="R33" i="46"/>
  <c r="Q33" i="46"/>
  <c r="P33" i="46"/>
  <c r="N33" i="46"/>
  <c r="M33" i="46"/>
  <c r="O33" i="46" s="1"/>
  <c r="L33" i="46"/>
  <c r="I33" i="46"/>
  <c r="K33" i="46" s="1"/>
  <c r="J33" i="46"/>
  <c r="H33" i="46"/>
  <c r="F33" i="46"/>
  <c r="E33" i="46"/>
  <c r="G33" i="46" s="1"/>
  <c r="D32" i="46"/>
  <c r="Z32" i="46"/>
  <c r="Y32" i="46"/>
  <c r="X32" i="46"/>
  <c r="W32" i="46"/>
  <c r="V32" i="46"/>
  <c r="U32" i="46"/>
  <c r="T32" i="46"/>
  <c r="R32" i="46"/>
  <c r="Q32" i="46"/>
  <c r="P32" i="46"/>
  <c r="N32" i="46"/>
  <c r="M32" i="46"/>
  <c r="O32" i="46" s="1"/>
  <c r="L32" i="46"/>
  <c r="J32" i="46"/>
  <c r="I32" i="46"/>
  <c r="K32" i="46" s="1"/>
  <c r="H32" i="46"/>
  <c r="F32" i="46"/>
  <c r="E32" i="46"/>
  <c r="G32" i="46" s="1"/>
  <c r="Z31" i="46"/>
  <c r="Y31" i="46"/>
  <c r="X31" i="46"/>
  <c r="W31" i="46"/>
  <c r="V31" i="46"/>
  <c r="U31" i="46"/>
  <c r="T31" i="46"/>
  <c r="R31" i="46"/>
  <c r="Q31" i="46"/>
  <c r="P31" i="46"/>
  <c r="N31" i="46"/>
  <c r="M31" i="46"/>
  <c r="O31" i="46"/>
  <c r="L31" i="46"/>
  <c r="J31" i="46"/>
  <c r="I31" i="46"/>
  <c r="K31" i="46" s="1"/>
  <c r="H31" i="46"/>
  <c r="F31" i="46"/>
  <c r="E31" i="46"/>
  <c r="G31" i="46"/>
  <c r="D31" i="46"/>
  <c r="AG31" i="46" s="1"/>
  <c r="Z30" i="46"/>
  <c r="Y30" i="46"/>
  <c r="X30" i="46"/>
  <c r="W30" i="46"/>
  <c r="V30" i="46"/>
  <c r="U30" i="46"/>
  <c r="T30" i="46"/>
  <c r="R30" i="46"/>
  <c r="Q30" i="46"/>
  <c r="P30" i="46"/>
  <c r="M30" i="46"/>
  <c r="O30" i="46" s="1"/>
  <c r="N30" i="46"/>
  <c r="L30" i="46"/>
  <c r="J30" i="46"/>
  <c r="I30" i="46"/>
  <c r="K30" i="46" s="1"/>
  <c r="H30" i="46"/>
  <c r="E30" i="46"/>
  <c r="G30" i="46" s="1"/>
  <c r="F30" i="46"/>
  <c r="D30" i="46"/>
  <c r="Z29" i="46"/>
  <c r="Y29" i="46"/>
  <c r="X29" i="46"/>
  <c r="W29" i="46"/>
  <c r="V29" i="46"/>
  <c r="U29" i="46"/>
  <c r="T29" i="46"/>
  <c r="R29" i="46"/>
  <c r="Q29" i="46"/>
  <c r="P29" i="46"/>
  <c r="M29" i="46"/>
  <c r="O29" i="46" s="1"/>
  <c r="N29" i="46"/>
  <c r="L29" i="46"/>
  <c r="J29" i="46"/>
  <c r="I29" i="46"/>
  <c r="K29" i="46" s="1"/>
  <c r="H29" i="46"/>
  <c r="E29" i="46"/>
  <c r="G29" i="46" s="1"/>
  <c r="F29" i="46"/>
  <c r="D29" i="46"/>
  <c r="AI29" i="46" s="1"/>
  <c r="Z28" i="46"/>
  <c r="Y28" i="46"/>
  <c r="X28" i="46"/>
  <c r="W28" i="46"/>
  <c r="V28" i="46"/>
  <c r="U28" i="46"/>
  <c r="T28" i="46"/>
  <c r="R28" i="46"/>
  <c r="Q28" i="46"/>
  <c r="P28" i="46"/>
  <c r="N28" i="46"/>
  <c r="M28" i="46"/>
  <c r="O28" i="46" s="1"/>
  <c r="L28" i="46"/>
  <c r="J28" i="46"/>
  <c r="I28" i="46"/>
  <c r="K28" i="46" s="1"/>
  <c r="H28" i="46"/>
  <c r="F28" i="46"/>
  <c r="E28" i="46"/>
  <c r="G28" i="46" s="1"/>
  <c r="D28" i="46"/>
  <c r="AG28" i="46" s="1"/>
  <c r="D27" i="46"/>
  <c r="AH27" i="46" s="1"/>
  <c r="Z27" i="46"/>
  <c r="Y27" i="46"/>
  <c r="X27" i="46"/>
  <c r="W27" i="46"/>
  <c r="V27" i="46"/>
  <c r="U27" i="46"/>
  <c r="T27" i="46"/>
  <c r="R27" i="46"/>
  <c r="Q27" i="46"/>
  <c r="P27" i="46"/>
  <c r="N27" i="46"/>
  <c r="M27" i="46"/>
  <c r="O27" i="46" s="1"/>
  <c r="L27" i="46"/>
  <c r="J27" i="46"/>
  <c r="I27" i="46"/>
  <c r="K27" i="46" s="1"/>
  <c r="H27" i="46"/>
  <c r="F27" i="46"/>
  <c r="E27" i="46"/>
  <c r="G27" i="46" s="1"/>
  <c r="Z26" i="46"/>
  <c r="Y26" i="46"/>
  <c r="X26" i="46"/>
  <c r="W26" i="46"/>
  <c r="V26" i="46"/>
  <c r="U26" i="46"/>
  <c r="T26" i="46"/>
  <c r="R26" i="46"/>
  <c r="Q26" i="46"/>
  <c r="P26" i="46"/>
  <c r="N26" i="46"/>
  <c r="M26" i="46"/>
  <c r="O26" i="46" s="1"/>
  <c r="L26" i="46"/>
  <c r="J26" i="46"/>
  <c r="I26" i="46"/>
  <c r="K26" i="46" s="1"/>
  <c r="H26" i="46"/>
  <c r="F26" i="46"/>
  <c r="E26" i="46"/>
  <c r="G26" i="46" s="1"/>
  <c r="D26" i="46"/>
  <c r="AE26" i="46" s="1"/>
  <c r="Z25" i="46"/>
  <c r="Y25" i="46"/>
  <c r="X25" i="46"/>
  <c r="W25" i="46"/>
  <c r="V25" i="46"/>
  <c r="U25" i="46"/>
  <c r="T25" i="46"/>
  <c r="R25" i="46"/>
  <c r="Q25" i="46"/>
  <c r="P25" i="46"/>
  <c r="N25" i="46"/>
  <c r="M25" i="46"/>
  <c r="O25" i="46" s="1"/>
  <c r="L25" i="46"/>
  <c r="J25" i="46"/>
  <c r="I25" i="46"/>
  <c r="K25" i="46" s="1"/>
  <c r="H25" i="46"/>
  <c r="F25" i="46"/>
  <c r="E25" i="46"/>
  <c r="G25" i="46" s="1"/>
  <c r="D25" i="46"/>
  <c r="AF25" i="46" s="1"/>
  <c r="Z24" i="46"/>
  <c r="Y24" i="46"/>
  <c r="X24" i="46"/>
  <c r="W24" i="46"/>
  <c r="V24" i="46"/>
  <c r="U24" i="46"/>
  <c r="T24" i="46"/>
  <c r="R24" i="46"/>
  <c r="Q24" i="46"/>
  <c r="P24" i="46"/>
  <c r="N24" i="46"/>
  <c r="M24" i="46"/>
  <c r="O24" i="46" s="1"/>
  <c r="L24" i="46"/>
  <c r="J24" i="46"/>
  <c r="I24" i="46"/>
  <c r="K24" i="46" s="1"/>
  <c r="H24" i="46"/>
  <c r="F24" i="46"/>
  <c r="E24" i="46"/>
  <c r="G24" i="46" s="1"/>
  <c r="D24" i="46"/>
  <c r="AB24" i="46" s="1"/>
  <c r="D23" i="46"/>
  <c r="Z23" i="46"/>
  <c r="Y23" i="46"/>
  <c r="X23" i="46"/>
  <c r="W23" i="46"/>
  <c r="V23" i="46"/>
  <c r="U23" i="46"/>
  <c r="T23" i="46"/>
  <c r="R23" i="46"/>
  <c r="Q23" i="46"/>
  <c r="P23" i="46"/>
  <c r="N23" i="46"/>
  <c r="M23" i="46"/>
  <c r="O23" i="46" s="1"/>
  <c r="L23" i="46"/>
  <c r="J23" i="46"/>
  <c r="I23" i="46"/>
  <c r="K23" i="46" s="1"/>
  <c r="H23" i="46"/>
  <c r="F23" i="46"/>
  <c r="E23" i="46"/>
  <c r="G23" i="46" s="1"/>
  <c r="Z22" i="46"/>
  <c r="Y22" i="46"/>
  <c r="X22" i="46"/>
  <c r="W22" i="46"/>
  <c r="V22" i="46"/>
  <c r="U22" i="46"/>
  <c r="T22" i="46"/>
  <c r="R22" i="46"/>
  <c r="Q22" i="46"/>
  <c r="P22" i="46"/>
  <c r="N22" i="46"/>
  <c r="M22" i="46"/>
  <c r="O22" i="46" s="1"/>
  <c r="L22" i="46"/>
  <c r="J22" i="46"/>
  <c r="I22" i="46"/>
  <c r="K22" i="46" s="1"/>
  <c r="H22" i="46"/>
  <c r="F22" i="46"/>
  <c r="E22" i="46"/>
  <c r="G22" i="46" s="1"/>
  <c r="D22" i="46"/>
  <c r="Z21" i="46"/>
  <c r="Y21" i="46"/>
  <c r="X21" i="46"/>
  <c r="W21" i="46"/>
  <c r="V21" i="46"/>
  <c r="U21" i="46"/>
  <c r="T21" i="46"/>
  <c r="R21" i="46"/>
  <c r="Q21" i="46"/>
  <c r="P21" i="46"/>
  <c r="N21" i="46"/>
  <c r="M21" i="46"/>
  <c r="O21" i="46" s="1"/>
  <c r="L21" i="46"/>
  <c r="J21" i="46"/>
  <c r="I21" i="46"/>
  <c r="K21" i="46" s="1"/>
  <c r="H21" i="46"/>
  <c r="E21" i="46"/>
  <c r="G21" i="46" s="1"/>
  <c r="F21" i="46"/>
  <c r="D21" i="46"/>
  <c r="AC21" i="46" s="1"/>
  <c r="D20" i="46"/>
  <c r="AC20" i="46" s="1"/>
  <c r="N20" i="46"/>
  <c r="M20" i="46"/>
  <c r="O20" i="46" s="1"/>
  <c r="J20" i="46"/>
  <c r="I20" i="46"/>
  <c r="F20" i="46"/>
  <c r="E20" i="46"/>
  <c r="D19" i="46"/>
  <c r="N19" i="46"/>
  <c r="M19" i="46"/>
  <c r="O19" i="46" s="1"/>
  <c r="J19" i="46"/>
  <c r="I19" i="46"/>
  <c r="F19" i="46"/>
  <c r="E19" i="46"/>
  <c r="G19" i="46" s="1"/>
  <c r="N18" i="46"/>
  <c r="M18" i="46"/>
  <c r="J18" i="46"/>
  <c r="I18" i="46"/>
  <c r="K18" i="46" s="1"/>
  <c r="F18" i="46"/>
  <c r="W18" i="46" s="1"/>
  <c r="E18" i="46"/>
  <c r="D18" i="46"/>
  <c r="AD18" i="46" s="1"/>
  <c r="N17" i="46"/>
  <c r="M17" i="46"/>
  <c r="AG17" i="46" s="1"/>
  <c r="J17" i="46"/>
  <c r="I17" i="46"/>
  <c r="AD17" i="46" s="1"/>
  <c r="F17" i="46"/>
  <c r="T17" i="46" s="1"/>
  <c r="E17" i="46"/>
  <c r="D17" i="46"/>
  <c r="N16" i="46"/>
  <c r="M16" i="46"/>
  <c r="J16" i="46"/>
  <c r="I16" i="46"/>
  <c r="F16" i="46"/>
  <c r="E16" i="46"/>
  <c r="D16" i="46"/>
  <c r="AI16" i="46" s="1"/>
  <c r="N15" i="46"/>
  <c r="M15" i="46"/>
  <c r="AI15" i="46" s="1"/>
  <c r="J15" i="46"/>
  <c r="K15" i="46" s="1"/>
  <c r="I15" i="46"/>
  <c r="F15" i="46"/>
  <c r="E15" i="46"/>
  <c r="D15" i="46"/>
  <c r="N14" i="46"/>
  <c r="M14" i="46"/>
  <c r="J14" i="46"/>
  <c r="I14" i="46"/>
  <c r="F14" i="46"/>
  <c r="E14" i="46"/>
  <c r="D14" i="46"/>
  <c r="AA14" i="46" s="1"/>
  <c r="N13" i="46"/>
  <c r="AH13" i="46" s="1"/>
  <c r="M13" i="46"/>
  <c r="J13" i="46"/>
  <c r="I13" i="46"/>
  <c r="F13" i="46"/>
  <c r="E13" i="46"/>
  <c r="X13" i="46" s="1"/>
  <c r="H13" i="46" s="1"/>
  <c r="D13" i="46"/>
  <c r="N12" i="46"/>
  <c r="M12" i="46"/>
  <c r="J12" i="46"/>
  <c r="I12" i="46"/>
  <c r="K12" i="46" s="1"/>
  <c r="F12" i="46"/>
  <c r="E12" i="46"/>
  <c r="AA12" i="46" s="1"/>
  <c r="D12" i="46"/>
  <c r="N11" i="46"/>
  <c r="M11" i="46"/>
  <c r="J11" i="46"/>
  <c r="I11" i="46"/>
  <c r="W11" i="46" s="1"/>
  <c r="F11" i="46"/>
  <c r="E11" i="46"/>
  <c r="D11" i="46"/>
  <c r="AH11" i="46" s="1"/>
  <c r="G9" i="45"/>
  <c r="F9" i="45"/>
  <c r="E9" i="45"/>
  <c r="D9" i="45"/>
  <c r="C9" i="45"/>
  <c r="B9" i="45"/>
  <c r="D6" i="45"/>
  <c r="D5" i="45"/>
  <c r="D4" i="45"/>
  <c r="D3" i="45"/>
  <c r="L113" i="44"/>
  <c r="K113" i="44"/>
  <c r="I113" i="44"/>
  <c r="H113" i="44"/>
  <c r="F113" i="44"/>
  <c r="E113" i="44"/>
  <c r="D113" i="44"/>
  <c r="L112" i="44"/>
  <c r="K112" i="44"/>
  <c r="I112" i="44"/>
  <c r="H112" i="44"/>
  <c r="F112" i="44"/>
  <c r="E112" i="44"/>
  <c r="D112" i="44"/>
  <c r="L111" i="44"/>
  <c r="K111" i="44"/>
  <c r="I111" i="44"/>
  <c r="H111" i="44"/>
  <c r="F111" i="44"/>
  <c r="E111" i="44"/>
  <c r="D111" i="44"/>
  <c r="L110" i="44"/>
  <c r="K110" i="44"/>
  <c r="I110" i="44"/>
  <c r="H110" i="44"/>
  <c r="F110" i="44"/>
  <c r="E110" i="44"/>
  <c r="D110" i="44"/>
  <c r="L109" i="44"/>
  <c r="K109" i="44"/>
  <c r="I109" i="44"/>
  <c r="H109" i="44"/>
  <c r="F109" i="44"/>
  <c r="E109" i="44"/>
  <c r="D109" i="44"/>
  <c r="L108" i="44"/>
  <c r="K108" i="44"/>
  <c r="I108" i="44"/>
  <c r="H108" i="44"/>
  <c r="F108" i="44"/>
  <c r="E108" i="44"/>
  <c r="D108" i="44"/>
  <c r="L107" i="44"/>
  <c r="K107" i="44"/>
  <c r="I107" i="44"/>
  <c r="H107" i="44"/>
  <c r="F107" i="44"/>
  <c r="E107" i="44"/>
  <c r="D107" i="44"/>
  <c r="L106" i="44"/>
  <c r="K106" i="44"/>
  <c r="I106" i="44"/>
  <c r="H106" i="44"/>
  <c r="F106" i="44"/>
  <c r="E106" i="44"/>
  <c r="D106" i="44"/>
  <c r="L105" i="44"/>
  <c r="K105" i="44"/>
  <c r="I105" i="44"/>
  <c r="H105" i="44"/>
  <c r="F105" i="44"/>
  <c r="E105" i="44"/>
  <c r="D105" i="44"/>
  <c r="L104" i="44"/>
  <c r="K104" i="44"/>
  <c r="I104" i="44"/>
  <c r="H104" i="44"/>
  <c r="F104" i="44"/>
  <c r="E104" i="44"/>
  <c r="D104" i="44"/>
  <c r="L103" i="44"/>
  <c r="K103" i="44"/>
  <c r="I103" i="44"/>
  <c r="H103" i="44"/>
  <c r="F103" i="44"/>
  <c r="E103" i="44"/>
  <c r="D103" i="44"/>
  <c r="L102" i="44"/>
  <c r="K102" i="44"/>
  <c r="I102" i="44"/>
  <c r="H102" i="44"/>
  <c r="F102" i="44"/>
  <c r="E102" i="44"/>
  <c r="D102" i="44"/>
  <c r="L101" i="44"/>
  <c r="K101" i="44"/>
  <c r="I101" i="44"/>
  <c r="H101" i="44"/>
  <c r="F101" i="44"/>
  <c r="E101" i="44"/>
  <c r="D101" i="44"/>
  <c r="L100" i="44"/>
  <c r="K100" i="44"/>
  <c r="I100" i="44"/>
  <c r="H100" i="44"/>
  <c r="F100" i="44"/>
  <c r="E100" i="44"/>
  <c r="D100" i="44"/>
  <c r="L99" i="44"/>
  <c r="K99" i="44"/>
  <c r="I99" i="44"/>
  <c r="H99" i="44"/>
  <c r="F99" i="44"/>
  <c r="E99" i="44"/>
  <c r="D99" i="44"/>
  <c r="L98" i="44"/>
  <c r="K98" i="44"/>
  <c r="I98" i="44"/>
  <c r="H98" i="44"/>
  <c r="F98" i="44"/>
  <c r="E98" i="44"/>
  <c r="D98" i="44"/>
  <c r="L97" i="44"/>
  <c r="K97" i="44"/>
  <c r="I97" i="44"/>
  <c r="H97" i="44"/>
  <c r="F97" i="44"/>
  <c r="E97" i="44"/>
  <c r="D97" i="44"/>
  <c r="L96" i="44"/>
  <c r="K96" i="44"/>
  <c r="I96" i="44"/>
  <c r="H96" i="44"/>
  <c r="F96" i="44"/>
  <c r="E96" i="44"/>
  <c r="D96" i="44"/>
  <c r="L95" i="44"/>
  <c r="K95" i="44"/>
  <c r="I95" i="44"/>
  <c r="H95" i="44"/>
  <c r="F95" i="44"/>
  <c r="E95" i="44"/>
  <c r="D95" i="44"/>
  <c r="L94" i="44"/>
  <c r="K94" i="44"/>
  <c r="I94" i="44"/>
  <c r="H94" i="44"/>
  <c r="F94" i="44"/>
  <c r="E94" i="44"/>
  <c r="D94" i="44"/>
  <c r="L93" i="44"/>
  <c r="K93" i="44"/>
  <c r="I93" i="44"/>
  <c r="H93" i="44"/>
  <c r="F93" i="44"/>
  <c r="E93" i="44"/>
  <c r="D93" i="44"/>
  <c r="L92" i="44"/>
  <c r="K92" i="44"/>
  <c r="I92" i="44"/>
  <c r="H92" i="44"/>
  <c r="F92" i="44"/>
  <c r="E92" i="44"/>
  <c r="D92" i="44"/>
  <c r="L91" i="44"/>
  <c r="K91" i="44"/>
  <c r="I91" i="44"/>
  <c r="H91" i="44"/>
  <c r="F91" i="44"/>
  <c r="E91" i="44"/>
  <c r="D91" i="44"/>
  <c r="L90" i="44"/>
  <c r="K90" i="44"/>
  <c r="I90" i="44"/>
  <c r="H90" i="44"/>
  <c r="F90" i="44"/>
  <c r="E90" i="44"/>
  <c r="D90" i="44"/>
  <c r="L89" i="44"/>
  <c r="K89" i="44"/>
  <c r="I89" i="44"/>
  <c r="H89" i="44"/>
  <c r="F89" i="44"/>
  <c r="E89" i="44"/>
  <c r="D89" i="44"/>
  <c r="L88" i="44"/>
  <c r="K88" i="44"/>
  <c r="I88" i="44"/>
  <c r="H88" i="44"/>
  <c r="F88" i="44"/>
  <c r="E88" i="44"/>
  <c r="D88" i="44"/>
  <c r="L87" i="44"/>
  <c r="K87" i="44"/>
  <c r="I87" i="44"/>
  <c r="H87" i="44"/>
  <c r="F87" i="44"/>
  <c r="E87" i="44"/>
  <c r="D87" i="44"/>
  <c r="L86" i="44"/>
  <c r="K86" i="44"/>
  <c r="I86" i="44"/>
  <c r="H86" i="44"/>
  <c r="F86" i="44"/>
  <c r="E86" i="44"/>
  <c r="D86" i="44"/>
  <c r="L85" i="44"/>
  <c r="K85" i="44"/>
  <c r="I85" i="44"/>
  <c r="H85" i="44"/>
  <c r="F85" i="44"/>
  <c r="E85" i="44"/>
  <c r="D85" i="44"/>
  <c r="L84" i="44"/>
  <c r="K84" i="44"/>
  <c r="I84" i="44"/>
  <c r="H84" i="44"/>
  <c r="F84" i="44"/>
  <c r="E84" i="44"/>
  <c r="D84" i="44"/>
  <c r="L83" i="44"/>
  <c r="K83" i="44"/>
  <c r="I83" i="44"/>
  <c r="H83" i="44"/>
  <c r="F83" i="44"/>
  <c r="E83" i="44"/>
  <c r="D83" i="44"/>
  <c r="L82" i="44"/>
  <c r="K82" i="44"/>
  <c r="I82" i="44"/>
  <c r="H82" i="44"/>
  <c r="F82" i="44"/>
  <c r="E82" i="44"/>
  <c r="D82" i="44"/>
  <c r="L81" i="44"/>
  <c r="K81" i="44"/>
  <c r="I81" i="44"/>
  <c r="H81" i="44"/>
  <c r="F81" i="44"/>
  <c r="E81" i="44"/>
  <c r="D81" i="44"/>
  <c r="L80" i="44"/>
  <c r="K80" i="44"/>
  <c r="I80" i="44"/>
  <c r="H80" i="44"/>
  <c r="F80" i="44"/>
  <c r="E80" i="44"/>
  <c r="D80" i="44"/>
  <c r="L79" i="44"/>
  <c r="K79" i="44"/>
  <c r="I79" i="44"/>
  <c r="H79" i="44"/>
  <c r="F79" i="44"/>
  <c r="E79" i="44"/>
  <c r="D79" i="44"/>
  <c r="L78" i="44"/>
  <c r="K78" i="44"/>
  <c r="I78" i="44"/>
  <c r="H78" i="44"/>
  <c r="F78" i="44"/>
  <c r="E78" i="44"/>
  <c r="D78" i="44"/>
  <c r="L77" i="44"/>
  <c r="K77" i="44"/>
  <c r="I77" i="44"/>
  <c r="H77" i="44"/>
  <c r="F77" i="44"/>
  <c r="E77" i="44"/>
  <c r="D77" i="44"/>
  <c r="L76" i="44"/>
  <c r="K76" i="44"/>
  <c r="I76" i="44"/>
  <c r="H76" i="44"/>
  <c r="F76" i="44"/>
  <c r="E76" i="44"/>
  <c r="D76" i="44"/>
  <c r="L75" i="44"/>
  <c r="K75" i="44"/>
  <c r="I75" i="44"/>
  <c r="H75" i="44"/>
  <c r="F75" i="44"/>
  <c r="E75" i="44"/>
  <c r="D75" i="44"/>
  <c r="L74" i="44"/>
  <c r="K74" i="44"/>
  <c r="I74" i="44"/>
  <c r="H74" i="44"/>
  <c r="F74" i="44"/>
  <c r="E74" i="44"/>
  <c r="D74" i="44"/>
  <c r="L73" i="44"/>
  <c r="K73" i="44"/>
  <c r="I73" i="44"/>
  <c r="H73" i="44"/>
  <c r="F73" i="44"/>
  <c r="E73" i="44"/>
  <c r="D73" i="44"/>
  <c r="L72" i="44"/>
  <c r="K72" i="44"/>
  <c r="I72" i="44"/>
  <c r="H72" i="44"/>
  <c r="F72" i="44"/>
  <c r="E72" i="44"/>
  <c r="D72" i="44"/>
  <c r="L71" i="44"/>
  <c r="K71" i="44"/>
  <c r="I71" i="44"/>
  <c r="H71" i="44"/>
  <c r="F71" i="44"/>
  <c r="E71" i="44"/>
  <c r="D71" i="44"/>
  <c r="L70" i="44"/>
  <c r="K70" i="44"/>
  <c r="I70" i="44"/>
  <c r="H70" i="44"/>
  <c r="F70" i="44"/>
  <c r="E70" i="44"/>
  <c r="D70" i="44"/>
  <c r="L69" i="44"/>
  <c r="K69" i="44"/>
  <c r="I69" i="44"/>
  <c r="H69" i="44"/>
  <c r="F69" i="44"/>
  <c r="E69" i="44"/>
  <c r="D69" i="44"/>
  <c r="L68" i="44"/>
  <c r="K68" i="44"/>
  <c r="I68" i="44"/>
  <c r="H68" i="44"/>
  <c r="F68" i="44"/>
  <c r="E68" i="44"/>
  <c r="D68" i="44"/>
  <c r="L67" i="44"/>
  <c r="K67" i="44"/>
  <c r="I67" i="44"/>
  <c r="H67" i="44"/>
  <c r="F67" i="44"/>
  <c r="E67" i="44"/>
  <c r="D67" i="44"/>
  <c r="L66" i="44"/>
  <c r="K66" i="44"/>
  <c r="I66" i="44"/>
  <c r="H66" i="44"/>
  <c r="F66" i="44"/>
  <c r="E66" i="44"/>
  <c r="D66" i="44"/>
  <c r="L65" i="44"/>
  <c r="K65" i="44"/>
  <c r="I65" i="44"/>
  <c r="H65" i="44"/>
  <c r="F65" i="44"/>
  <c r="E65" i="44"/>
  <c r="D65" i="44"/>
  <c r="L64" i="44"/>
  <c r="K64" i="44"/>
  <c r="I64" i="44"/>
  <c r="H64" i="44"/>
  <c r="F64" i="44"/>
  <c r="E64" i="44"/>
  <c r="D64" i="44"/>
  <c r="L63" i="44"/>
  <c r="K63" i="44"/>
  <c r="I63" i="44"/>
  <c r="H63" i="44"/>
  <c r="F63" i="44"/>
  <c r="E63" i="44"/>
  <c r="D63" i="44"/>
  <c r="L62" i="44"/>
  <c r="K62" i="44"/>
  <c r="I62" i="44"/>
  <c r="H62" i="44"/>
  <c r="F62" i="44"/>
  <c r="E62" i="44"/>
  <c r="D62" i="44"/>
  <c r="L61" i="44"/>
  <c r="K61" i="44"/>
  <c r="I61" i="44"/>
  <c r="H61" i="44"/>
  <c r="F61" i="44"/>
  <c r="E61" i="44"/>
  <c r="D61" i="44"/>
  <c r="L60" i="44"/>
  <c r="K60" i="44"/>
  <c r="I60" i="44"/>
  <c r="H60" i="44"/>
  <c r="F60" i="44"/>
  <c r="E60" i="44"/>
  <c r="D60" i="44"/>
  <c r="L59" i="44"/>
  <c r="K59" i="44"/>
  <c r="I59" i="44"/>
  <c r="H59" i="44"/>
  <c r="F59" i="44"/>
  <c r="E59" i="44"/>
  <c r="D59" i="44"/>
  <c r="L58" i="44"/>
  <c r="K58" i="44"/>
  <c r="I58" i="44"/>
  <c r="H58" i="44"/>
  <c r="F58" i="44"/>
  <c r="E58" i="44"/>
  <c r="D58" i="44"/>
  <c r="L57" i="44"/>
  <c r="K57" i="44"/>
  <c r="I57" i="44"/>
  <c r="H57" i="44"/>
  <c r="F57" i="44"/>
  <c r="E57" i="44"/>
  <c r="D57" i="44"/>
  <c r="L56" i="44"/>
  <c r="K56" i="44"/>
  <c r="I56" i="44"/>
  <c r="H56" i="44"/>
  <c r="F56" i="44"/>
  <c r="E56" i="44"/>
  <c r="D56" i="44"/>
  <c r="L55" i="44"/>
  <c r="K55" i="44"/>
  <c r="I55" i="44"/>
  <c r="H55" i="44"/>
  <c r="F55" i="44"/>
  <c r="E55" i="44"/>
  <c r="D55" i="44"/>
  <c r="L54" i="44"/>
  <c r="K54" i="44"/>
  <c r="I54" i="44"/>
  <c r="H54" i="44"/>
  <c r="F54" i="44"/>
  <c r="E54" i="44"/>
  <c r="D54" i="44"/>
  <c r="L53" i="44"/>
  <c r="K53" i="44"/>
  <c r="I53" i="44"/>
  <c r="H53" i="44"/>
  <c r="F53" i="44"/>
  <c r="E53" i="44"/>
  <c r="D53" i="44"/>
  <c r="L52" i="44"/>
  <c r="K52" i="44"/>
  <c r="I52" i="44"/>
  <c r="H52" i="44"/>
  <c r="F52" i="44"/>
  <c r="E52" i="44"/>
  <c r="D52" i="44"/>
  <c r="L51" i="44"/>
  <c r="K51" i="44"/>
  <c r="I51" i="44"/>
  <c r="H51" i="44"/>
  <c r="F51" i="44"/>
  <c r="E51" i="44"/>
  <c r="D51" i="44"/>
  <c r="L50" i="44"/>
  <c r="K50" i="44"/>
  <c r="I50" i="44"/>
  <c r="H50" i="44"/>
  <c r="F50" i="44"/>
  <c r="E50" i="44"/>
  <c r="D50" i="44"/>
  <c r="L49" i="44"/>
  <c r="K49" i="44"/>
  <c r="I49" i="44"/>
  <c r="H49" i="44"/>
  <c r="F49" i="44"/>
  <c r="E49" i="44"/>
  <c r="D49" i="44"/>
  <c r="L48" i="44"/>
  <c r="K48" i="44"/>
  <c r="I48" i="44"/>
  <c r="H48" i="44"/>
  <c r="F48" i="44"/>
  <c r="E48" i="44"/>
  <c r="D48" i="44"/>
  <c r="L47" i="44"/>
  <c r="K47" i="44"/>
  <c r="I47" i="44"/>
  <c r="H47" i="44"/>
  <c r="F47" i="44"/>
  <c r="E47" i="44"/>
  <c r="D47" i="44"/>
  <c r="L46" i="44"/>
  <c r="K46" i="44"/>
  <c r="I46" i="44"/>
  <c r="H46" i="44"/>
  <c r="F46" i="44"/>
  <c r="E46" i="44"/>
  <c r="D46" i="44"/>
  <c r="L45" i="44"/>
  <c r="K45" i="44"/>
  <c r="I45" i="44"/>
  <c r="H45" i="44"/>
  <c r="F45" i="44"/>
  <c r="E45" i="44"/>
  <c r="D45" i="44"/>
  <c r="L44" i="44"/>
  <c r="K44" i="44"/>
  <c r="I44" i="44"/>
  <c r="H44" i="44"/>
  <c r="F44" i="44"/>
  <c r="E44" i="44"/>
  <c r="D44" i="44"/>
  <c r="L43" i="44"/>
  <c r="K43" i="44"/>
  <c r="I43" i="44"/>
  <c r="H43" i="44"/>
  <c r="F43" i="44"/>
  <c r="E43" i="44"/>
  <c r="D43" i="44"/>
  <c r="L42" i="44"/>
  <c r="K42" i="44"/>
  <c r="I42" i="44"/>
  <c r="H42" i="44"/>
  <c r="F42" i="44"/>
  <c r="E42" i="44"/>
  <c r="D42" i="44"/>
  <c r="L41" i="44"/>
  <c r="K41" i="44"/>
  <c r="I41" i="44"/>
  <c r="H41" i="44"/>
  <c r="F41" i="44"/>
  <c r="E41" i="44"/>
  <c r="D41" i="44"/>
  <c r="L40" i="44"/>
  <c r="K40" i="44"/>
  <c r="I40" i="44"/>
  <c r="H40" i="44"/>
  <c r="F40" i="44"/>
  <c r="E40" i="44"/>
  <c r="D40" i="44"/>
  <c r="L39" i="44"/>
  <c r="K39" i="44"/>
  <c r="I39" i="44"/>
  <c r="H39" i="44"/>
  <c r="F39" i="44"/>
  <c r="E39" i="44"/>
  <c r="D39" i="44"/>
  <c r="L38" i="44"/>
  <c r="K38" i="44"/>
  <c r="I38" i="44"/>
  <c r="H38" i="44"/>
  <c r="F38" i="44"/>
  <c r="E38" i="44"/>
  <c r="D38" i="44"/>
  <c r="L37" i="44"/>
  <c r="K37" i="44"/>
  <c r="I37" i="44"/>
  <c r="H37" i="44"/>
  <c r="F37" i="44"/>
  <c r="E37" i="44"/>
  <c r="D37" i="44"/>
  <c r="L36" i="44"/>
  <c r="K36" i="44"/>
  <c r="I36" i="44"/>
  <c r="H36" i="44"/>
  <c r="F36" i="44"/>
  <c r="E36" i="44"/>
  <c r="D36" i="44"/>
  <c r="L35" i="44"/>
  <c r="K35" i="44"/>
  <c r="I35" i="44"/>
  <c r="H35" i="44"/>
  <c r="F35" i="44"/>
  <c r="E35" i="44"/>
  <c r="D35" i="44"/>
  <c r="L34" i="44"/>
  <c r="K34" i="44"/>
  <c r="I34" i="44"/>
  <c r="H34" i="44"/>
  <c r="F34" i="44"/>
  <c r="E34" i="44"/>
  <c r="D34" i="44"/>
  <c r="L33" i="44"/>
  <c r="K33" i="44"/>
  <c r="I33" i="44"/>
  <c r="H33" i="44"/>
  <c r="F33" i="44"/>
  <c r="E33" i="44"/>
  <c r="D33" i="44"/>
  <c r="L32" i="44"/>
  <c r="K32" i="44"/>
  <c r="I32" i="44"/>
  <c r="H32" i="44"/>
  <c r="F32" i="44"/>
  <c r="E32" i="44"/>
  <c r="D32" i="44"/>
  <c r="L31" i="44"/>
  <c r="K31" i="44"/>
  <c r="I31" i="44"/>
  <c r="H31" i="44"/>
  <c r="F31" i="44"/>
  <c r="E31" i="44"/>
  <c r="D31" i="44"/>
  <c r="L30" i="44"/>
  <c r="K30" i="44"/>
  <c r="I30" i="44"/>
  <c r="H30" i="44"/>
  <c r="F30" i="44"/>
  <c r="E30" i="44"/>
  <c r="D30" i="44"/>
  <c r="L29" i="44"/>
  <c r="K29" i="44"/>
  <c r="I29" i="44"/>
  <c r="H29" i="44"/>
  <c r="F29" i="44"/>
  <c r="E29" i="44"/>
  <c r="D29" i="44"/>
  <c r="L28" i="44"/>
  <c r="K28" i="44"/>
  <c r="I28" i="44"/>
  <c r="H28" i="44"/>
  <c r="F28" i="44"/>
  <c r="E28" i="44"/>
  <c r="D28" i="44"/>
  <c r="L27" i="44"/>
  <c r="K27" i="44"/>
  <c r="I27" i="44"/>
  <c r="H27" i="44"/>
  <c r="F27" i="44"/>
  <c r="E27" i="44"/>
  <c r="D27" i="44"/>
  <c r="L26" i="44"/>
  <c r="K26" i="44"/>
  <c r="I26" i="44"/>
  <c r="H26" i="44"/>
  <c r="F26" i="44"/>
  <c r="E26" i="44"/>
  <c r="D26" i="44"/>
  <c r="L25" i="44"/>
  <c r="K25" i="44"/>
  <c r="I25" i="44"/>
  <c r="H25" i="44"/>
  <c r="F25" i="44"/>
  <c r="E25" i="44"/>
  <c r="D25" i="44"/>
  <c r="L24" i="44"/>
  <c r="K24" i="44"/>
  <c r="I24" i="44"/>
  <c r="H24" i="44"/>
  <c r="F24" i="44"/>
  <c r="E24" i="44"/>
  <c r="D24" i="44"/>
  <c r="L23" i="44"/>
  <c r="K23" i="44"/>
  <c r="I23" i="44"/>
  <c r="H23" i="44"/>
  <c r="F23" i="44"/>
  <c r="E23" i="44"/>
  <c r="D23" i="44"/>
  <c r="L22" i="44"/>
  <c r="K22" i="44"/>
  <c r="I22" i="44"/>
  <c r="H22" i="44"/>
  <c r="F22" i="44"/>
  <c r="E22" i="44"/>
  <c r="D22" i="44"/>
  <c r="L21" i="44"/>
  <c r="K21" i="44"/>
  <c r="I21" i="44"/>
  <c r="H21" i="44"/>
  <c r="F21" i="44"/>
  <c r="E21" i="44"/>
  <c r="D21" i="44"/>
  <c r="L20" i="44"/>
  <c r="K20" i="44"/>
  <c r="I20" i="44"/>
  <c r="H20" i="44"/>
  <c r="F20" i="44"/>
  <c r="E20" i="44"/>
  <c r="D20" i="44"/>
  <c r="L19" i="44"/>
  <c r="K19" i="44"/>
  <c r="I19" i="44"/>
  <c r="H19" i="44"/>
  <c r="F19" i="44"/>
  <c r="E19" i="44"/>
  <c r="D19" i="44"/>
  <c r="L18" i="44"/>
  <c r="K18" i="44"/>
  <c r="I18" i="44"/>
  <c r="H18" i="44"/>
  <c r="F18" i="44"/>
  <c r="E18" i="44"/>
  <c r="D18" i="44"/>
  <c r="L17" i="44"/>
  <c r="K17" i="44"/>
  <c r="I17" i="44"/>
  <c r="H17" i="44"/>
  <c r="F17" i="44"/>
  <c r="E17" i="44"/>
  <c r="D17" i="44"/>
  <c r="L16" i="44"/>
  <c r="K16" i="44"/>
  <c r="I16" i="44"/>
  <c r="H16" i="44"/>
  <c r="F16" i="44"/>
  <c r="E16" i="44"/>
  <c r="D16" i="44"/>
  <c r="L15" i="44"/>
  <c r="K15" i="44"/>
  <c r="I15" i="44"/>
  <c r="H15" i="44"/>
  <c r="F15" i="44"/>
  <c r="E15" i="44"/>
  <c r="D15" i="44"/>
  <c r="L14" i="44"/>
  <c r="K14" i="44"/>
  <c r="I14" i="44"/>
  <c r="H14" i="44"/>
  <c r="F14" i="44"/>
  <c r="E14" i="44"/>
  <c r="D14" i="44"/>
  <c r="K12" i="44"/>
  <c r="H12" i="44"/>
  <c r="E12" i="44"/>
  <c r="I9" i="44"/>
  <c r="D9" i="44"/>
  <c r="I8" i="44"/>
  <c r="D8" i="44"/>
  <c r="I7" i="44"/>
  <c r="I6" i="44"/>
  <c r="N113" i="43"/>
  <c r="N113" i="44" s="1"/>
  <c r="M113" i="43"/>
  <c r="M113" i="44" s="1"/>
  <c r="N112" i="43"/>
  <c r="N112" i="44" s="1"/>
  <c r="M112" i="43"/>
  <c r="M112" i="44" s="1"/>
  <c r="N111" i="43"/>
  <c r="N111" i="44" s="1"/>
  <c r="M111" i="43"/>
  <c r="M111" i="44" s="1"/>
  <c r="N110" i="43"/>
  <c r="N110" i="44" s="1"/>
  <c r="M110" i="43"/>
  <c r="M110" i="44" s="1"/>
  <c r="N109" i="43"/>
  <c r="N109" i="44" s="1"/>
  <c r="M109" i="43"/>
  <c r="M109" i="44" s="1"/>
  <c r="N108" i="43"/>
  <c r="N108" i="44" s="1"/>
  <c r="M108" i="43"/>
  <c r="M108" i="44" s="1"/>
  <c r="N107" i="43"/>
  <c r="N107" i="44" s="1"/>
  <c r="M107" i="43"/>
  <c r="M107" i="44" s="1"/>
  <c r="N106" i="43"/>
  <c r="N106" i="44" s="1"/>
  <c r="M106" i="43"/>
  <c r="M106" i="44" s="1"/>
  <c r="N105" i="43"/>
  <c r="N105" i="44" s="1"/>
  <c r="M105" i="43"/>
  <c r="M105" i="44" s="1"/>
  <c r="N104" i="43"/>
  <c r="N104" i="44" s="1"/>
  <c r="M104" i="43"/>
  <c r="M104" i="44" s="1"/>
  <c r="N103" i="43"/>
  <c r="N103" i="44" s="1"/>
  <c r="M103" i="43"/>
  <c r="M103" i="44" s="1"/>
  <c r="N102" i="43"/>
  <c r="N102" i="44" s="1"/>
  <c r="M102" i="43"/>
  <c r="M102" i="44" s="1"/>
  <c r="N101" i="43"/>
  <c r="N101" i="44" s="1"/>
  <c r="M101" i="43"/>
  <c r="M101" i="44" s="1"/>
  <c r="N100" i="43"/>
  <c r="N100" i="44" s="1"/>
  <c r="M100" i="43"/>
  <c r="M100" i="44" s="1"/>
  <c r="N99" i="43"/>
  <c r="N99" i="44" s="1"/>
  <c r="M99" i="43"/>
  <c r="M99" i="44" s="1"/>
  <c r="N98" i="43"/>
  <c r="N98" i="44" s="1"/>
  <c r="M98" i="43"/>
  <c r="M98" i="44" s="1"/>
  <c r="N97" i="43"/>
  <c r="N97" i="44" s="1"/>
  <c r="M97" i="43"/>
  <c r="M97" i="44" s="1"/>
  <c r="N96" i="43"/>
  <c r="N96" i="44" s="1"/>
  <c r="M96" i="43"/>
  <c r="M96" i="44" s="1"/>
  <c r="N95" i="43"/>
  <c r="N95" i="44" s="1"/>
  <c r="M95" i="43"/>
  <c r="M95" i="44" s="1"/>
  <c r="N94" i="43"/>
  <c r="N94" i="44" s="1"/>
  <c r="M94" i="43"/>
  <c r="M94" i="44" s="1"/>
  <c r="N93" i="43"/>
  <c r="N93" i="44" s="1"/>
  <c r="M93" i="43"/>
  <c r="M93" i="44" s="1"/>
  <c r="N92" i="43"/>
  <c r="N92" i="44" s="1"/>
  <c r="M92" i="43"/>
  <c r="M92" i="44" s="1"/>
  <c r="N91" i="43"/>
  <c r="N91" i="44" s="1"/>
  <c r="M91" i="43"/>
  <c r="M91" i="44" s="1"/>
  <c r="N90" i="43"/>
  <c r="N90" i="44" s="1"/>
  <c r="M90" i="43"/>
  <c r="M90" i="44" s="1"/>
  <c r="N89" i="43"/>
  <c r="N89" i="44" s="1"/>
  <c r="M89" i="43"/>
  <c r="M89" i="44" s="1"/>
  <c r="N88" i="43"/>
  <c r="N88" i="44" s="1"/>
  <c r="M88" i="43"/>
  <c r="M88" i="44" s="1"/>
  <c r="N87" i="43"/>
  <c r="N87" i="44" s="1"/>
  <c r="M87" i="43"/>
  <c r="M87" i="44" s="1"/>
  <c r="N86" i="43"/>
  <c r="N86" i="44" s="1"/>
  <c r="M86" i="43"/>
  <c r="M86" i="44" s="1"/>
  <c r="N85" i="43"/>
  <c r="N85" i="44" s="1"/>
  <c r="M85" i="43"/>
  <c r="M85" i="44" s="1"/>
  <c r="N84" i="43"/>
  <c r="N84" i="44" s="1"/>
  <c r="M84" i="43"/>
  <c r="M84" i="44" s="1"/>
  <c r="N83" i="43"/>
  <c r="N83" i="44" s="1"/>
  <c r="M83" i="43"/>
  <c r="M83" i="44" s="1"/>
  <c r="N82" i="43"/>
  <c r="N82" i="44" s="1"/>
  <c r="M82" i="43"/>
  <c r="M82" i="44" s="1"/>
  <c r="N81" i="43"/>
  <c r="N81" i="44" s="1"/>
  <c r="M81" i="43"/>
  <c r="M81" i="44" s="1"/>
  <c r="N80" i="43"/>
  <c r="N80" i="44" s="1"/>
  <c r="M80" i="43"/>
  <c r="M80" i="44" s="1"/>
  <c r="N79" i="43"/>
  <c r="N79" i="44" s="1"/>
  <c r="M79" i="43"/>
  <c r="M79" i="44" s="1"/>
  <c r="N78" i="43"/>
  <c r="N78" i="44" s="1"/>
  <c r="M78" i="43"/>
  <c r="M78" i="44" s="1"/>
  <c r="N77" i="43"/>
  <c r="N77" i="44" s="1"/>
  <c r="M77" i="43"/>
  <c r="M77" i="44" s="1"/>
  <c r="N76" i="43"/>
  <c r="N76" i="44" s="1"/>
  <c r="M76" i="43"/>
  <c r="M76" i="44" s="1"/>
  <c r="N75" i="43"/>
  <c r="N75" i="44" s="1"/>
  <c r="M75" i="43"/>
  <c r="M75" i="44" s="1"/>
  <c r="N74" i="43"/>
  <c r="N74" i="44" s="1"/>
  <c r="M74" i="43"/>
  <c r="M74" i="44" s="1"/>
  <c r="N73" i="43"/>
  <c r="N73" i="44" s="1"/>
  <c r="M73" i="43"/>
  <c r="M73" i="44" s="1"/>
  <c r="N72" i="43"/>
  <c r="N72" i="44" s="1"/>
  <c r="M72" i="43"/>
  <c r="M72" i="44" s="1"/>
  <c r="N71" i="43"/>
  <c r="N71" i="44" s="1"/>
  <c r="M71" i="43"/>
  <c r="M71" i="44" s="1"/>
  <c r="N70" i="43"/>
  <c r="N70" i="44" s="1"/>
  <c r="M70" i="43"/>
  <c r="M70" i="44" s="1"/>
  <c r="N69" i="43"/>
  <c r="N69" i="44" s="1"/>
  <c r="M69" i="43"/>
  <c r="M69" i="44" s="1"/>
  <c r="N68" i="43"/>
  <c r="N68" i="44" s="1"/>
  <c r="M68" i="43"/>
  <c r="M68" i="44" s="1"/>
  <c r="N67" i="43"/>
  <c r="N67" i="44" s="1"/>
  <c r="M67" i="43"/>
  <c r="M67" i="44" s="1"/>
  <c r="N66" i="43"/>
  <c r="N66" i="44" s="1"/>
  <c r="M66" i="43"/>
  <c r="M66" i="44" s="1"/>
  <c r="N65" i="43"/>
  <c r="N65" i="44" s="1"/>
  <c r="M65" i="43"/>
  <c r="M65" i="44" s="1"/>
  <c r="N64" i="43"/>
  <c r="N64" i="44" s="1"/>
  <c r="M64" i="43"/>
  <c r="M64" i="44" s="1"/>
  <c r="N63" i="43"/>
  <c r="N63" i="44" s="1"/>
  <c r="M63" i="43"/>
  <c r="M63" i="44" s="1"/>
  <c r="N62" i="43"/>
  <c r="N62" i="44" s="1"/>
  <c r="M62" i="43"/>
  <c r="M62" i="44" s="1"/>
  <c r="N61" i="43"/>
  <c r="N61" i="44" s="1"/>
  <c r="M61" i="43"/>
  <c r="M61" i="44" s="1"/>
  <c r="N60" i="43"/>
  <c r="N60" i="44" s="1"/>
  <c r="M60" i="43"/>
  <c r="M60" i="44" s="1"/>
  <c r="N59" i="43"/>
  <c r="N59" i="44" s="1"/>
  <c r="M59" i="43"/>
  <c r="M59" i="44" s="1"/>
  <c r="N58" i="43"/>
  <c r="N58" i="44" s="1"/>
  <c r="M58" i="43"/>
  <c r="M58" i="44" s="1"/>
  <c r="N57" i="43"/>
  <c r="N57" i="44" s="1"/>
  <c r="M57" i="43"/>
  <c r="M57" i="44" s="1"/>
  <c r="N56" i="43"/>
  <c r="N56" i="44" s="1"/>
  <c r="M56" i="43"/>
  <c r="M56" i="44" s="1"/>
  <c r="N55" i="43"/>
  <c r="N55" i="44" s="1"/>
  <c r="M55" i="43"/>
  <c r="M55" i="44" s="1"/>
  <c r="N54" i="43"/>
  <c r="N54" i="44" s="1"/>
  <c r="M54" i="43"/>
  <c r="M54" i="44" s="1"/>
  <c r="N53" i="43"/>
  <c r="N53" i="44" s="1"/>
  <c r="M53" i="43"/>
  <c r="M53" i="44" s="1"/>
  <c r="N52" i="43"/>
  <c r="N52" i="44" s="1"/>
  <c r="M52" i="43"/>
  <c r="M52" i="44" s="1"/>
  <c r="N51" i="43"/>
  <c r="N51" i="44" s="1"/>
  <c r="M51" i="43"/>
  <c r="M51" i="44" s="1"/>
  <c r="N50" i="43"/>
  <c r="N50" i="44" s="1"/>
  <c r="M50" i="43"/>
  <c r="M50" i="44" s="1"/>
  <c r="N49" i="43"/>
  <c r="N49" i="44" s="1"/>
  <c r="M49" i="43"/>
  <c r="M49" i="44" s="1"/>
  <c r="N48" i="43"/>
  <c r="N48" i="44" s="1"/>
  <c r="M48" i="43"/>
  <c r="M48" i="44" s="1"/>
  <c r="N47" i="43"/>
  <c r="N47" i="44" s="1"/>
  <c r="M47" i="43"/>
  <c r="M47" i="44" s="1"/>
  <c r="N46" i="43"/>
  <c r="N46" i="44" s="1"/>
  <c r="M46" i="43"/>
  <c r="M46" i="44" s="1"/>
  <c r="N45" i="43"/>
  <c r="N45" i="44" s="1"/>
  <c r="M45" i="43"/>
  <c r="M45" i="44" s="1"/>
  <c r="N44" i="43"/>
  <c r="N44" i="44" s="1"/>
  <c r="M44" i="43"/>
  <c r="M44" i="44" s="1"/>
  <c r="N43" i="43"/>
  <c r="N43" i="44" s="1"/>
  <c r="M43" i="43"/>
  <c r="M43" i="44" s="1"/>
  <c r="N42" i="43"/>
  <c r="N42" i="44" s="1"/>
  <c r="M42" i="43"/>
  <c r="M42" i="44" s="1"/>
  <c r="N41" i="43"/>
  <c r="N41" i="44" s="1"/>
  <c r="M41" i="43"/>
  <c r="M41" i="44" s="1"/>
  <c r="N40" i="43"/>
  <c r="N40" i="44" s="1"/>
  <c r="M40" i="43"/>
  <c r="M40" i="44" s="1"/>
  <c r="N39" i="43"/>
  <c r="N39" i="44" s="1"/>
  <c r="M39" i="43"/>
  <c r="M39" i="44" s="1"/>
  <c r="N38" i="43"/>
  <c r="N38" i="44" s="1"/>
  <c r="M38" i="43"/>
  <c r="M38" i="44" s="1"/>
  <c r="N37" i="43"/>
  <c r="N37" i="44" s="1"/>
  <c r="M37" i="43"/>
  <c r="M37" i="44" s="1"/>
  <c r="N36" i="43"/>
  <c r="N36" i="44" s="1"/>
  <c r="M36" i="43"/>
  <c r="M36" i="44" s="1"/>
  <c r="N35" i="43"/>
  <c r="N35" i="44" s="1"/>
  <c r="M35" i="43"/>
  <c r="M35" i="44" s="1"/>
  <c r="N34" i="43"/>
  <c r="N34" i="44" s="1"/>
  <c r="M34" i="43"/>
  <c r="M34" i="44" s="1"/>
  <c r="N33" i="43"/>
  <c r="N33" i="44" s="1"/>
  <c r="M33" i="43"/>
  <c r="M33" i="44" s="1"/>
  <c r="N32" i="43"/>
  <c r="N32" i="44" s="1"/>
  <c r="M32" i="43"/>
  <c r="M32" i="44" s="1"/>
  <c r="N31" i="43"/>
  <c r="N31" i="44" s="1"/>
  <c r="M31" i="43"/>
  <c r="M31" i="44" s="1"/>
  <c r="N30" i="43"/>
  <c r="N30" i="44" s="1"/>
  <c r="M30" i="43"/>
  <c r="M30" i="44" s="1"/>
  <c r="N29" i="43"/>
  <c r="N29" i="44" s="1"/>
  <c r="M29" i="43"/>
  <c r="M29" i="44" s="1"/>
  <c r="N28" i="43"/>
  <c r="N28" i="44" s="1"/>
  <c r="M28" i="43"/>
  <c r="M28" i="44" s="1"/>
  <c r="N27" i="43"/>
  <c r="N27" i="44" s="1"/>
  <c r="M27" i="43"/>
  <c r="M27" i="44" s="1"/>
  <c r="N26" i="43"/>
  <c r="N26" i="44" s="1"/>
  <c r="M26" i="43"/>
  <c r="M26" i="44" s="1"/>
  <c r="N25" i="43"/>
  <c r="N25" i="44" s="1"/>
  <c r="M25" i="43"/>
  <c r="M25" i="44" s="1"/>
  <c r="N24" i="43"/>
  <c r="N24" i="44" s="1"/>
  <c r="M24" i="43"/>
  <c r="M24" i="44" s="1"/>
  <c r="D51" i="42"/>
  <c r="D50" i="42"/>
  <c r="D49" i="42"/>
  <c r="H84" i="39"/>
  <c r="G84" i="39"/>
  <c r="F84" i="39"/>
  <c r="E84" i="39"/>
  <c r="D84" i="39"/>
  <c r="H83" i="39"/>
  <c r="G83" i="39"/>
  <c r="F83" i="39"/>
  <c r="E83" i="39"/>
  <c r="D83" i="39"/>
  <c r="H82" i="39"/>
  <c r="G82" i="39"/>
  <c r="F82" i="39"/>
  <c r="E82" i="39"/>
  <c r="D82" i="39"/>
  <c r="H81" i="39"/>
  <c r="G81" i="39"/>
  <c r="F81" i="39"/>
  <c r="E81" i="39"/>
  <c r="D81" i="39"/>
  <c r="H80" i="39"/>
  <c r="G80" i="39"/>
  <c r="F80" i="39"/>
  <c r="E80" i="39"/>
  <c r="D80" i="39"/>
  <c r="H79" i="39"/>
  <c r="G79" i="39"/>
  <c r="F79" i="39"/>
  <c r="E79" i="39"/>
  <c r="D79" i="39"/>
  <c r="H78" i="39"/>
  <c r="G78" i="39"/>
  <c r="F78" i="39"/>
  <c r="E78" i="39"/>
  <c r="D78" i="39"/>
  <c r="H77" i="39"/>
  <c r="G77" i="39"/>
  <c r="F77" i="39"/>
  <c r="E77" i="39"/>
  <c r="D77" i="39"/>
  <c r="H76" i="39"/>
  <c r="G76" i="39"/>
  <c r="F76" i="39"/>
  <c r="E76" i="39"/>
  <c r="D76" i="39"/>
  <c r="H75" i="39"/>
  <c r="G75" i="39"/>
  <c r="F75" i="39"/>
  <c r="E75" i="39"/>
  <c r="D75" i="39"/>
  <c r="H74" i="39"/>
  <c r="G74" i="39"/>
  <c r="F74" i="39"/>
  <c r="E74" i="39"/>
  <c r="D74" i="39"/>
  <c r="H73" i="39"/>
  <c r="G73" i="39"/>
  <c r="F73" i="39"/>
  <c r="E73" i="39"/>
  <c r="D73" i="39"/>
  <c r="H72" i="39"/>
  <c r="G72" i="39"/>
  <c r="F72" i="39"/>
  <c r="E72" i="39"/>
  <c r="D72" i="39"/>
  <c r="H71" i="39"/>
  <c r="G71" i="39"/>
  <c r="F71" i="39"/>
  <c r="E71" i="39"/>
  <c r="D71" i="39"/>
  <c r="H70" i="39"/>
  <c r="G70" i="39"/>
  <c r="F70" i="39"/>
  <c r="E70" i="39"/>
  <c r="D70" i="39"/>
  <c r="H69" i="39"/>
  <c r="G69" i="39"/>
  <c r="F69" i="39"/>
  <c r="E69" i="39"/>
  <c r="D69" i="39"/>
  <c r="H68" i="39"/>
  <c r="G68" i="39"/>
  <c r="F68" i="39"/>
  <c r="E68" i="39"/>
  <c r="D68" i="39"/>
  <c r="H67" i="39"/>
  <c r="G67" i="39"/>
  <c r="F67" i="39"/>
  <c r="E67" i="39"/>
  <c r="D67" i="39"/>
  <c r="H66" i="39"/>
  <c r="G66" i="39"/>
  <c r="F66" i="39"/>
  <c r="E66" i="39"/>
  <c r="D66" i="39"/>
  <c r="H65" i="39"/>
  <c r="G65" i="39"/>
  <c r="F65" i="39"/>
  <c r="E65" i="39"/>
  <c r="D65" i="39"/>
  <c r="H64" i="39"/>
  <c r="G64" i="39"/>
  <c r="F64" i="39"/>
  <c r="E64" i="39"/>
  <c r="D64" i="39"/>
  <c r="H63" i="39"/>
  <c r="G63" i="39"/>
  <c r="F63" i="39"/>
  <c r="E63" i="39"/>
  <c r="D63" i="39"/>
  <c r="H62" i="39"/>
  <c r="G62" i="39"/>
  <c r="F62" i="39"/>
  <c r="E62" i="39"/>
  <c r="D62" i="39"/>
  <c r="H61" i="39"/>
  <c r="G61" i="39"/>
  <c r="F61" i="39"/>
  <c r="E61" i="39"/>
  <c r="D61" i="39"/>
  <c r="H60" i="39"/>
  <c r="G60" i="39"/>
  <c r="F60" i="39"/>
  <c r="E60" i="39"/>
  <c r="D60" i="39"/>
  <c r="H59" i="39"/>
  <c r="G59" i="39"/>
  <c r="F59" i="39"/>
  <c r="E59" i="39"/>
  <c r="D59" i="39"/>
  <c r="H58" i="39"/>
  <c r="G58" i="39"/>
  <c r="F58" i="39"/>
  <c r="E58" i="39"/>
  <c r="D58" i="39"/>
  <c r="H57" i="39"/>
  <c r="G57" i="39"/>
  <c r="F57" i="39"/>
  <c r="E57" i="39"/>
  <c r="D57" i="39"/>
  <c r="H56" i="39"/>
  <c r="G56" i="39"/>
  <c r="F56" i="39"/>
  <c r="E56" i="39"/>
  <c r="D56" i="39"/>
  <c r="H55" i="39"/>
  <c r="G55" i="39"/>
  <c r="F55" i="39"/>
  <c r="E55" i="39"/>
  <c r="D55" i="39"/>
  <c r="H54" i="39"/>
  <c r="G54" i="39"/>
  <c r="F54" i="39"/>
  <c r="E54" i="39"/>
  <c r="D54" i="39"/>
  <c r="H53" i="39"/>
  <c r="G53" i="39"/>
  <c r="F53" i="39"/>
  <c r="E53" i="39"/>
  <c r="D53" i="39"/>
  <c r="H52" i="39"/>
  <c r="G52" i="39"/>
  <c r="F52" i="39"/>
  <c r="E52" i="39"/>
  <c r="D52" i="39"/>
  <c r="H51" i="39"/>
  <c r="G51" i="39"/>
  <c r="F51" i="39"/>
  <c r="E51" i="39"/>
  <c r="D51" i="39"/>
  <c r="H50" i="39"/>
  <c r="G50" i="39"/>
  <c r="F50" i="39"/>
  <c r="E50" i="39"/>
  <c r="D50" i="39"/>
  <c r="H49" i="39"/>
  <c r="G49" i="39"/>
  <c r="F49" i="39"/>
  <c r="E49" i="39"/>
  <c r="D49" i="39"/>
  <c r="H48" i="39"/>
  <c r="G48" i="39"/>
  <c r="F48" i="39"/>
  <c r="E48" i="39"/>
  <c r="D48" i="39"/>
  <c r="H47" i="39"/>
  <c r="G47" i="39"/>
  <c r="F47" i="39"/>
  <c r="E47" i="39"/>
  <c r="D47" i="39"/>
  <c r="H46" i="39"/>
  <c r="G46" i="39"/>
  <c r="F46" i="39"/>
  <c r="E46" i="39"/>
  <c r="D46" i="39"/>
  <c r="H45" i="39"/>
  <c r="G45" i="39"/>
  <c r="F45" i="39"/>
  <c r="E45" i="39"/>
  <c r="D45" i="39"/>
  <c r="H44" i="39"/>
  <c r="G44" i="39"/>
  <c r="F44" i="39"/>
  <c r="E44" i="39"/>
  <c r="D44" i="39"/>
  <c r="H43" i="39"/>
  <c r="G43" i="39"/>
  <c r="F43" i="39"/>
  <c r="E43" i="39"/>
  <c r="D43" i="39"/>
  <c r="H42" i="39"/>
  <c r="G42" i="39"/>
  <c r="F42" i="39"/>
  <c r="E42" i="39"/>
  <c r="D42" i="39"/>
  <c r="H41" i="39"/>
  <c r="G41" i="39"/>
  <c r="F41" i="39"/>
  <c r="E41" i="39"/>
  <c r="D41" i="39"/>
  <c r="H40" i="39"/>
  <c r="G40" i="39"/>
  <c r="F40" i="39"/>
  <c r="E40" i="39"/>
  <c r="D40" i="39"/>
  <c r="H39" i="39"/>
  <c r="G39" i="39"/>
  <c r="F39" i="39"/>
  <c r="E39" i="39"/>
  <c r="D39" i="39"/>
  <c r="H38" i="39"/>
  <c r="G38" i="39"/>
  <c r="F38" i="39"/>
  <c r="E38" i="39"/>
  <c r="D38" i="39"/>
  <c r="H37" i="39"/>
  <c r="G37" i="39"/>
  <c r="F37" i="39"/>
  <c r="E37" i="39"/>
  <c r="D37" i="39"/>
  <c r="H36" i="39"/>
  <c r="G36" i="39"/>
  <c r="F36" i="39"/>
  <c r="E36" i="39"/>
  <c r="D36" i="39"/>
  <c r="H35" i="39"/>
  <c r="G35" i="39"/>
  <c r="F35" i="39"/>
  <c r="E35" i="39"/>
  <c r="D35" i="39"/>
  <c r="H34" i="39"/>
  <c r="G34" i="39"/>
  <c r="F34" i="39"/>
  <c r="E34" i="39"/>
  <c r="D34" i="39"/>
  <c r="H33" i="39"/>
  <c r="G33" i="39"/>
  <c r="F33" i="39"/>
  <c r="E33" i="39"/>
  <c r="D33" i="39"/>
  <c r="H32" i="39"/>
  <c r="G32" i="39"/>
  <c r="F32" i="39"/>
  <c r="E32" i="39"/>
  <c r="D32" i="39"/>
  <c r="H31" i="39"/>
  <c r="G31" i="39"/>
  <c r="F31" i="39"/>
  <c r="E31" i="39"/>
  <c r="D31" i="39"/>
  <c r="H30" i="39"/>
  <c r="G30" i="39"/>
  <c r="F30" i="39"/>
  <c r="E30" i="39"/>
  <c r="D30" i="39"/>
  <c r="H29" i="39"/>
  <c r="G29" i="39"/>
  <c r="F29" i="39"/>
  <c r="E29" i="39"/>
  <c r="D29" i="39"/>
  <c r="H28" i="39"/>
  <c r="G28" i="39"/>
  <c r="F28" i="39"/>
  <c r="E28" i="39"/>
  <c r="D28" i="39"/>
  <c r="H27" i="39"/>
  <c r="G27" i="39"/>
  <c r="F27" i="39"/>
  <c r="E27" i="39"/>
  <c r="D27" i="39"/>
  <c r="H26" i="39"/>
  <c r="G26" i="39"/>
  <c r="F26" i="39"/>
  <c r="E26" i="39"/>
  <c r="D26" i="39"/>
  <c r="H25" i="39"/>
  <c r="G25" i="39"/>
  <c r="F25" i="39"/>
  <c r="E25" i="39"/>
  <c r="D25" i="39"/>
  <c r="H24" i="39"/>
  <c r="G24" i="39"/>
  <c r="F24" i="39"/>
  <c r="E24" i="39"/>
  <c r="D24" i="39"/>
  <c r="H23" i="39"/>
  <c r="G23" i="39"/>
  <c r="F23" i="39"/>
  <c r="E23" i="39"/>
  <c r="D23" i="39"/>
  <c r="H22" i="39"/>
  <c r="G22" i="39"/>
  <c r="F22" i="39"/>
  <c r="E22" i="39"/>
  <c r="D22" i="39"/>
  <c r="H21" i="39"/>
  <c r="G21" i="39"/>
  <c r="F21" i="39"/>
  <c r="E21" i="39"/>
  <c r="D21" i="39"/>
  <c r="H20" i="39"/>
  <c r="G20" i="39"/>
  <c r="F20" i="39"/>
  <c r="E20" i="39"/>
  <c r="D20" i="39"/>
  <c r="H19" i="39"/>
  <c r="G19" i="39"/>
  <c r="F19" i="39"/>
  <c r="E19" i="39"/>
  <c r="D19" i="39"/>
  <c r="H18" i="39"/>
  <c r="G18" i="39"/>
  <c r="F18" i="39"/>
  <c r="E18" i="39"/>
  <c r="D18" i="39"/>
  <c r="H17" i="39"/>
  <c r="G17" i="39"/>
  <c r="F17" i="39"/>
  <c r="E17" i="39"/>
  <c r="D17" i="39"/>
  <c r="H16" i="39"/>
  <c r="G16" i="39"/>
  <c r="F16" i="39"/>
  <c r="E16" i="39"/>
  <c r="D16" i="39"/>
  <c r="H15" i="39"/>
  <c r="G15" i="39"/>
  <c r="F15" i="39"/>
  <c r="E15" i="39"/>
  <c r="D15" i="39"/>
  <c r="H14" i="39"/>
  <c r="G14" i="39"/>
  <c r="F14" i="39"/>
  <c r="E14" i="39"/>
  <c r="D14" i="39"/>
  <c r="C5" i="39"/>
  <c r="G12" i="39" s="1"/>
  <c r="D13" i="39"/>
  <c r="D12" i="39"/>
  <c r="D11" i="39"/>
  <c r="D10" i="39"/>
  <c r="L59" i="36"/>
  <c r="K59" i="36"/>
  <c r="J59" i="36"/>
  <c r="H59" i="36"/>
  <c r="G59" i="36"/>
  <c r="F59" i="36"/>
  <c r="E59" i="36"/>
  <c r="D59" i="36"/>
  <c r="L58" i="36"/>
  <c r="K58" i="36"/>
  <c r="J58" i="36"/>
  <c r="H58" i="36"/>
  <c r="G58" i="36"/>
  <c r="F58" i="36"/>
  <c r="E58" i="36"/>
  <c r="D58" i="36"/>
  <c r="L57" i="36"/>
  <c r="K57" i="36"/>
  <c r="J57" i="36"/>
  <c r="H57" i="36"/>
  <c r="G57" i="36"/>
  <c r="F57" i="36"/>
  <c r="E57" i="36"/>
  <c r="D57" i="36"/>
  <c r="L56" i="36"/>
  <c r="K56" i="36"/>
  <c r="J56" i="36"/>
  <c r="H56" i="36"/>
  <c r="G56" i="36"/>
  <c r="F56" i="36"/>
  <c r="E56" i="36"/>
  <c r="D56" i="36"/>
  <c r="L55" i="36"/>
  <c r="K55" i="36"/>
  <c r="J55" i="36"/>
  <c r="H55" i="36"/>
  <c r="G55" i="36"/>
  <c r="F55" i="36"/>
  <c r="E55" i="36"/>
  <c r="D55" i="36"/>
  <c r="L54" i="36"/>
  <c r="K54" i="36"/>
  <c r="J54" i="36"/>
  <c r="H54" i="36"/>
  <c r="G54" i="36"/>
  <c r="F54" i="36"/>
  <c r="E54" i="36"/>
  <c r="D54" i="36"/>
  <c r="L53" i="36"/>
  <c r="K53" i="36"/>
  <c r="J53" i="36"/>
  <c r="H53" i="36"/>
  <c r="G53" i="36"/>
  <c r="F53" i="36"/>
  <c r="E53" i="36"/>
  <c r="D53" i="36"/>
  <c r="L52" i="36"/>
  <c r="K52" i="36"/>
  <c r="J52" i="36"/>
  <c r="H52" i="36"/>
  <c r="G52" i="36"/>
  <c r="F52" i="36"/>
  <c r="E52" i="36"/>
  <c r="D52" i="36"/>
  <c r="L51" i="36"/>
  <c r="K51" i="36"/>
  <c r="J51" i="36"/>
  <c r="H51" i="36"/>
  <c r="G51" i="36"/>
  <c r="F51" i="36"/>
  <c r="E51" i="36"/>
  <c r="D51" i="36"/>
  <c r="L50" i="36"/>
  <c r="K50" i="36"/>
  <c r="J50" i="36"/>
  <c r="H50" i="36"/>
  <c r="G50" i="36"/>
  <c r="F50" i="36"/>
  <c r="E50" i="36"/>
  <c r="D50" i="36"/>
  <c r="L49" i="36"/>
  <c r="K49" i="36"/>
  <c r="J49" i="36"/>
  <c r="H49" i="36"/>
  <c r="G49" i="36"/>
  <c r="F49" i="36"/>
  <c r="E49" i="36"/>
  <c r="D49" i="36"/>
  <c r="L48" i="36"/>
  <c r="K48" i="36"/>
  <c r="J48" i="36"/>
  <c r="H48" i="36"/>
  <c r="G48" i="36"/>
  <c r="F48" i="36"/>
  <c r="E48" i="36"/>
  <c r="D48" i="36"/>
  <c r="L47" i="36"/>
  <c r="K47" i="36"/>
  <c r="J47" i="36"/>
  <c r="H47" i="36"/>
  <c r="G47" i="36"/>
  <c r="F47" i="36"/>
  <c r="E47" i="36"/>
  <c r="D47" i="36"/>
  <c r="L46" i="36"/>
  <c r="K46" i="36"/>
  <c r="J46" i="36"/>
  <c r="H46" i="36"/>
  <c r="G46" i="36"/>
  <c r="F46" i="36"/>
  <c r="E46" i="36"/>
  <c r="D46" i="36"/>
  <c r="L45" i="36"/>
  <c r="K45" i="36"/>
  <c r="J45" i="36"/>
  <c r="H45" i="36"/>
  <c r="G45" i="36"/>
  <c r="F45" i="36"/>
  <c r="E45" i="36"/>
  <c r="D45" i="36"/>
  <c r="L44" i="36"/>
  <c r="K44" i="36"/>
  <c r="J44" i="36"/>
  <c r="H44" i="36"/>
  <c r="G44" i="36"/>
  <c r="F44" i="36"/>
  <c r="E44" i="36"/>
  <c r="D44" i="36"/>
  <c r="L43" i="36"/>
  <c r="K43" i="36"/>
  <c r="J43" i="36"/>
  <c r="H43" i="36"/>
  <c r="G43" i="36"/>
  <c r="F43" i="36"/>
  <c r="E43" i="36"/>
  <c r="D43" i="36"/>
  <c r="L42" i="36"/>
  <c r="K42" i="36"/>
  <c r="J42" i="36"/>
  <c r="H42" i="36"/>
  <c r="G42" i="36"/>
  <c r="F42" i="36"/>
  <c r="E42" i="36"/>
  <c r="D42" i="36"/>
  <c r="L41" i="36"/>
  <c r="K41" i="36"/>
  <c r="J41" i="36"/>
  <c r="H41" i="36"/>
  <c r="G41" i="36"/>
  <c r="F41" i="36"/>
  <c r="E41" i="36"/>
  <c r="D41" i="36"/>
  <c r="L40" i="36"/>
  <c r="K40" i="36"/>
  <c r="J40" i="36"/>
  <c r="H40" i="36"/>
  <c r="G40" i="36"/>
  <c r="F40" i="36"/>
  <c r="E40" i="36"/>
  <c r="D40" i="36"/>
  <c r="L39" i="36"/>
  <c r="K39" i="36"/>
  <c r="J39" i="36"/>
  <c r="H39" i="36"/>
  <c r="G39" i="36"/>
  <c r="F39" i="36"/>
  <c r="E39" i="36"/>
  <c r="D39" i="36"/>
  <c r="L38" i="36"/>
  <c r="K38" i="36"/>
  <c r="J38" i="36"/>
  <c r="H38" i="36"/>
  <c r="G38" i="36"/>
  <c r="F38" i="36"/>
  <c r="E38" i="36"/>
  <c r="D38" i="36"/>
  <c r="L37" i="36"/>
  <c r="K37" i="36"/>
  <c r="J37" i="36"/>
  <c r="H37" i="36"/>
  <c r="G37" i="36"/>
  <c r="F37" i="36"/>
  <c r="E37" i="36"/>
  <c r="D37" i="36"/>
  <c r="L36" i="36"/>
  <c r="K36" i="36"/>
  <c r="J36" i="36"/>
  <c r="H36" i="36"/>
  <c r="G36" i="36"/>
  <c r="F36" i="36"/>
  <c r="E36" i="36"/>
  <c r="D36" i="36"/>
  <c r="L35" i="36"/>
  <c r="K35" i="36"/>
  <c r="J35" i="36"/>
  <c r="H35" i="36"/>
  <c r="G35" i="36"/>
  <c r="F35" i="36"/>
  <c r="E35" i="36"/>
  <c r="D35" i="36"/>
  <c r="L34" i="36"/>
  <c r="K34" i="36"/>
  <c r="J34" i="36"/>
  <c r="H34" i="36"/>
  <c r="G34" i="36"/>
  <c r="F34" i="36"/>
  <c r="E34" i="36"/>
  <c r="D34" i="36"/>
  <c r="L33" i="36"/>
  <c r="K33" i="36"/>
  <c r="J33" i="36"/>
  <c r="H33" i="36"/>
  <c r="G33" i="36"/>
  <c r="F33" i="36"/>
  <c r="E33" i="36"/>
  <c r="D33" i="36"/>
  <c r="L32" i="36"/>
  <c r="K32" i="36"/>
  <c r="J32" i="36"/>
  <c r="H32" i="36"/>
  <c r="G32" i="36"/>
  <c r="F32" i="36"/>
  <c r="E32" i="36"/>
  <c r="D32" i="36"/>
  <c r="L31" i="36"/>
  <c r="K31" i="36"/>
  <c r="J31" i="36"/>
  <c r="H31" i="36"/>
  <c r="G31" i="36"/>
  <c r="F31" i="36"/>
  <c r="E31" i="36"/>
  <c r="D31" i="36"/>
  <c r="L30" i="36"/>
  <c r="K30" i="36"/>
  <c r="J30" i="36"/>
  <c r="H30" i="36"/>
  <c r="G30" i="36"/>
  <c r="F30" i="36"/>
  <c r="E30" i="36"/>
  <c r="D30" i="36"/>
  <c r="L29" i="36"/>
  <c r="K29" i="36"/>
  <c r="J29" i="36"/>
  <c r="H29" i="36"/>
  <c r="G29" i="36"/>
  <c r="F29" i="36"/>
  <c r="E29" i="36"/>
  <c r="D29" i="36"/>
  <c r="L28" i="36"/>
  <c r="K28" i="36"/>
  <c r="J28" i="36"/>
  <c r="H28" i="36"/>
  <c r="G28" i="36"/>
  <c r="F28" i="36"/>
  <c r="E28" i="36"/>
  <c r="D28" i="36"/>
  <c r="L27" i="36"/>
  <c r="K27" i="36"/>
  <c r="J27" i="36"/>
  <c r="H27" i="36"/>
  <c r="G27" i="36"/>
  <c r="F27" i="36"/>
  <c r="E27" i="36"/>
  <c r="D27" i="36"/>
  <c r="L26" i="36"/>
  <c r="K26" i="36"/>
  <c r="J26" i="36"/>
  <c r="H26" i="36"/>
  <c r="G26" i="36"/>
  <c r="F26" i="36"/>
  <c r="E26" i="36"/>
  <c r="D26" i="36"/>
  <c r="L25" i="36"/>
  <c r="K25" i="36"/>
  <c r="J25" i="36"/>
  <c r="H25" i="36"/>
  <c r="G25" i="36"/>
  <c r="F25" i="36"/>
  <c r="E25" i="36"/>
  <c r="D25" i="36"/>
  <c r="L24" i="36"/>
  <c r="K24" i="36"/>
  <c r="J24" i="36"/>
  <c r="H24" i="36"/>
  <c r="G24" i="36"/>
  <c r="F24" i="36"/>
  <c r="E24" i="36"/>
  <c r="D24" i="36"/>
  <c r="L23" i="36"/>
  <c r="K23" i="36"/>
  <c r="J23" i="36"/>
  <c r="H23" i="36"/>
  <c r="G23" i="36"/>
  <c r="F23" i="36"/>
  <c r="E23" i="36"/>
  <c r="D23" i="36"/>
  <c r="L22" i="36"/>
  <c r="K22" i="36"/>
  <c r="J22" i="36"/>
  <c r="H22" i="36"/>
  <c r="G22" i="36"/>
  <c r="F22" i="36"/>
  <c r="E22" i="36"/>
  <c r="D22" i="36"/>
  <c r="L21" i="36"/>
  <c r="K21" i="36"/>
  <c r="J21" i="36"/>
  <c r="H21" i="36"/>
  <c r="G21" i="36"/>
  <c r="F21" i="36"/>
  <c r="E21" i="36"/>
  <c r="D21" i="36"/>
  <c r="L20" i="36"/>
  <c r="K20" i="36"/>
  <c r="J20" i="36"/>
  <c r="H20" i="36"/>
  <c r="G20" i="36"/>
  <c r="F20" i="36"/>
  <c r="E20" i="36"/>
  <c r="D20" i="36"/>
  <c r="L19" i="36"/>
  <c r="K19" i="36"/>
  <c r="J19" i="36"/>
  <c r="H19" i="36"/>
  <c r="G19" i="36"/>
  <c r="F19" i="36"/>
  <c r="E19" i="36"/>
  <c r="D19" i="36"/>
  <c r="L18" i="36"/>
  <c r="K18" i="36"/>
  <c r="J18" i="36"/>
  <c r="H18" i="36"/>
  <c r="G18" i="36"/>
  <c r="F18" i="36"/>
  <c r="E18" i="36"/>
  <c r="D18" i="36"/>
  <c r="L17" i="36"/>
  <c r="K17" i="36"/>
  <c r="J17" i="36"/>
  <c r="H17" i="36"/>
  <c r="G17" i="36"/>
  <c r="F17" i="36"/>
  <c r="E17" i="36"/>
  <c r="D17" i="36"/>
  <c r="L16" i="36"/>
  <c r="K16" i="36"/>
  <c r="J16" i="36"/>
  <c r="H16" i="36"/>
  <c r="G16" i="36"/>
  <c r="F16" i="36"/>
  <c r="E16" i="36"/>
  <c r="D16" i="36"/>
  <c r="L15" i="36"/>
  <c r="K15" i="36"/>
  <c r="J15" i="36"/>
  <c r="H15" i="36"/>
  <c r="G15" i="36"/>
  <c r="F15" i="36"/>
  <c r="E15" i="36"/>
  <c r="D15" i="36"/>
  <c r="L14" i="36"/>
  <c r="K14" i="36"/>
  <c r="J14" i="36"/>
  <c r="H14" i="36"/>
  <c r="G14" i="36"/>
  <c r="F14" i="36"/>
  <c r="E14" i="36"/>
  <c r="D14" i="36"/>
  <c r="C5" i="36"/>
  <c r="K10" i="36" s="1"/>
  <c r="D13" i="36"/>
  <c r="D12" i="36"/>
  <c r="D11" i="36"/>
  <c r="D10" i="36"/>
  <c r="C6" i="36"/>
  <c r="L11" i="36" s="1"/>
  <c r="E62" i="34"/>
  <c r="D62" i="34"/>
  <c r="C62" i="34"/>
  <c r="E61" i="34"/>
  <c r="D61" i="34"/>
  <c r="C61" i="34"/>
  <c r="E60" i="34"/>
  <c r="D60" i="34"/>
  <c r="C60" i="34"/>
  <c r="E59" i="34"/>
  <c r="D59" i="34"/>
  <c r="C59" i="34"/>
  <c r="E58" i="34"/>
  <c r="D58" i="34"/>
  <c r="C58" i="34"/>
  <c r="E57" i="34"/>
  <c r="D57" i="34"/>
  <c r="C57" i="34"/>
  <c r="E56" i="34"/>
  <c r="D56" i="34"/>
  <c r="C56" i="34"/>
  <c r="E55" i="34"/>
  <c r="D55" i="34"/>
  <c r="C55" i="34"/>
  <c r="E54" i="34"/>
  <c r="D54" i="34"/>
  <c r="C54" i="34"/>
  <c r="E53" i="34"/>
  <c r="D53" i="34"/>
  <c r="C53" i="34"/>
  <c r="E52" i="34"/>
  <c r="D52" i="34"/>
  <c r="C52" i="34"/>
  <c r="E51" i="34"/>
  <c r="D51" i="34"/>
  <c r="C51" i="34"/>
  <c r="E50" i="34"/>
  <c r="D50" i="34"/>
  <c r="C50" i="34"/>
  <c r="E49" i="34"/>
  <c r="D49" i="34"/>
  <c r="C49" i="34"/>
  <c r="E48" i="34"/>
  <c r="D48" i="34"/>
  <c r="C48" i="34"/>
  <c r="E47" i="34"/>
  <c r="D47" i="34"/>
  <c r="C47" i="34"/>
  <c r="E46" i="34"/>
  <c r="D46" i="34"/>
  <c r="C46" i="34"/>
  <c r="E45" i="34"/>
  <c r="D45" i="34"/>
  <c r="C45" i="34"/>
  <c r="E44" i="34"/>
  <c r="D44" i="34"/>
  <c r="C44" i="34"/>
  <c r="E43" i="34"/>
  <c r="D43" i="34"/>
  <c r="C43" i="34"/>
  <c r="E42" i="34"/>
  <c r="D42" i="34"/>
  <c r="C42" i="34"/>
  <c r="E41" i="34"/>
  <c r="D41" i="34"/>
  <c r="C41" i="34"/>
  <c r="E40" i="34"/>
  <c r="D40" i="34"/>
  <c r="C40" i="34"/>
  <c r="E39" i="34"/>
  <c r="D39" i="34"/>
  <c r="C39" i="34"/>
  <c r="E38" i="34"/>
  <c r="D38" i="34"/>
  <c r="C38" i="34"/>
  <c r="E37" i="34"/>
  <c r="D37" i="34"/>
  <c r="C37" i="34"/>
  <c r="E36" i="34"/>
  <c r="D36" i="34"/>
  <c r="C36" i="34"/>
  <c r="E35" i="34"/>
  <c r="D35" i="34"/>
  <c r="C35" i="34"/>
  <c r="E34" i="34"/>
  <c r="D34" i="34"/>
  <c r="C34" i="34"/>
  <c r="E33" i="34"/>
  <c r="D33" i="34"/>
  <c r="C33" i="34"/>
  <c r="E32" i="34"/>
  <c r="D32" i="34"/>
  <c r="C32" i="34"/>
  <c r="E31" i="34"/>
  <c r="D31" i="34"/>
  <c r="C31" i="34"/>
  <c r="E30" i="34"/>
  <c r="D30" i="34"/>
  <c r="C30" i="34"/>
  <c r="E29" i="34"/>
  <c r="D29" i="34"/>
  <c r="C29" i="34"/>
  <c r="E28" i="34"/>
  <c r="D28" i="34"/>
  <c r="C28" i="34"/>
  <c r="E27" i="34"/>
  <c r="D27" i="34"/>
  <c r="C27" i="34"/>
  <c r="E26" i="34"/>
  <c r="D26" i="34"/>
  <c r="C26" i="34"/>
  <c r="E25" i="34"/>
  <c r="D25" i="34"/>
  <c r="C25" i="34"/>
  <c r="E24" i="34"/>
  <c r="D24" i="34"/>
  <c r="C24" i="34"/>
  <c r="E23" i="34"/>
  <c r="D23" i="34"/>
  <c r="C23" i="34"/>
  <c r="E22" i="34"/>
  <c r="D22" i="34"/>
  <c r="C22" i="34"/>
  <c r="E21" i="34"/>
  <c r="D21" i="34"/>
  <c r="C21" i="34"/>
  <c r="C8" i="34"/>
  <c r="C9" i="34" s="1"/>
  <c r="E59" i="32"/>
  <c r="D59" i="32"/>
  <c r="C59" i="32"/>
  <c r="E58" i="32"/>
  <c r="D58" i="32"/>
  <c r="C58" i="32"/>
  <c r="E57" i="32"/>
  <c r="D57" i="32"/>
  <c r="C57" i="32"/>
  <c r="E56" i="32"/>
  <c r="D56" i="32"/>
  <c r="C56" i="32"/>
  <c r="E55" i="32"/>
  <c r="D55" i="32"/>
  <c r="C55" i="32"/>
  <c r="E54" i="32"/>
  <c r="D54" i="32"/>
  <c r="C54" i="32"/>
  <c r="E53" i="32"/>
  <c r="D53" i="32"/>
  <c r="C53" i="32"/>
  <c r="E52" i="32"/>
  <c r="D52" i="32"/>
  <c r="C52" i="32"/>
  <c r="E51" i="32"/>
  <c r="D51" i="32"/>
  <c r="C51" i="32"/>
  <c r="E50" i="32"/>
  <c r="D50" i="32"/>
  <c r="C50" i="32"/>
  <c r="E49" i="32"/>
  <c r="D49" i="32"/>
  <c r="C49" i="32"/>
  <c r="E48" i="32"/>
  <c r="D48" i="32"/>
  <c r="C48" i="32"/>
  <c r="E47" i="32"/>
  <c r="D47" i="32"/>
  <c r="C47" i="32"/>
  <c r="E46" i="32"/>
  <c r="D46" i="32"/>
  <c r="C46" i="32"/>
  <c r="E45" i="32"/>
  <c r="D45" i="32"/>
  <c r="C45" i="32"/>
  <c r="E44" i="32"/>
  <c r="D44" i="32"/>
  <c r="C44" i="32"/>
  <c r="E43" i="32"/>
  <c r="D43" i="32"/>
  <c r="C43" i="32"/>
  <c r="E42" i="32"/>
  <c r="D42" i="32"/>
  <c r="C42" i="32"/>
  <c r="E41" i="32"/>
  <c r="D41" i="32"/>
  <c r="C41" i="32"/>
  <c r="E40" i="32"/>
  <c r="D40" i="32"/>
  <c r="C40" i="32"/>
  <c r="E39" i="32"/>
  <c r="D39" i="32"/>
  <c r="C39" i="32"/>
  <c r="E38" i="32"/>
  <c r="D38" i="32"/>
  <c r="C38" i="32"/>
  <c r="E37" i="32"/>
  <c r="D37" i="32"/>
  <c r="C37" i="32"/>
  <c r="E36" i="32"/>
  <c r="D36" i="32"/>
  <c r="C36" i="32"/>
  <c r="E35" i="32"/>
  <c r="D35" i="32"/>
  <c r="C35" i="32"/>
  <c r="E34" i="32"/>
  <c r="D34" i="32"/>
  <c r="C34" i="32"/>
  <c r="E33" i="32"/>
  <c r="D33" i="32"/>
  <c r="C33" i="32"/>
  <c r="E32" i="32"/>
  <c r="D32" i="32"/>
  <c r="C32" i="32"/>
  <c r="E31" i="32"/>
  <c r="D31" i="32"/>
  <c r="C31" i="32"/>
  <c r="E30" i="32"/>
  <c r="D30" i="32"/>
  <c r="C30" i="32"/>
  <c r="E29" i="32"/>
  <c r="D29" i="32"/>
  <c r="C29" i="32"/>
  <c r="E28" i="32"/>
  <c r="D28" i="32"/>
  <c r="C28" i="32"/>
  <c r="E27" i="32"/>
  <c r="D27" i="32"/>
  <c r="C27" i="32"/>
  <c r="E26" i="32"/>
  <c r="D26" i="32"/>
  <c r="C26" i="32"/>
  <c r="E25" i="32"/>
  <c r="D25" i="32"/>
  <c r="C25" i="32"/>
  <c r="E24" i="32"/>
  <c r="D24" i="32"/>
  <c r="C24" i="32"/>
  <c r="E23" i="32"/>
  <c r="D23" i="32"/>
  <c r="C23" i="32"/>
  <c r="E22" i="32"/>
  <c r="D22" i="32"/>
  <c r="C22" i="32"/>
  <c r="E21" i="32"/>
  <c r="D21" i="32"/>
  <c r="C21" i="32"/>
  <c r="E20" i="32"/>
  <c r="D20" i="32"/>
  <c r="C20" i="32"/>
  <c r="E19" i="32"/>
  <c r="D19" i="32"/>
  <c r="C19" i="32"/>
  <c r="E18" i="32"/>
  <c r="D18" i="32"/>
  <c r="C18" i="32"/>
  <c r="C5" i="32"/>
  <c r="H50" i="30"/>
  <c r="F88" i="29"/>
  <c r="F87" i="29"/>
  <c r="F86" i="29"/>
  <c r="F85" i="29"/>
  <c r="F84" i="29"/>
  <c r="F83" i="29"/>
  <c r="F82" i="29"/>
  <c r="F81" i="29"/>
  <c r="F80" i="29"/>
  <c r="F79" i="29"/>
  <c r="F78" i="29"/>
  <c r="F77" i="29"/>
  <c r="F76" i="29"/>
  <c r="F75" i="29"/>
  <c r="F74" i="29"/>
  <c r="F73" i="29"/>
  <c r="F72" i="29"/>
  <c r="F71" i="29"/>
  <c r="F70" i="29"/>
  <c r="F69" i="29"/>
  <c r="F68" i="29"/>
  <c r="F67" i="29"/>
  <c r="F66" i="29"/>
  <c r="F65" i="29"/>
  <c r="F64" i="29"/>
  <c r="F63" i="29"/>
  <c r="F62" i="29"/>
  <c r="F61" i="29"/>
  <c r="F60" i="29"/>
  <c r="F59" i="29"/>
  <c r="F58" i="29"/>
  <c r="F57" i="29"/>
  <c r="F56" i="29"/>
  <c r="F55" i="29"/>
  <c r="F54" i="29"/>
  <c r="F53" i="29"/>
  <c r="F52" i="29"/>
  <c r="F51" i="29"/>
  <c r="F50" i="29"/>
  <c r="F49" i="29"/>
  <c r="F48" i="29"/>
  <c r="F47" i="29"/>
  <c r="F46" i="29"/>
  <c r="F45" i="29"/>
  <c r="F44" i="29"/>
  <c r="F43" i="29"/>
  <c r="F42" i="29"/>
  <c r="F41" i="29"/>
  <c r="F40" i="29"/>
  <c r="F39" i="29"/>
  <c r="F38" i="29"/>
  <c r="F37" i="29"/>
  <c r="F36" i="29"/>
  <c r="F35" i="29"/>
  <c r="F34" i="29"/>
  <c r="F33" i="29"/>
  <c r="F32" i="29"/>
  <c r="F31" i="29"/>
  <c r="F30" i="29"/>
  <c r="F29" i="29"/>
  <c r="F28" i="29"/>
  <c r="F27" i="29"/>
  <c r="F26" i="29"/>
  <c r="F25" i="29"/>
  <c r="F24" i="29"/>
  <c r="F23" i="29"/>
  <c r="F22" i="29"/>
  <c r="F21" i="29"/>
  <c r="F20" i="29"/>
  <c r="F19" i="29"/>
  <c r="F18" i="29"/>
  <c r="F17" i="29"/>
  <c r="F16" i="29"/>
  <c r="F15" i="29"/>
  <c r="G10" i="29"/>
  <c r="F10" i="29"/>
  <c r="E10" i="29"/>
  <c r="C9" i="29"/>
  <c r="D15" i="29" s="1"/>
  <c r="D16" i="32"/>
  <c r="Z15" i="46"/>
  <c r="P15" i="46" s="1"/>
  <c r="AD23" i="46"/>
  <c r="AA60" i="46"/>
  <c r="AA80" i="46"/>
  <c r="AB68" i="46"/>
  <c r="AE73" i="46"/>
  <c r="AD80" i="46"/>
  <c r="AA109" i="46"/>
  <c r="AF56" i="46"/>
  <c r="AI59" i="46"/>
  <c r="AB102" i="46"/>
  <c r="AD104" i="46"/>
  <c r="AA33" i="46"/>
  <c r="AF37" i="46"/>
  <c r="AF106" i="46"/>
  <c r="AI28" i="46"/>
  <c r="AI75" i="46"/>
  <c r="AG89" i="46"/>
  <c r="AE108" i="46"/>
  <c r="AF67" i="46"/>
  <c r="AH15" i="46"/>
  <c r="AI33" i="46"/>
  <c r="AE49" i="46"/>
  <c r="AB60" i="46"/>
  <c r="AG67" i="46"/>
  <c r="AB80" i="46"/>
  <c r="AA91" i="46"/>
  <c r="AA96" i="46"/>
  <c r="AG105" i="46"/>
  <c r="AI109" i="46"/>
  <c r="AF49" i="46"/>
  <c r="AH67" i="46"/>
  <c r="AA75" i="46"/>
  <c r="AI76" i="46"/>
  <c r="AD83" i="46"/>
  <c r="AB100" i="46"/>
  <c r="AA28" i="46"/>
  <c r="AD43" i="46"/>
  <c r="AF60" i="46"/>
  <c r="AI67" i="46"/>
  <c r="AD75" i="46"/>
  <c r="AG83" i="46"/>
  <c r="AE84" i="46"/>
  <c r="AD28" i="46"/>
  <c r="AD51" i="46"/>
  <c r="AH52" i="46"/>
  <c r="AA56" i="46"/>
  <c r="AB65" i="46"/>
  <c r="AF68" i="46"/>
  <c r="AH83" i="46"/>
  <c r="AH84" i="46"/>
  <c r="AA85" i="46"/>
  <c r="AB97" i="46"/>
  <c r="AE28" i="46"/>
  <c r="AD65" i="46"/>
  <c r="AA67" i="46"/>
  <c r="AB70" i="46"/>
  <c r="AB73" i="46"/>
  <c r="AI83" i="46"/>
  <c r="AI85" i="46"/>
  <c r="AE89" i="46"/>
  <c r="AF90" i="46"/>
  <c r="AE97" i="46"/>
  <c r="AI100" i="46"/>
  <c r="AI101" i="46"/>
  <c r="AA108" i="46"/>
  <c r="AG65" i="46"/>
  <c r="AB17" i="46"/>
  <c r="AH28" i="46"/>
  <c r="AF45" i="46"/>
  <c r="AE65" i="46"/>
  <c r="AD67" i="46"/>
  <c r="AF89" i="46"/>
  <c r="AD107" i="46"/>
  <c r="AB108" i="46"/>
  <c r="AB110" i="46"/>
  <c r="K11" i="46"/>
  <c r="K13" i="46"/>
  <c r="AE54" i="46"/>
  <c r="AD54" i="46"/>
  <c r="G16" i="46"/>
  <c r="AB22" i="46"/>
  <c r="AI22" i="46"/>
  <c r="AA22" i="46"/>
  <c r="AH22" i="46"/>
  <c r="AA30" i="46"/>
  <c r="AH30" i="46"/>
  <c r="AD30" i="46"/>
  <c r="AH38" i="46"/>
  <c r="AG38" i="46"/>
  <c r="AH46" i="46"/>
  <c r="AE46" i="46"/>
  <c r="AD46" i="46"/>
  <c r="X18" i="46"/>
  <c r="H18" i="46" s="1"/>
  <c r="AE18" i="46"/>
  <c r="AB18" i="46"/>
  <c r="AA18" i="46"/>
  <c r="AH18" i="46"/>
  <c r="AG13" i="46"/>
  <c r="Y13" i="46"/>
  <c r="L13" i="46" s="1"/>
  <c r="AG18" i="46"/>
  <c r="AB15" i="46"/>
  <c r="AC46" i="46"/>
  <c r="AB28" i="46"/>
  <c r="AG33" i="46"/>
  <c r="AA35" i="46"/>
  <c r="AB36" i="46"/>
  <c r="AI43" i="46"/>
  <c r="AG49" i="46"/>
  <c r="AA51" i="46"/>
  <c r="AI51" i="46"/>
  <c r="AB52" i="46"/>
  <c r="AE55" i="46"/>
  <c r="AH58" i="46"/>
  <c r="AA63" i="46"/>
  <c r="AG63" i="46"/>
  <c r="AF63" i="46"/>
  <c r="AE71" i="46"/>
  <c r="AD21" i="46"/>
  <c r="AH25" i="46"/>
  <c r="AB27" i="46"/>
  <c r="AC28" i="46"/>
  <c r="AC36" i="46"/>
  <c r="AB43" i="46"/>
  <c r="AH49" i="46"/>
  <c r="AA50" i="46"/>
  <c r="AI50" i="46"/>
  <c r="AB51" i="46"/>
  <c r="AC52" i="46"/>
  <c r="AI103" i="46"/>
  <c r="AH103" i="46"/>
  <c r="AF103" i="46"/>
  <c r="AE103" i="46"/>
  <c r="AG23" i="46"/>
  <c r="AC35" i="46"/>
  <c r="AG39" i="46"/>
  <c r="AA49" i="46"/>
  <c r="AI49" i="46"/>
  <c r="AB50" i="46"/>
  <c r="AC51" i="46"/>
  <c r="AD52" i="46"/>
  <c r="AG55" i="46"/>
  <c r="AA57" i="46"/>
  <c r="AD57" i="46"/>
  <c r="AE61" i="46"/>
  <c r="AC58" i="46"/>
  <c r="AB62" i="46"/>
  <c r="V18" i="46"/>
  <c r="AF28" i="46"/>
  <c r="AA31" i="46"/>
  <c r="AE35" i="46"/>
  <c r="AF36" i="46"/>
  <c r="AG37" i="46"/>
  <c r="AC49" i="46"/>
  <c r="AD50" i="46"/>
  <c r="AE51" i="46"/>
  <c r="AF52" i="46"/>
  <c r="AI55" i="46"/>
  <c r="AI79" i="46"/>
  <c r="AA79" i="46"/>
  <c r="AH79" i="46"/>
  <c r="AG79" i="46"/>
  <c r="AF79" i="46"/>
  <c r="AE79" i="46"/>
  <c r="AD79" i="46"/>
  <c r="AB79" i="46"/>
  <c r="AB23" i="46"/>
  <c r="AE50" i="46"/>
  <c r="AC56" i="46"/>
  <c r="AI58" i="46"/>
  <c r="AA58" i="46"/>
  <c r="AF58" i="46"/>
  <c r="AG62" i="46"/>
  <c r="AH72" i="46"/>
  <c r="AF72" i="46"/>
  <c r="AE74" i="46"/>
  <c r="AH77" i="46"/>
  <c r="AA78" i="46"/>
  <c r="AF83" i="46"/>
  <c r="AG84" i="46"/>
  <c r="AA86" i="46"/>
  <c r="AI86" i="46"/>
  <c r="AC88" i="46"/>
  <c r="AD89" i="46"/>
  <c r="AE90" i="46"/>
  <c r="AC96" i="46"/>
  <c r="AD97" i="46"/>
  <c r="AG100" i="46"/>
  <c r="AH101" i="46"/>
  <c r="AA102" i="46"/>
  <c r="AI102" i="46"/>
  <c r="AC104" i="46"/>
  <c r="AD105" i="46"/>
  <c r="AF107" i="46"/>
  <c r="AG108" i="46"/>
  <c r="AG66" i="46"/>
  <c r="AB77" i="46"/>
  <c r="AC78" i="46"/>
  <c r="AB85" i="46"/>
  <c r="AC86" i="46"/>
  <c r="AG90" i="46"/>
  <c r="AB93" i="46"/>
  <c r="AH66" i="46"/>
  <c r="AC77" i="46"/>
  <c r="AD78" i="46"/>
  <c r="AH90" i="46"/>
  <c r="AC93" i="46"/>
  <c r="AD110" i="46"/>
  <c r="AB59" i="46"/>
  <c r="AH65" i="46"/>
  <c r="AI66" i="46"/>
  <c r="AB67" i="46"/>
  <c r="AC68" i="46"/>
  <c r="AA74" i="46"/>
  <c r="AB83" i="46"/>
  <c r="AD85" i="46"/>
  <c r="AE86" i="46"/>
  <c r="AG88" i="46"/>
  <c r="AH89" i="46"/>
  <c r="AA90" i="46"/>
  <c r="AI90" i="46"/>
  <c r="AG96" i="46"/>
  <c r="AH97" i="46"/>
  <c r="AC100" i="46"/>
  <c r="AD101" i="46"/>
  <c r="AC108" i="46"/>
  <c r="AD109" i="46"/>
  <c r="AA65" i="46"/>
  <c r="AI65" i="46"/>
  <c r="AB66" i="46"/>
  <c r="AB74" i="46"/>
  <c r="AE77" i="46"/>
  <c r="AF78" i="46"/>
  <c r="AI81" i="46"/>
  <c r="AC83" i="46"/>
  <c r="AD84" i="46"/>
  <c r="AE85" i="46"/>
  <c r="AA89" i="46"/>
  <c r="AI89" i="46"/>
  <c r="AB90" i="46"/>
  <c r="AH96" i="46"/>
  <c r="AA97" i="46"/>
  <c r="AI97" i="46"/>
  <c r="AD100" i="46"/>
  <c r="AE101" i="46"/>
  <c r="AI105" i="46"/>
  <c r="AC107" i="46"/>
  <c r="AD108" i="46"/>
  <c r="AE109" i="46"/>
  <c r="AF77" i="46"/>
  <c r="AG78" i="46"/>
  <c r="AF93" i="46"/>
  <c r="AC98" i="46"/>
  <c r="AF101" i="46"/>
  <c r="AG102" i="46"/>
  <c r="AF109" i="46"/>
  <c r="E10" i="39"/>
  <c r="G11" i="36"/>
  <c r="G12" i="36"/>
  <c r="K11" i="36"/>
  <c r="D18" i="34"/>
  <c r="D13" i="34"/>
  <c r="D19" i="34"/>
  <c r="D17" i="34"/>
  <c r="C6" i="32"/>
  <c r="E12" i="32" s="1"/>
  <c r="D13" i="32"/>
  <c r="D63" i="29"/>
  <c r="D37" i="29"/>
  <c r="D45" i="29"/>
  <c r="D69" i="29"/>
  <c r="D75" i="29"/>
  <c r="D14" i="29"/>
  <c r="D18" i="29"/>
  <c r="D74" i="29"/>
  <c r="C16" i="34"/>
  <c r="C15" i="34"/>
  <c r="P40" i="25"/>
  <c r="O40" i="25"/>
  <c r="N40" i="25"/>
  <c r="M40" i="25"/>
  <c r="L40" i="25"/>
  <c r="K40" i="25"/>
  <c r="J40" i="25"/>
  <c r="I40" i="25"/>
  <c r="H40" i="25"/>
  <c r="G40" i="25"/>
  <c r="F40" i="25"/>
  <c r="P39" i="25"/>
  <c r="O39" i="25"/>
  <c r="N39" i="25"/>
  <c r="M39" i="25"/>
  <c r="L39" i="25"/>
  <c r="K39" i="25"/>
  <c r="K41" i="25"/>
  <c r="J39" i="25"/>
  <c r="I39" i="25"/>
  <c r="I41" i="25" s="1"/>
  <c r="H39" i="25"/>
  <c r="H41" i="25" s="1"/>
  <c r="G39" i="25"/>
  <c r="G41" i="25" s="1"/>
  <c r="F39" i="25"/>
  <c r="P38" i="25"/>
  <c r="O38" i="25"/>
  <c r="N38" i="25"/>
  <c r="M38" i="25"/>
  <c r="L38" i="25"/>
  <c r="K38" i="25"/>
  <c r="J38" i="25"/>
  <c r="I38" i="25"/>
  <c r="H38" i="25"/>
  <c r="G38" i="25"/>
  <c r="F38" i="25"/>
  <c r="P37" i="25"/>
  <c r="O37" i="25"/>
  <c r="N37" i="25"/>
  <c r="M37" i="25"/>
  <c r="L37" i="25"/>
  <c r="K37" i="25"/>
  <c r="J37" i="25"/>
  <c r="I37" i="25"/>
  <c r="H37" i="25"/>
  <c r="G37" i="25"/>
  <c r="F37" i="25"/>
  <c r="P36" i="25"/>
  <c r="O36" i="25"/>
  <c r="N36" i="25"/>
  <c r="M36" i="25"/>
  <c r="L36" i="25"/>
  <c r="K36" i="25"/>
  <c r="J36" i="25"/>
  <c r="I36" i="25"/>
  <c r="H36" i="25"/>
  <c r="G36" i="25"/>
  <c r="F36" i="25"/>
  <c r="B7" i="25"/>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D28" i="17"/>
  <c r="C28" i="17"/>
  <c r="B28"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J23" i="17"/>
  <c r="I23" i="17"/>
  <c r="H23" i="17"/>
  <c r="G23" i="17"/>
  <c r="F23" i="17"/>
  <c r="E23" i="17"/>
  <c r="D23" i="17"/>
  <c r="C23" i="17"/>
  <c r="B23" i="17"/>
  <c r="H10" i="17"/>
  <c r="G10" i="17"/>
  <c r="F10" i="17"/>
  <c r="E10" i="17"/>
  <c r="C17" i="10"/>
  <c r="F55" i="9"/>
  <c r="B55" i="9" s="1"/>
  <c r="G55" i="9" s="1"/>
  <c r="H55" i="9" s="1"/>
  <c r="I55" i="9" s="1"/>
  <c r="J55" i="9" s="1"/>
  <c r="K55" i="9" s="1"/>
  <c r="C55" i="9"/>
  <c r="A55" i="9" s="1"/>
  <c r="F54" i="9"/>
  <c r="B54" i="9" s="1"/>
  <c r="G54" i="9" s="1"/>
  <c r="H54" i="9" s="1"/>
  <c r="I54" i="9" s="1"/>
  <c r="J54" i="9" s="1"/>
  <c r="K54" i="9" s="1"/>
  <c r="C54" i="9"/>
  <c r="A54" i="9" s="1"/>
  <c r="F53" i="9"/>
  <c r="B53" i="9" s="1"/>
  <c r="G53" i="9" s="1"/>
  <c r="H53" i="9" s="1"/>
  <c r="I53" i="9" s="1"/>
  <c r="J53" i="9" s="1"/>
  <c r="K53" i="9" s="1"/>
  <c r="C53" i="9"/>
  <c r="A53" i="9" s="1"/>
  <c r="F52" i="9"/>
  <c r="B52" i="9" s="1"/>
  <c r="G52" i="9" s="1"/>
  <c r="H52" i="9" s="1"/>
  <c r="I52" i="9" s="1"/>
  <c r="J52" i="9" s="1"/>
  <c r="K52" i="9" s="1"/>
  <c r="C52" i="9"/>
  <c r="A52" i="9" s="1"/>
  <c r="F51" i="9"/>
  <c r="B51" i="9"/>
  <c r="G51" i="9" s="1"/>
  <c r="H51" i="9" s="1"/>
  <c r="I51" i="9" s="1"/>
  <c r="J51" i="9" s="1"/>
  <c r="K51" i="9" s="1"/>
  <c r="C51" i="9"/>
  <c r="A51" i="9" s="1"/>
  <c r="F50" i="9"/>
  <c r="B50" i="9" s="1"/>
  <c r="G50" i="9" s="1"/>
  <c r="H50" i="9" s="1"/>
  <c r="I50" i="9" s="1"/>
  <c r="J50" i="9" s="1"/>
  <c r="K50" i="9" s="1"/>
  <c r="C50" i="9"/>
  <c r="A50" i="9" s="1"/>
  <c r="F49" i="9"/>
  <c r="B49" i="9" s="1"/>
  <c r="G49" i="9" s="1"/>
  <c r="H49" i="9" s="1"/>
  <c r="I49" i="9" s="1"/>
  <c r="J49" i="9" s="1"/>
  <c r="K49" i="9" s="1"/>
  <c r="C49" i="9"/>
  <c r="A49" i="9" s="1"/>
  <c r="F48" i="9"/>
  <c r="B48" i="9" s="1"/>
  <c r="G48" i="9" s="1"/>
  <c r="H48" i="9" s="1"/>
  <c r="I48" i="9" s="1"/>
  <c r="J48" i="9" s="1"/>
  <c r="K48" i="9" s="1"/>
  <c r="C48" i="9"/>
  <c r="A48" i="9" s="1"/>
  <c r="F47" i="9"/>
  <c r="B47" i="9" s="1"/>
  <c r="G47" i="9" s="1"/>
  <c r="H47" i="9" s="1"/>
  <c r="I47" i="9" s="1"/>
  <c r="J47" i="9" s="1"/>
  <c r="K47" i="9" s="1"/>
  <c r="C47" i="9"/>
  <c r="A47" i="9" s="1"/>
  <c r="F46" i="9"/>
  <c r="B46" i="9" s="1"/>
  <c r="G46" i="9" s="1"/>
  <c r="H46" i="9" s="1"/>
  <c r="I46" i="9" s="1"/>
  <c r="J46" i="9" s="1"/>
  <c r="K46" i="9" s="1"/>
  <c r="C46" i="9"/>
  <c r="A46" i="9" s="1"/>
  <c r="F45" i="9"/>
  <c r="B45" i="9"/>
  <c r="G45" i="9" s="1"/>
  <c r="H45" i="9" s="1"/>
  <c r="I45" i="9" s="1"/>
  <c r="J45" i="9" s="1"/>
  <c r="K45" i="9" s="1"/>
  <c r="C45" i="9"/>
  <c r="A45" i="9" s="1"/>
  <c r="F44" i="9"/>
  <c r="B44" i="9" s="1"/>
  <c r="G44" i="9" s="1"/>
  <c r="H44" i="9" s="1"/>
  <c r="I44" i="9" s="1"/>
  <c r="J44" i="9" s="1"/>
  <c r="K44" i="9" s="1"/>
  <c r="C44" i="9"/>
  <c r="A44" i="9" s="1"/>
  <c r="F43" i="9"/>
  <c r="B43" i="9" s="1"/>
  <c r="G43" i="9" s="1"/>
  <c r="H43" i="9" s="1"/>
  <c r="I43" i="9" s="1"/>
  <c r="J43" i="9" s="1"/>
  <c r="K43" i="9" s="1"/>
  <c r="C43" i="9"/>
  <c r="A43" i="9" s="1"/>
  <c r="F42" i="9"/>
  <c r="B42" i="9" s="1"/>
  <c r="C42" i="9"/>
  <c r="A42" i="9" s="1"/>
  <c r="F41" i="9"/>
  <c r="B41" i="9" s="1"/>
  <c r="G41" i="9" s="1"/>
  <c r="H41" i="9" s="1"/>
  <c r="I41" i="9" s="1"/>
  <c r="J41" i="9" s="1"/>
  <c r="K41" i="9" s="1"/>
  <c r="C41" i="9"/>
  <c r="A41" i="9" s="1"/>
  <c r="F40" i="9"/>
  <c r="B40" i="9" s="1"/>
  <c r="G40" i="9" s="1"/>
  <c r="H40" i="9" s="1"/>
  <c r="I40" i="9" s="1"/>
  <c r="J40" i="9" s="1"/>
  <c r="K40" i="9" s="1"/>
  <c r="C40" i="9"/>
  <c r="A40" i="9" s="1"/>
  <c r="F39" i="9"/>
  <c r="B39" i="9" s="1"/>
  <c r="G39" i="9" s="1"/>
  <c r="H39" i="9" s="1"/>
  <c r="I39" i="9" s="1"/>
  <c r="J39" i="9" s="1"/>
  <c r="K39" i="9" s="1"/>
  <c r="C39" i="9"/>
  <c r="A39" i="9" s="1"/>
  <c r="F38" i="9"/>
  <c r="B38" i="9" s="1"/>
  <c r="G38" i="9" s="1"/>
  <c r="H38" i="9" s="1"/>
  <c r="I38" i="9" s="1"/>
  <c r="J38" i="9" s="1"/>
  <c r="K38" i="9" s="1"/>
  <c r="C38" i="9"/>
  <c r="A38" i="9" s="1"/>
  <c r="F37" i="9"/>
  <c r="B37" i="9" s="1"/>
  <c r="G37" i="9" s="1"/>
  <c r="H37" i="9" s="1"/>
  <c r="I37" i="9" s="1"/>
  <c r="J37" i="9" s="1"/>
  <c r="K37" i="9" s="1"/>
  <c r="C37" i="9"/>
  <c r="A37" i="9" s="1"/>
  <c r="F36" i="9"/>
  <c r="B36" i="9" s="1"/>
  <c r="G36" i="9" s="1"/>
  <c r="H36" i="9" s="1"/>
  <c r="I36" i="9" s="1"/>
  <c r="J36" i="9" s="1"/>
  <c r="K36" i="9" s="1"/>
  <c r="C36" i="9"/>
  <c r="A36" i="9" s="1"/>
  <c r="F35" i="9"/>
  <c r="B35" i="9" s="1"/>
  <c r="G35" i="9" s="1"/>
  <c r="H35" i="9"/>
  <c r="I35" i="9" s="1"/>
  <c r="J35" i="9" s="1"/>
  <c r="K35" i="9" s="1"/>
  <c r="C35" i="9"/>
  <c r="A35" i="9" s="1"/>
  <c r="F34" i="9"/>
  <c r="B34" i="9"/>
  <c r="G34" i="9" s="1"/>
  <c r="H34" i="9" s="1"/>
  <c r="I34" i="9" s="1"/>
  <c r="J34" i="9" s="1"/>
  <c r="K34" i="9" s="1"/>
  <c r="C34" i="9"/>
  <c r="A34" i="9" s="1"/>
  <c r="F33" i="9"/>
  <c r="B33" i="9" s="1"/>
  <c r="G33" i="9" s="1"/>
  <c r="H33" i="9" s="1"/>
  <c r="I33" i="9" s="1"/>
  <c r="J33" i="9" s="1"/>
  <c r="K33" i="9" s="1"/>
  <c r="C33" i="9"/>
  <c r="A33" i="9" s="1"/>
  <c r="F32" i="9"/>
  <c r="B32" i="9" s="1"/>
  <c r="G32" i="9" s="1"/>
  <c r="H32" i="9" s="1"/>
  <c r="I32" i="9" s="1"/>
  <c r="J32" i="9" s="1"/>
  <c r="K32" i="9" s="1"/>
  <c r="C32" i="9"/>
  <c r="A32" i="9" s="1"/>
  <c r="F31" i="9"/>
  <c r="B31" i="9" s="1"/>
  <c r="G31" i="9" s="1"/>
  <c r="H31" i="9" s="1"/>
  <c r="I31" i="9" s="1"/>
  <c r="J31" i="9" s="1"/>
  <c r="K31" i="9" s="1"/>
  <c r="C31" i="9"/>
  <c r="A31" i="9" s="1"/>
  <c r="F30" i="9"/>
  <c r="B30" i="9" s="1"/>
  <c r="G30" i="9" s="1"/>
  <c r="H30" i="9" s="1"/>
  <c r="I30" i="9" s="1"/>
  <c r="J30" i="9" s="1"/>
  <c r="K30" i="9" s="1"/>
  <c r="C30" i="9"/>
  <c r="A30" i="9" s="1"/>
  <c r="F29" i="9"/>
  <c r="B29" i="9"/>
  <c r="G29" i="9" s="1"/>
  <c r="H29" i="9" s="1"/>
  <c r="I29" i="9" s="1"/>
  <c r="J29" i="9" s="1"/>
  <c r="K29" i="9" s="1"/>
  <c r="C29" i="9"/>
  <c r="A29" i="9" s="1"/>
  <c r="F28" i="9"/>
  <c r="B28" i="9" s="1"/>
  <c r="G28" i="9" s="1"/>
  <c r="H28" i="9" s="1"/>
  <c r="I28" i="9" s="1"/>
  <c r="J28" i="9" s="1"/>
  <c r="K28" i="9" s="1"/>
  <c r="C28" i="9"/>
  <c r="A28" i="9" s="1"/>
  <c r="F27" i="9"/>
  <c r="B27" i="9" s="1"/>
  <c r="G27" i="9" s="1"/>
  <c r="H27" i="9" s="1"/>
  <c r="I27" i="9" s="1"/>
  <c r="J27" i="9" s="1"/>
  <c r="K27" i="9" s="1"/>
  <c r="C27" i="9"/>
  <c r="A27" i="9" s="1"/>
  <c r="F26" i="9"/>
  <c r="B26" i="9" s="1"/>
  <c r="G26" i="9" s="1"/>
  <c r="H26" i="9" s="1"/>
  <c r="I26" i="9" s="1"/>
  <c r="J26" i="9" s="1"/>
  <c r="K26" i="9" s="1"/>
  <c r="C26" i="9"/>
  <c r="A26" i="9" s="1"/>
  <c r="F25" i="9"/>
  <c r="B25" i="9" s="1"/>
  <c r="G25" i="9" s="1"/>
  <c r="H25" i="9" s="1"/>
  <c r="I25" i="9" s="1"/>
  <c r="J25" i="9" s="1"/>
  <c r="K25" i="9" s="1"/>
  <c r="C25" i="9"/>
  <c r="A25" i="9" s="1"/>
  <c r="F24" i="9"/>
  <c r="B24" i="9" s="1"/>
  <c r="G24" i="9" s="1"/>
  <c r="H24" i="9" s="1"/>
  <c r="I24" i="9" s="1"/>
  <c r="J24" i="9" s="1"/>
  <c r="K24" i="9" s="1"/>
  <c r="C24" i="9"/>
  <c r="A24" i="9" s="1"/>
  <c r="F23" i="9"/>
  <c r="B23" i="9" s="1"/>
  <c r="G23" i="9" s="1"/>
  <c r="H23" i="9" s="1"/>
  <c r="I23" i="9" s="1"/>
  <c r="J23" i="9" s="1"/>
  <c r="K23" i="9" s="1"/>
  <c r="C23" i="9"/>
  <c r="A23" i="9" s="1"/>
  <c r="F22" i="9"/>
  <c r="B22" i="9" s="1"/>
  <c r="G22" i="9" s="1"/>
  <c r="H22" i="9" s="1"/>
  <c r="I22" i="9" s="1"/>
  <c r="J22" i="9" s="1"/>
  <c r="K22" i="9" s="1"/>
  <c r="C22" i="9"/>
  <c r="A22" i="9" s="1"/>
  <c r="F21" i="9"/>
  <c r="B21" i="9" s="1"/>
  <c r="G21" i="9" s="1"/>
  <c r="C21" i="9"/>
  <c r="A21" i="9" s="1"/>
  <c r="F20" i="9"/>
  <c r="B20" i="9" s="1"/>
  <c r="C20" i="9"/>
  <c r="A20" i="9" s="1"/>
  <c r="F19" i="9"/>
  <c r="B19" i="9" s="1"/>
  <c r="G19" i="9"/>
  <c r="H19" i="9" s="1"/>
  <c r="I19" i="9" s="1"/>
  <c r="J19" i="9" s="1"/>
  <c r="K19" i="9" s="1"/>
  <c r="C19" i="9"/>
  <c r="A19" i="9" s="1"/>
  <c r="F18" i="9"/>
  <c r="B18" i="9" s="1"/>
  <c r="G18" i="9" s="1"/>
  <c r="H18" i="9" s="1"/>
  <c r="I18" i="9" s="1"/>
  <c r="J18" i="9" s="1"/>
  <c r="K18" i="9" s="1"/>
  <c r="C18" i="9"/>
  <c r="A18" i="9" s="1"/>
  <c r="F17" i="9"/>
  <c r="B17" i="9" s="1"/>
  <c r="G17" i="9" s="1"/>
  <c r="H17" i="9" s="1"/>
  <c r="I17" i="9" s="1"/>
  <c r="J17" i="9" s="1"/>
  <c r="K17" i="9" s="1"/>
  <c r="C17" i="9"/>
  <c r="A17" i="9" s="1"/>
  <c r="F16" i="9"/>
  <c r="B16" i="9" s="1"/>
  <c r="G16" i="9" s="1"/>
  <c r="H16" i="9" s="1"/>
  <c r="I16" i="9" s="1"/>
  <c r="J16" i="9" s="1"/>
  <c r="K16" i="9" s="1"/>
  <c r="C16" i="9"/>
  <c r="A16" i="9" s="1"/>
  <c r="F15" i="9"/>
  <c r="B15" i="9" s="1"/>
  <c r="G15" i="9" s="1"/>
  <c r="H15" i="9" s="1"/>
  <c r="I15" i="9" s="1"/>
  <c r="J15" i="9" s="1"/>
  <c r="K15" i="9" s="1"/>
  <c r="C15" i="9"/>
  <c r="A15" i="9" s="1"/>
  <c r="F14" i="9"/>
  <c r="B14" i="9" s="1"/>
  <c r="G14" i="9" s="1"/>
  <c r="H14" i="9" s="1"/>
  <c r="I14" i="9" s="1"/>
  <c r="J14" i="9" s="1"/>
  <c r="K14" i="9" s="1"/>
  <c r="C14" i="9"/>
  <c r="A14" i="9" s="1"/>
  <c r="F13" i="9"/>
  <c r="B13" i="9" s="1"/>
  <c r="G13" i="9" s="1"/>
  <c r="H13" i="9" s="1"/>
  <c r="I13" i="9" s="1"/>
  <c r="J13" i="9" s="1"/>
  <c r="K13" i="9" s="1"/>
  <c r="C13" i="9"/>
  <c r="A13" i="9" s="1"/>
  <c r="F12" i="9"/>
  <c r="B12" i="9" s="1"/>
  <c r="G12" i="9" s="1"/>
  <c r="H12" i="9" s="1"/>
  <c r="I12" i="9" s="1"/>
  <c r="J12" i="9" s="1"/>
  <c r="K12" i="9" s="1"/>
  <c r="C12" i="9"/>
  <c r="A12" i="9" s="1"/>
  <c r="F11" i="9"/>
  <c r="B11" i="9" s="1"/>
  <c r="G11" i="9" s="1"/>
  <c r="H11" i="9" s="1"/>
  <c r="I11" i="9" s="1"/>
  <c r="J11" i="9" s="1"/>
  <c r="K11" i="9" s="1"/>
  <c r="C11" i="9"/>
  <c r="A11" i="9" s="1"/>
  <c r="F10" i="9"/>
  <c r="B10" i="9" s="1"/>
  <c r="G10" i="9" s="1"/>
  <c r="H10" i="9" s="1"/>
  <c r="I10" i="9" s="1"/>
  <c r="J10" i="9" s="1"/>
  <c r="K10" i="9" s="1"/>
  <c r="C10" i="9"/>
  <c r="A10" i="9" s="1"/>
  <c r="F9" i="9"/>
  <c r="B9" i="9" s="1"/>
  <c r="G9" i="9" s="1"/>
  <c r="H9" i="9" s="1"/>
  <c r="I9" i="9" s="1"/>
  <c r="J9" i="9" s="1"/>
  <c r="K9" i="9" s="1"/>
  <c r="C9" i="9"/>
  <c r="A9" i="9"/>
  <c r="F8" i="9"/>
  <c r="B8" i="9" s="1"/>
  <c r="G8" i="9" s="1"/>
  <c r="H8" i="9" s="1"/>
  <c r="I8" i="9" s="1"/>
  <c r="J8" i="9" s="1"/>
  <c r="K8" i="9" s="1"/>
  <c r="C8" i="9"/>
  <c r="A8" i="9" s="1"/>
  <c r="F7" i="9"/>
  <c r="B7" i="9" s="1"/>
  <c r="G7" i="9" s="1"/>
  <c r="H7" i="9" s="1"/>
  <c r="I7" i="9" s="1"/>
  <c r="J7" i="9" s="1"/>
  <c r="K7" i="9" s="1"/>
  <c r="C7" i="9"/>
  <c r="A7" i="9" s="1"/>
  <c r="F6" i="9"/>
  <c r="B6" i="9" s="1"/>
  <c r="G6" i="9" s="1"/>
  <c r="H6" i="9" s="1"/>
  <c r="I6" i="9" s="1"/>
  <c r="J6" i="9" s="1"/>
  <c r="K6" i="9" s="1"/>
  <c r="C6" i="9"/>
  <c r="A6" i="9" s="1"/>
  <c r="F5" i="9"/>
  <c r="B5" i="9" s="1"/>
  <c r="G5" i="9" s="1"/>
  <c r="H5" i="9" s="1"/>
  <c r="I5" i="9" s="1"/>
  <c r="J5" i="9" s="1"/>
  <c r="K5" i="9" s="1"/>
  <c r="C5" i="9"/>
  <c r="A5" i="9" s="1"/>
  <c r="B4" i="6"/>
  <c r="C4" i="6"/>
  <c r="D4" i="6"/>
  <c r="E4" i="6"/>
  <c r="F4" i="6"/>
  <c r="G4" i="6"/>
  <c r="H4" i="6"/>
  <c r="I4" i="6"/>
  <c r="J4" i="6"/>
  <c r="K4" i="6"/>
  <c r="B5" i="6"/>
  <c r="C5" i="6"/>
  <c r="D5" i="6"/>
  <c r="E5" i="6"/>
  <c r="F5" i="6"/>
  <c r="G5" i="6"/>
  <c r="H5" i="6"/>
  <c r="I5" i="6"/>
  <c r="J5" i="6"/>
  <c r="K5" i="6"/>
  <c r="B6" i="6"/>
  <c r="C6" i="6"/>
  <c r="D6" i="6"/>
  <c r="E6" i="6"/>
  <c r="F6" i="6"/>
  <c r="G6" i="6"/>
  <c r="H6" i="6"/>
  <c r="I6" i="6"/>
  <c r="J6" i="6"/>
  <c r="K6" i="6"/>
  <c r="B7" i="6"/>
  <c r="C7" i="6"/>
  <c r="D7" i="6"/>
  <c r="E7" i="6"/>
  <c r="F7" i="6"/>
  <c r="G7" i="6"/>
  <c r="H7" i="6"/>
  <c r="I7" i="6"/>
  <c r="J7" i="6"/>
  <c r="K7" i="6"/>
  <c r="B10" i="6"/>
  <c r="C10" i="6"/>
  <c r="D10" i="6"/>
  <c r="E10" i="6"/>
  <c r="F10" i="6"/>
  <c r="G10" i="6"/>
  <c r="H10" i="6"/>
  <c r="I10" i="6"/>
  <c r="J10" i="6"/>
  <c r="K10" i="6"/>
  <c r="G20" i="9"/>
  <c r="H20" i="9" s="1"/>
  <c r="I20" i="9" s="1"/>
  <c r="J20" i="9" s="1"/>
  <c r="K20" i="9" s="1"/>
  <c r="G42" i="9"/>
  <c r="H42" i="9" s="1"/>
  <c r="I42" i="9" s="1"/>
  <c r="J42" i="9" s="1"/>
  <c r="K42" i="9" s="1"/>
  <c r="H21" i="9"/>
  <c r="I21" i="9" s="1"/>
  <c r="J21" i="9" s="1"/>
  <c r="K21" i="9" s="1"/>
  <c r="C16" i="10"/>
  <c r="C15" i="10"/>
  <c r="C13" i="10"/>
  <c r="C3" i="10"/>
  <c r="D3" i="10" s="1"/>
  <c r="C9" i="10"/>
  <c r="D32" i="29"/>
  <c r="D64" i="29"/>
  <c r="D22" i="29"/>
  <c r="D34" i="29"/>
  <c r="D66" i="29"/>
  <c r="D39" i="29"/>
  <c r="D17" i="29"/>
  <c r="D36" i="29"/>
  <c r="D68" i="29"/>
  <c r="D19" i="29"/>
  <c r="D26" i="29"/>
  <c r="D11" i="32"/>
  <c r="D10" i="32"/>
  <c r="D15" i="32"/>
  <c r="D12" i="32"/>
  <c r="C16" i="32"/>
  <c r="E11" i="36"/>
  <c r="F11" i="36" s="1"/>
  <c r="G10" i="36"/>
  <c r="K13" i="36"/>
  <c r="E10" i="36"/>
  <c r="H10" i="36" s="1"/>
  <c r="E13" i="36"/>
  <c r="H13" i="36" s="1"/>
  <c r="G13" i="36"/>
  <c r="K12" i="36"/>
  <c r="AH23" i="46"/>
  <c r="C19" i="34"/>
  <c r="E17" i="34"/>
  <c r="C17" i="34"/>
  <c r="AB11" i="46"/>
  <c r="AD11" i="46"/>
  <c r="Y11" i="46"/>
  <c r="L11" i="46" s="1"/>
  <c r="AC11" i="46"/>
  <c r="AE11" i="46"/>
  <c r="AF11" i="46"/>
  <c r="AA11" i="46"/>
  <c r="AD25" i="46"/>
  <c r="AE25" i="46"/>
  <c r="AG25" i="46"/>
  <c r="AC25" i="46"/>
  <c r="AI25" i="46"/>
  <c r="AB25" i="46"/>
  <c r="AA25" i="46"/>
  <c r="D15" i="34"/>
  <c r="E13" i="34"/>
  <c r="D20" i="34"/>
  <c r="C18" i="34"/>
  <c r="D16" i="34"/>
  <c r="E14" i="34"/>
  <c r="F13" i="36"/>
  <c r="U18" i="46"/>
  <c r="G15" i="46"/>
  <c r="AC15" i="46"/>
  <c r="AC16" i="46"/>
  <c r="O16" i="46"/>
  <c r="AD37" i="46"/>
  <c r="AE39" i="46"/>
  <c r="AE30" i="46"/>
  <c r="AI30" i="46"/>
  <c r="AH43" i="46"/>
  <c r="AE37" i="46"/>
  <c r="AA37" i="46"/>
  <c r="AG50" i="46"/>
  <c r="AH33" i="46"/>
  <c r="AC37" i="46"/>
  <c r="AG46" i="46"/>
  <c r="AF30" i="46"/>
  <c r="AB30" i="46"/>
  <c r="AI52" i="46"/>
  <c r="AE52" i="46"/>
  <c r="AA52" i="46"/>
  <c r="AI37" i="46"/>
  <c r="AE33" i="46"/>
  <c r="C4" i="10"/>
  <c r="C6" i="10"/>
  <c r="C14" i="10"/>
  <c r="C5" i="10"/>
  <c r="C7" i="10"/>
  <c r="C10" i="10"/>
  <c r="C18" i="10"/>
  <c r="C8" i="10"/>
  <c r="C19" i="10"/>
  <c r="J12" i="36" l="1"/>
  <c r="D53" i="29"/>
  <c r="D59" i="29"/>
  <c r="D65" i="29"/>
  <c r="D43" i="29"/>
  <c r="D70" i="29"/>
  <c r="AB82" i="46"/>
  <c r="AI82" i="46"/>
  <c r="AF44" i="46"/>
  <c r="AC44" i="46"/>
  <c r="AH26" i="46"/>
  <c r="Y12" i="46"/>
  <c r="L12" i="46" s="1"/>
  <c r="AA61" i="46"/>
  <c r="K17" i="46"/>
  <c r="AG42" i="46"/>
  <c r="AH86" i="46"/>
  <c r="AF86" i="46"/>
  <c r="AG86" i="46"/>
  <c r="V19" i="46"/>
  <c r="D73" i="29"/>
  <c r="D78" i="29"/>
  <c r="D76" i="29"/>
  <c r="D33" i="29"/>
  <c r="D71" i="29"/>
  <c r="D38" i="29"/>
  <c r="AA81" i="46"/>
  <c r="AD86" i="46"/>
  <c r="AH34" i="46"/>
  <c r="AI26" i="46"/>
  <c r="AG20" i="46"/>
  <c r="AF43" i="46"/>
  <c r="AE43" i="46"/>
  <c r="AC54" i="46"/>
  <c r="AB54" i="46"/>
  <c r="AH62" i="46"/>
  <c r="AC62" i="46"/>
  <c r="AF62" i="46"/>
  <c r="AA62" i="46"/>
  <c r="AE62" i="46"/>
  <c r="AB88" i="46"/>
  <c r="AH88" i="46"/>
  <c r="AF100" i="46"/>
  <c r="AH100" i="46"/>
  <c r="AH105" i="46"/>
  <c r="AF105" i="46"/>
  <c r="AA105" i="46"/>
  <c r="AB105" i="46"/>
  <c r="AF18" i="46"/>
  <c r="E17" i="32"/>
  <c r="D58" i="29"/>
  <c r="D49" i="29"/>
  <c r="D54" i="29"/>
  <c r="D82" i="29"/>
  <c r="D77" i="29"/>
  <c r="D16" i="29"/>
  <c r="AG110" i="46"/>
  <c r="AI73" i="46"/>
  <c r="AC69" i="46"/>
  <c r="AD73" i="46"/>
  <c r="AI31" i="46"/>
  <c r="AC34" i="46"/>
  <c r="AB42" i="46"/>
  <c r="AF26" i="46"/>
  <c r="T18" i="46"/>
  <c r="AI88" i="46"/>
  <c r="AB86" i="46"/>
  <c r="AA83" i="46"/>
  <c r="AE76" i="46"/>
  <c r="AG73" i="46"/>
  <c r="AF12" i="46"/>
  <c r="AH12" i="46"/>
  <c r="T15" i="46"/>
  <c r="AA23" i="46"/>
  <c r="AI23" i="46"/>
  <c r="AF33" i="46"/>
  <c r="AB33" i="46"/>
  <c r="AD33" i="46"/>
  <c r="AF50" i="46"/>
  <c r="AH50" i="46"/>
  <c r="AG75" i="46"/>
  <c r="AB75" i="46"/>
  <c r="AH75" i="46"/>
  <c r="AI80" i="46"/>
  <c r="AC80" i="46"/>
  <c r="AF104" i="46"/>
  <c r="AH104" i="46"/>
  <c r="AG104" i="46"/>
  <c r="AE104" i="46"/>
  <c r="AG109" i="46"/>
  <c r="AH109" i="46"/>
  <c r="AB109" i="46"/>
  <c r="AC109" i="46"/>
  <c r="AE45" i="46"/>
  <c r="AA45" i="46"/>
  <c r="AB61" i="46"/>
  <c r="AD61" i="46"/>
  <c r="AH61" i="46"/>
  <c r="AC61" i="46"/>
  <c r="AF87" i="46"/>
  <c r="AE87" i="46"/>
  <c r="AD87" i="46"/>
  <c r="J10" i="36"/>
  <c r="AB14" i="46"/>
  <c r="AE14" i="46"/>
  <c r="AD82" i="46"/>
  <c r="AF82" i="46"/>
  <c r="AE82" i="46"/>
  <c r="AB34" i="46"/>
  <c r="J13" i="36"/>
  <c r="E16" i="32"/>
  <c r="E15" i="32"/>
  <c r="AG27" i="46"/>
  <c r="AE27" i="46"/>
  <c r="AI27" i="46"/>
  <c r="V15" i="46"/>
  <c r="L12" i="36"/>
  <c r="C12" i="32"/>
  <c r="D85" i="29"/>
  <c r="D87" i="29"/>
  <c r="C14" i="32"/>
  <c r="E13" i="32"/>
  <c r="D67" i="29"/>
  <c r="AG94" i="46"/>
  <c r="AG45" i="46"/>
  <c r="AC27" i="46"/>
  <c r="AD45" i="46"/>
  <c r="O15" i="46"/>
  <c r="AA21" i="46"/>
  <c r="L26" i="4"/>
  <c r="AF42" i="46"/>
  <c r="AA42" i="46"/>
  <c r="AD42" i="46"/>
  <c r="AI42" i="46"/>
  <c r="AE42" i="46"/>
  <c r="AG61" i="46"/>
  <c r="AF15" i="46"/>
  <c r="AC31" i="46"/>
  <c r="AD31" i="46"/>
  <c r="AB31" i="46"/>
  <c r="AH94" i="46"/>
  <c r="AA94" i="46"/>
  <c r="AC94" i="46"/>
  <c r="AI94" i="46"/>
  <c r="AE94" i="46"/>
  <c r="AA20" i="46"/>
  <c r="X20" i="46"/>
  <c r="H20" i="46" s="1"/>
  <c r="AH47" i="46"/>
  <c r="AG47" i="46"/>
  <c r="E14" i="32"/>
  <c r="AI47" i="46"/>
  <c r="AC45" i="46"/>
  <c r="AH31" i="46"/>
  <c r="AG44" i="46"/>
  <c r="AA44" i="46"/>
  <c r="AD44" i="46"/>
  <c r="D72" i="29"/>
  <c r="D20" i="29"/>
  <c r="D42" i="29"/>
  <c r="D61" i="29"/>
  <c r="D81" i="29"/>
  <c r="D51" i="29"/>
  <c r="D80" i="29"/>
  <c r="D28" i="29"/>
  <c r="D50" i="29"/>
  <c r="D23" i="29"/>
  <c r="D24" i="29"/>
  <c r="D83" i="29"/>
  <c r="J11" i="36"/>
  <c r="D21" i="29"/>
  <c r="D27" i="29"/>
  <c r="C15" i="32"/>
  <c r="L10" i="36"/>
  <c r="AC82" i="46"/>
  <c r="AA82" i="46"/>
  <c r="Z20" i="46"/>
  <c r="P20" i="46" s="1"/>
  <c r="AG34" i="46"/>
  <c r="AC81" i="46"/>
  <c r="AE81" i="46"/>
  <c r="G13" i="46"/>
  <c r="AB13" i="46" s="1"/>
  <c r="L13" i="36"/>
  <c r="D41" i="29"/>
  <c r="D46" i="29"/>
  <c r="D44" i="29"/>
  <c r="D25" i="29"/>
  <c r="D84" i="29"/>
  <c r="D30" i="29"/>
  <c r="AH82" i="46"/>
  <c r="AG76" i="46"/>
  <c r="AE57" i="46"/>
  <c r="AI34" i="46"/>
  <c r="AH87" i="46"/>
  <c r="AA46" i="46"/>
  <c r="AB26" i="46"/>
  <c r="AA54" i="46"/>
  <c r="AI93" i="46"/>
  <c r="AI44" i="46"/>
  <c r="AB94" i="46"/>
  <c r="AA100" i="46"/>
  <c r="AE105" i="46"/>
  <c r="T20" i="46"/>
  <c r="G20" i="46"/>
  <c r="U20" i="46"/>
  <c r="Q20" i="46" s="1"/>
  <c r="M23" i="43" s="1"/>
  <c r="M23" i="44" s="1"/>
  <c r="AB38" i="46"/>
  <c r="AA38" i="46"/>
  <c r="AI46" i="46"/>
  <c r="AE63" i="46"/>
  <c r="P41" i="25"/>
  <c r="D55" i="29"/>
  <c r="D60" i="29"/>
  <c r="D48" i="29"/>
  <c r="AG70" i="46"/>
  <c r="AF94" i="46"/>
  <c r="AD69" i="46"/>
  <c r="AH93" i="46"/>
  <c r="AF75" i="46"/>
  <c r="AG56" i="46"/>
  <c r="AD34" i="46"/>
  <c r="AC50" i="46"/>
  <c r="AA34" i="46"/>
  <c r="AE31" i="46"/>
  <c r="AA87" i="46"/>
  <c r="V11" i="46"/>
  <c r="AD26" i="46"/>
  <c r="AH69" i="46"/>
  <c r="AB92" i="46"/>
  <c r="AI104" i="46"/>
  <c r="AD56" i="46"/>
  <c r="AF48" i="46"/>
  <c r="AD48" i="46"/>
  <c r="AI78" i="46"/>
  <c r="AE78" i="46"/>
  <c r="AD90" i="46"/>
  <c r="AC90" i="46"/>
  <c r="C11" i="10"/>
  <c r="C12" i="10"/>
  <c r="D57" i="29"/>
  <c r="D35" i="29"/>
  <c r="D62" i="29"/>
  <c r="AF61" i="46"/>
  <c r="AA26" i="46"/>
  <c r="AC73" i="46"/>
  <c r="AA73" i="46"/>
  <c r="AF73" i="46"/>
  <c r="AH110" i="46"/>
  <c r="AA110" i="46"/>
  <c r="AG12" i="46"/>
  <c r="D79" i="29"/>
  <c r="D88" i="29"/>
  <c r="D29" i="29"/>
  <c r="L27" i="4"/>
  <c r="L28" i="4" s="1"/>
  <c r="P25" i="4" s="1"/>
  <c r="P26" i="4" s="1"/>
  <c r="AF46" i="46"/>
  <c r="Y18" i="46"/>
  <c r="L18" i="46" s="1"/>
  <c r="X12" i="46"/>
  <c r="H12" i="46" s="1"/>
  <c r="AC23" i="46"/>
  <c r="E10" i="32"/>
  <c r="D31" i="29"/>
  <c r="D56" i="29"/>
  <c r="D86" i="29"/>
  <c r="D47" i="29"/>
  <c r="D52" i="29"/>
  <c r="D40" i="29"/>
  <c r="H10" i="39"/>
  <c r="F10" i="39"/>
  <c r="AF69" i="46"/>
  <c r="AE93" i="46"/>
  <c r="AH56" i="46"/>
  <c r="AC33" i="46"/>
  <c r="AC42" i="46"/>
  <c r="AC43" i="46"/>
  <c r="AI56" i="46"/>
  <c r="AF31" i="46"/>
  <c r="AI87" i="46"/>
  <c r="AD38" i="46"/>
  <c r="AE100" i="46"/>
  <c r="AD88" i="46"/>
  <c r="AE80" i="46"/>
  <c r="AG35" i="46"/>
  <c r="C10" i="32"/>
  <c r="E11" i="32"/>
  <c r="C11" i="32"/>
  <c r="C13" i="32"/>
  <c r="AE17" i="46"/>
  <c r="AF17" i="46"/>
  <c r="Y17" i="46"/>
  <c r="L17" i="46" s="1"/>
  <c r="AH17" i="46"/>
  <c r="AF22" i="46"/>
  <c r="AE22" i="46"/>
  <c r="AD22" i="46"/>
  <c r="AH37" i="46"/>
  <c r="AB37" i="46"/>
  <c r="AH40" i="46"/>
  <c r="AG40" i="46"/>
  <c r="AB40" i="46"/>
  <c r="AB56" i="46"/>
  <c r="AD77" i="46"/>
  <c r="AB101" i="46"/>
  <c r="AA101" i="46"/>
  <c r="E19" i="34"/>
  <c r="D14" i="34"/>
  <c r="E12" i="36"/>
  <c r="F12" i="36" s="1"/>
  <c r="AC101" i="46"/>
  <c r="AF65" i="46"/>
  <c r="C17" i="32"/>
  <c r="AD62" i="46"/>
  <c r="AI62" i="46"/>
  <c r="AG93" i="46"/>
  <c r="AA93" i="46"/>
  <c r="AG97" i="46"/>
  <c r="AC97" i="46"/>
  <c r="F41" i="25"/>
  <c r="D14" i="32"/>
  <c r="D17" i="32"/>
  <c r="AG22" i="46"/>
  <c r="AC22" i="46"/>
  <c r="AC26" i="46"/>
  <c r="AG26" i="46"/>
  <c r="AG30" i="46"/>
  <c r="AC30" i="46"/>
  <c r="AE59" i="46"/>
  <c r="AG59" i="46"/>
  <c r="AA59" i="46"/>
  <c r="AF59" i="46"/>
  <c r="AH59" i="46"/>
  <c r="AC75" i="46"/>
  <c r="AE75" i="46"/>
  <c r="AE96" i="46"/>
  <c r="AD96" i="46"/>
  <c r="AE36" i="46"/>
  <c r="AH36" i="46"/>
  <c r="AD36" i="46"/>
  <c r="AI36" i="46"/>
  <c r="AA36" i="46"/>
  <c r="AD68" i="46"/>
  <c r="AG68" i="46"/>
  <c r="AI68" i="46"/>
  <c r="AH99" i="46"/>
  <c r="AE99" i="46"/>
  <c r="AG36" i="46"/>
  <c r="O13" i="46"/>
  <c r="AF51" i="46"/>
  <c r="O12" i="46"/>
  <c r="W13" i="46"/>
  <c r="R13" i="46" s="1"/>
  <c r="N16" i="43" s="1"/>
  <c r="N16" i="44" s="1"/>
  <c r="K14" i="46"/>
  <c r="AH80" i="46"/>
  <c r="AD106" i="46"/>
  <c r="AE107" i="46"/>
  <c r="F10" i="36"/>
  <c r="H11" i="36"/>
  <c r="O41" i="25"/>
  <c r="L29" i="4"/>
  <c r="P27" i="4" s="1"/>
  <c r="P28" i="4" s="1"/>
  <c r="E18" i="34"/>
  <c r="E15" i="34"/>
  <c r="E16" i="34"/>
  <c r="C13" i="34"/>
  <c r="E20" i="34"/>
  <c r="C14" i="34"/>
  <c r="O14" i="46"/>
  <c r="U15" i="46"/>
  <c r="Q15" i="46" s="1"/>
  <c r="M18" i="43" s="1"/>
  <c r="M18" i="44" s="1"/>
  <c r="K16" i="46"/>
  <c r="C10" i="45" s="1"/>
  <c r="O17" i="46"/>
  <c r="AD55" i="46"/>
  <c r="AC59" i="46"/>
  <c r="AD59" i="46"/>
  <c r="N41" i="25"/>
  <c r="C10" i="29"/>
  <c r="G25" i="29" s="1"/>
  <c r="AF102" i="46"/>
  <c r="AH102" i="46"/>
  <c r="C20" i="34"/>
  <c r="C9" i="17"/>
  <c r="AT25" i="17" s="1"/>
  <c r="M41" i="25"/>
  <c r="AH51" i="46"/>
  <c r="V3" i="4"/>
  <c r="X3" i="4" s="1"/>
  <c r="W3" i="4"/>
  <c r="W4" i="4" s="1"/>
  <c r="D4" i="10"/>
  <c r="D5" i="10" s="1"/>
  <c r="D6" i="10" s="1"/>
  <c r="D7" i="10" s="1"/>
  <c r="D8" i="10" s="1"/>
  <c r="D9" i="10" s="1"/>
  <c r="D10" i="10" s="1"/>
  <c r="D11" i="10" s="1"/>
  <c r="D12" i="10" s="1"/>
  <c r="D13" i="10" s="1"/>
  <c r="D14" i="10" s="1"/>
  <c r="D15" i="10" s="1"/>
  <c r="D16" i="10" s="1"/>
  <c r="D17" i="10" s="1"/>
  <c r="D18" i="10" s="1"/>
  <c r="D19" i="10" s="1"/>
  <c r="AI48" i="46"/>
  <c r="AA48" i="46"/>
  <c r="AH48" i="46"/>
  <c r="AC48" i="46"/>
  <c r="AE48" i="46"/>
  <c r="AB48" i="46"/>
  <c r="AG48" i="46"/>
  <c r="AC64" i="46"/>
  <c r="AA64" i="46"/>
  <c r="AE64" i="46"/>
  <c r="AB64" i="46"/>
  <c r="AF64" i="46"/>
  <c r="AH64" i="46"/>
  <c r="AG64" i="46"/>
  <c r="AD64" i="46"/>
  <c r="AA29" i="46"/>
  <c r="AI41" i="46"/>
  <c r="AA41" i="46"/>
  <c r="AC41" i="46"/>
  <c r="AB41" i="46"/>
  <c r="AE41" i="46"/>
  <c r="AH41" i="46"/>
  <c r="AD41" i="46"/>
  <c r="AF41" i="46"/>
  <c r="AG41" i="46"/>
  <c r="AD91" i="46"/>
  <c r="AG91" i="46"/>
  <c r="AF91" i="46"/>
  <c r="AE91" i="46"/>
  <c r="AH91" i="46"/>
  <c r="AI91" i="46"/>
  <c r="AC91" i="46"/>
  <c r="AB91" i="46"/>
  <c r="AI95" i="46"/>
  <c r="AF95" i="46"/>
  <c r="AB95" i="46"/>
  <c r="AC95" i="46"/>
  <c r="AE95" i="46"/>
  <c r="AA95" i="46"/>
  <c r="AD95" i="46"/>
  <c r="AH95" i="46"/>
  <c r="AD98" i="46"/>
  <c r="AB98" i="46"/>
  <c r="AF98" i="46"/>
  <c r="AI98" i="46"/>
  <c r="AE98" i="46"/>
  <c r="AH98" i="46"/>
  <c r="AG98" i="46"/>
  <c r="C10" i="17"/>
  <c r="L26" i="17" s="1"/>
  <c r="AH16" i="46"/>
  <c r="AA16" i="46"/>
  <c r="Y16" i="46"/>
  <c r="L16" i="46" s="1"/>
  <c r="AD16" i="46"/>
  <c r="AF16" i="46"/>
  <c r="Z16" i="46"/>
  <c r="P16" i="46" s="1"/>
  <c r="AE16" i="46"/>
  <c r="AG16" i="46"/>
  <c r="AB16" i="46"/>
  <c r="X16" i="46"/>
  <c r="H16" i="46" s="1"/>
  <c r="AA17" i="46"/>
  <c r="W17" i="46"/>
  <c r="R17" i="46" s="1"/>
  <c r="N20" i="43" s="1"/>
  <c r="N20" i="44" s="1"/>
  <c r="G17" i="46"/>
  <c r="U17" i="46"/>
  <c r="AC17" i="46"/>
  <c r="V17" i="46"/>
  <c r="X17" i="46"/>
  <c r="H17" i="46" s="1"/>
  <c r="AC18" i="46"/>
  <c r="G18" i="46"/>
  <c r="O18" i="46"/>
  <c r="R18" i="46"/>
  <c r="N21" i="43" s="1"/>
  <c r="N21" i="44" s="1"/>
  <c r="Q18" i="46"/>
  <c r="M21" i="43" s="1"/>
  <c r="M21" i="44" s="1"/>
  <c r="Z18" i="46"/>
  <c r="P18" i="46" s="1"/>
  <c r="AI18" i="46"/>
  <c r="K19" i="46"/>
  <c r="W19" i="46"/>
  <c r="R19" i="46" s="1"/>
  <c r="N22" i="43" s="1"/>
  <c r="N22" i="44" s="1"/>
  <c r="U19" i="46"/>
  <c r="Q19" i="46" s="1"/>
  <c r="M22" i="43" s="1"/>
  <c r="M22" i="44" s="1"/>
  <c r="T19" i="46"/>
  <c r="AF19" i="46"/>
  <c r="AH19" i="46"/>
  <c r="Z19" i="46"/>
  <c r="P19" i="46" s="1"/>
  <c r="AD19" i="46"/>
  <c r="AE19" i="46"/>
  <c r="X19" i="46"/>
  <c r="H19" i="46" s="1"/>
  <c r="AB19" i="46"/>
  <c r="AA19" i="46"/>
  <c r="AC19" i="46"/>
  <c r="Y19" i="46"/>
  <c r="L19" i="46" s="1"/>
  <c r="AI19" i="46"/>
  <c r="AG19" i="46"/>
  <c r="K20" i="46"/>
  <c r="AE20" i="46"/>
  <c r="W20" i="46"/>
  <c r="R20" i="46" s="1"/>
  <c r="N23" i="43" s="1"/>
  <c r="N23" i="44" s="1"/>
  <c r="V20" i="46"/>
  <c r="AC24" i="46"/>
  <c r="AI24" i="46"/>
  <c r="AA24" i="46"/>
  <c r="AE24" i="46"/>
  <c r="AF24" i="46"/>
  <c r="AG24" i="46"/>
  <c r="AD24" i="46"/>
  <c r="AH24" i="46"/>
  <c r="AF47" i="46"/>
  <c r="AA47" i="46"/>
  <c r="AB47" i="46"/>
  <c r="AC47" i="46"/>
  <c r="AD47" i="46"/>
  <c r="AE47" i="46"/>
  <c r="AH53" i="46"/>
  <c r="AI53" i="46"/>
  <c r="AA53" i="46"/>
  <c r="AF53" i="46"/>
  <c r="AD53" i="46"/>
  <c r="AC53" i="46"/>
  <c r="AE53" i="46"/>
  <c r="AG53" i="46"/>
  <c r="AC29" i="46"/>
  <c r="AH29" i="46"/>
  <c r="AD29" i="46"/>
  <c r="AB29" i="46"/>
  <c r="AE29" i="46"/>
  <c r="AG29" i="46"/>
  <c r="AF29" i="46"/>
  <c r="AI32" i="46"/>
  <c r="AH32" i="46"/>
  <c r="AB32" i="46"/>
  <c r="AE32" i="46"/>
  <c r="AG32" i="46"/>
  <c r="AA32" i="46"/>
  <c r="AF32" i="46"/>
  <c r="AD32" i="46"/>
  <c r="AG71" i="46"/>
  <c r="AF71" i="46"/>
  <c r="AC71" i="46"/>
  <c r="AA71" i="46"/>
  <c r="AD71" i="46"/>
  <c r="AB71" i="46"/>
  <c r="AH71" i="46"/>
  <c r="AC32" i="46"/>
  <c r="AI64" i="46"/>
  <c r="X11" i="46"/>
  <c r="H11" i="46" s="1"/>
  <c r="T11" i="46"/>
  <c r="G11" i="46"/>
  <c r="U11" i="46"/>
  <c r="Q11" i="46" s="1"/>
  <c r="M14" i="43" s="1"/>
  <c r="AG11" i="46"/>
  <c r="Z11" i="46"/>
  <c r="P11" i="46" s="1"/>
  <c r="O11" i="46"/>
  <c r="R11" i="46"/>
  <c r="N14" i="43" s="1"/>
  <c r="AI11" i="46"/>
  <c r="G12" i="46"/>
  <c r="W12" i="46"/>
  <c r="R12" i="46" s="1"/>
  <c r="N15" i="43" s="1"/>
  <c r="N15" i="44" s="1"/>
  <c r="V12" i="46"/>
  <c r="T12" i="46"/>
  <c r="U12" i="46"/>
  <c r="Q12" i="46" s="1"/>
  <c r="M15" i="43" s="1"/>
  <c r="M15" i="44" s="1"/>
  <c r="W16" i="46"/>
  <c r="R16" i="46" s="1"/>
  <c r="N19" i="43" s="1"/>
  <c r="N19" i="44" s="1"/>
  <c r="AC92" i="46"/>
  <c r="AF92" i="46"/>
  <c r="AA92" i="46"/>
  <c r="AH92" i="46"/>
  <c r="AI92" i="46"/>
  <c r="AE92" i="46"/>
  <c r="AD92" i="46"/>
  <c r="G22" i="29"/>
  <c r="G18" i="29"/>
  <c r="E11" i="39"/>
  <c r="H11" i="39" s="1"/>
  <c r="E13" i="39"/>
  <c r="F13" i="39" s="1"/>
  <c r="G13" i="39"/>
  <c r="G11" i="39"/>
  <c r="Z13" i="46"/>
  <c r="P13" i="46" s="1"/>
  <c r="AF13" i="46"/>
  <c r="AI13" i="46"/>
  <c r="AD13" i="46"/>
  <c r="AH14" i="46"/>
  <c r="AD14" i="46"/>
  <c r="Y15" i="46"/>
  <c r="L15" i="46" s="1"/>
  <c r="AA15" i="46"/>
  <c r="AG15" i="46"/>
  <c r="AI20" i="46"/>
  <c r="AD20" i="46"/>
  <c r="AH20" i="46"/>
  <c r="AB20" i="46"/>
  <c r="AF35" i="46"/>
  <c r="AD35" i="46"/>
  <c r="AF39" i="46"/>
  <c r="AB39" i="46"/>
  <c r="AC39" i="46"/>
  <c r="AI54" i="46"/>
  <c r="AF54" i="46"/>
  <c r="AB72" i="46"/>
  <c r="AG72" i="46"/>
  <c r="AH74" i="46"/>
  <c r="AC74" i="46"/>
  <c r="G43" i="29"/>
  <c r="E74" i="29"/>
  <c r="G21" i="29"/>
  <c r="H58" i="29"/>
  <c r="C26" i="29"/>
  <c r="E37" i="29"/>
  <c r="AA39" i="46"/>
  <c r="V16" i="46"/>
  <c r="E21" i="29"/>
  <c r="H15" i="29"/>
  <c r="E15" i="29"/>
  <c r="H60" i="29"/>
  <c r="C18" i="29"/>
  <c r="H16" i="29"/>
  <c r="I61" i="29"/>
  <c r="AC55" i="46"/>
  <c r="L41" i="25"/>
  <c r="H13" i="39"/>
  <c r="AA106" i="46"/>
  <c r="AB99" i="46"/>
  <c r="AE70" i="46"/>
  <c r="AD70" i="46"/>
  <c r="AG106" i="46"/>
  <c r="AG74" i="46"/>
  <c r="AC72" i="46"/>
  <c r="AA72" i="46"/>
  <c r="Y20" i="46"/>
  <c r="L20" i="46" s="1"/>
  <c r="AB35" i="46"/>
  <c r="Z17" i="46"/>
  <c r="P17" i="46" s="1"/>
  <c r="AD15" i="46"/>
  <c r="AE13" i="46"/>
  <c r="AG14" i="46"/>
  <c r="AG54" i="46"/>
  <c r="Z14" i="46"/>
  <c r="P14" i="46" s="1"/>
  <c r="X14" i="46"/>
  <c r="H14" i="46" s="1"/>
  <c r="AB107" i="46"/>
  <c r="AI99" i="46"/>
  <c r="AI17" i="46"/>
  <c r="AF14" i="46"/>
  <c r="I36" i="29"/>
  <c r="I48" i="29"/>
  <c r="G10" i="39"/>
  <c r="E12" i="39"/>
  <c r="F12" i="39" s="1"/>
  <c r="AE12" i="46"/>
  <c r="AB12" i="46"/>
  <c r="AI12" i="46"/>
  <c r="T13" i="46"/>
  <c r="U13" i="46"/>
  <c r="Q13" i="46" s="1"/>
  <c r="M16" i="43" s="1"/>
  <c r="M16" i="44" s="1"/>
  <c r="G14" i="46"/>
  <c r="V14" i="46"/>
  <c r="W15" i="46"/>
  <c r="R15" i="46" s="1"/>
  <c r="N18" i="43" s="1"/>
  <c r="N18" i="44" s="1"/>
  <c r="AH21" i="46"/>
  <c r="AE21" i="46"/>
  <c r="AI21" i="46"/>
  <c r="AB21" i="46"/>
  <c r="AF21" i="46"/>
  <c r="AG21" i="46"/>
  <c r="AD27" i="46"/>
  <c r="AF27" i="46"/>
  <c r="AC40" i="46"/>
  <c r="AD40" i="46"/>
  <c r="AE40" i="46"/>
  <c r="AI40" i="46"/>
  <c r="AA40" i="46"/>
  <c r="AF40" i="46"/>
  <c r="AI57" i="46"/>
  <c r="AB57" i="46"/>
  <c r="AI60" i="46"/>
  <c r="AE60" i="46"/>
  <c r="AG60" i="46"/>
  <c r="AH60" i="46"/>
  <c r="AC60" i="46"/>
  <c r="AE66" i="46"/>
  <c r="AD66" i="46"/>
  <c r="AF76" i="46"/>
  <c r="AA76" i="46"/>
  <c r="AC76" i="46"/>
  <c r="AG81" i="46"/>
  <c r="AB81" i="46"/>
  <c r="AD81" i="46"/>
  <c r="AH81" i="46"/>
  <c r="AB96" i="46"/>
  <c r="AF96" i="46"/>
  <c r="AI96" i="46"/>
  <c r="AG103" i="46"/>
  <c r="AB103" i="46"/>
  <c r="AC110" i="46"/>
  <c r="AF110" i="46"/>
  <c r="G67" i="29"/>
  <c r="E47" i="29"/>
  <c r="H85" i="29"/>
  <c r="E75" i="29"/>
  <c r="C47" i="29"/>
  <c r="G65" i="29"/>
  <c r="H19" i="29"/>
  <c r="H71" i="29"/>
  <c r="AA27" i="46"/>
  <c r="AI39" i="46"/>
  <c r="X15" i="46"/>
  <c r="H15" i="46" s="1"/>
  <c r="U14" i="46"/>
  <c r="Q14" i="46" s="1"/>
  <c r="M17" i="43" s="1"/>
  <c r="M17" i="44" s="1"/>
  <c r="Q17" i="46"/>
  <c r="M20" i="43" s="1"/>
  <c r="M20" i="44" s="1"/>
  <c r="AC13" i="46"/>
  <c r="AC12" i="46"/>
  <c r="H66" i="29"/>
  <c r="G46" i="29"/>
  <c r="H69" i="29"/>
  <c r="H75" i="29"/>
  <c r="G70" i="29"/>
  <c r="E19" i="29"/>
  <c r="J41" i="25"/>
  <c r="AC99" i="46"/>
  <c r="AE110" i="46"/>
  <c r="AE102" i="46"/>
  <c r="AG80" i="46"/>
  <c r="AI74" i="46"/>
  <c r="AA66" i="46"/>
  <c r="AC102" i="46"/>
  <c r="AE72" i="46"/>
  <c r="AI72" i="46"/>
  <c r="AG57" i="46"/>
  <c r="AD58" i="46"/>
  <c r="AF20" i="46"/>
  <c r="AH57" i="46"/>
  <c r="AD103" i="46"/>
  <c r="AA103" i="46"/>
  <c r="AI35" i="46"/>
  <c r="AE15" i="46"/>
  <c r="V13" i="46"/>
  <c r="Z12" i="46"/>
  <c r="P12" i="46" s="1"/>
  <c r="AH54" i="46"/>
  <c r="Y14" i="46"/>
  <c r="L14" i="46" s="1"/>
  <c r="AI14" i="46"/>
  <c r="AC14" i="46"/>
  <c r="T14" i="46"/>
  <c r="W14" i="46"/>
  <c r="R14" i="46" s="1"/>
  <c r="N17" i="43" s="1"/>
  <c r="N17" i="44" s="1"/>
  <c r="AA13" i="46"/>
  <c r="AA107" i="46"/>
  <c r="AF80" i="46"/>
  <c r="AD39" i="46"/>
  <c r="AI107" i="46"/>
  <c r="AH76" i="46"/>
  <c r="AG107" i="46"/>
  <c r="AD12" i="46"/>
  <c r="AG58" i="46"/>
  <c r="AE23" i="46"/>
  <c r="AF23" i="46"/>
  <c r="AC38" i="46"/>
  <c r="AI38" i="46"/>
  <c r="AF38" i="46"/>
  <c r="AG43" i="46"/>
  <c r="AA43" i="46"/>
  <c r="AH44" i="46"/>
  <c r="AB44" i="46"/>
  <c r="AI63" i="46"/>
  <c r="AH63" i="46"/>
  <c r="AC63" i="46"/>
  <c r="AD63" i="46"/>
  <c r="AH68" i="46"/>
  <c r="AE68" i="46"/>
  <c r="AA68" i="46"/>
  <c r="AI69" i="46"/>
  <c r="AG69" i="46"/>
  <c r="AA69" i="46"/>
  <c r="AB69" i="46"/>
  <c r="AA84" i="46"/>
  <c r="AB84" i="46"/>
  <c r="AI84" i="46"/>
  <c r="AC84" i="46"/>
  <c r="AH85" i="46"/>
  <c r="AC85" i="46"/>
  <c r="AF85" i="46"/>
  <c r="AG87" i="46"/>
  <c r="AB87" i="46"/>
  <c r="AA88" i="46"/>
  <c r="AE88" i="46"/>
  <c r="AF88" i="46"/>
  <c r="H49" i="29"/>
  <c r="E83" i="29"/>
  <c r="C32" i="29"/>
  <c r="H80" i="29"/>
  <c r="E81" i="29"/>
  <c r="E79" i="29"/>
  <c r="H25" i="29"/>
  <c r="H53" i="29"/>
  <c r="U16" i="46"/>
  <c r="Q16" i="46" s="1"/>
  <c r="M19" i="43" s="1"/>
  <c r="M19" i="44" s="1"/>
  <c r="T16" i="46"/>
  <c r="AF55" i="46"/>
  <c r="AH55" i="46"/>
  <c r="AA55" i="46"/>
  <c r="AH70" i="46"/>
  <c r="AA70" i="46"/>
  <c r="AI70" i="46"/>
  <c r="AF70" i="46"/>
  <c r="AA99" i="46"/>
  <c r="AD99" i="46"/>
  <c r="AG99" i="46"/>
  <c r="AH106" i="46"/>
  <c r="AI106" i="46"/>
  <c r="AB106" i="46"/>
  <c r="AC106" i="46"/>
  <c r="AH45" i="46"/>
  <c r="AI45" i="46"/>
  <c r="AD49" i="46"/>
  <c r="AB49" i="46"/>
  <c r="AI77" i="46"/>
  <c r="AA77" i="46"/>
  <c r="AH78" i="46"/>
  <c r="AB78" i="46"/>
  <c r="AC89" i="46"/>
  <c r="AB89" i="46"/>
  <c r="AB104" i="46"/>
  <c r="AA104" i="46"/>
  <c r="AF108" i="46"/>
  <c r="AI108" i="46"/>
  <c r="U5" i="4"/>
  <c r="V5" i="4" s="1"/>
  <c r="V4" i="4"/>
  <c r="C25" i="17" l="1"/>
  <c r="AF25" i="17"/>
  <c r="H25" i="17"/>
  <c r="AC25" i="17"/>
  <c r="T31" i="17"/>
  <c r="AI31" i="17"/>
  <c r="Z29" i="17"/>
  <c r="N25" i="17"/>
  <c r="W25" i="17"/>
  <c r="AV25" i="17"/>
  <c r="AJ25" i="17"/>
  <c r="AI25" i="17"/>
  <c r="T25" i="17"/>
  <c r="O25" i="17"/>
  <c r="M25" i="17"/>
  <c r="U25" i="17"/>
  <c r="AG25" i="17"/>
  <c r="AR25" i="17"/>
  <c r="AJ26" i="17"/>
  <c r="S25" i="17"/>
  <c r="AN29" i="17"/>
  <c r="H29" i="17"/>
  <c r="AU25" i="17"/>
  <c r="AQ25" i="17"/>
  <c r="AA25" i="17"/>
  <c r="AE25" i="17"/>
  <c r="S29" i="17"/>
  <c r="L25" i="17"/>
  <c r="Q25" i="17"/>
  <c r="AB25" i="17"/>
  <c r="AL25" i="17"/>
  <c r="X29" i="17"/>
  <c r="X25" i="17"/>
  <c r="AM25" i="17"/>
  <c r="P25" i="17"/>
  <c r="AS25" i="17"/>
  <c r="AH25" i="17"/>
  <c r="E30" i="29"/>
  <c r="I47" i="29"/>
  <c r="G39" i="29"/>
  <c r="I67" i="29"/>
  <c r="C22" i="29"/>
  <c r="E68" i="29"/>
  <c r="I88" i="29"/>
  <c r="I82" i="29"/>
  <c r="C45" i="29"/>
  <c r="H40" i="29"/>
  <c r="C66" i="29"/>
  <c r="H52" i="29"/>
  <c r="G16" i="29"/>
  <c r="G64" i="29"/>
  <c r="C34" i="29"/>
  <c r="H78" i="29"/>
  <c r="H38" i="29"/>
  <c r="H47" i="29"/>
  <c r="I58" i="29"/>
  <c r="E40" i="29"/>
  <c r="G73" i="29"/>
  <c r="C77" i="29"/>
  <c r="G19" i="29"/>
  <c r="G84" i="29"/>
  <c r="I69" i="29"/>
  <c r="I81" i="29"/>
  <c r="E62" i="29"/>
  <c r="H50" i="29"/>
  <c r="I87" i="29"/>
  <c r="C76" i="29"/>
  <c r="I41" i="29"/>
  <c r="E48" i="29"/>
  <c r="E24" i="29"/>
  <c r="H59" i="29"/>
  <c r="C80" i="29"/>
  <c r="I80" i="29"/>
  <c r="C46" i="29"/>
  <c r="G51" i="29"/>
  <c r="H51" i="29"/>
  <c r="C63" i="29"/>
  <c r="E27" i="29"/>
  <c r="I30" i="29"/>
  <c r="I16" i="29"/>
  <c r="H74" i="29"/>
  <c r="E84" i="29"/>
  <c r="I75" i="29"/>
  <c r="G61" i="29"/>
  <c r="I31" i="29"/>
  <c r="C16" i="29"/>
  <c r="E16" i="29"/>
  <c r="C35" i="29"/>
  <c r="C40" i="29"/>
  <c r="I45" i="29"/>
  <c r="G62" i="29"/>
  <c r="C39" i="29"/>
  <c r="E60" i="29"/>
  <c r="C86" i="29"/>
  <c r="C74" i="29"/>
  <c r="I40" i="29"/>
  <c r="I74" i="29"/>
  <c r="C28" i="29"/>
  <c r="H30" i="29"/>
  <c r="H77" i="29"/>
  <c r="H48" i="29"/>
  <c r="I37" i="29"/>
  <c r="U29" i="17"/>
  <c r="AP25" i="17"/>
  <c r="AK25" i="17"/>
  <c r="C84" i="29"/>
  <c r="C58" i="29"/>
  <c r="E46" i="29"/>
  <c r="E45" i="29"/>
  <c r="H63" i="29"/>
  <c r="E70" i="29"/>
  <c r="C73" i="29"/>
  <c r="G27" i="29"/>
  <c r="G87" i="29"/>
  <c r="G72" i="29"/>
  <c r="I73" i="29"/>
  <c r="E43" i="29"/>
  <c r="H81" i="29"/>
  <c r="H56" i="29"/>
  <c r="E51" i="29"/>
  <c r="E65" i="29"/>
  <c r="I46" i="29"/>
  <c r="Y29" i="17"/>
  <c r="R25" i="17"/>
  <c r="F25" i="17"/>
  <c r="H12" i="36"/>
  <c r="C55" i="29"/>
  <c r="C70" i="29"/>
  <c r="C33" i="29"/>
  <c r="H67" i="29"/>
  <c r="I29" i="29"/>
  <c r="H26" i="29"/>
  <c r="E54" i="29"/>
  <c r="H73" i="29"/>
  <c r="H54" i="29"/>
  <c r="C37" i="29"/>
  <c r="I22" i="29"/>
  <c r="I84" i="29"/>
  <c r="I35" i="29"/>
  <c r="H88" i="29"/>
  <c r="E26" i="29"/>
  <c r="C24" i="29"/>
  <c r="I52" i="29"/>
  <c r="C88" i="29"/>
  <c r="E32" i="29"/>
  <c r="G80" i="29"/>
  <c r="H12" i="39"/>
  <c r="C57" i="29"/>
  <c r="H36" i="29"/>
  <c r="G31" i="29"/>
  <c r="H17" i="29"/>
  <c r="H28" i="29"/>
  <c r="C29" i="29"/>
  <c r="C71" i="29"/>
  <c r="G30" i="29"/>
  <c r="C82" i="29"/>
  <c r="C17" i="29"/>
  <c r="G17" i="29"/>
  <c r="G88" i="29"/>
  <c r="E55" i="29"/>
  <c r="I68" i="29"/>
  <c r="E41" i="29"/>
  <c r="H82" i="29"/>
  <c r="C50" i="29"/>
  <c r="H46" i="29"/>
  <c r="E25" i="29"/>
  <c r="E86" i="29"/>
  <c r="G60" i="29"/>
  <c r="H21" i="29"/>
  <c r="E31" i="29"/>
  <c r="H20" i="29"/>
  <c r="I56" i="29"/>
  <c r="H32" i="29"/>
  <c r="E14" i="29"/>
  <c r="I15" i="29"/>
  <c r="I19" i="29"/>
  <c r="I24" i="29"/>
  <c r="I55" i="29"/>
  <c r="C41" i="29"/>
  <c r="H68" i="29"/>
  <c r="C87" i="29"/>
  <c r="H72" i="29"/>
  <c r="C56" i="29"/>
  <c r="G44" i="29"/>
  <c r="G54" i="29"/>
  <c r="H35" i="29"/>
  <c r="C42" i="29"/>
  <c r="E33" i="29"/>
  <c r="I63" i="29"/>
  <c r="H65" i="29"/>
  <c r="E44" i="29"/>
  <c r="I20" i="29"/>
  <c r="C83" i="29"/>
  <c r="I43" i="29"/>
  <c r="I23" i="29"/>
  <c r="I51" i="29"/>
  <c r="I44" i="29"/>
  <c r="C49" i="29"/>
  <c r="E23" i="29"/>
  <c r="C19" i="29"/>
  <c r="E38" i="29"/>
  <c r="H27" i="29"/>
  <c r="E49" i="29"/>
  <c r="G36" i="29"/>
  <c r="H70" i="29"/>
  <c r="H37" i="29"/>
  <c r="E61" i="29"/>
  <c r="G71" i="29"/>
  <c r="H84" i="29"/>
  <c r="E56" i="29"/>
  <c r="H55" i="29"/>
  <c r="I27" i="29"/>
  <c r="C43" i="29"/>
  <c r="G45" i="29"/>
  <c r="H24" i="29"/>
  <c r="C14" i="29"/>
  <c r="E29" i="29"/>
  <c r="I21" i="29"/>
  <c r="I65" i="29"/>
  <c r="E22" i="29"/>
  <c r="C52" i="29"/>
  <c r="G66" i="29"/>
  <c r="G28" i="29"/>
  <c r="G78" i="29"/>
  <c r="I25" i="17"/>
  <c r="Y25" i="17"/>
  <c r="AD25" i="17"/>
  <c r="F11" i="45"/>
  <c r="Q31" i="17"/>
  <c r="S31" i="17"/>
  <c r="AU29" i="17"/>
  <c r="AG29" i="17"/>
  <c r="U31" i="17"/>
  <c r="AY31" i="17"/>
  <c r="J31" i="17"/>
  <c r="AL31" i="17"/>
  <c r="AM31" i="17"/>
  <c r="AW25" i="17"/>
  <c r="I29" i="17"/>
  <c r="AX29" i="17"/>
  <c r="B25" i="17"/>
  <c r="Z25" i="17"/>
  <c r="AY25" i="17"/>
  <c r="D25" i="17"/>
  <c r="K25" i="17"/>
  <c r="AO25" i="17"/>
  <c r="J25" i="17"/>
  <c r="AX25" i="17"/>
  <c r="V25" i="17"/>
  <c r="W5" i="4"/>
  <c r="Y3" i="4"/>
  <c r="AR31" i="17"/>
  <c r="D31" i="17"/>
  <c r="B31" i="17"/>
  <c r="AJ31" i="17"/>
  <c r="C31" i="17"/>
  <c r="AP31" i="17"/>
  <c r="W31" i="17"/>
  <c r="AP26" i="17"/>
  <c r="E24" i="17"/>
  <c r="AP29" i="17"/>
  <c r="AR29" i="17"/>
  <c r="AY29" i="17"/>
  <c r="P29" i="17"/>
  <c r="AC29" i="17"/>
  <c r="B29" i="17"/>
  <c r="G29" i="17"/>
  <c r="N29" i="17"/>
  <c r="AE29" i="17"/>
  <c r="AO29" i="17"/>
  <c r="C78" i="29"/>
  <c r="I79" i="29"/>
  <c r="I66" i="29"/>
  <c r="I62" i="29"/>
  <c r="I33" i="29"/>
  <c r="E69" i="29"/>
  <c r="E39" i="29"/>
  <c r="C69" i="29"/>
  <c r="G23" i="29"/>
  <c r="C25" i="29"/>
  <c r="G20" i="29"/>
  <c r="G41" i="29"/>
  <c r="E77" i="29"/>
  <c r="E36" i="29"/>
  <c r="H87" i="29"/>
  <c r="C21" i="29"/>
  <c r="C61" i="29"/>
  <c r="C72" i="29"/>
  <c r="G57" i="29"/>
  <c r="H23" i="29"/>
  <c r="H86" i="29"/>
  <c r="C54" i="29"/>
  <c r="E52" i="29"/>
  <c r="C36" i="29"/>
  <c r="C67" i="29"/>
  <c r="E66" i="29"/>
  <c r="G15" i="29"/>
  <c r="C62" i="29"/>
  <c r="G29" i="29"/>
  <c r="G40" i="29"/>
  <c r="E78" i="29"/>
  <c r="G53" i="29"/>
  <c r="I53" i="29"/>
  <c r="I39" i="29"/>
  <c r="G63" i="29"/>
  <c r="E58" i="29"/>
  <c r="E85" i="29"/>
  <c r="I54" i="29"/>
  <c r="I64" i="29"/>
  <c r="I77" i="29"/>
  <c r="I83" i="29"/>
  <c r="I50" i="29"/>
  <c r="C27" i="29"/>
  <c r="G81" i="29"/>
  <c r="E28" i="29"/>
  <c r="G69" i="29"/>
  <c r="C20" i="29"/>
  <c r="C59" i="29"/>
  <c r="E50" i="29"/>
  <c r="E18" i="29"/>
  <c r="C75" i="29"/>
  <c r="G33" i="29"/>
  <c r="C65" i="29"/>
  <c r="H39" i="29"/>
  <c r="C48" i="29"/>
  <c r="H34" i="29"/>
  <c r="H44" i="29"/>
  <c r="I49" i="29"/>
  <c r="E88" i="29"/>
  <c r="E20" i="29"/>
  <c r="E53" i="29"/>
  <c r="G38" i="29"/>
  <c r="G68" i="29"/>
  <c r="E82" i="29"/>
  <c r="G50" i="29"/>
  <c r="G79" i="29"/>
  <c r="H76" i="29"/>
  <c r="G59" i="29"/>
  <c r="H43" i="29"/>
  <c r="I42" i="29"/>
  <c r="I72" i="29"/>
  <c r="I26" i="29"/>
  <c r="G56" i="29"/>
  <c r="G47" i="29"/>
  <c r="E34" i="29"/>
  <c r="G37" i="29"/>
  <c r="C15" i="29"/>
  <c r="I17" i="29"/>
  <c r="I76" i="29"/>
  <c r="I86" i="29"/>
  <c r="I38" i="29"/>
  <c r="I85" i="29"/>
  <c r="G74" i="29"/>
  <c r="E17" i="29"/>
  <c r="G49" i="29"/>
  <c r="G32" i="29"/>
  <c r="C51" i="29"/>
  <c r="H22" i="29"/>
  <c r="H62" i="29"/>
  <c r="H57" i="29"/>
  <c r="E87" i="29"/>
  <c r="C23" i="29"/>
  <c r="G52" i="29"/>
  <c r="H83" i="29"/>
  <c r="G58" i="29"/>
  <c r="H64" i="29"/>
  <c r="G77" i="29"/>
  <c r="H31" i="29"/>
  <c r="H41" i="29"/>
  <c r="C53" i="29"/>
  <c r="I32" i="29"/>
  <c r="C30" i="29"/>
  <c r="E57" i="29"/>
  <c r="C85" i="29"/>
  <c r="E59" i="29"/>
  <c r="H18" i="29"/>
  <c r="E72" i="29"/>
  <c r="G76" i="29"/>
  <c r="G35" i="29"/>
  <c r="C68" i="29"/>
  <c r="I78" i="29"/>
  <c r="I59" i="29"/>
  <c r="E71" i="29"/>
  <c r="G83" i="29"/>
  <c r="E76" i="29"/>
  <c r="G55" i="29"/>
  <c r="C60" i="29"/>
  <c r="G26" i="29"/>
  <c r="I57" i="29"/>
  <c r="C64" i="29"/>
  <c r="I71" i="29"/>
  <c r="C44" i="29"/>
  <c r="C38" i="29"/>
  <c r="C81" i="29"/>
  <c r="C79" i="29"/>
  <c r="I34" i="29"/>
  <c r="I60" i="29"/>
  <c r="I70" i="29"/>
  <c r="I18" i="29"/>
  <c r="I25" i="29"/>
  <c r="E80" i="29"/>
  <c r="G42" i="29"/>
  <c r="G24" i="29"/>
  <c r="G34" i="29"/>
  <c r="E67" i="29"/>
  <c r="G75" i="29"/>
  <c r="G85" i="29"/>
  <c r="E64" i="29"/>
  <c r="H79" i="29"/>
  <c r="H45" i="29"/>
  <c r="E63" i="29"/>
  <c r="E73" i="29"/>
  <c r="G82" i="29"/>
  <c r="H33" i="29"/>
  <c r="E35" i="29"/>
  <c r="H42" i="29"/>
  <c r="E42" i="29"/>
  <c r="H29" i="29"/>
  <c r="G86" i="29"/>
  <c r="C31" i="29"/>
  <c r="G48" i="29"/>
  <c r="H61" i="29"/>
  <c r="I28" i="29"/>
  <c r="V2" i="4"/>
  <c r="X2" i="4" s="1"/>
  <c r="F11" i="39"/>
  <c r="AK31" i="17"/>
  <c r="AC31" i="17"/>
  <c r="AA31" i="17"/>
  <c r="AB31" i="17"/>
  <c r="AQ31" i="17"/>
  <c r="Z31" i="17"/>
  <c r="AF31" i="17"/>
  <c r="H31" i="17"/>
  <c r="AS31" i="17"/>
  <c r="M26" i="17"/>
  <c r="J29" i="17"/>
  <c r="AI29" i="17"/>
  <c r="AH29" i="17"/>
  <c r="AA29" i="17"/>
  <c r="L29" i="17"/>
  <c r="AK29" i="17"/>
  <c r="AV29" i="17"/>
  <c r="AS29" i="17"/>
  <c r="AL29" i="17"/>
  <c r="E25" i="17"/>
  <c r="G25" i="17"/>
  <c r="AN25" i="17"/>
  <c r="K31" i="17"/>
  <c r="AT31" i="17"/>
  <c r="AC111" i="46"/>
  <c r="E14" i="45" s="1"/>
  <c r="I31" i="17"/>
  <c r="AH111" i="46"/>
  <c r="G13" i="45" s="1"/>
  <c r="AE31" i="17"/>
  <c r="P31" i="17"/>
  <c r="V24" i="17"/>
  <c r="W29" i="17"/>
  <c r="O29" i="17"/>
  <c r="R29" i="17"/>
  <c r="AW29" i="17"/>
  <c r="D29" i="17"/>
  <c r="AB29" i="17"/>
  <c r="AQ29" i="17"/>
  <c r="C29" i="17"/>
  <c r="Q29" i="17"/>
  <c r="K29" i="17"/>
  <c r="J111" i="46"/>
  <c r="I114" i="43" s="1"/>
  <c r="I114" i="44" s="1"/>
  <c r="C21" i="45"/>
  <c r="M117" i="43"/>
  <c r="M117" i="44" s="1"/>
  <c r="M14" i="44"/>
  <c r="C22" i="45"/>
  <c r="AI111" i="46"/>
  <c r="G14" i="45" s="1"/>
  <c r="G11" i="45"/>
  <c r="P111" i="46"/>
  <c r="L115" i="43" s="1"/>
  <c r="L115" i="44" s="1"/>
  <c r="O26" i="17"/>
  <c r="AG24" i="17"/>
  <c r="T29" i="17"/>
  <c r="V29" i="17"/>
  <c r="O24" i="17"/>
  <c r="F29" i="17"/>
  <c r="U24" i="17"/>
  <c r="T24" i="17"/>
  <c r="AI24" i="17"/>
  <c r="AC26" i="17"/>
  <c r="Y26" i="17"/>
  <c r="C26" i="17"/>
  <c r="S24" i="17"/>
  <c r="Q26" i="17"/>
  <c r="AI26" i="17"/>
  <c r="AM26" i="17"/>
  <c r="H24" i="17"/>
  <c r="AT26" i="17"/>
  <c r="E26" i="17"/>
  <c r="L24" i="17"/>
  <c r="AG26" i="17"/>
  <c r="AF26" i="17"/>
  <c r="AA24" i="17"/>
  <c r="U26" i="17"/>
  <c r="J26" i="17"/>
  <c r="M24" i="17"/>
  <c r="U6" i="4"/>
  <c r="L111" i="46"/>
  <c r="I115" i="43" s="1"/>
  <c r="I115" i="44" s="1"/>
  <c r="N14" i="44"/>
  <c r="F21" i="45"/>
  <c r="F22" i="45"/>
  <c r="N118" i="43"/>
  <c r="N118" i="44" s="1"/>
  <c r="AG111" i="46"/>
  <c r="G12" i="45" s="1"/>
  <c r="H111" i="46"/>
  <c r="F115" i="43" s="1"/>
  <c r="F115" i="44" s="1"/>
  <c r="E11" i="45"/>
  <c r="F10" i="45"/>
  <c r="F17" i="45" s="1"/>
  <c r="F24" i="17"/>
  <c r="M29" i="17"/>
  <c r="AF29" i="17"/>
  <c r="G26" i="17"/>
  <c r="AM29" i="17"/>
  <c r="B24" i="17"/>
  <c r="Z24" i="17"/>
  <c r="AX24" i="17"/>
  <c r="R26" i="17"/>
  <c r="J24" i="17"/>
  <c r="S26" i="17"/>
  <c r="AF24" i="17"/>
  <c r="I26" i="17"/>
  <c r="AO24" i="17"/>
  <c r="P26" i="17"/>
  <c r="X24" i="17"/>
  <c r="V26" i="17"/>
  <c r="AU26" i="17"/>
  <c r="Y24" i="17"/>
  <c r="D24" i="17"/>
  <c r="AP24" i="17"/>
  <c r="B26" i="17"/>
  <c r="AQ24" i="17"/>
  <c r="AN26" i="17"/>
  <c r="AQ26" i="17"/>
  <c r="AA111" i="46"/>
  <c r="E12" i="45" s="1"/>
  <c r="AB111" i="46"/>
  <c r="E13" i="45" s="1"/>
  <c r="AF111" i="46"/>
  <c r="F14" i="45" s="1"/>
  <c r="D10" i="45"/>
  <c r="D11" i="45"/>
  <c r="G10" i="45"/>
  <c r="G17" i="45" s="1"/>
  <c r="AK30" i="17"/>
  <c r="AI30" i="17"/>
  <c r="AS30" i="17"/>
  <c r="AD30" i="17"/>
  <c r="S30" i="17"/>
  <c r="AV30" i="17"/>
  <c r="AG30" i="17"/>
  <c r="J30" i="17"/>
  <c r="V30" i="17"/>
  <c r="O30" i="17"/>
  <c r="AQ30" i="17"/>
  <c r="AR30" i="17"/>
  <c r="AX31" i="17"/>
  <c r="R31" i="17"/>
  <c r="G31" i="17"/>
  <c r="AG31" i="17"/>
  <c r="F30" i="17"/>
  <c r="P30" i="17"/>
  <c r="X31" i="17"/>
  <c r="Q30" i="17"/>
  <c r="Y31" i="17"/>
  <c r="B30" i="17"/>
  <c r="T30" i="17"/>
  <c r="AA30" i="17"/>
  <c r="AB30" i="17"/>
  <c r="AC30" i="17"/>
  <c r="L30" i="17"/>
  <c r="AT30" i="17"/>
  <c r="I30" i="17"/>
  <c r="H30" i="17"/>
  <c r="Y30" i="17"/>
  <c r="AH30" i="17"/>
  <c r="AY30" i="17"/>
  <c r="AP30" i="17"/>
  <c r="K30" i="17"/>
  <c r="G30" i="17"/>
  <c r="AO30" i="17"/>
  <c r="AJ30" i="17"/>
  <c r="W30" i="17"/>
  <c r="AN30" i="17"/>
  <c r="AV31" i="17"/>
  <c r="AH31" i="17"/>
  <c r="AE30" i="17"/>
  <c r="O31" i="17"/>
  <c r="AO31" i="17"/>
  <c r="AF30" i="17"/>
  <c r="Z30" i="17"/>
  <c r="V31" i="17"/>
  <c r="U30" i="17"/>
  <c r="AU31" i="17"/>
  <c r="AN31" i="17"/>
  <c r="L31" i="17"/>
  <c r="M30" i="17"/>
  <c r="E30" i="17"/>
  <c r="AS24" i="17"/>
  <c r="AL30" i="17"/>
  <c r="AU30" i="17"/>
  <c r="C30" i="17"/>
  <c r="AM30" i="17"/>
  <c r="W26" i="17"/>
  <c r="M31" i="17"/>
  <c r="N31" i="17"/>
  <c r="K26" i="17"/>
  <c r="E31" i="17"/>
  <c r="AD31" i="17"/>
  <c r="AW30" i="17"/>
  <c r="AX30" i="17"/>
  <c r="R30" i="17"/>
  <c r="F31" i="17"/>
  <c r="AW31" i="17"/>
  <c r="X30" i="17"/>
  <c r="D30" i="17"/>
  <c r="AO26" i="17"/>
  <c r="X26" i="17"/>
  <c r="E29" i="17"/>
  <c r="AT29" i="17"/>
  <c r="N30" i="17"/>
  <c r="AB26" i="17"/>
  <c r="F26" i="17"/>
  <c r="AD29" i="17"/>
  <c r="G24" i="17"/>
  <c r="I24" i="17"/>
  <c r="W24" i="17"/>
  <c r="AD26" i="17"/>
  <c r="AW24" i="17"/>
  <c r="D26" i="17"/>
  <c r="AW26" i="17"/>
  <c r="Q24" i="17"/>
  <c r="AV26" i="17"/>
  <c r="AN24" i="17"/>
  <c r="C24" i="17"/>
  <c r="AH24" i="17"/>
  <c r="P24" i="17"/>
  <c r="H26" i="17"/>
  <c r="AL26" i="17"/>
  <c r="AL24" i="17"/>
  <c r="AU24" i="17"/>
  <c r="N24" i="17"/>
  <c r="AY26" i="17"/>
  <c r="AM24" i="17"/>
  <c r="AR24" i="17"/>
  <c r="AJ29" i="17"/>
  <c r="X4" i="4"/>
  <c r="Y4" i="4"/>
  <c r="Y5" i="4"/>
  <c r="AD111" i="46"/>
  <c r="F12" i="45" s="1"/>
  <c r="AE111" i="46"/>
  <c r="F13" i="45" s="1"/>
  <c r="N111" i="46"/>
  <c r="L114" i="43" s="1"/>
  <c r="L114" i="44" s="1"/>
  <c r="E10" i="45"/>
  <c r="F111" i="46"/>
  <c r="F114" i="43" s="1"/>
  <c r="F114" i="44" s="1"/>
  <c r="B11" i="45"/>
  <c r="B10" i="45"/>
  <c r="B17" i="45" s="1"/>
  <c r="AC24" i="17"/>
  <c r="AE24" i="17"/>
  <c r="C11" i="45"/>
  <c r="AX26" i="17"/>
  <c r="AH26" i="17"/>
  <c r="AB24" i="17"/>
  <c r="AV24" i="17"/>
  <c r="K24" i="17"/>
  <c r="R24" i="17"/>
  <c r="AA26" i="17"/>
  <c r="AY24" i="17"/>
  <c r="AS26" i="17"/>
  <c r="AJ24" i="17"/>
  <c r="AE26" i="17"/>
  <c r="AR26" i="17"/>
  <c r="T26" i="17"/>
  <c r="Z26" i="17"/>
  <c r="AT24" i="17"/>
  <c r="AK24" i="17"/>
  <c r="AD24" i="17"/>
  <c r="N26" i="17"/>
  <c r="AK26" i="17"/>
  <c r="E17" i="45" l="1"/>
  <c r="C16" i="45"/>
  <c r="C15" i="45"/>
  <c r="F25" i="45"/>
  <c r="U7" i="4"/>
  <c r="V7" i="4" s="1"/>
  <c r="C23" i="45"/>
  <c r="C24" i="45"/>
  <c r="B15" i="45"/>
  <c r="B16" i="45"/>
  <c r="W6" i="4"/>
  <c r="D16" i="45"/>
  <c r="D15" i="45"/>
  <c r="F15" i="45"/>
  <c r="D17" i="45"/>
  <c r="E15" i="45"/>
  <c r="E16" i="45"/>
  <c r="F23" i="45"/>
  <c r="F24" i="45"/>
  <c r="V6" i="4"/>
  <c r="G16" i="45"/>
  <c r="G15" i="45"/>
  <c r="C17" i="45"/>
  <c r="C25" i="45"/>
  <c r="F16" i="45"/>
  <c r="X7" i="4" l="1"/>
  <c r="Y7" i="4"/>
  <c r="U8" i="4"/>
  <c r="V8" i="4" s="1"/>
  <c r="Y6" i="4"/>
  <c r="X6" i="4"/>
  <c r="W7" i="4"/>
  <c r="X8" i="4" l="1"/>
  <c r="Y8" i="4"/>
  <c r="U9" i="4"/>
  <c r="W8" i="4"/>
  <c r="U10" i="4" l="1"/>
  <c r="V10" i="4" s="1"/>
  <c r="W9" i="4"/>
  <c r="V9" i="4"/>
  <c r="Y9" i="4" l="1"/>
  <c r="X9" i="4"/>
  <c r="U11" i="4"/>
  <c r="W10" i="4"/>
  <c r="W11" i="4" s="1"/>
  <c r="Y10" i="4"/>
  <c r="X10" i="4"/>
  <c r="V12" i="4" l="1"/>
  <c r="W12" i="4"/>
  <c r="X5" i="4" s="1"/>
  <c r="V11" i="4"/>
  <c r="X11" i="4" l="1"/>
  <c r="Y11" i="4"/>
  <c r="Y12" i="4"/>
  <c r="V13" i="4"/>
  <c r="Y13" i="4" s="1"/>
  <c r="X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 authorId="0" shapeId="0" xr:uid="{00000000-0006-0000-0500-000001000000}">
      <text>
        <r>
          <rPr>
            <b/>
            <sz val="8"/>
            <color indexed="81"/>
            <rFont val="Tahoma"/>
            <family val="2"/>
          </rPr>
          <t>Short descriptive name</t>
        </r>
        <r>
          <rPr>
            <sz val="8"/>
            <color indexed="81"/>
            <rFont val="Tahoma"/>
            <family val="2"/>
          </rPr>
          <t xml:space="preserve">
</t>
        </r>
      </text>
    </comment>
    <comment ref="B8" authorId="0" shapeId="0" xr:uid="{00000000-0006-0000-0500-000002000000}">
      <text>
        <r>
          <rPr>
            <b/>
            <sz val="9"/>
            <color indexed="81"/>
            <rFont val="Tahoma"/>
            <family val="2"/>
          </rPr>
          <t xml:space="preserve"> 1. Define the problem
Identify the scope of the event or project
Identify the mission statement: actual and desired situation
Identify any link with the organization's objectives</t>
        </r>
        <r>
          <rPr>
            <sz val="8"/>
            <color indexed="81"/>
            <rFont val="Tahoma"/>
            <family val="2"/>
          </rPr>
          <t xml:space="preserve">
</t>
        </r>
      </text>
    </comment>
    <comment ref="H8" authorId="0" shapeId="0" xr:uid="{00000000-0006-0000-0500-000003000000}">
      <text>
        <r>
          <rPr>
            <b/>
            <sz val="8"/>
            <color indexed="81"/>
            <rFont val="Tahoma"/>
            <family val="2"/>
          </rPr>
          <t xml:space="preserve">4. Analyze
</t>
        </r>
        <r>
          <rPr>
            <b/>
            <sz val="9"/>
            <color indexed="81"/>
            <rFont val="Tahoma"/>
            <family val="2"/>
          </rPr>
          <t xml:space="preserve">Clarify the root cause, or critical X's
</t>
        </r>
        <r>
          <rPr>
            <sz val="9"/>
            <color indexed="81"/>
            <rFont val="Tahoma"/>
            <family val="2"/>
          </rPr>
          <t xml:space="preserve">
This step is performed using the process map outcomes, graphs related to the data collection, and further observation</t>
        </r>
      </text>
    </comment>
    <comment ref="N8" authorId="0" shapeId="0" xr:uid="{00000000-0006-0000-0500-000004000000}">
      <text>
        <r>
          <rPr>
            <b/>
            <sz val="9"/>
            <color indexed="81"/>
            <rFont val="Tahoma"/>
            <family val="2"/>
          </rPr>
          <t>7. Control
In this step, the appropriate controls in order to sustain the solution are implemented
The control plan and visual management techniques are the main tools</t>
        </r>
      </text>
    </comment>
    <comment ref="B22" authorId="0" shapeId="0" xr:uid="{00000000-0006-0000-0500-000005000000}">
      <text>
        <r>
          <rPr>
            <b/>
            <sz val="9"/>
            <color indexed="81"/>
            <rFont val="Tahoma"/>
            <family val="2"/>
          </rPr>
          <t>2. Define a containment
A containment is a quick action to stop the bleeding, if it is required.
It doesn’t solve the problem</t>
        </r>
      </text>
    </comment>
    <comment ref="B27" authorId="0" shapeId="0" xr:uid="{00000000-0006-0000-0500-000006000000}">
      <text>
        <r>
          <rPr>
            <b/>
            <sz val="9"/>
            <color indexed="81"/>
            <rFont val="Tahoma"/>
            <family val="2"/>
          </rPr>
          <t xml:space="preserve">2. Breakdown the problem
3. Measure 
This step focuses on understanding the problem and related process, including the potential causes
Typical tools are a process map, Ishikawa, Data collection and its related Pareto chart
</t>
        </r>
      </text>
    </comment>
    <comment ref="N27" authorId="0" shapeId="0" xr:uid="{00000000-0006-0000-0500-000007000000}">
      <text>
        <r>
          <rPr>
            <b/>
            <sz val="9"/>
            <color indexed="81"/>
            <rFont val="Tahoma"/>
            <family val="2"/>
          </rPr>
          <t xml:space="preserve">8.Celebration and Closure
Think about how the team should be recognized in a public fashion. 
The event is officially closed and the team reassigned to other tasks </t>
        </r>
      </text>
    </comment>
    <comment ref="H33" authorId="0" shapeId="0" xr:uid="{00000000-0006-0000-0500-000008000000}">
      <text>
        <r>
          <rPr>
            <b/>
            <sz val="9"/>
            <color indexed="81"/>
            <rFont val="Tahoma"/>
            <family val="2"/>
          </rPr>
          <t xml:space="preserve">5.Improve
This is the step related to solutions identification , prioritization, and implementation.
It usually includes a pilot or a simulation to ensure that the solution is performing according to expectations, before deployment
</t>
        </r>
        <r>
          <rPr>
            <sz val="9"/>
            <color indexed="81"/>
            <rFont val="Tahoma"/>
            <family val="2"/>
          </rPr>
          <t xml:space="preserve">
</t>
        </r>
      </text>
    </comment>
    <comment ref="H42" authorId="0" shapeId="0" xr:uid="{00000000-0006-0000-0500-000009000000}">
      <text>
        <r>
          <rPr>
            <b/>
            <sz val="8"/>
            <color indexed="81"/>
            <rFont val="Tahoma"/>
            <family val="2"/>
          </rPr>
          <t xml:space="preserve"> 6. Improve - Implementation plan
A detailed plan including documenting the new standard, process, and training the team needs to be established with dates and responsible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5" authorId="0" shapeId="0" xr:uid="{00000000-0006-0000-2F00-000001000000}">
      <text>
        <r>
          <rPr>
            <b/>
            <sz val="12"/>
            <color indexed="81"/>
            <rFont val="Tahoma"/>
            <family val="2"/>
          </rPr>
          <t>Who provides The input(s)</t>
        </r>
        <r>
          <rPr>
            <sz val="8"/>
            <color indexed="81"/>
            <rFont val="Tahoma"/>
            <family val="2"/>
          </rPr>
          <t xml:space="preserve">
</t>
        </r>
      </text>
    </comment>
    <comment ref="B5" authorId="0" shapeId="0" xr:uid="{00000000-0006-0000-2F00-000002000000}">
      <text>
        <r>
          <rPr>
            <sz val="12"/>
            <color indexed="81"/>
            <rFont val="Tahoma"/>
            <family val="2"/>
          </rPr>
          <t xml:space="preserve">
</t>
        </r>
        <r>
          <rPr>
            <b/>
            <sz val="12"/>
            <color indexed="81"/>
            <rFont val="Tahoma"/>
            <family val="2"/>
          </rPr>
          <t>What Data/ material, How and when is provided to Start the process</t>
        </r>
        <r>
          <rPr>
            <sz val="8"/>
            <color indexed="81"/>
            <rFont val="Tahoma"/>
            <family val="2"/>
          </rPr>
          <t xml:space="preserve">
</t>
        </r>
      </text>
    </comment>
    <comment ref="C5" authorId="0" shapeId="0" xr:uid="{00000000-0006-0000-2F00-000003000000}">
      <text>
        <r>
          <rPr>
            <b/>
            <sz val="12"/>
            <color indexed="81"/>
            <rFont val="Tahoma"/>
            <family val="2"/>
          </rPr>
          <t xml:space="preserve">What Steps are in the process (current)
</t>
        </r>
        <r>
          <rPr>
            <sz val="12"/>
            <color indexed="81"/>
            <rFont val="Tahoma"/>
            <family val="2"/>
          </rPr>
          <t xml:space="preserve">
</t>
        </r>
      </text>
    </comment>
    <comment ref="D5" authorId="0" shapeId="0" xr:uid="{00000000-0006-0000-2F00-000004000000}">
      <text>
        <r>
          <rPr>
            <b/>
            <sz val="12"/>
            <color indexed="81"/>
            <rFont val="Tahoma"/>
            <family val="2"/>
          </rPr>
          <t xml:space="preserve">What Data/product 
How and when the customer receives
</t>
        </r>
        <r>
          <rPr>
            <sz val="12"/>
            <color indexed="81"/>
            <rFont val="Tahoma"/>
            <family val="2"/>
          </rPr>
          <t xml:space="preserve">
</t>
        </r>
      </text>
    </comment>
    <comment ref="E5" authorId="0" shapeId="0" xr:uid="{00000000-0006-0000-2F00-000005000000}">
      <text>
        <r>
          <rPr>
            <b/>
            <sz val="12"/>
            <color indexed="81"/>
            <rFont val="Tahoma"/>
            <family val="2"/>
          </rPr>
          <t>Who are the customers of each input</t>
        </r>
        <r>
          <rPr>
            <b/>
            <sz val="8"/>
            <color indexed="81"/>
            <rFont val="Tahoma"/>
            <family val="2"/>
          </rPr>
          <t xml:space="preserve">
</t>
        </r>
        <r>
          <rPr>
            <sz val="8"/>
            <color indexed="81"/>
            <rFont val="Tahoma"/>
            <family val="2"/>
          </rPr>
          <t xml:space="preserve">
</t>
        </r>
      </text>
    </comment>
    <comment ref="A38" authorId="0" shapeId="0" xr:uid="{00000000-0006-0000-2F00-000006000000}">
      <text>
        <r>
          <rPr>
            <b/>
            <sz val="12"/>
            <color indexed="81"/>
            <rFont val="Tahoma"/>
            <family val="2"/>
          </rPr>
          <t>Key elements, Material, resources, Software, ...</t>
        </r>
        <r>
          <rPr>
            <sz val="8"/>
            <color indexed="81"/>
            <rFont val="Tahoma"/>
            <family val="2"/>
          </rPr>
          <t xml:space="preserve">
</t>
        </r>
      </text>
    </comment>
  </commentList>
</comments>
</file>

<file path=xl/sharedStrings.xml><?xml version="1.0" encoding="utf-8"?>
<sst xmlns="http://schemas.openxmlformats.org/spreadsheetml/2006/main" count="2005" uniqueCount="1045">
  <si>
    <t>Enter data here</t>
  </si>
  <si>
    <t>limits</t>
  </si>
  <si>
    <t>bar average</t>
  </si>
  <si>
    <t>Distribution</t>
  </si>
  <si>
    <t>Enter specifications here</t>
  </si>
  <si>
    <t>average</t>
  </si>
  <si>
    <t>LSL</t>
  </si>
  <si>
    <t>std dev</t>
  </si>
  <si>
    <t>USL</t>
  </si>
  <si>
    <t>Cp</t>
  </si>
  <si>
    <t>Cpk lower</t>
  </si>
  <si>
    <t>Cpk upper</t>
  </si>
  <si>
    <t xml:space="preserve">Cpk </t>
  </si>
  <si>
    <t>Ppk with 0.5 shift</t>
  </si>
  <si>
    <t xml:space="preserve"> Z short term</t>
  </si>
  <si>
    <t>Z long term</t>
  </si>
  <si>
    <t>Yield short term</t>
  </si>
  <si>
    <t>Yield long term</t>
  </si>
  <si>
    <t>Process Capability</t>
  </si>
  <si>
    <t>Return to menu</t>
  </si>
  <si>
    <t>median</t>
  </si>
  <si>
    <t>1st quartile</t>
  </si>
  <si>
    <t>3rd quartile</t>
  </si>
  <si>
    <t>Variable to be controlled</t>
  </si>
  <si>
    <t>Unit of measure</t>
  </si>
  <si>
    <t>Control plan template</t>
  </si>
  <si>
    <t>Cpk,Ppk, Z level , Yield conversion table</t>
  </si>
  <si>
    <t>Abridged Process Capability Conversion Table</t>
  </si>
  <si>
    <t>Defects Per</t>
  </si>
  <si>
    <t>Long Term Yield</t>
  </si>
  <si>
    <t>assuming 0.5 shift</t>
  </si>
  <si>
    <t>Category</t>
  </si>
  <si>
    <t># occurrence</t>
  </si>
  <si>
    <t>% of all defect</t>
  </si>
  <si>
    <t>cumulative %</t>
  </si>
  <si>
    <t>A</t>
  </si>
  <si>
    <t>B</t>
  </si>
  <si>
    <t>C</t>
  </si>
  <si>
    <t>D</t>
  </si>
  <si>
    <t>E</t>
  </si>
  <si>
    <t>F</t>
  </si>
  <si>
    <t>G</t>
  </si>
  <si>
    <t>H</t>
  </si>
  <si>
    <t>I</t>
  </si>
  <si>
    <t>J</t>
  </si>
  <si>
    <t>total</t>
  </si>
  <si>
    <t>Pareto Chart</t>
  </si>
  <si>
    <t>Sum</t>
  </si>
  <si>
    <t>Histogram - 10 bars with Cp, Cpk calculations</t>
  </si>
  <si>
    <t>These basic symbols can be used in Excel, PowerPoint to create a process map</t>
  </si>
  <si>
    <t>Process Map</t>
  </si>
  <si>
    <t>Measurement</t>
  </si>
  <si>
    <t>Environment</t>
  </si>
  <si>
    <t>Machine (Systems, Equipment)</t>
  </si>
  <si>
    <t>Materials, Supplies</t>
  </si>
  <si>
    <t>Method, Procedure</t>
  </si>
  <si>
    <t>Write the Problem statement</t>
  </si>
  <si>
    <t>Manpower, People</t>
  </si>
  <si>
    <t>Ishikawa - Cause and Effect Diagram</t>
  </si>
  <si>
    <t>Score</t>
  </si>
  <si>
    <t>Weight</t>
  </si>
  <si>
    <t>Criteria</t>
  </si>
  <si>
    <t>Solution 1</t>
  </si>
  <si>
    <t>Solution 2</t>
  </si>
  <si>
    <t>Solution 3</t>
  </si>
  <si>
    <t>Solution 4</t>
  </si>
  <si>
    <t>Solution 5</t>
  </si>
  <si>
    <t>Solution 6</t>
  </si>
  <si>
    <t>Solution 7</t>
  </si>
  <si>
    <t>Solution 8</t>
  </si>
  <si>
    <t>Solution 9</t>
  </si>
  <si>
    <t>Solution 10</t>
  </si>
  <si>
    <t>Solution 11</t>
  </si>
  <si>
    <t>Solution 12</t>
  </si>
  <si>
    <t>Decision Matrix</t>
  </si>
  <si>
    <t>Control Plan</t>
  </si>
  <si>
    <t>Team members  (name &amp; role)</t>
  </si>
  <si>
    <t>1.</t>
  </si>
  <si>
    <t>2.</t>
  </si>
  <si>
    <t>3.</t>
  </si>
  <si>
    <t>Start date &amp; planned duration</t>
  </si>
  <si>
    <t>4.</t>
  </si>
  <si>
    <t>Actual Situation:</t>
  </si>
  <si>
    <t xml:space="preserve">2. Define a containment </t>
  </si>
  <si>
    <t>If required</t>
  </si>
  <si>
    <t>3. Measure</t>
  </si>
  <si>
    <t>5. Improve</t>
  </si>
  <si>
    <t>6. Improve - Implementation Plan</t>
  </si>
  <si>
    <t>7. Control</t>
  </si>
  <si>
    <t>8. Celebration and Closure</t>
  </si>
  <si>
    <t>Team Leader</t>
  </si>
  <si>
    <t>Link with organizational Objective</t>
  </si>
  <si>
    <t>Sponsor</t>
  </si>
  <si>
    <t>Event Name</t>
  </si>
  <si>
    <t>Desired Situation:</t>
  </si>
  <si>
    <t>4. Analyze</t>
  </si>
  <si>
    <t>Measure</t>
  </si>
  <si>
    <t>Analyze</t>
  </si>
  <si>
    <t>Improve</t>
  </si>
  <si>
    <t>Control</t>
  </si>
  <si>
    <t>Create a process map starting with the template below, and adding. moving and copying the symbols</t>
  </si>
  <si>
    <t>Enter data in the yellow column. The categories can be renamed</t>
  </si>
  <si>
    <t>cat a</t>
  </si>
  <si>
    <t xml:space="preserve">cat b </t>
  </si>
  <si>
    <t>cat c</t>
  </si>
  <si>
    <t>cat d</t>
  </si>
  <si>
    <t>cat e</t>
  </si>
  <si>
    <t>cat f</t>
  </si>
  <si>
    <t>cat g</t>
  </si>
  <si>
    <t>cat h</t>
  </si>
  <si>
    <t>cat i</t>
  </si>
  <si>
    <t>cat j</t>
  </si>
  <si>
    <t>Enter each criteria name with its weight.  Insert a weight of 0 if you have less criteria</t>
  </si>
  <si>
    <t xml:space="preserve">Enter the name of each solution.  Rows can be deleted </t>
  </si>
  <si>
    <t>Standard Boxplot</t>
  </si>
  <si>
    <t>Enter data and information in the yellow cells</t>
  </si>
  <si>
    <t>Total Number of samples (&lt;= 50)</t>
  </si>
  <si>
    <t>Sample size (2 - 10)</t>
  </si>
  <si>
    <t>Grand Average</t>
  </si>
  <si>
    <t>A2</t>
  </si>
  <si>
    <t>D3</t>
  </si>
  <si>
    <t>D4</t>
  </si>
  <si>
    <t>d2</t>
  </si>
  <si>
    <t>Average Range</t>
  </si>
  <si>
    <t>Average</t>
  </si>
  <si>
    <t>LCL</t>
  </si>
  <si>
    <t>Center</t>
  </si>
  <si>
    <t>UCL</t>
  </si>
  <si>
    <t>Range</t>
  </si>
  <si>
    <t>LCLrange</t>
  </si>
  <si>
    <t>UCLrange</t>
  </si>
  <si>
    <t>DO NOT MODIFY THIS TABLE</t>
  </si>
  <si>
    <t>Control Chart Factors</t>
  </si>
  <si>
    <t>n</t>
  </si>
  <si>
    <t>A3</t>
  </si>
  <si>
    <t>B3</t>
  </si>
  <si>
    <t>B4</t>
  </si>
  <si>
    <t>See charts on the next tabs</t>
  </si>
  <si>
    <t>The takt time is to be entered on the right . Efficiency, lead time and process time totals are calculated on the right</t>
  </si>
  <si>
    <t>An example is in the tab on the right</t>
  </si>
  <si>
    <t>Δ</t>
  </si>
  <si>
    <t>CT</t>
  </si>
  <si>
    <t>SU</t>
  </si>
  <si>
    <t>Yield</t>
  </si>
  <si>
    <t>Batch</t>
  </si>
  <si>
    <t>Process time</t>
  </si>
  <si>
    <t>Lead time</t>
  </si>
  <si>
    <t>Efficiency</t>
  </si>
  <si>
    <t>Bottlenecks highlighted automatically</t>
  </si>
  <si>
    <t>Takt time</t>
  </si>
  <si>
    <t>Value Stream Map</t>
  </si>
  <si>
    <t>Supplier</t>
  </si>
  <si>
    <t>Inputs</t>
  </si>
  <si>
    <t>Process Steps</t>
  </si>
  <si>
    <t>Outputs</t>
  </si>
  <si>
    <t>Customers</t>
  </si>
  <si>
    <t>Insert the necessary elements. Insert rows as required</t>
  </si>
  <si>
    <t>SIPOC</t>
  </si>
  <si>
    <r>
      <rPr>
        <b/>
        <i/>
        <sz val="18"/>
        <color rgb="FF339933"/>
        <rFont val="Calibri"/>
        <family val="2"/>
        <scheme val="minor"/>
      </rPr>
      <t>↓</t>
    </r>
    <r>
      <rPr>
        <b/>
        <i/>
        <sz val="18"/>
        <color rgb="FF339933"/>
        <rFont val="Gabriola"/>
        <family val="5"/>
      </rPr>
      <t xml:space="preserve"> Click on the required template  </t>
    </r>
    <r>
      <rPr>
        <b/>
        <sz val="18"/>
        <color rgb="FF339933"/>
        <rFont val="Calibri"/>
        <family val="2"/>
      </rPr>
      <t>↓</t>
    </r>
  </si>
  <si>
    <t>To go back to this menu, you will find this button on the</t>
  </si>
  <si>
    <t>top right of every tab</t>
  </si>
  <si>
    <t>Enter the + as space +</t>
  </si>
  <si>
    <t>Enter the - as space -</t>
  </si>
  <si>
    <t>Enter the same as capital S</t>
  </si>
  <si>
    <t>Reference Scenario</t>
  </si>
  <si>
    <t xml:space="preserve"> +</t>
  </si>
  <si>
    <t xml:space="preserve"> -</t>
  </si>
  <si>
    <t>Number of +</t>
  </si>
  <si>
    <t>Number of -</t>
  </si>
  <si>
    <t>Number of Sames</t>
  </si>
  <si>
    <t xml:space="preserve"> Weighted number of +</t>
  </si>
  <si>
    <t>Weighted number of -</t>
  </si>
  <si>
    <t>Overall weighted score</t>
  </si>
  <si>
    <t>Pugh matrix</t>
  </si>
  <si>
    <t>Sample #</t>
  </si>
  <si>
    <t>Trials</t>
  </si>
  <si>
    <t>K2</t>
  </si>
  <si>
    <t>Pugh Matrix</t>
  </si>
  <si>
    <t>#</t>
  </si>
  <si>
    <t>Process Function (Step)</t>
  </si>
  <si>
    <t>Potential Failure Modes (process defects)</t>
  </si>
  <si>
    <t xml:space="preserve">Potential Failure Effects (KPOVs) </t>
  </si>
  <si>
    <t>SEV</t>
  </si>
  <si>
    <t>OCC</t>
  </si>
  <si>
    <t>Current Process Controls</t>
  </si>
  <si>
    <t>DET</t>
  </si>
  <si>
    <t>RPN</t>
  </si>
  <si>
    <t>Responsible Person &amp; Target Date</t>
  </si>
  <si>
    <t xml:space="preserve">Taken Actions </t>
  </si>
  <si>
    <t>Failure Modes and Effects Analysis</t>
  </si>
  <si>
    <t xml:space="preserve"> </t>
  </si>
  <si>
    <t>You can copy and paste all sheets</t>
  </si>
  <si>
    <t>I (X) and Moving Range Chart</t>
  </si>
  <si>
    <r>
      <t xml:space="preserve">This spreadsheet is designed for up to 75 observations and a moving range from 2 to 5.  </t>
    </r>
    <r>
      <rPr>
        <i/>
        <sz val="10"/>
        <color indexed="10"/>
        <rFont val="Arial"/>
        <family val="2"/>
      </rPr>
      <t>Enter data ONLY in yellow-shaded cells</t>
    </r>
    <r>
      <rPr>
        <i/>
        <sz val="10"/>
        <rFont val="Arial"/>
        <family val="2"/>
      </rPr>
      <t>.</t>
    </r>
  </si>
  <si>
    <t xml:space="preserve">Enter the number of samples in cell E6 and the sample size in cell E7.  Then enter your data in the grid below. </t>
  </si>
  <si>
    <t xml:space="preserve">Click on sheet tabs to display the control charts (some rescaling may be needed).  </t>
  </si>
  <si>
    <t>Number of samples (&lt;= 75)</t>
  </si>
  <si>
    <t>Sample size for moving range(2 - 5)</t>
  </si>
  <si>
    <t>Moving</t>
  </si>
  <si>
    <t>Observation</t>
  </si>
  <si>
    <t>Value</t>
  </si>
  <si>
    <t>LCLx</t>
  </si>
  <si>
    <t>CLx</t>
  </si>
  <si>
    <t>UCLx</t>
  </si>
  <si>
    <t>LCLr</t>
  </si>
  <si>
    <t>CLr</t>
  </si>
  <si>
    <t>UCLr</t>
  </si>
  <si>
    <t>Average Number of Defects (c) Chart</t>
  </si>
  <si>
    <r>
      <t xml:space="preserve">This spreadsheet is designed for up to 50 samples.  </t>
    </r>
    <r>
      <rPr>
        <i/>
        <sz val="10"/>
        <color indexed="10"/>
        <rFont val="Arial"/>
        <family val="2"/>
      </rPr>
      <t>Enter data ONLY in yellow-shaded cells</t>
    </r>
    <r>
      <rPr>
        <i/>
        <sz val="10"/>
        <rFont val="Arial"/>
        <family val="2"/>
      </rPr>
      <t>.</t>
    </r>
  </si>
  <si>
    <t xml:space="preserve">Click on the sheet tab to display the control chart (some rescaling may be needed).  </t>
  </si>
  <si>
    <t>Average (c-bar)</t>
  </si>
  <si>
    <t>calc</t>
  </si>
  <si>
    <t>Number</t>
  </si>
  <si>
    <t>Sample</t>
  </si>
  <si>
    <t>of Defects</t>
  </si>
  <si>
    <t>LCLc</t>
  </si>
  <si>
    <t>CL</t>
  </si>
  <si>
    <t>UCLc</t>
  </si>
  <si>
    <t>Number Nonconforming (np) Chart</t>
  </si>
  <si>
    <r>
      <t xml:space="preserve">This spreadsheet is designed for up to 50 samples.   </t>
    </r>
    <r>
      <rPr>
        <i/>
        <sz val="10"/>
        <color indexed="10"/>
        <rFont val="Arial"/>
        <family val="2"/>
      </rPr>
      <t>Enter data ONLY in yellow-shaded cells</t>
    </r>
    <r>
      <rPr>
        <i/>
        <sz val="10"/>
        <rFont val="Arial"/>
        <family val="2"/>
      </rPr>
      <t>.</t>
    </r>
  </si>
  <si>
    <t>Each sample must have a constant sample size; enter this in cell C6.</t>
  </si>
  <si>
    <t xml:space="preserve">Sample size </t>
  </si>
  <si>
    <t>Average (np-bar)</t>
  </si>
  <si>
    <t>Standard deviation</t>
  </si>
  <si>
    <t>Nonconforming</t>
  </si>
  <si>
    <t>LCLnp</t>
  </si>
  <si>
    <t>UCLnp</t>
  </si>
  <si>
    <t>Fraction Nonconforming (p) Chart</t>
  </si>
  <si>
    <t>Average (p-bar)</t>
  </si>
  <si>
    <t>Avg. sample size</t>
  </si>
  <si>
    <t>Approximate Control Limits Using</t>
  </si>
  <si>
    <t>Fraction</t>
  </si>
  <si>
    <t>Standard</t>
  </si>
  <si>
    <t>Average Sample Size Calculations</t>
  </si>
  <si>
    <t>Size</t>
  </si>
  <si>
    <t>Deviation</t>
  </si>
  <si>
    <t>LCLp</t>
  </si>
  <si>
    <t>UCLp</t>
  </si>
  <si>
    <t>Average Number of Defects Per Unit (u) Chart</t>
  </si>
  <si>
    <r>
      <t xml:space="preserve">This spreadsheet is designed for up to 75 samples.  </t>
    </r>
    <r>
      <rPr>
        <i/>
        <sz val="10"/>
        <color indexed="10"/>
        <rFont val="Arial"/>
        <family val="2"/>
      </rPr>
      <t>Enter data ONLY in yellow-shaded cells</t>
    </r>
    <r>
      <rPr>
        <i/>
        <sz val="10"/>
        <rFont val="Arial"/>
        <family val="2"/>
      </rPr>
      <t>.</t>
    </r>
  </si>
  <si>
    <t>Average (u-bar)</t>
  </si>
  <si>
    <t xml:space="preserve">Number </t>
  </si>
  <si>
    <t>Unit</t>
  </si>
  <si>
    <t xml:space="preserve">Defects </t>
  </si>
  <si>
    <t>per unit</t>
  </si>
  <si>
    <t>LCLu</t>
  </si>
  <si>
    <t>UCLu</t>
  </si>
  <si>
    <t xml:space="preserve">Xbar R control chart  </t>
  </si>
  <si>
    <t>Instructions:</t>
  </si>
  <si>
    <t xml:space="preserve">1. Click on "Delete All" to clear any existing information in the spreadsheet. </t>
  </si>
  <si>
    <t xml:space="preserve">2. In the Attribute Legend section enter the labels that the data collectors used.  The labels may be either </t>
  </si>
  <si>
    <t xml:space="preserve">alpha characters such as pass/fail, on-time/late, scratches/stains, or numeric values, such as 1,2.  Only </t>
  </si>
  <si>
    <t xml:space="preserve">two characteristics may be evaluated. </t>
  </si>
  <si>
    <t>3. Enter your name and all other pertinent information in the space provided at the top of the spreadsheet</t>
  </si>
  <si>
    <t>This information is not required for using the tool, but will be useful for your own reference</t>
  </si>
  <si>
    <t xml:space="preserve">4. If you know the actual (or true) value for each sample, enter this information in the column labeled </t>
  </si>
  <si>
    <t xml:space="preserve">Attribute.  This may have been determined by an expert’s analysis of the samples.  Entering this </t>
  </si>
  <si>
    <t xml:space="preserve">information will allow you to assess the variation in the measurement system due to accuracy.  If you do </t>
  </si>
  <si>
    <t xml:space="preserve">not know the true value or do not need to study accuracy, you can still use the spreadsheet to study the </t>
  </si>
  <si>
    <t>variation in the measurement system due to repeatability and reproducibility.</t>
  </si>
  <si>
    <t xml:space="preserve">5. Enter the individual’s data in the appropriate columns. The spreadsheet can accommodate data from </t>
  </si>
  <si>
    <t xml:space="preserve">up to 3 individuals and 100 parts. Be sure to use the same labels that were entered into the attribute legend. </t>
  </si>
  <si>
    <t>The 95% UCL and 95% LCL represent the 95% upper and lower confidence limits on the</t>
  </si>
  <si>
    <t>binomial distribution.  The Calculated Score is the basic computation reported on the report</t>
  </si>
  <si>
    <t>page for % Repeatability and % Accuracy.  The 95% confidence interval represents</t>
  </si>
  <si>
    <t>the range within which the true Calculated Score lies given the uncertainty associated with</t>
  </si>
  <si>
    <t xml:space="preserve">limited sample sizes.  As sample size increases (in this case, Total Inspected) the </t>
  </si>
  <si>
    <t>confidence interval will get smaller and smaller which indicates more reliable estimates of</t>
  </si>
  <si>
    <t>the true percentages.  In the case of the Demo data, the true Calculated score for Operator 1</t>
  </si>
  <si>
    <t>could be as low as 76.8% given that only 14 samples inspected, even though there was a 100%</t>
  </si>
  <si>
    <t>Appraiser value calculated. Also, even though Operator 2 had a lower score, Operators 1 and 3</t>
  </si>
  <si>
    <t>cannot be distinguished from Operator 2 because the calculated score of #2 (78.6%) lies within</t>
  </si>
  <si>
    <t xml:space="preserve">the confidence limits for Operators 1 and 3. </t>
  </si>
  <si>
    <t>With a worksheet limitation of 100 samples, at best a lower 95% limit of 96.4% can be calculated.</t>
  </si>
  <si>
    <t>Thus, we would have to say that an inspector could be as bad as 96% efficient, even though he/she</t>
  </si>
  <si>
    <t>missed no calls.</t>
  </si>
  <si>
    <t>Sample Size</t>
  </si>
  <si>
    <t>&lt; Try out different combinations of number of samples and number of matches</t>
  </si>
  <si>
    <t># Matches</t>
  </si>
  <si>
    <t xml:space="preserve">&lt;  to see the effects of sample size.  In this case, a sample size of 30 with </t>
  </si>
  <si>
    <t>95% UCL</t>
  </si>
  <si>
    <t>&lt;  one non-match will yield a 17% confidence interval.  In order to get reasonable</t>
  </si>
  <si>
    <t>Calculated Score</t>
  </si>
  <si>
    <t>&lt;  reliability in estimates of efficiency, large sample sizes will be required.</t>
  </si>
  <si>
    <t>95% LCL</t>
  </si>
  <si>
    <t>Discrete Data Analysis Method</t>
  </si>
  <si>
    <t>SCORING REPORT</t>
  </si>
  <si>
    <t>DATE:</t>
  </si>
  <si>
    <r>
      <t xml:space="preserve">Attribute Legend </t>
    </r>
    <r>
      <rPr>
        <b/>
        <sz val="10"/>
        <color indexed="12"/>
        <rFont val="Arial"/>
        <family val="2"/>
      </rPr>
      <t>(used in computations)</t>
    </r>
  </si>
  <si>
    <t>NAME:</t>
  </si>
  <si>
    <t>good</t>
  </si>
  <si>
    <t>PRODUCT:</t>
  </si>
  <si>
    <t>bad</t>
  </si>
  <si>
    <t>BUSINESS:</t>
  </si>
  <si>
    <t>Must match labels used below</t>
  </si>
  <si>
    <t>Known Population</t>
  </si>
  <si>
    <t>Individual 1</t>
  </si>
  <si>
    <t>Individual 2</t>
  </si>
  <si>
    <t>Individual 3</t>
  </si>
  <si>
    <t>Match</t>
  </si>
  <si>
    <t>Attribute</t>
  </si>
  <si>
    <t>Try #1</t>
  </si>
  <si>
    <t>Try #2</t>
  </si>
  <si>
    <t>Each Other</t>
  </si>
  <si>
    <t>Known</t>
  </si>
  <si>
    <t>"REPEATABILITY" -&gt;</t>
  </si>
  <si>
    <t>"ACCURACY" -&gt;</t>
  </si>
  <si>
    <t>"OVERALL REPEATABILITY &amp; REPRODUCIBILITY" -&gt;</t>
  </si>
  <si>
    <t>"OVERALL REPEATABILITY, REPRODUCIBILITY &amp; ACCURACY" -&gt;</t>
  </si>
  <si>
    <t>Attribute Legend</t>
  </si>
  <si>
    <t>Y/N</t>
  </si>
  <si>
    <t>Agree</t>
  </si>
  <si>
    <t>Statistical Report - Discrete Data Analysis Method</t>
  </si>
  <si>
    <t>Repeatability</t>
  </si>
  <si>
    <t>Accuracy</t>
  </si>
  <si>
    <t>Source</t>
  </si>
  <si>
    <t>Total Inspected</t>
  </si>
  <si>
    <t># Matched</t>
  </si>
  <si>
    <t>False Positives</t>
  </si>
  <si>
    <t>False Negatives</t>
  </si>
  <si>
    <t>Mixed</t>
  </si>
  <si>
    <t>Overall Repeat. and Reprod.</t>
  </si>
  <si>
    <t>Overall Repeat., Reprod., &amp; Accuracy</t>
  </si>
  <si>
    <t># in Agreement</t>
  </si>
  <si>
    <t>Notes</t>
  </si>
  <si>
    <t>Operator #1</t>
  </si>
  <si>
    <t>Operator #2</t>
  </si>
  <si>
    <t>Operator #3</t>
  </si>
  <si>
    <t>within</t>
  </si>
  <si>
    <t>known</t>
  </si>
  <si>
    <t>Known-1</t>
  </si>
  <si>
    <t>Known-2</t>
  </si>
  <si>
    <t>Known-3</t>
  </si>
  <si>
    <t>False Neg</t>
  </si>
  <si>
    <t>False Pos</t>
  </si>
  <si>
    <t>% Appraiser Score</t>
  </si>
  <si>
    <t>This template is open for sharing</t>
  </si>
  <si>
    <t>Gauge R&amp;R continuous</t>
  </si>
  <si>
    <t>This template continues on the next 4 sheets</t>
  </si>
  <si>
    <t>This template continues on the previous sheet and next 3 sheets</t>
  </si>
  <si>
    <t>This template continues on the previous 2 sheets and next 2 sheets</t>
  </si>
  <si>
    <t>This template continues on the previous 3 sheets and next  sheet</t>
  </si>
  <si>
    <t>This template continues on the previous 4 sheets</t>
  </si>
  <si>
    <t>Insert the potential causes in the box. The categories in blue can be changed</t>
  </si>
  <si>
    <t>Potential Causes of Failure</t>
  </si>
  <si>
    <t>Recommended Actions</t>
  </si>
  <si>
    <t>To remove some categories from the graph,</t>
  </si>
  <si>
    <t>required cells</t>
  </si>
  <si>
    <t xml:space="preserve">select the graph elements and  deselect the </t>
  </si>
  <si>
    <t>Enter counts here. The categories can be renamed</t>
  </si>
  <si>
    <t>Ppk (long term)</t>
  </si>
  <si>
    <t>Cpk (short term)</t>
  </si>
  <si>
    <t>Long term defect rates</t>
  </si>
  <si>
    <t>Short Term Yield</t>
  </si>
  <si>
    <t>Process Sigma Level</t>
  </si>
  <si>
    <t>short term (Zst)</t>
  </si>
  <si>
    <t>long term (ZLt)</t>
  </si>
  <si>
    <t>I-MR control chart</t>
  </si>
  <si>
    <t>c control chart</t>
  </si>
  <si>
    <t>np control chart</t>
  </si>
  <si>
    <t>p control chart</t>
  </si>
  <si>
    <t>u control chart</t>
  </si>
  <si>
    <t>Control Charts</t>
  </si>
  <si>
    <t>See chart on the next tabs</t>
  </si>
  <si>
    <t>See charts on the next tab</t>
  </si>
  <si>
    <t>See chart on the next tab</t>
  </si>
  <si>
    <t>Gage Repeatability and Reproducibility Data Collection Sheet</t>
  </si>
  <si>
    <t xml:space="preserve">Part No. &amp; Name: </t>
  </si>
  <si>
    <t xml:space="preserve">Characteristics: </t>
  </si>
  <si>
    <t>Outside Diameter</t>
  </si>
  <si>
    <t xml:space="preserve">Specifications: </t>
  </si>
  <si>
    <t>Upper Spec</t>
  </si>
  <si>
    <t xml:space="preserve"># of Trials = </t>
  </si>
  <si>
    <r>
      <t xml:space="preserve">K </t>
    </r>
    <r>
      <rPr>
        <vertAlign val="subscript"/>
        <sz val="10"/>
        <rFont val="Arial"/>
        <family val="2"/>
      </rPr>
      <t>1</t>
    </r>
    <r>
      <rPr>
        <sz val="10"/>
        <rFont val="Arial"/>
        <family val="2"/>
      </rPr>
      <t xml:space="preserve"> = </t>
    </r>
  </si>
  <si>
    <t xml:space="preserve">Xbar diff = </t>
  </si>
  <si>
    <r>
      <t xml:space="preserve">D </t>
    </r>
    <r>
      <rPr>
        <vertAlign val="subscript"/>
        <sz val="10"/>
        <rFont val="Arial"/>
        <family val="2"/>
      </rPr>
      <t>4</t>
    </r>
    <r>
      <rPr>
        <sz val="10"/>
        <rFont val="Arial"/>
        <family val="2"/>
      </rPr>
      <t xml:space="preserve"> = </t>
    </r>
  </si>
  <si>
    <t>Lower Spec</t>
  </si>
  <si>
    <t xml:space="preserve"># of appraisers = </t>
  </si>
  <si>
    <r>
      <t xml:space="preserve">K </t>
    </r>
    <r>
      <rPr>
        <vertAlign val="subscript"/>
        <sz val="10"/>
        <rFont val="Arial"/>
        <family val="2"/>
      </rPr>
      <t>2</t>
    </r>
    <r>
      <rPr>
        <sz val="10"/>
        <rFont val="Arial"/>
        <family val="2"/>
      </rPr>
      <t xml:space="preserve"> = </t>
    </r>
  </si>
  <si>
    <t xml:space="preserve">Rbarbar = </t>
  </si>
  <si>
    <r>
      <t xml:space="preserve">R </t>
    </r>
    <r>
      <rPr>
        <vertAlign val="subscript"/>
        <sz val="10"/>
        <rFont val="Arial"/>
        <family val="2"/>
      </rPr>
      <t>p</t>
    </r>
    <r>
      <rPr>
        <sz val="10"/>
        <rFont val="Arial"/>
        <family val="2"/>
      </rPr>
      <t xml:space="preserve"> = </t>
    </r>
  </si>
  <si>
    <t>Total Tol</t>
  </si>
  <si>
    <t xml:space="preserve"># of parts = </t>
  </si>
  <si>
    <r>
      <t xml:space="preserve">K </t>
    </r>
    <r>
      <rPr>
        <vertAlign val="subscript"/>
        <sz val="10"/>
        <rFont val="Arial"/>
        <family val="2"/>
      </rPr>
      <t>3</t>
    </r>
    <r>
      <rPr>
        <sz val="10"/>
        <rFont val="Arial"/>
        <family val="2"/>
      </rPr>
      <t xml:space="preserve"> = </t>
    </r>
  </si>
  <si>
    <t>Appraiser/Trial #</t>
  </si>
  <si>
    <t>Part</t>
  </si>
  <si>
    <r>
      <t xml:space="preserve">Xbar </t>
    </r>
    <r>
      <rPr>
        <vertAlign val="subscript"/>
        <sz val="10"/>
        <rFont val="Arial"/>
        <family val="2"/>
      </rPr>
      <t>a</t>
    </r>
    <r>
      <rPr>
        <sz val="10"/>
        <rFont val="Arial"/>
        <family val="2"/>
      </rPr>
      <t xml:space="preserve"> = </t>
    </r>
  </si>
  <si>
    <r>
      <t xml:space="preserve">Rbar </t>
    </r>
    <r>
      <rPr>
        <vertAlign val="subscript"/>
        <sz val="10"/>
        <rFont val="Arial"/>
        <family val="2"/>
      </rPr>
      <t>a</t>
    </r>
    <r>
      <rPr>
        <sz val="10"/>
        <rFont val="Arial"/>
        <family val="2"/>
      </rPr>
      <t xml:space="preserve"> = </t>
    </r>
  </si>
  <si>
    <r>
      <t xml:space="preserve">Xbar </t>
    </r>
    <r>
      <rPr>
        <vertAlign val="subscript"/>
        <sz val="10"/>
        <rFont val="Arial"/>
        <family val="2"/>
      </rPr>
      <t>b</t>
    </r>
    <r>
      <rPr>
        <sz val="10"/>
        <rFont val="Arial"/>
        <family val="2"/>
      </rPr>
      <t xml:space="preserve"> = </t>
    </r>
  </si>
  <si>
    <r>
      <t xml:space="preserve">Rbar </t>
    </r>
    <r>
      <rPr>
        <vertAlign val="subscript"/>
        <sz val="10"/>
        <rFont val="Arial"/>
        <family val="2"/>
      </rPr>
      <t>b</t>
    </r>
    <r>
      <rPr>
        <sz val="10"/>
        <rFont val="Arial"/>
        <family val="2"/>
      </rPr>
      <t xml:space="preserve"> = </t>
    </r>
  </si>
  <si>
    <r>
      <t xml:space="preserve">Xbar </t>
    </r>
    <r>
      <rPr>
        <vertAlign val="subscript"/>
        <sz val="10"/>
        <rFont val="Arial"/>
        <family val="2"/>
      </rPr>
      <t>c</t>
    </r>
    <r>
      <rPr>
        <sz val="10"/>
        <rFont val="Arial"/>
        <family val="2"/>
      </rPr>
      <t xml:space="preserve"> = </t>
    </r>
  </si>
  <si>
    <r>
      <t xml:space="preserve">Rbar </t>
    </r>
    <r>
      <rPr>
        <vertAlign val="subscript"/>
        <sz val="10"/>
        <rFont val="Arial"/>
        <family val="2"/>
      </rPr>
      <t>c</t>
    </r>
    <r>
      <rPr>
        <sz val="10"/>
        <rFont val="Arial"/>
        <family val="2"/>
      </rPr>
      <t xml:space="preserve"> = </t>
    </r>
  </si>
  <si>
    <t>Part Average</t>
  </si>
  <si>
    <t>Xbarbar =</t>
  </si>
  <si>
    <r>
      <t>R</t>
    </r>
    <r>
      <rPr>
        <vertAlign val="subscript"/>
        <sz val="10"/>
        <rFont val="Arial"/>
        <family val="2"/>
      </rPr>
      <t>p</t>
    </r>
    <r>
      <rPr>
        <sz val="10"/>
        <rFont val="Arial"/>
        <family val="2"/>
      </rPr>
      <t xml:space="preserve"> = </t>
    </r>
  </si>
  <si>
    <t>Xbar diff  =</t>
  </si>
  <si>
    <t>UCL R    =</t>
  </si>
  <si>
    <t>Gage Repeatability and Reproducibility Report - % VARIATION</t>
  </si>
  <si>
    <t xml:space="preserve">Gage Name: </t>
  </si>
  <si>
    <t xml:space="preserve">Date: </t>
  </si>
  <si>
    <t>Gage Number:</t>
  </si>
  <si>
    <t xml:space="preserve">Performed by: </t>
  </si>
  <si>
    <t xml:space="preserve">Gage Type: </t>
  </si>
  <si>
    <r>
      <t>K</t>
    </r>
    <r>
      <rPr>
        <vertAlign val="subscript"/>
        <sz val="10"/>
        <rFont val="Arial"/>
        <family val="2"/>
      </rPr>
      <t>1</t>
    </r>
    <r>
      <rPr>
        <sz val="10"/>
        <rFont val="Arial"/>
        <family val="2"/>
      </rPr>
      <t xml:space="preserve"> = </t>
    </r>
  </si>
  <si>
    <r>
      <t>D</t>
    </r>
    <r>
      <rPr>
        <vertAlign val="subscript"/>
        <sz val="10"/>
        <rFont val="Arial"/>
        <family val="2"/>
      </rPr>
      <t>4</t>
    </r>
    <r>
      <rPr>
        <sz val="10"/>
        <rFont val="Arial"/>
        <family val="2"/>
      </rPr>
      <t xml:space="preserve"> = </t>
    </r>
  </si>
  <si>
    <r>
      <t>K</t>
    </r>
    <r>
      <rPr>
        <vertAlign val="subscript"/>
        <sz val="10"/>
        <rFont val="Arial"/>
        <family val="2"/>
      </rPr>
      <t>2</t>
    </r>
    <r>
      <rPr>
        <sz val="10"/>
        <rFont val="Arial"/>
        <family val="2"/>
      </rPr>
      <t xml:space="preserve"> = </t>
    </r>
  </si>
  <si>
    <r>
      <t>K</t>
    </r>
    <r>
      <rPr>
        <vertAlign val="subscript"/>
        <sz val="10"/>
        <rFont val="Arial"/>
        <family val="2"/>
      </rPr>
      <t>3</t>
    </r>
    <r>
      <rPr>
        <sz val="10"/>
        <rFont val="Arial"/>
        <family val="2"/>
      </rPr>
      <t xml:space="preserve"> = </t>
    </r>
  </si>
  <si>
    <t>Measurement Unit Analysis</t>
  </si>
  <si>
    <t>% Total Variation</t>
  </si>
  <si>
    <t>Repeatability - Equipment Variation (EV)</t>
  </si>
  <si>
    <t>Percent Equipment Variation</t>
  </si>
  <si>
    <t>EV               =</t>
  </si>
  <si>
    <r>
      <t>(Rbarbar) x (K</t>
    </r>
    <r>
      <rPr>
        <vertAlign val="subscript"/>
        <sz val="10"/>
        <rFont val="Arial"/>
        <family val="2"/>
      </rPr>
      <t>1</t>
    </r>
    <r>
      <rPr>
        <sz val="10"/>
        <rFont val="Arial"/>
        <family val="2"/>
      </rPr>
      <t>)</t>
    </r>
  </si>
  <si>
    <t>%EV     =</t>
  </si>
  <si>
    <t>100 [ EV / TV ]</t>
  </si>
  <si>
    <t xml:space="preserve">                   =</t>
  </si>
  <si>
    <r>
      <t>K</t>
    </r>
    <r>
      <rPr>
        <vertAlign val="subscript"/>
        <sz val="10"/>
        <rFont val="Arial"/>
        <family val="2"/>
      </rPr>
      <t>1</t>
    </r>
  </si>
  <si>
    <t xml:space="preserve">             =</t>
  </si>
  <si>
    <t>%</t>
  </si>
  <si>
    <t>Reproducibility - Appraiser Variation (AV)</t>
  </si>
  <si>
    <t>Percent Appraiser Variation</t>
  </si>
  <si>
    <t>AV               =</t>
  </si>
  <si>
    <t>%AV     =</t>
  </si>
  <si>
    <t>100 [ AV / TV ]</t>
  </si>
  <si>
    <t>Appraisers</t>
  </si>
  <si>
    <t>Repeatability &amp; Reproducibility (GRR)</t>
  </si>
  <si>
    <t>Percent Gage Repeatability &amp; Reproducibility Variation</t>
  </si>
  <si>
    <t>GRR            =</t>
  </si>
  <si>
    <t>SQRT[ (EV^2) + (AV^2) ]</t>
  </si>
  <si>
    <t>%GRR   =</t>
  </si>
  <si>
    <t>100 [ GRR / TV ]</t>
  </si>
  <si>
    <t xml:space="preserve">                  =</t>
  </si>
  <si>
    <t>Part Variation (PV)</t>
  </si>
  <si>
    <t>Parts</t>
  </si>
  <si>
    <r>
      <t>K</t>
    </r>
    <r>
      <rPr>
        <vertAlign val="subscript"/>
        <sz val="10"/>
        <rFont val="Arial"/>
        <family val="2"/>
      </rPr>
      <t>3</t>
    </r>
  </si>
  <si>
    <t>Percent Part Variation</t>
  </si>
  <si>
    <t>PV              =</t>
  </si>
  <si>
    <r>
      <t>R</t>
    </r>
    <r>
      <rPr>
        <vertAlign val="subscript"/>
        <sz val="10"/>
        <rFont val="Arial"/>
        <family val="2"/>
      </rPr>
      <t>p</t>
    </r>
    <r>
      <rPr>
        <sz val="10"/>
        <rFont val="Arial"/>
        <family val="2"/>
      </rPr>
      <t xml:space="preserve"> x K</t>
    </r>
    <r>
      <rPr>
        <vertAlign val="subscript"/>
        <sz val="10"/>
        <rFont val="Arial"/>
        <family val="2"/>
      </rPr>
      <t>3</t>
    </r>
  </si>
  <si>
    <t>%PV    =</t>
  </si>
  <si>
    <t>100 [ PV / TV ]</t>
  </si>
  <si>
    <t xml:space="preserve">            =</t>
  </si>
  <si>
    <t>Total Variation (TV)</t>
  </si>
  <si>
    <t>TV               =</t>
  </si>
  <si>
    <t>SQRT[ (GRR^2) + (PV^2) ]</t>
  </si>
  <si>
    <t>Number of Distinct Categories that can be Distinguished</t>
  </si>
  <si>
    <t>ndc       =</t>
  </si>
  <si>
    <t>1.41( PV / GRR )</t>
  </si>
  <si>
    <t>or approximately:</t>
  </si>
  <si>
    <t>Gage Repeatability and Reproducibility Report - % TOLERANCE (5.15 Sigma)</t>
  </si>
  <si>
    <t>% Total Tolerance</t>
  </si>
  <si>
    <r>
      <t>(Rbarbar) x (K</t>
    </r>
    <r>
      <rPr>
        <vertAlign val="subscript"/>
        <sz val="10"/>
        <rFont val="Arial"/>
        <family val="2"/>
      </rPr>
      <t>1</t>
    </r>
    <r>
      <rPr>
        <sz val="10"/>
        <rFont val="Arial"/>
        <family val="2"/>
      </rPr>
      <t>) x (5.1 Sigma)</t>
    </r>
  </si>
  <si>
    <t>100 [ EV / Total Tol ]</t>
  </si>
  <si>
    <t>100 [ AV / Total Tol ]</t>
  </si>
  <si>
    <t>100 [ GRR / Total Tol ]</t>
  </si>
  <si>
    <r>
      <t>(R</t>
    </r>
    <r>
      <rPr>
        <vertAlign val="subscript"/>
        <sz val="10"/>
        <rFont val="Arial"/>
        <family val="2"/>
      </rPr>
      <t>p)</t>
    </r>
    <r>
      <rPr>
        <sz val="10"/>
        <rFont val="Arial"/>
        <family val="2"/>
      </rPr>
      <t xml:space="preserve"> x (K</t>
    </r>
    <r>
      <rPr>
        <vertAlign val="subscript"/>
        <sz val="10"/>
        <rFont val="Arial"/>
        <family val="2"/>
      </rPr>
      <t>3</t>
    </r>
    <r>
      <rPr>
        <sz val="10"/>
        <rFont val="Arial"/>
        <family val="2"/>
      </rPr>
      <t>) x (5.1 Sigma)</t>
    </r>
  </si>
  <si>
    <t>100 [ PV / Total Tol ]</t>
  </si>
  <si>
    <t>Total Tolerance (Total Tol)</t>
  </si>
  <si>
    <t>Upper Spec - Lower Spec</t>
  </si>
  <si>
    <t>Gage Name:</t>
  </si>
  <si>
    <t>Part No. &amp; Name:</t>
  </si>
  <si>
    <t>Upper Tolerance:</t>
  </si>
  <si>
    <t>Date:</t>
  </si>
  <si>
    <t>Gage No.</t>
  </si>
  <si>
    <t>Lower Tolerance:</t>
  </si>
  <si>
    <t>Performed by:</t>
  </si>
  <si>
    <t>Gage Type:</t>
  </si>
  <si>
    <t>Total Tolerance:</t>
  </si>
  <si>
    <t>Gage R&amp;R Study - ANOVA Method</t>
  </si>
  <si>
    <t>Gage R&amp;R Study - Xbar/Range Method</t>
  </si>
  <si>
    <t>Variance and Standard Deviation Components</t>
  </si>
  <si>
    <t>% of Variance</t>
  </si>
  <si>
    <t>St. Dev.</t>
  </si>
  <si>
    <t>Variance</t>
  </si>
  <si>
    <t>Total Gage R&amp;R</t>
  </si>
  <si>
    <t xml:space="preserve">   Repeatability</t>
  </si>
  <si>
    <t xml:space="preserve">   Reproducibility</t>
  </si>
  <si>
    <t>Operator</t>
  </si>
  <si>
    <t>Part to Part</t>
  </si>
  <si>
    <t>Operator*Part</t>
  </si>
  <si>
    <t>Total Variation</t>
  </si>
  <si>
    <t>Process Tolerance =</t>
  </si>
  <si>
    <t>Gage R&amp;R Using 5.15 Standard Deviations (99%)</t>
  </si>
  <si>
    <t>Study Variation</t>
  </si>
  <si>
    <t>% Study Variation</t>
  </si>
  <si>
    <t>% of Tolerance</t>
  </si>
  <si>
    <t>Gage R&amp;R Using 6.0 Standard Deviations (99.7%)</t>
  </si>
  <si>
    <t>Number of Distinct Categories =</t>
  </si>
  <si>
    <t>Analysis of Variance (ANOVA) Table</t>
  </si>
  <si>
    <t>DF</t>
  </si>
  <si>
    <t>SS</t>
  </si>
  <si>
    <t>MS</t>
  </si>
  <si>
    <t>p</t>
  </si>
  <si>
    <t xml:space="preserve">Part </t>
  </si>
  <si>
    <t>Op.x Part Interaction</t>
  </si>
  <si>
    <t>Gage (error)</t>
  </si>
  <si>
    <t xml:space="preserve">Total </t>
  </si>
  <si>
    <t>p value for Op. x Part Interaction as error term = 0.25</t>
  </si>
  <si>
    <t>Part (P)</t>
  </si>
  <si>
    <t>Technician (T)</t>
  </si>
  <si>
    <t>Cell Interaction Squares</t>
  </si>
  <si>
    <t>ANOVA Table</t>
  </si>
  <si>
    <t>No.</t>
  </si>
  <si>
    <t>Avg</t>
  </si>
  <si>
    <t>RowSqs</t>
  </si>
  <si>
    <r>
      <t>X</t>
    </r>
    <r>
      <rPr>
        <vertAlign val="superscript"/>
        <sz val="10"/>
        <rFont val="Arial"/>
        <family val="2"/>
      </rPr>
      <t>2</t>
    </r>
  </si>
  <si>
    <t>P</t>
  </si>
  <si>
    <t>Total GR&amp;R</t>
  </si>
  <si>
    <t>Reproducibility</t>
  </si>
  <si>
    <t>Part-Part</t>
  </si>
  <si>
    <t>Gage R&amp;R</t>
  </si>
  <si>
    <t>Repeat</t>
  </si>
  <si>
    <t>Reprod</t>
  </si>
  <si>
    <t>% Contribution</t>
  </si>
  <si>
    <t>Operators</t>
  </si>
  <si>
    <t>% Tol (5.15 SD)</t>
  </si>
  <si>
    <t>% Tol (6.0 SD)</t>
  </si>
  <si>
    <t>ColSqs</t>
  </si>
  <si>
    <t>Sum T Sqs</t>
  </si>
  <si>
    <t>Sum P Sqs</t>
  </si>
  <si>
    <t>Sum Cell Sqs</t>
  </si>
  <si>
    <r>
      <t>Sum X</t>
    </r>
    <r>
      <rPr>
        <sz val="10"/>
        <rFont val="Arial"/>
        <family val="2"/>
      </rPr>
      <t/>
    </r>
  </si>
  <si>
    <r>
      <t>Sum X</t>
    </r>
    <r>
      <rPr>
        <vertAlign val="superscript"/>
        <sz val="10"/>
        <rFont val="Arial"/>
        <family val="2"/>
      </rPr>
      <t>2</t>
    </r>
  </si>
  <si>
    <t>Ten</t>
  </si>
  <si>
    <t>Nine</t>
  </si>
  <si>
    <t>Eight</t>
  </si>
  <si>
    <t>Seven</t>
  </si>
  <si>
    <t>Six</t>
  </si>
  <si>
    <t>Five</t>
  </si>
  <si>
    <t>Four</t>
  </si>
  <si>
    <t>Three</t>
  </si>
  <si>
    <t>Two</t>
  </si>
  <si>
    <t>CM</t>
  </si>
  <si>
    <t>Xbar</t>
  </si>
  <si>
    <t>R</t>
  </si>
  <si>
    <t>TotSS</t>
  </si>
  <si>
    <t>Op. A</t>
  </si>
  <si>
    <t>Op. A &amp; Op. B</t>
  </si>
  <si>
    <t>TechSS</t>
  </si>
  <si>
    <t>Op. A &amp; Op. C</t>
  </si>
  <si>
    <t>PartSS</t>
  </si>
  <si>
    <t>Op. B &amp; Op. C</t>
  </si>
  <si>
    <t>Op. B</t>
  </si>
  <si>
    <t>InterSS</t>
  </si>
  <si>
    <t>ErrorSS</t>
  </si>
  <si>
    <t>Op. C</t>
  </si>
  <si>
    <t>zero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</si>
  <si>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</si>
  <si>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</si>
  <si>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</si>
  <si>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</si>
  <si>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</si>
  <si>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</si>
  <si>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</si>
  <si>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</si>
  <si>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</si>
  <si>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</si>
  <si>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</si>
  <si>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</si>
  <si>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</si>
  <si>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</si>
  <si>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</si>
  <si>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</si>
  <si>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</si>
  <si>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</si>
  <si>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</si>
  <si>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</si>
  <si>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twentyone</t>
  </si>
  <si>
    <t>twentytwo</t>
  </si>
  <si>
    <t>twentythree</t>
  </si>
  <si>
    <t>twentyfour</t>
  </si>
  <si>
    <t>twentyfive</t>
  </si>
  <si>
    <t>twentysix</t>
  </si>
  <si>
    <t>twentyseven</t>
  </si>
  <si>
    <t>twentyeight</t>
  </si>
  <si>
    <t>twentynine</t>
  </si>
  <si>
    <t>thirty</t>
  </si>
  <si>
    <t>thirtyone</t>
  </si>
  <si>
    <t>Ten thru Six</t>
  </si>
  <si>
    <t>Five thru 2</t>
  </si>
  <si>
    <t>Op A</t>
  </si>
  <si>
    <t>Op B</t>
  </si>
  <si>
    <t>Op C</t>
  </si>
  <si>
    <t>Xbar R Chart</t>
  </si>
  <si>
    <t>UCL X</t>
  </si>
  <si>
    <t>LCL X</t>
  </si>
  <si>
    <t>UCL R</t>
  </si>
  <si>
    <t>Num. Pts.</t>
  </si>
  <si>
    <t>Num Parts</t>
  </si>
  <si>
    <t>This template continues on the next 3 sheets</t>
  </si>
  <si>
    <t>This template continues on the previous sheet and next 2 sheets</t>
  </si>
  <si>
    <t>This template continues on the previous 2 sheets and next sheet</t>
  </si>
  <si>
    <t>This template continues on the previous 3 sheets</t>
  </si>
  <si>
    <t>Gauge R&amp;R attribute (discrete)</t>
  </si>
  <si>
    <t>Prio.</t>
  </si>
  <si>
    <t>Action
Decision
(A/D)</t>
  </si>
  <si>
    <t>What</t>
  </si>
  <si>
    <t>Who</t>
  </si>
  <si>
    <t>Date</t>
  </si>
  <si>
    <t>Done or %</t>
  </si>
  <si>
    <t>Note</t>
  </si>
  <si>
    <t>Log date</t>
  </si>
  <si>
    <t>Completion</t>
  </si>
  <si>
    <t>Dept / Function</t>
  </si>
  <si>
    <t>Name</t>
  </si>
  <si>
    <t>Current</t>
  </si>
  <si>
    <t>Target</t>
  </si>
  <si>
    <t>Topic 1</t>
  </si>
  <si>
    <t>Done</t>
  </si>
  <si>
    <t>Topic 2</t>
  </si>
  <si>
    <t>To Do List</t>
  </si>
  <si>
    <t xml:space="preserve">represents the WIP </t>
  </si>
  <si>
    <t>Standard VSM Analysis</t>
  </si>
  <si>
    <t>Effect</t>
  </si>
  <si>
    <t>Severity</t>
  </si>
  <si>
    <t>Hazardous: Without Warning</t>
  </si>
  <si>
    <t>Hazardous: With Warning</t>
  </si>
  <si>
    <t>Very High</t>
  </si>
  <si>
    <t>High</t>
  </si>
  <si>
    <t>Moderate</t>
  </si>
  <si>
    <t>Low</t>
  </si>
  <si>
    <t>Very Low</t>
  </si>
  <si>
    <t>Minor</t>
  </si>
  <si>
    <t>Very Minor</t>
  </si>
  <si>
    <t>None</t>
  </si>
  <si>
    <t>Probability of Failure</t>
  </si>
  <si>
    <t>Possible Failure Rates</t>
  </si>
  <si>
    <t>Cpk</t>
  </si>
  <si>
    <t>Occurrence</t>
  </si>
  <si>
    <t>Very High:</t>
  </si>
  <si>
    <r>
      <t xml:space="preserve">³  </t>
    </r>
    <r>
      <rPr>
        <sz val="12"/>
        <rFont val="Arial"/>
        <family val="2"/>
      </rPr>
      <t xml:space="preserve">1 in 2 </t>
    </r>
  </si>
  <si>
    <t>&lt; 0.33</t>
  </si>
  <si>
    <t>Failure is almost inevitable</t>
  </si>
  <si>
    <t>1 in 3</t>
  </si>
  <si>
    <r>
      <t xml:space="preserve">³  </t>
    </r>
    <r>
      <rPr>
        <sz val="12"/>
        <rFont val="Arial"/>
        <family val="2"/>
      </rPr>
      <t xml:space="preserve">0.33 </t>
    </r>
  </si>
  <si>
    <r>
      <t>High:</t>
    </r>
    <r>
      <rPr>
        <sz val="12"/>
        <rFont val="Arial"/>
        <family val="2"/>
      </rPr>
      <t xml:space="preserve">  Generally associated with processes similar to previous</t>
    </r>
  </si>
  <si>
    <t>1 in 8</t>
  </si>
  <si>
    <r>
      <t xml:space="preserve">³  </t>
    </r>
    <r>
      <rPr>
        <sz val="12"/>
        <rFont val="Arial"/>
        <family val="2"/>
      </rPr>
      <t>0.51</t>
    </r>
  </si>
  <si>
    <t>processes that have often failed</t>
  </si>
  <si>
    <t>1 in 20</t>
  </si>
  <si>
    <r>
      <t xml:space="preserve">³  </t>
    </r>
    <r>
      <rPr>
        <sz val="12"/>
        <rFont val="Arial"/>
        <family val="2"/>
      </rPr>
      <t>0.67</t>
    </r>
  </si>
  <si>
    <r>
      <t>Moderate:</t>
    </r>
    <r>
      <rPr>
        <sz val="12"/>
        <rFont val="Arial"/>
        <family val="2"/>
      </rPr>
      <t xml:space="preserve">  Generally associated with processes similar to</t>
    </r>
  </si>
  <si>
    <t>1 in 80</t>
  </si>
  <si>
    <r>
      <t xml:space="preserve">³  </t>
    </r>
    <r>
      <rPr>
        <sz val="12"/>
        <rFont val="Arial"/>
        <family val="2"/>
      </rPr>
      <t>0.83</t>
    </r>
  </si>
  <si>
    <t>previous processes which have</t>
  </si>
  <si>
    <t>1 in 400</t>
  </si>
  <si>
    <r>
      <t xml:space="preserve">³  </t>
    </r>
    <r>
      <rPr>
        <sz val="12"/>
        <rFont val="Arial"/>
        <family val="2"/>
      </rPr>
      <t>1.00</t>
    </r>
  </si>
  <si>
    <t>experienced occasional failures, but not in major proportions</t>
  </si>
  <si>
    <t>1 in 2,000</t>
  </si>
  <si>
    <r>
      <t xml:space="preserve">³  </t>
    </r>
    <r>
      <rPr>
        <sz val="12"/>
        <rFont val="Arial"/>
        <family val="2"/>
      </rPr>
      <t>1.17</t>
    </r>
  </si>
  <si>
    <r>
      <t>Low:</t>
    </r>
    <r>
      <rPr>
        <sz val="12"/>
        <rFont val="Arial"/>
        <family val="2"/>
      </rPr>
      <t xml:space="preserve">  Isolated failures associated with similar processes</t>
    </r>
  </si>
  <si>
    <t>1 in 15,000</t>
  </si>
  <si>
    <r>
      <t xml:space="preserve">³  </t>
    </r>
    <r>
      <rPr>
        <sz val="12"/>
        <rFont val="Arial"/>
        <family val="2"/>
      </rPr>
      <t>1.33</t>
    </r>
  </si>
  <si>
    <r>
      <t>Very Low:</t>
    </r>
    <r>
      <rPr>
        <sz val="12"/>
        <rFont val="Arial"/>
        <family val="2"/>
      </rPr>
      <t xml:space="preserve">  Only isolated failures associated with almost identical processes</t>
    </r>
  </si>
  <si>
    <t>1 in 150,000</t>
  </si>
  <si>
    <r>
      <t xml:space="preserve">³  </t>
    </r>
    <r>
      <rPr>
        <sz val="12"/>
        <rFont val="Arial"/>
        <family val="2"/>
      </rPr>
      <t>1.5</t>
    </r>
  </si>
  <si>
    <r>
      <t>Remote:</t>
    </r>
    <r>
      <rPr>
        <sz val="12"/>
        <rFont val="Arial"/>
        <family val="2"/>
      </rPr>
      <t xml:space="preserve">  Failure is unlikely.  No failures ever associated with almost identical processes</t>
    </r>
  </si>
  <si>
    <r>
      <t xml:space="preserve">£  </t>
    </r>
    <r>
      <rPr>
        <sz val="12"/>
        <rFont val="Arial"/>
        <family val="2"/>
      </rPr>
      <t>1 in 1,500,000</t>
    </r>
  </si>
  <si>
    <r>
      <t xml:space="preserve">³  </t>
    </r>
    <r>
      <rPr>
        <sz val="12"/>
        <rFont val="Arial"/>
        <family val="2"/>
      </rPr>
      <t>1.67</t>
    </r>
  </si>
  <si>
    <t>Detection</t>
  </si>
  <si>
    <t>Almost Impossible</t>
  </si>
  <si>
    <t>Test content detects &lt; 80 % of failures</t>
  </si>
  <si>
    <t>Very Remote</t>
  </si>
  <si>
    <t>Test content must detect 80 % of failures</t>
  </si>
  <si>
    <t>Remote</t>
  </si>
  <si>
    <t>Test content must detect 82.5 % of failures</t>
  </si>
  <si>
    <t>Test content must detect 85 % of failures</t>
  </si>
  <si>
    <t>Test content must detect 87.5 % of failures</t>
  </si>
  <si>
    <t>Test content must detect 90 % of failures</t>
  </si>
  <si>
    <t>Moderately High</t>
  </si>
  <si>
    <t>Test content must detect 92.5 % of failures</t>
  </si>
  <si>
    <t>Test content must detect 95 % of failures</t>
  </si>
  <si>
    <t>Test content must detect 97.5 % of failures</t>
  </si>
  <si>
    <t>Almost Certain</t>
  </si>
  <si>
    <t>Test content must detect 99.5 % of failures</t>
  </si>
  <si>
    <t xml:space="preserve"> defect will be detected before advancing to next  step</t>
  </si>
  <si>
    <r>
      <t xml:space="preserve">RAID code
</t>
    </r>
    <r>
      <rPr>
        <sz val="9"/>
        <rFont val="Verdana"/>
        <family val="2"/>
      </rPr>
      <t>Risk, Assumption, Issue, Dependency</t>
    </r>
    <r>
      <rPr>
        <sz val="10"/>
        <rFont val="Verdana"/>
        <family val="2"/>
      </rPr>
      <t xml:space="preserve"> </t>
    </r>
  </si>
  <si>
    <t>See the sheet on the right for an example</t>
  </si>
  <si>
    <t>Pretriage</t>
  </si>
  <si>
    <t>Triage</t>
  </si>
  <si>
    <t>Bring to 
exam room</t>
  </si>
  <si>
    <t>See 
physician</t>
  </si>
  <si>
    <t>Lab test</t>
  </si>
  <si>
    <t>Physician
Follow up</t>
  </si>
  <si>
    <t>Lab test review</t>
  </si>
  <si>
    <t>Discharge</t>
  </si>
  <si>
    <t>Measurement System Analysis</t>
  </si>
  <si>
    <t>Strength</t>
  </si>
  <si>
    <t>Favorable Forces</t>
  </si>
  <si>
    <t>Project title. Description</t>
  </si>
  <si>
    <t>Forces Against</t>
  </si>
  <si>
    <t>Force Field Analysis</t>
  </si>
  <si>
    <t>Process Owner</t>
  </si>
  <si>
    <t>Main Performance Indicator (KPIs)</t>
  </si>
  <si>
    <t xml:space="preserve">Communication tools </t>
  </si>
  <si>
    <t>Click on the template that you would like to use</t>
  </si>
  <si>
    <t>Difficulty of Detection</t>
  </si>
  <si>
    <t>Requirements and skill constraints for the process</t>
  </si>
  <si>
    <r>
      <t xml:space="preserve">Customer support departement report shows </t>
    </r>
    <r>
      <rPr>
        <sz val="9"/>
        <color theme="3" tint="0.39997558519241921"/>
        <rFont val="Arial"/>
        <family val="2"/>
      </rPr>
      <t>(Who)</t>
    </r>
    <r>
      <rPr>
        <sz val="9"/>
        <rFont val="Arial"/>
        <family val="2"/>
      </rPr>
      <t xml:space="preserve"> over the last 6 month </t>
    </r>
    <r>
      <rPr>
        <sz val="9"/>
        <color theme="3" tint="0.39997558519241921"/>
        <rFont val="Arial"/>
        <family val="2"/>
      </rPr>
      <t>(When)</t>
    </r>
    <r>
      <rPr>
        <sz val="9"/>
        <rFont val="Arial"/>
        <family val="2"/>
      </rPr>
      <t>, 25% of the  product ABC</t>
    </r>
  </si>
  <si>
    <r>
      <rPr>
        <sz val="9"/>
        <color theme="3" tint="0.39997558519241921"/>
        <rFont val="Arial"/>
        <family val="2"/>
      </rPr>
      <t xml:space="preserve"> (How Much)</t>
    </r>
    <r>
      <rPr>
        <sz val="9"/>
        <rFont val="Arial"/>
        <family val="2"/>
      </rPr>
      <t xml:space="preserve"> that was shipped from Toronto facility </t>
    </r>
    <r>
      <rPr>
        <sz val="9"/>
        <color theme="3" tint="0.39997558519241921"/>
        <rFont val="Arial"/>
        <family val="2"/>
      </rPr>
      <t xml:space="preserve">( Where) </t>
    </r>
    <r>
      <rPr>
        <sz val="9"/>
        <color theme="1"/>
        <rFont val="Arial"/>
        <family val="2"/>
      </rPr>
      <t xml:space="preserve">was returned due to defects </t>
    </r>
    <r>
      <rPr>
        <sz val="9"/>
        <color theme="3" tint="0.39997558519241921"/>
        <rFont val="Arial"/>
        <family val="2"/>
      </rPr>
      <t xml:space="preserve">(What). </t>
    </r>
    <r>
      <rPr>
        <sz val="9"/>
        <color theme="1"/>
        <rFont val="Arial"/>
        <family val="2"/>
      </rPr>
      <t xml:space="preserve">Our </t>
    </r>
  </si>
  <si>
    <r>
      <t xml:space="preserve">performance does not meet our customers' expectation in terms of quality and has increased our cost </t>
    </r>
    <r>
      <rPr>
        <sz val="9"/>
        <color theme="3" tint="0.39997558519241921"/>
        <rFont val="Arial"/>
        <family val="2"/>
      </rPr>
      <t>(Why)</t>
    </r>
  </si>
  <si>
    <t>Actions to achieve the goal: Decrease the PDU of the entire facility to 2%</t>
  </si>
  <si>
    <r>
      <t xml:space="preserve">Annual Strategic  Goal </t>
    </r>
    <r>
      <rPr>
        <sz val="10"/>
        <color theme="3" tint="0.39997558519241921"/>
        <rFont val="Arial"/>
        <family val="2"/>
      </rPr>
      <t>(Hoshin Kanri)</t>
    </r>
    <r>
      <rPr>
        <sz val="10"/>
        <rFont val="Arial"/>
        <family val="2"/>
      </rPr>
      <t xml:space="preserve">: Gain competitive advantage in the market by increasing </t>
    </r>
  </si>
  <si>
    <t xml:space="preserve">Root Cause Analyis- 5 Whys </t>
  </si>
  <si>
    <r>
      <t>1-Observation :</t>
    </r>
    <r>
      <rPr>
        <sz val="10"/>
        <rFont val="Arial"/>
        <family val="2"/>
      </rPr>
      <t xml:space="preserve"> The parts are piled up in packaging area without protection or proper bins</t>
    </r>
  </si>
  <si>
    <t>Lack of space  for storing the parts</t>
  </si>
  <si>
    <t>a) The space is not adequatly organized (no racks, unnecessary tools available,etc.)</t>
  </si>
  <si>
    <t>2- Why the parts are broken and damaged?</t>
  </si>
  <si>
    <t>3- Why the parts are piled up in packaging area?</t>
  </si>
  <si>
    <t>4- Why there is no space to store the parts?</t>
  </si>
  <si>
    <t>5-a) Why the space is not used properly?</t>
  </si>
  <si>
    <t>5-b) Why the parts are transfered to the area without considering the WIP?</t>
  </si>
  <si>
    <t>1- Why 25% of the product ABC is rejected ?</t>
  </si>
  <si>
    <t>The parts were returned because they were broken or scratched</t>
  </si>
  <si>
    <t>Roor cause 1: 5S standard is not implemented and followed</t>
  </si>
  <si>
    <t>Root cause 2: Push system is used  thus final assembly employees transfer</t>
  </si>
  <si>
    <t xml:space="preserve">   the parts to packaging as they finish.</t>
  </si>
  <si>
    <t>1) 5S was implementation in the area</t>
  </si>
  <si>
    <t xml:space="preserve">2) Implementing Kanban and pull </t>
  </si>
  <si>
    <t xml:space="preserve">2) Automating the wrapping process to  </t>
  </si>
  <si>
    <t>decrease the packaging cycle time</t>
  </si>
  <si>
    <t>1) 5S Audit score</t>
  </si>
  <si>
    <t>2) Defect rate per week</t>
  </si>
  <si>
    <t xml:space="preserve">standards and annual target of 2% DPU in 4 month </t>
  </si>
  <si>
    <t>A message from VP of operations:</t>
  </si>
  <si>
    <t>Sincerely</t>
  </si>
  <si>
    <t>" I want to thank  you for the hardwork, talent,</t>
  </si>
  <si>
    <t>experties and time you have given to the</t>
  </si>
  <si>
    <t xml:space="preserve"> project. Your remarkable team work and </t>
  </si>
  <si>
    <t xml:space="preserve">rigorous efforts made this project a great </t>
  </si>
  <si>
    <t>Success.</t>
  </si>
  <si>
    <t>John Smith "</t>
  </si>
  <si>
    <t xml:space="preserve">Because they are piled up without protection in the packaging area leading to scratches and </t>
  </si>
  <si>
    <t>broken corners</t>
  </si>
  <si>
    <t xml:space="preserve">Customet accepts maximum of 5% rejections due to non quality. The goal is to recover to meet </t>
  </si>
  <si>
    <t xml:space="preserve">the customer demand in 2 month and surpass the customer expectation to meet our quality </t>
  </si>
  <si>
    <t>the product quality</t>
  </si>
  <si>
    <t>100% inspection should be applied to product ABC  before shipping. Awareness needs to be</t>
  </si>
  <si>
    <t xml:space="preserve">  raised for the employees to inspect their work before they send it to the next step</t>
  </si>
  <si>
    <t>Planning</t>
  </si>
  <si>
    <t>ERP forecast and inventory levels</t>
  </si>
  <si>
    <t xml:space="preserve">Purchase Order </t>
  </si>
  <si>
    <t>Request for Quote</t>
  </si>
  <si>
    <t>Process Identity: Purchase Order Placement process</t>
  </si>
  <si>
    <t>Purchase Request (PR) in ERP</t>
  </si>
  <si>
    <t>Tool and equipment purchase request in PR app</t>
  </si>
  <si>
    <t>Updated info in PO app</t>
  </si>
  <si>
    <t>Approved vendors</t>
  </si>
  <si>
    <t>Tool/ equipment requestor</t>
  </si>
  <si>
    <t>Accounting</t>
  </si>
  <si>
    <t>Receiving</t>
  </si>
  <si>
    <t>Automatic ERP Trigger</t>
  </si>
  <si>
    <t>All departments</t>
  </si>
  <si>
    <t>Check the PR approval if applicable</t>
  </si>
  <si>
    <t>applicable</t>
  </si>
  <si>
    <t>Send Request for Quote to approved vendors</t>
  </si>
  <si>
    <t>Select the vendor based on price and lead time</t>
  </si>
  <si>
    <t>Generate the Purchase Order</t>
  </si>
  <si>
    <t>Place the order with the supplier</t>
  </si>
  <si>
    <t>Update the PO app information if applicable</t>
  </si>
  <si>
    <t>Advise the requestor and accounting of updates</t>
  </si>
  <si>
    <t>PO app Update Memo (email)</t>
  </si>
  <si>
    <t>Purchasing Manager</t>
  </si>
  <si>
    <t>Software: ERP, Microsoft Access, PO application, Microsoft Outlook        
Skills: ERP knowledg,  Buying certification</t>
  </si>
  <si>
    <t>TAT, % non cotract purchases, Price Variance</t>
  </si>
  <si>
    <t>Email, PO application, ERP Triggers, daily management board</t>
  </si>
  <si>
    <t>Caliper</t>
  </si>
  <si>
    <t>CMM machine</t>
  </si>
  <si>
    <t>Thermometer</t>
  </si>
  <si>
    <t>Timer</t>
  </si>
  <si>
    <t>Scale</t>
  </si>
  <si>
    <t>Non calibrated measurement tools</t>
  </si>
  <si>
    <t xml:space="preserve">Defective Raw material </t>
  </si>
  <si>
    <t>Defected syringes</t>
  </si>
  <si>
    <t xml:space="preserve">Expired  Chemicals </t>
  </si>
  <si>
    <t>Humidity sensor</t>
  </si>
  <si>
    <t>Airborne contamination</t>
  </si>
  <si>
    <t>Rain/ Sun</t>
  </si>
  <si>
    <t>Process not followed</t>
  </si>
  <si>
    <t>Long lead time process</t>
  </si>
  <si>
    <t>Complex prescription</t>
  </si>
  <si>
    <t>Bad Patient position during examination</t>
  </si>
  <si>
    <t>Unclear work instruction</t>
  </si>
  <si>
    <t>Lack of experience</t>
  </si>
  <si>
    <t>Fatigue</t>
  </si>
  <si>
    <t xml:space="preserve">Rush </t>
  </si>
  <si>
    <t>Visual capacity</t>
  </si>
  <si>
    <t>Non-Steady hands</t>
  </si>
  <si>
    <t>improperly planned robot</t>
  </si>
  <si>
    <t>Broken supply dispensing cabinet</t>
  </si>
  <si>
    <t>Network disconnect</t>
  </si>
  <si>
    <t>CRM service outage</t>
  </si>
  <si>
    <t>Non precise  CNC  machine</t>
  </si>
  <si>
    <t>Procedure is performed based on tribal knowledge</t>
  </si>
  <si>
    <t>Different methods are used by different operators</t>
  </si>
  <si>
    <t>Hard to read medication labels</t>
  </si>
  <si>
    <t>Incomplete patient data delivered to physician</t>
  </si>
  <si>
    <t>High/ low Humidity</t>
  </si>
  <si>
    <t>High/ Low temperature</t>
  </si>
  <si>
    <t>IS</t>
  </si>
  <si>
    <t>IS NOT</t>
  </si>
  <si>
    <t>Why</t>
  </si>
  <si>
    <t>Where</t>
  </si>
  <si>
    <t>When</t>
  </si>
  <si>
    <t>How Much/ Many</t>
  </si>
  <si>
    <t>How Often</t>
  </si>
  <si>
    <t>What could the trend be but is not?</t>
  </si>
  <si>
    <t>5W-2H</t>
  </si>
  <si>
    <t>Patients want new services</t>
  </si>
  <si>
    <t>Improving efficiency of patient care</t>
  </si>
  <si>
    <t>Increase patient throughput</t>
  </si>
  <si>
    <t>Staff frightened of new technology</t>
  </si>
  <si>
    <t>Cost of introduction</t>
  </si>
  <si>
    <t>Disruption</t>
  </si>
  <si>
    <r>
      <t>Why is this a problem (degraded performance)?
-</t>
    </r>
    <r>
      <rPr>
        <sz val="11"/>
        <color theme="3" tint="0.39997558519241921"/>
        <rFont val="Arial"/>
        <family val="2"/>
      </rPr>
      <t>Loss of capacity and rejects</t>
    </r>
    <r>
      <rPr>
        <sz val="11"/>
        <color rgb="FF000000"/>
        <rFont val="Arial"/>
        <family val="2"/>
      </rPr>
      <t xml:space="preserve">
Is the process stable?</t>
    </r>
  </si>
  <si>
    <r>
      <t xml:space="preserve">Why is it not a problem?
- </t>
    </r>
    <r>
      <rPr>
        <sz val="11"/>
        <color theme="3" tint="0.39997558519241921"/>
        <rFont val="Arial"/>
        <family val="2"/>
      </rPr>
      <t>Considered part of set uo time</t>
    </r>
  </si>
  <si>
    <r>
      <t xml:space="preserve">Where was the problem observed?
- </t>
    </r>
    <r>
      <rPr>
        <sz val="11"/>
        <color theme="3" tint="0.39997558519241921"/>
        <rFont val="Arial"/>
        <family val="2"/>
      </rPr>
      <t>Mostly on all Presses</t>
    </r>
    <r>
      <rPr>
        <sz val="11"/>
        <color rgb="FF000000"/>
        <rFont val="Arial"/>
        <family val="2"/>
      </rPr>
      <t xml:space="preserve">
Where does the problem occur?</t>
    </r>
  </si>
  <si>
    <r>
      <t xml:space="preserve">Where could the problem be located but is not?
- </t>
    </r>
    <r>
      <rPr>
        <sz val="11"/>
        <color theme="3" tint="0.39997558519241921"/>
        <rFont val="Arial"/>
        <family val="2"/>
      </rPr>
      <t>Not Observed on Press 3</t>
    </r>
    <r>
      <rPr>
        <sz val="11"/>
        <color rgb="FF000000"/>
        <rFont val="Arial"/>
        <family val="2"/>
      </rPr>
      <t xml:space="preserve">
Where else could the problem be located but is not?</t>
    </r>
  </si>
  <si>
    <r>
      <t xml:space="preserve">When was the problem first noticed?
- </t>
    </r>
    <r>
      <rPr>
        <sz val="11"/>
        <color theme="3" tint="0.39997558519241921"/>
        <rFont val="Arial"/>
        <family val="2"/>
      </rPr>
      <t>Years ago</t>
    </r>
    <r>
      <rPr>
        <sz val="11"/>
        <color rgb="FF000000"/>
        <rFont val="Arial"/>
        <family val="2"/>
      </rPr>
      <t xml:space="preserve">
When has it been noticed since?</t>
    </r>
  </si>
  <si>
    <r>
      <t xml:space="preserve">When could the problem have been noticed but was not?
- </t>
    </r>
    <r>
      <rPr>
        <sz val="11"/>
        <color theme="3" tint="0.39997558519241921"/>
        <rFont val="Arial"/>
        <family val="2"/>
      </rPr>
      <t>The problem was not reported as rejects were not as high as since June</t>
    </r>
  </si>
  <si>
    <r>
      <t xml:space="preserve">Quantity of problem (ppm)?
- </t>
    </r>
    <r>
      <rPr>
        <sz val="11"/>
        <color theme="3" tint="0.39997558519241921"/>
        <rFont val="Arial"/>
        <family val="2"/>
      </rPr>
      <t>Yeild of 88% overall, as low as 40% for british coins</t>
    </r>
    <r>
      <rPr>
        <sz val="11"/>
        <color rgb="FF000000"/>
        <rFont val="Arial"/>
        <family val="2"/>
      </rPr>
      <t xml:space="preserve">
How much is the problem costing in dollars, people, &amp; time?</t>
    </r>
  </si>
  <si>
    <r>
      <t xml:space="preserve">How many could have the problem but don’t?
- </t>
    </r>
    <r>
      <rPr>
        <sz val="11"/>
        <color theme="3" tint="0.39997558519241921"/>
        <rFont val="Arial"/>
        <family val="2"/>
      </rPr>
      <t>Canadian coins should have a yield of 40%, but it is close to 90%</t>
    </r>
    <r>
      <rPr>
        <sz val="11"/>
        <color rgb="FF000000"/>
        <rFont val="Arial"/>
        <family val="2"/>
      </rPr>
      <t xml:space="preserve">
How big could the problem be but is not?</t>
    </r>
  </si>
  <si>
    <r>
      <t xml:space="preserve">What does not have the problem?
What could be happening but is not?
- </t>
    </r>
    <r>
      <rPr>
        <sz val="11"/>
        <color theme="3" tint="0.39997558519241921"/>
        <rFont val="Arial"/>
        <family val="2"/>
      </rPr>
      <t>Thinner blanks</t>
    </r>
    <r>
      <rPr>
        <sz val="11"/>
        <color rgb="FF000000"/>
        <rFont val="Arial"/>
        <family val="2"/>
      </rPr>
      <t xml:space="preserve">
What could be the problem but is not?</t>
    </r>
  </si>
  <si>
    <r>
      <t xml:space="preserve">What type of problem is it?
What has the problem (part id, lot #s, etc.)? 
- </t>
    </r>
    <r>
      <rPr>
        <sz val="11"/>
        <color theme="3" tint="0.39997558519241921"/>
        <rFont val="Arial"/>
        <family val="2"/>
      </rPr>
      <t>The thicker blanks</t>
    </r>
    <r>
      <rPr>
        <sz val="11"/>
        <color rgb="FF000000"/>
        <rFont val="Arial"/>
        <family val="2"/>
      </rPr>
      <t xml:space="preserve">
What is happening with the process &amp; with containment?
Do we have physical evidence of the problem?
</t>
    </r>
  </si>
  <si>
    <r>
      <t xml:space="preserve">Who is affected by the problem?
- </t>
    </r>
    <r>
      <rPr>
        <sz val="11"/>
        <color theme="3" tint="0.39997558519241921"/>
        <rFont val="Arial"/>
        <family val="2"/>
      </rPr>
      <t>People starting the equipment Monday morning</t>
    </r>
    <r>
      <rPr>
        <sz val="11"/>
        <color rgb="FF000000"/>
        <rFont val="Arial"/>
        <family val="2"/>
      </rPr>
      <t xml:space="preserve">
Who first observed the problem? 
To whom was the problem reported? 
</t>
    </r>
  </si>
  <si>
    <r>
      <t xml:space="preserve">Who is not affected by the problem?
- </t>
    </r>
    <r>
      <rPr>
        <sz val="11"/>
        <color theme="3" tint="0.39997558519241921"/>
        <rFont val="Arial"/>
        <family val="2"/>
      </rPr>
      <t>Following shifts Tuesday to Friday are less affected</t>
    </r>
    <r>
      <rPr>
        <sz val="11"/>
        <color rgb="FF000000"/>
        <rFont val="Arial"/>
        <family val="2"/>
      </rPr>
      <t xml:space="preserve">
Who did not find the problem?</t>
    </r>
  </si>
  <si>
    <r>
      <t xml:space="preserve">What is the trend (continuous, random, cyclical)?
</t>
    </r>
    <r>
      <rPr>
        <sz val="11"/>
        <color theme="3" tint="0.39997558519241921"/>
        <rFont val="Arial"/>
        <family val="2"/>
      </rPr>
      <t>Cycical, Usually Monday</t>
    </r>
    <r>
      <rPr>
        <sz val="11"/>
        <color rgb="FF000000"/>
        <rFont val="Arial"/>
        <family val="2"/>
      </rPr>
      <t xml:space="preserve">
Has the problem occurred previously?</t>
    </r>
  </si>
  <si>
    <t>Patient walk in</t>
  </si>
  <si>
    <t xml:space="preserve">Enter the process steps names and related information the process boxes and yellow fields. Delete or hide the steps not needed </t>
  </si>
  <si>
    <t>Use VSM Symbols from the pools at the bottom of this tab.</t>
  </si>
  <si>
    <t xml:space="preserve">Project Name/Number </t>
  </si>
  <si>
    <t>Sponsoring Organization</t>
  </si>
  <si>
    <t>Key Leadership</t>
  </si>
  <si>
    <t>Signature</t>
  </si>
  <si>
    <t xml:space="preserve">Project Coach </t>
  </si>
  <si>
    <t>Team Members</t>
  </si>
  <si>
    <t>Title/Responsibility</t>
  </si>
  <si>
    <t xml:space="preserve">Key Stakeholders </t>
  </si>
  <si>
    <t>Title</t>
  </si>
  <si>
    <t>Date Chartered</t>
  </si>
  <si>
    <t>Project Start Date</t>
  </si>
  <si>
    <t>Target Completion Date</t>
  </si>
  <si>
    <t xml:space="preserve">Sponsor Signature: </t>
  </si>
  <si>
    <r>
      <t xml:space="preserve">Business Need Addressed by Project </t>
    </r>
    <r>
      <rPr>
        <sz val="14"/>
        <color rgb="FF000000"/>
        <rFont val="Calibri"/>
        <family val="2"/>
      </rPr>
      <t xml:space="preserve">: </t>
    </r>
  </si>
  <si>
    <t xml:space="preserve">Project Scope (what is included and excluded): 
</t>
  </si>
  <si>
    <t>Product or Service Created by this (Project Deliverables):</t>
  </si>
  <si>
    <t>Support Personnel:</t>
  </si>
  <si>
    <t>KPIs</t>
  </si>
  <si>
    <t>Description</t>
  </si>
  <si>
    <t>Level I- Business Unit</t>
  </si>
  <si>
    <t>Diagram Type</t>
  </si>
  <si>
    <t>General Diagram</t>
  </si>
  <si>
    <t>Value Stream Mapping (VSM)</t>
  </si>
  <si>
    <t>Event Driven Process Chain (EPC)</t>
  </si>
  <si>
    <t>shows an overview of the processes, the responsible organizational units, the information exchanges. This type of diagram is created within an organizational unit</t>
  </si>
  <si>
    <t>High-level mapping that identifies the group of steps required for the client and for the flow of information in the value stream of the organization: from the arrival of the client to his/her final destination. It allows a macro view of all processes and connection between processes,
customers and suppliers.</t>
  </si>
  <si>
    <t>An Event-driven Process Chain (EPC) is a type of flowchart used for business process modeling. EPCs can be used for configuring an enterprise resource planning (ERP) implementation, and for business process improvement. Usage for control of work share with instances of autonomous workflows in workflow management.</t>
  </si>
  <si>
    <t>Level II- Master Process</t>
  </si>
  <si>
    <t>Spaghetti Diagram</t>
  </si>
  <si>
    <t>Cross Functional Flow</t>
  </si>
  <si>
    <t>Allows an understanding of transfers and inter-relations in a cross functional process</t>
  </si>
  <si>
    <t>Detail mapping that identifies the group of steps  required for a specific process to complete the customer (usually internal). It shows the material and information flow, triggers, constraints, bottleneck, manpower allocation, WIP, safety buffer, cycle time,  in addition to productivity and quality measures. It identifies VA/NVA</t>
  </si>
  <si>
    <t>High level Mapping that identifies all inputs and outputs  of a specific master process (function), as well as the major activities, tools, key skills and KPIs. It also allows to see the supplier of each input and client of each output.</t>
  </si>
  <si>
    <t>Level III- Activity Level</t>
  </si>
  <si>
    <t>Allows an understanding of transfers and inter-relations of activities within a function</t>
  </si>
  <si>
    <t>High-level mapping which allows the identification of a business  process inputs and outputs as well as an understanding of the interrelations within the master process (functional departments), the identification of the major steps in processes, showing suppliers and clients.</t>
  </si>
  <si>
    <t>Process map Selection Guide</t>
  </si>
  <si>
    <t>b) The parts are transfered to the area regardless of the capacity and existing WIP</t>
  </si>
  <si>
    <t>Allows to visualize geographically the transfers related to the process and trace the path of a product or activity. 
It helps identifying redundancies and reduce transportation and motion wastes.</t>
  </si>
  <si>
    <t>Problem Statement (Actual Situation)</t>
  </si>
  <si>
    <t xml:space="preserve">Project Mission Statement (Desired Situation) </t>
  </si>
  <si>
    <t>Estimated Budget:</t>
  </si>
  <si>
    <t>High Level Risks And Mitigation Plans:</t>
  </si>
  <si>
    <t>l</t>
  </si>
  <si>
    <t>m</t>
  </si>
  <si>
    <t>Develop Trident  Sales Strategy aiming at 25M $ increase in 24 months
 SPONSOR:  Jack Douglas</t>
  </si>
  <si>
    <t>Grow Trident  Sales to $25 million in 24 months
 SPONSOR:  John Smith</t>
  </si>
  <si>
    <t>Reduce Trident  Cost of Sales by 20%  in 12 months
 SPONSOR:   Nella Moore</t>
  </si>
  <si>
    <t>Reinvigorate Spear brand  with  new products and get 20% sales growth in 24 months 
SPONSOR: Sam Gupta</t>
  </si>
  <si>
    <t>Develop and launch 4 new products in the Spear Brand witin 24 months
SPONSOR: Neil Young</t>
  </si>
  <si>
    <t>Bring Edge line to break even in the next 6 months, and with 10% growth within 12 months
SPONSOR: Mary Nelson</t>
  </si>
  <si>
    <t>Reduce Edge   Cost of Sales by 30%  in 6 months 
 SPONSOR:   Nella Moore</t>
  </si>
  <si>
    <t>Customer identification and sales plan 
SPONSOR: Brenda Stewart</t>
  </si>
  <si>
    <t>Improve on-time delivery by 50% in the next 12 months
SPONSOR: Tilguan Chan</t>
  </si>
  <si>
    <t>Reduce lead time by 60% in the Nebraska, Utah, Colorado Value Streams in the next 6 months
SPONSOR : Allen Baker</t>
  </si>
  <si>
    <t>Logistics costs and process review, focusing on Trident
SPONSOR: Max Loca</t>
  </si>
  <si>
    <t xml:space="preserve">50% reduction in accidents in all facilities in the next 12 months
SPONSOR: Dan Johnston
</t>
  </si>
  <si>
    <t>Relaunch  a safety improvement program with a daily focus
SPONSOR: Claude Dumas</t>
  </si>
  <si>
    <t>Product and process reingineering for Trident, target reduction of 30% cost and 60% lead time
SPONSOR: Ted Bond</t>
  </si>
  <si>
    <t>Achieve  EBITDA of 15% in 24 months</t>
  </si>
  <si>
    <t>Expand Market Shares from 25% to 40% in the next 3 years</t>
  </si>
  <si>
    <t>Cut safety incidences by 50% in the next 12 months</t>
  </si>
  <si>
    <t>Review inventory levels and pull vs push
Lead: Jerry Dandridge</t>
  </si>
  <si>
    <t>Revoiew and negociate tranportation costs
Lead: Jerry Dandridge</t>
  </si>
  <si>
    <t>Review Make to Order vs Make to Stock rules
Lead: Elisabeth Tong</t>
  </si>
  <si>
    <t>Cost reduction kaizen for Trident product
Lead: Mahmoud Farzan</t>
  </si>
  <si>
    <t>Trident Value Stream workshop and VSIP
Dave Rametta</t>
  </si>
  <si>
    <t>Kaizen event on identified bottleneck
Lead: Dave Ranetta</t>
  </si>
  <si>
    <t>Program Number</t>
  </si>
  <si>
    <t>Project Number</t>
  </si>
  <si>
    <t>Task Number</t>
  </si>
  <si>
    <t>Operations</t>
  </si>
  <si>
    <t>Operations - Nebraska Dir</t>
  </si>
  <si>
    <t>Operations Dir</t>
  </si>
  <si>
    <t>Sales</t>
  </si>
  <si>
    <t>Operations - Colorado Dir</t>
  </si>
  <si>
    <t>Trident Prod Supervisor</t>
  </si>
  <si>
    <t>Marketing</t>
  </si>
  <si>
    <t>Operations - Utah Dir</t>
  </si>
  <si>
    <t>Planning Manager</t>
  </si>
  <si>
    <t>Engineering</t>
  </si>
  <si>
    <t>Operations - Florida Dir</t>
  </si>
  <si>
    <t>Methods Manager</t>
  </si>
  <si>
    <t>Finance</t>
  </si>
  <si>
    <t>Operations -  Oregon Dir</t>
  </si>
  <si>
    <t>Maintenance Manager</t>
  </si>
  <si>
    <t>HR</t>
  </si>
  <si>
    <t>Warehouse and Logistics Supervisor</t>
  </si>
  <si>
    <t>Health/Safety/Environment</t>
  </si>
  <si>
    <t>IT</t>
  </si>
  <si>
    <t>Level 2 matrix breaks down the programs to related projects.</t>
  </si>
  <si>
    <t>Level 3 matrix breaks down the projects to related tasks.</t>
  </si>
  <si>
    <t>Level 2- Interfunctional Strategy Deployment (Area/ Facility Level)</t>
  </si>
  <si>
    <t>Level 3- Intrafunctional Strategy Deployment (Department Level)</t>
  </si>
  <si>
    <t>The initiative and program fields are transferred from level I table</t>
  </si>
  <si>
    <t>The program  and project fields are transferred from level II table</t>
  </si>
  <si>
    <t>Statistics and Process Capability Report</t>
  </si>
  <si>
    <t>Impact (Benefit)</t>
  </si>
  <si>
    <t>Effort</t>
  </si>
  <si>
    <t>Low (C )</t>
  </si>
  <si>
    <t>Medium (B)</t>
  </si>
  <si>
    <t>High (A)</t>
  </si>
  <si>
    <t>Low (1)</t>
  </si>
  <si>
    <t>Medium (2)</t>
  </si>
  <si>
    <t>High (3)</t>
  </si>
  <si>
    <t>Could be a waste of time</t>
  </si>
  <si>
    <t>Do it later or Forget It</t>
  </si>
  <si>
    <t>Do it now!</t>
  </si>
  <si>
    <t>Do it Mid-term</t>
  </si>
  <si>
    <t>Forget It</t>
  </si>
  <si>
    <t>Hoshin Kanri is a  tool for aligning the efforts across the organization to achieve a breakthrough goal</t>
  </si>
  <si>
    <t>HOSHIN KANRI - Level 1 - Annual Strategy (Division/Business unit level)</t>
  </si>
  <si>
    <t xml:space="preserve">1. Define problem </t>
  </si>
  <si>
    <t>Delete example to use template</t>
  </si>
  <si>
    <t>Actions</t>
  </si>
  <si>
    <t>Supply replenishment</t>
  </si>
  <si>
    <t>Does not get done on time</t>
  </si>
  <si>
    <t>Product is not available when needed</t>
  </si>
  <si>
    <t>Lack of proper trigger to inform stores of the need for replenishment</t>
  </si>
  <si>
    <t>Implement Kanban</t>
  </si>
  <si>
    <t>Lean Leader</t>
  </si>
  <si>
    <t>Add more frequent milk runs and checklist</t>
  </si>
  <si>
    <t>Replenished with wrong product</t>
  </si>
  <si>
    <t>Right product is not available</t>
  </si>
  <si>
    <t>Product name similarities</t>
  </si>
  <si>
    <t>Barcode reader system-Poka Yoke</t>
  </si>
  <si>
    <t>Store Manager</t>
  </si>
  <si>
    <t>Visual management- color code</t>
  </si>
  <si>
    <t>No</t>
  </si>
  <si>
    <t>Objective (What do we want to communicate?)</t>
  </si>
  <si>
    <t xml:space="preserve">When </t>
  </si>
  <si>
    <t>By whom</t>
  </si>
  <si>
    <t>Delivery Method/ venue</t>
  </si>
  <si>
    <t>To Whom</t>
  </si>
  <si>
    <t>Status Report</t>
  </si>
  <si>
    <t>Project Team</t>
  </si>
  <si>
    <t>Presentation</t>
  </si>
  <si>
    <t>Program review board</t>
  </si>
  <si>
    <t>Project status
Major Risks and opportunities</t>
  </si>
  <si>
    <t>Every 2 weeks</t>
  </si>
  <si>
    <t>Starting  3-Feb-2017</t>
  </si>
  <si>
    <t>Line supervisor</t>
  </si>
  <si>
    <t>Memo</t>
  </si>
  <si>
    <t>Project team</t>
  </si>
  <si>
    <t>The project KPIs measured during the week</t>
  </si>
  <si>
    <t>Every Friday</t>
  </si>
  <si>
    <t>Meeting Minutes and Actions</t>
  </si>
  <si>
    <t>Within 24 hours after the meeting</t>
  </si>
  <si>
    <t>Meeting Organizer</t>
  </si>
  <si>
    <t>Email</t>
  </si>
  <si>
    <t>Meeting attendees</t>
  </si>
  <si>
    <t>List of Actions with owners and dates
Summary of the agreements and information exchanged during the meeting</t>
  </si>
  <si>
    <t>NA</t>
  </si>
  <si>
    <t>Content</t>
  </si>
  <si>
    <t>Repetitions                  (if applicable)</t>
  </si>
  <si>
    <t>Process Map and Selection Guide</t>
  </si>
  <si>
    <t>Risk Management</t>
  </si>
  <si>
    <t>Project Charter</t>
  </si>
  <si>
    <t>Recognize 
and 
Define</t>
  </si>
  <si>
    <t>Hoshin Kanri Template</t>
  </si>
  <si>
    <t>Strategy Deployment</t>
  </si>
  <si>
    <t>Use the decision tree to select the proper control  chart based on the data type and subgroup size</t>
  </si>
  <si>
    <t>Change Management</t>
  </si>
  <si>
    <t>5W 2H With Is - Is Not Concept</t>
  </si>
  <si>
    <t>Brainstorming and Prioritization</t>
  </si>
  <si>
    <t>Impact vs Effort Matrix</t>
  </si>
  <si>
    <t>Project, Kaizen Event Definition</t>
  </si>
  <si>
    <t>Control Chart Selection guide</t>
  </si>
  <si>
    <t>A3 Template</t>
  </si>
  <si>
    <t>Control rising staff &amp; maintenance costs</t>
  </si>
  <si>
    <t>Loss of staff overtime</t>
  </si>
  <si>
    <r>
      <rPr>
        <b/>
        <sz val="12"/>
        <color theme="1"/>
        <rFont val="Calibri"/>
        <family val="2"/>
        <scheme val="minor"/>
      </rPr>
      <t>Enter project title or change description here:</t>
    </r>
    <r>
      <rPr>
        <sz val="11"/>
        <color theme="1"/>
        <rFont val="Calibri"/>
        <family val="2"/>
        <scheme val="minor"/>
      </rPr>
      <t xml:space="preserve">
Ex. Upgrade hospital services with new equipment and processes, to reduce lead time by 40%</t>
    </r>
  </si>
  <si>
    <t>Enter counts here. The categories can be renamed or deleted</t>
  </si>
  <si>
    <t>Pie Chat</t>
  </si>
  <si>
    <t>Pareto and Pie</t>
  </si>
  <si>
    <t>Distributions</t>
  </si>
  <si>
    <t>Opportunities</t>
  </si>
  <si>
    <t>Project Lead</t>
  </si>
  <si>
    <t>Voting or dotmocracy can then be done on each idea</t>
  </si>
  <si>
    <t>SWOT Analysis</t>
  </si>
  <si>
    <t>Strenghts</t>
  </si>
  <si>
    <t>Weaknesses</t>
  </si>
  <si>
    <t>Votes</t>
  </si>
  <si>
    <t>Threats</t>
  </si>
  <si>
    <t>Upcoming flu season</t>
  </si>
  <si>
    <t xml:space="preserve">Ministry goals aiming at budget reduction </t>
  </si>
  <si>
    <t>Depending on unreliable store</t>
  </si>
  <si>
    <t>Cost reduction focus related to medication</t>
  </si>
  <si>
    <t xml:space="preserve">Send low priority patients to external clinics </t>
  </si>
  <si>
    <t xml:space="preserve">Wastes identification and reduction </t>
  </si>
  <si>
    <t>Dedicated staff</t>
  </si>
  <si>
    <t xml:space="preserve">Top of the notch equipment </t>
  </si>
  <si>
    <t xml:space="preserve">Flexibility to transform ER as desired </t>
  </si>
  <si>
    <t>Unclear patient flow</t>
  </si>
  <si>
    <t>Long waits at arrival</t>
  </si>
  <si>
    <t xml:space="preserve">Long waits to be discharged </t>
  </si>
  <si>
    <t xml:space="preserve">LOS is a challenge </t>
  </si>
  <si>
    <t>Ministry support - Pt throughput improvement goal</t>
  </si>
  <si>
    <t>Copyright Abacus Team Inc. 2020</t>
  </si>
  <si>
    <t>Value Stream Map (standard)</t>
  </si>
  <si>
    <t>Value Stream Map  (standard)</t>
  </si>
  <si>
    <t>Lean Six Sigma Companion - Light Version</t>
  </si>
  <si>
    <t>License Registered to one User</t>
  </si>
  <si>
    <t>Full Version</t>
  </si>
  <si>
    <t>5 Whys</t>
  </si>
  <si>
    <t>Problem to be explored</t>
  </si>
  <si>
    <t>Supporting data or facts</t>
  </si>
  <si>
    <t xml:space="preserve">Why </t>
  </si>
  <si>
    <t xml:space="preserve">Complete the control plan for each variable </t>
  </si>
  <si>
    <r>
      <t>Objectives</t>
    </r>
    <r>
      <rPr>
        <sz val="10"/>
        <rFont val="Arial"/>
        <family val="2"/>
      </rPr>
      <t xml:space="preserve">
</t>
    </r>
    <r>
      <rPr>
        <sz val="9"/>
        <rFont val="Arial"/>
        <family val="2"/>
      </rPr>
      <t>(LSL, USL)</t>
    </r>
  </si>
  <si>
    <r>
      <t xml:space="preserve">Gauge
</t>
    </r>
    <r>
      <rPr>
        <sz val="9"/>
        <rFont val="Arial"/>
        <family val="2"/>
      </rPr>
      <t>Tool,report</t>
    </r>
  </si>
  <si>
    <r>
      <rPr>
        <b/>
        <sz val="10"/>
        <rFont val="Arial"/>
        <family val="2"/>
      </rPr>
      <t xml:space="preserve">Frequency  </t>
    </r>
    <r>
      <rPr>
        <b/>
        <sz val="8"/>
        <rFont val="Arial"/>
        <family val="2"/>
      </rPr>
      <t xml:space="preserve">
</t>
    </r>
    <r>
      <rPr>
        <sz val="9"/>
        <rFont val="Arial"/>
        <family val="2"/>
      </rPr>
      <t>Time and quantity</t>
    </r>
  </si>
  <si>
    <r>
      <t xml:space="preserve">Criteria / actions
</t>
    </r>
    <r>
      <rPr>
        <sz val="9"/>
        <rFont val="Arial"/>
        <family val="2"/>
      </rPr>
      <t>(LCL, UCL)</t>
    </r>
  </si>
  <si>
    <r>
      <rPr>
        <b/>
        <sz val="11"/>
        <rFont val="Arial"/>
        <family val="2"/>
      </rPr>
      <t xml:space="preserve">Control Method
</t>
    </r>
    <r>
      <rPr>
        <sz val="9"/>
        <rFont val="Arial"/>
        <family val="2"/>
      </rPr>
      <t>Charts, visuals</t>
    </r>
    <r>
      <rPr>
        <sz val="8"/>
        <rFont val="Arial"/>
        <family val="2"/>
      </rPr>
      <t xml:space="preserve"> </t>
    </r>
  </si>
  <si>
    <r>
      <t xml:space="preserve">Feedback plan
</t>
    </r>
    <r>
      <rPr>
        <sz val="9"/>
        <rFont val="Arial"/>
        <family val="2"/>
      </rPr>
      <t>Action to take</t>
    </r>
  </si>
  <si>
    <r>
      <t xml:space="preserve">Location
</t>
    </r>
    <r>
      <rPr>
        <sz val="9"/>
        <rFont val="Arial"/>
        <family val="2"/>
      </rPr>
      <t>Where the control is taking place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</si>
</sst>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
    <numFmt numFmtId="166" formatCode="0.0000"/>
    <numFmt numFmtId="167" formatCode="0.000%"/>
    <numFmt numFmtId="168" formatCode="0.00000%"/>
    <numFmt numFmtId="169" formatCode="_(* #,##0.0_);_(* \(#,##0.0\);_(* &quot;-&quot;??_);_(@_)"/>
    <numFmt numFmtId="170" formatCode="#,##0.0"/>
    <numFmt numFmtId="171" formatCode="0.000"/>
    <numFmt numFmtId="172" formatCode="0.00000"/>
    <numFmt numFmtId="173" formatCode="0.0%"/>
    <numFmt numFmtId="174" formatCode="[$-1809]d\ mmmm\ yyyy;@"/>
    <numFmt numFmtId="175" formatCode="m/d/yy;@"/>
    <numFmt numFmtId="176" formatCode="dd\-mm\-yy;@"/>
  </numFmts>
  <fonts count="167" x14ac:knownFonts="1">
    <font>
      <sz val="11"/>
      <color theme="1"/>
      <name val="Calibri"/>
      <family val="2"/>
      <scheme val="minor"/>
    </font>
    <font>
      <sz val="11"/>
      <color theme="1"/>
      <name val="Calibri"/>
      <family val="2"/>
      <scheme val="minor"/>
    </font>
    <font>
      <sz val="11"/>
      <color rgb="FF006100"/>
      <name val="Calibri"/>
      <family val="2"/>
      <scheme val="minor"/>
    </font>
    <font>
      <sz val="11"/>
      <color rgb="FF3F3F76"/>
      <name val="Calibri"/>
      <family val="2"/>
      <scheme val="minor"/>
    </font>
    <font>
      <b/>
      <sz val="11"/>
      <color theme="1"/>
      <name val="Calibri"/>
      <family val="2"/>
      <scheme val="minor"/>
    </font>
    <font>
      <u/>
      <sz val="11"/>
      <color theme="10"/>
      <name val="Calibri"/>
      <family val="2"/>
      <scheme val="minor"/>
    </font>
    <font>
      <u/>
      <sz val="16"/>
      <color theme="0"/>
      <name val="Calibri"/>
      <family val="2"/>
      <scheme val="minor"/>
    </font>
    <font>
      <sz val="10"/>
      <name val="Arial"/>
      <family val="2"/>
    </font>
    <font>
      <b/>
      <sz val="12"/>
      <name val="Arial"/>
      <family val="2"/>
    </font>
    <font>
      <b/>
      <sz val="10"/>
      <name val="Arial"/>
      <family val="2"/>
    </font>
    <font>
      <sz val="12"/>
      <name val="Arial"/>
      <family val="2"/>
    </font>
    <font>
      <sz val="14"/>
      <name val="Arial"/>
      <family val="2"/>
    </font>
    <font>
      <b/>
      <i/>
      <sz val="12"/>
      <color indexed="12"/>
      <name val="Arial"/>
      <family val="2"/>
    </font>
    <font>
      <b/>
      <sz val="8"/>
      <name val="Arial"/>
      <family val="2"/>
    </font>
    <font>
      <sz val="8"/>
      <name val="Arial"/>
      <family val="2"/>
    </font>
    <font>
      <sz val="11"/>
      <color rgb="FF7030A0"/>
      <name val="Calibri"/>
      <family val="2"/>
      <scheme val="minor"/>
    </font>
    <font>
      <b/>
      <sz val="18"/>
      <color theme="4" tint="-0.249977111117893"/>
      <name val="Verdana"/>
      <family val="2"/>
    </font>
    <font>
      <sz val="18"/>
      <name val="Verdana"/>
      <family val="2"/>
    </font>
    <font>
      <sz val="18"/>
      <color theme="1"/>
      <name val="Calibri"/>
      <family val="2"/>
      <scheme val="minor"/>
    </font>
    <font>
      <b/>
      <sz val="18"/>
      <color indexed="53"/>
      <name val="Verdana"/>
      <family val="2"/>
    </font>
    <font>
      <sz val="18"/>
      <color theme="4" tint="-0.249977111117893"/>
      <name val="Verdana"/>
      <family val="2"/>
    </font>
    <font>
      <sz val="18"/>
      <color theme="4" tint="-0.249977111117893"/>
      <name val="Calibri"/>
      <family val="2"/>
      <scheme val="minor"/>
    </font>
    <font>
      <u/>
      <sz val="28"/>
      <color theme="0"/>
      <name val="Calibri"/>
      <family val="2"/>
      <scheme val="minor"/>
    </font>
    <font>
      <u/>
      <sz val="10"/>
      <name val="Arial"/>
      <family val="2"/>
    </font>
    <font>
      <sz val="9"/>
      <name val="Arial"/>
      <family val="2"/>
    </font>
    <font>
      <b/>
      <sz val="8"/>
      <color indexed="81"/>
      <name val="Tahoma"/>
      <family val="2"/>
    </font>
    <font>
      <sz val="8"/>
      <color indexed="81"/>
      <name val="Tahoma"/>
      <family val="2"/>
    </font>
    <font>
      <b/>
      <sz val="9"/>
      <color indexed="81"/>
      <name val="Tahoma"/>
      <family val="2"/>
    </font>
    <font>
      <sz val="9"/>
      <color indexed="81"/>
      <name val="Tahoma"/>
      <family val="2"/>
    </font>
    <font>
      <b/>
      <sz val="10"/>
      <color theme="0"/>
      <name val="Arial"/>
      <family val="2"/>
    </font>
    <font>
      <sz val="11"/>
      <color rgb="FFFF0000"/>
      <name val="Calibri"/>
      <family val="2"/>
      <scheme val="minor"/>
    </font>
    <font>
      <b/>
      <i/>
      <sz val="18"/>
      <color rgb="FF339933"/>
      <name val="Gabriola"/>
      <family val="5"/>
    </font>
    <font>
      <sz val="12"/>
      <color rgb="FFFF0000"/>
      <name val="Arial"/>
      <family val="2"/>
    </font>
    <font>
      <b/>
      <sz val="14"/>
      <color rgb="FFFF0000"/>
      <name val="Calibri"/>
      <family val="2"/>
      <scheme val="minor"/>
    </font>
    <font>
      <sz val="10"/>
      <color rgb="FFFF0000"/>
      <name val="Arial"/>
      <family val="2"/>
    </font>
    <font>
      <b/>
      <sz val="16"/>
      <color rgb="FFFF0000"/>
      <name val="Calibri"/>
      <family val="2"/>
      <scheme val="minor"/>
    </font>
    <font>
      <b/>
      <sz val="14"/>
      <color theme="1"/>
      <name val="Calibri"/>
      <family val="2"/>
      <scheme val="minor"/>
    </font>
    <font>
      <b/>
      <sz val="16"/>
      <color theme="1"/>
      <name val="Calibri"/>
      <family val="2"/>
      <scheme val="minor"/>
    </font>
    <font>
      <sz val="11"/>
      <color rgb="FF9C0006"/>
      <name val="Calibri"/>
      <family val="2"/>
      <scheme val="minor"/>
    </font>
    <font>
      <b/>
      <sz val="12"/>
      <color rgb="FFFF0000"/>
      <name val="Arial"/>
      <family val="2"/>
    </font>
    <font>
      <i/>
      <sz val="10"/>
      <name val="Arial"/>
      <family val="2"/>
    </font>
    <font>
      <b/>
      <sz val="10"/>
      <color theme="1"/>
      <name val="Arial"/>
      <family val="2"/>
    </font>
    <font>
      <sz val="10"/>
      <color theme="1"/>
      <name val="Arial"/>
      <family val="2"/>
    </font>
    <font>
      <b/>
      <sz val="10"/>
      <color indexed="12"/>
      <name val="Arial"/>
      <family val="2"/>
    </font>
    <font>
      <b/>
      <sz val="9"/>
      <name val="Arial"/>
      <family val="2"/>
    </font>
    <font>
      <b/>
      <sz val="10"/>
      <color indexed="10"/>
      <name val="Arial"/>
      <family val="2"/>
    </font>
    <font>
      <sz val="28"/>
      <color theme="1"/>
      <name val="Calibri"/>
      <family val="2"/>
    </font>
    <font>
      <b/>
      <sz val="11"/>
      <color rgb="FFFF0000"/>
      <name val="Calibri"/>
      <family val="2"/>
      <scheme val="minor"/>
    </font>
    <font>
      <sz val="14"/>
      <color rgb="FF9C0006"/>
      <name val="Calibri"/>
      <family val="2"/>
      <scheme val="minor"/>
    </font>
    <font>
      <b/>
      <sz val="14"/>
      <name val="Arial"/>
      <family val="2"/>
    </font>
    <font>
      <b/>
      <sz val="12"/>
      <color theme="1"/>
      <name val="Calibri"/>
      <family val="2"/>
      <scheme val="minor"/>
    </font>
    <font>
      <b/>
      <sz val="18"/>
      <color rgb="FF339933"/>
      <name val="Calibri"/>
      <family val="2"/>
    </font>
    <font>
      <b/>
      <i/>
      <sz val="18"/>
      <color rgb="FF339933"/>
      <name val="Calibri"/>
      <family val="2"/>
      <scheme val="minor"/>
    </font>
    <font>
      <u/>
      <sz val="10"/>
      <color theme="0"/>
      <name val="Calibri"/>
      <family val="2"/>
      <scheme val="minor"/>
    </font>
    <font>
      <b/>
      <sz val="10"/>
      <color rgb="FFFF0000"/>
      <name val="Arial"/>
      <family val="2"/>
    </font>
    <font>
      <sz val="10"/>
      <name val="Times New Roman"/>
      <family val="1"/>
    </font>
    <font>
      <b/>
      <i/>
      <sz val="14"/>
      <color indexed="57"/>
      <name val="Arial"/>
      <family val="2"/>
    </font>
    <font>
      <sz val="10"/>
      <color indexed="9"/>
      <name val="Arial"/>
      <family val="2"/>
    </font>
    <font>
      <sz val="12"/>
      <color indexed="9"/>
      <name val="Arial"/>
      <family val="2"/>
    </font>
    <font>
      <sz val="9"/>
      <color rgb="FF000000"/>
      <name val="Tahoma"/>
      <family val="2"/>
    </font>
    <font>
      <i/>
      <sz val="10"/>
      <color indexed="10"/>
      <name val="Arial"/>
      <family val="2"/>
    </font>
    <font>
      <sz val="12"/>
      <name val="Times New Roman"/>
      <family val="1"/>
    </font>
    <font>
      <b/>
      <u/>
      <sz val="24"/>
      <name val="Times New Roman"/>
      <family val="1"/>
    </font>
    <font>
      <b/>
      <sz val="20"/>
      <name val="Times New Roman"/>
      <family val="1"/>
    </font>
    <font>
      <sz val="12"/>
      <color indexed="8"/>
      <name val="Times New Roman"/>
      <family val="1"/>
    </font>
    <font>
      <b/>
      <sz val="12"/>
      <name val="Times New Roman"/>
      <family val="1"/>
    </font>
    <font>
      <sz val="14"/>
      <name val="Times New Roman"/>
      <family val="1"/>
    </font>
    <font>
      <b/>
      <sz val="16"/>
      <name val="Arial"/>
      <family val="2"/>
    </font>
    <font>
      <b/>
      <sz val="12"/>
      <color indexed="12"/>
      <name val="Arial"/>
      <family val="2"/>
    </font>
    <font>
      <b/>
      <sz val="12"/>
      <color indexed="8"/>
      <name val="Arial"/>
      <family val="2"/>
    </font>
    <font>
      <sz val="12"/>
      <color indexed="12"/>
      <name val="Arial"/>
      <family val="2"/>
    </font>
    <font>
      <b/>
      <sz val="12"/>
      <color indexed="17"/>
      <name val="Arial"/>
      <family val="2"/>
    </font>
    <font>
      <sz val="12"/>
      <color indexed="8"/>
      <name val="Arial"/>
      <family val="2"/>
    </font>
    <font>
      <b/>
      <sz val="14"/>
      <color indexed="12"/>
      <name val="Arial"/>
      <family val="2"/>
    </font>
    <font>
      <sz val="10"/>
      <color indexed="12"/>
      <name val="Arial"/>
      <family val="2"/>
    </font>
    <font>
      <b/>
      <i/>
      <sz val="16"/>
      <name val="Arial"/>
      <family val="2"/>
    </font>
    <font>
      <b/>
      <u/>
      <sz val="14"/>
      <color indexed="12"/>
      <name val="Arial"/>
      <family val="2"/>
    </font>
    <font>
      <sz val="10"/>
      <color indexed="55"/>
      <name val="Arial"/>
      <family val="2"/>
    </font>
    <font>
      <sz val="11"/>
      <color indexed="55"/>
      <name val="Arial"/>
      <family val="2"/>
    </font>
    <font>
      <b/>
      <sz val="11"/>
      <name val="Arial"/>
      <family val="2"/>
    </font>
    <font>
      <i/>
      <sz val="14"/>
      <name val="Times New Roman"/>
      <family val="1"/>
    </font>
    <font>
      <b/>
      <sz val="14"/>
      <color indexed="10"/>
      <name val="Arial"/>
      <family val="2"/>
    </font>
    <font>
      <b/>
      <sz val="12"/>
      <color rgb="FFFF0000"/>
      <name val="Times New Roman"/>
      <family val="1"/>
    </font>
    <font>
      <b/>
      <sz val="28"/>
      <color rgb="FFFF0000"/>
      <name val="Calibri"/>
      <family val="2"/>
      <scheme val="minor"/>
    </font>
    <font>
      <sz val="10"/>
      <name val="MS Sans Serif"/>
    </font>
    <font>
      <vertAlign val="subscript"/>
      <sz val="10"/>
      <name val="Arial"/>
      <family val="2"/>
    </font>
    <font>
      <u/>
      <sz val="12"/>
      <name val="Arial"/>
      <family val="2"/>
    </font>
    <font>
      <sz val="12"/>
      <color indexed="10"/>
      <name val="Arial"/>
      <family val="2"/>
    </font>
    <font>
      <u/>
      <sz val="10"/>
      <color theme="10"/>
      <name val="Arial"/>
      <family val="2"/>
    </font>
    <font>
      <vertAlign val="superscript"/>
      <sz val="10"/>
      <name val="Arial"/>
      <family val="2"/>
    </font>
    <font>
      <sz val="10"/>
      <name val="Helv"/>
    </font>
    <font>
      <b/>
      <sz val="16"/>
      <color rgb="FFFF0000"/>
      <name val="Arial"/>
      <family val="2"/>
    </font>
    <font>
      <sz val="9"/>
      <name val="Verdana"/>
      <family val="2"/>
    </font>
    <font>
      <sz val="10"/>
      <name val="Verdana"/>
      <family val="2"/>
    </font>
    <font>
      <sz val="8"/>
      <name val="Verdana"/>
      <family val="2"/>
    </font>
    <font>
      <b/>
      <sz val="10"/>
      <name val="Verdana"/>
      <family val="2"/>
    </font>
    <font>
      <sz val="14"/>
      <color theme="1"/>
      <name val="Calibri"/>
      <family val="2"/>
      <scheme val="minor"/>
    </font>
    <font>
      <b/>
      <sz val="20"/>
      <color rgb="FFFFFF00"/>
      <name val="Calibri"/>
      <family val="2"/>
      <scheme val="minor"/>
    </font>
    <font>
      <b/>
      <u/>
      <sz val="12"/>
      <name val="Arial"/>
      <family val="2"/>
    </font>
    <font>
      <sz val="12"/>
      <name val="Symbol"/>
      <family val="1"/>
      <charset val="2"/>
    </font>
    <font>
      <b/>
      <sz val="11"/>
      <color theme="0"/>
      <name val="Calibri"/>
      <family val="2"/>
      <scheme val="minor"/>
    </font>
    <font>
      <b/>
      <sz val="14"/>
      <color rgb="FF006100"/>
      <name val="Calibri"/>
      <family val="2"/>
      <scheme val="minor"/>
    </font>
    <font>
      <b/>
      <sz val="14"/>
      <color rgb="FF9C0006"/>
      <name val="Calibri"/>
      <family val="2"/>
      <scheme val="minor"/>
    </font>
    <font>
      <b/>
      <sz val="11"/>
      <color rgb="FF006100"/>
      <name val="Calibri"/>
      <family val="2"/>
      <scheme val="minor"/>
    </font>
    <font>
      <b/>
      <sz val="11"/>
      <color rgb="FF9C0006"/>
      <name val="Calibri"/>
      <family val="2"/>
      <scheme val="minor"/>
    </font>
    <font>
      <b/>
      <sz val="11"/>
      <color theme="3"/>
      <name val="Calibri"/>
      <family val="2"/>
      <scheme val="minor"/>
    </font>
    <font>
      <b/>
      <sz val="11"/>
      <color theme="6" tint="-0.499984740745262"/>
      <name val="Calibri"/>
      <family val="2"/>
      <scheme val="minor"/>
    </font>
    <font>
      <sz val="11"/>
      <color theme="6" tint="-0.499984740745262"/>
      <name val="Calibri"/>
      <family val="2"/>
      <scheme val="minor"/>
    </font>
    <font>
      <b/>
      <sz val="20"/>
      <color theme="6" tint="-0.499984740745262"/>
      <name val="Lucida Calligraphy"/>
      <family val="4"/>
    </font>
    <font>
      <b/>
      <sz val="20"/>
      <color theme="4" tint="-0.499984740745262"/>
      <name val="Lucida Calligraphy"/>
      <family val="4"/>
    </font>
    <font>
      <b/>
      <sz val="20"/>
      <color theme="7" tint="-0.499984740745262"/>
      <name val="Lucida Calligraphy"/>
      <family val="4"/>
    </font>
    <font>
      <b/>
      <sz val="11"/>
      <color theme="7" tint="-0.499984740745262"/>
      <name val="Calibri"/>
      <family val="2"/>
      <scheme val="minor"/>
    </font>
    <font>
      <sz val="11"/>
      <color theme="7" tint="-0.499984740745262"/>
      <name val="Calibri"/>
      <family val="2"/>
      <scheme val="minor"/>
    </font>
    <font>
      <b/>
      <sz val="20"/>
      <color theme="5" tint="-0.499984740745262"/>
      <name val="Lucida Calligraphy"/>
      <family val="4"/>
    </font>
    <font>
      <b/>
      <sz val="11"/>
      <color theme="5" tint="-0.499984740745262"/>
      <name val="Calibri"/>
      <family val="2"/>
      <scheme val="minor"/>
    </font>
    <font>
      <sz val="11"/>
      <color theme="5" tint="-0.499984740745262"/>
      <name val="Calibri"/>
      <family val="2"/>
      <scheme val="minor"/>
    </font>
    <font>
      <b/>
      <sz val="20"/>
      <color theme="5" tint="-0.249977111117893"/>
      <name val="Lucida Calligraphy"/>
      <family val="4"/>
    </font>
    <font>
      <b/>
      <sz val="11"/>
      <color theme="5" tint="-0.249977111117893"/>
      <name val="Calibri"/>
      <family val="2"/>
      <scheme val="minor"/>
    </font>
    <font>
      <sz val="11"/>
      <color theme="5" tint="-0.249977111117893"/>
      <name val="Calibri"/>
      <family val="2"/>
      <scheme val="minor"/>
    </font>
    <font>
      <sz val="11"/>
      <color rgb="FFFF0000"/>
      <name val="Lucida Calligraphy"/>
      <family val="4"/>
    </font>
    <font>
      <sz val="11"/>
      <color theme="1"/>
      <name val="Lucida Calligraphy"/>
      <family val="4"/>
    </font>
    <font>
      <sz val="11"/>
      <color theme="3" tint="-0.249977111117893"/>
      <name val="Lucida Calligraphy"/>
      <family val="4"/>
    </font>
    <font>
      <b/>
      <sz val="24"/>
      <color theme="1"/>
      <name val="Lucida Calligraphy"/>
      <family val="4"/>
    </font>
    <font>
      <sz val="11"/>
      <color theme="6" tint="-0.249977111117893"/>
      <name val="Calibri"/>
      <family val="2"/>
      <scheme val="minor"/>
    </font>
    <font>
      <sz val="8"/>
      <name val="Calibri"/>
      <family val="2"/>
      <scheme val="minor"/>
    </font>
    <font>
      <sz val="9"/>
      <color theme="3" tint="0.39997558519241921"/>
      <name val="Arial"/>
      <family val="2"/>
    </font>
    <font>
      <sz val="9"/>
      <color theme="1"/>
      <name val="Arial"/>
      <family val="2"/>
    </font>
    <font>
      <sz val="10"/>
      <color theme="3" tint="0.39997558519241921"/>
      <name val="Arial"/>
      <family val="2"/>
    </font>
    <font>
      <sz val="12"/>
      <color indexed="81"/>
      <name val="Tahoma"/>
      <family val="2"/>
    </font>
    <font>
      <b/>
      <sz val="12"/>
      <color indexed="81"/>
      <name val="Tahoma"/>
      <family val="2"/>
    </font>
    <font>
      <b/>
      <i/>
      <sz val="11"/>
      <name val="Arial"/>
      <family val="2"/>
    </font>
    <font>
      <sz val="11"/>
      <name val="Arial"/>
      <family val="2"/>
    </font>
    <font>
      <sz val="11"/>
      <color rgb="FF000000"/>
      <name val="Arial"/>
      <family val="2"/>
    </font>
    <font>
      <b/>
      <sz val="12"/>
      <color rgb="FF000000"/>
      <name val="Arial"/>
      <family val="2"/>
    </font>
    <font>
      <sz val="11"/>
      <color theme="3" tint="0.39997558519241921"/>
      <name val="Arial"/>
      <family val="2"/>
    </font>
    <font>
      <b/>
      <sz val="14"/>
      <color rgb="FF000000"/>
      <name val="Calibri"/>
      <family val="2"/>
    </font>
    <font>
      <sz val="14"/>
      <color rgb="FF000000"/>
      <name val="Calibri"/>
      <family val="2"/>
    </font>
    <font>
      <b/>
      <sz val="16"/>
      <name val="Calibri"/>
      <family val="2"/>
      <scheme val="minor"/>
    </font>
    <font>
      <u/>
      <sz val="18"/>
      <color theme="0"/>
      <name val="Calibri"/>
      <family val="2"/>
      <scheme val="minor"/>
    </font>
    <font>
      <b/>
      <sz val="20"/>
      <name val="Arial"/>
      <family val="2"/>
    </font>
    <font>
      <sz val="11"/>
      <color theme="0" tint="-0.34998626667073579"/>
      <name val="Calibri"/>
      <family val="2"/>
      <scheme val="minor"/>
    </font>
    <font>
      <b/>
      <sz val="10"/>
      <color theme="1"/>
      <name val="Calibri"/>
      <family val="2"/>
      <scheme val="minor"/>
    </font>
    <font>
      <b/>
      <sz val="36"/>
      <name val="Arial"/>
      <family val="2"/>
    </font>
    <font>
      <sz val="26"/>
      <name val="Wingdings"/>
      <charset val="2"/>
    </font>
    <font>
      <b/>
      <sz val="16"/>
      <name val="Times New Roman"/>
      <family val="1"/>
    </font>
    <font>
      <b/>
      <sz val="16"/>
      <color indexed="8"/>
      <name val="Times New Roman"/>
      <family val="1"/>
    </font>
    <font>
      <sz val="22"/>
      <name val="Arial"/>
      <family val="2"/>
    </font>
    <font>
      <b/>
      <sz val="36"/>
      <color rgb="FFFF0000"/>
      <name val="Arial"/>
      <family val="2"/>
    </font>
    <font>
      <u/>
      <sz val="36"/>
      <color theme="0"/>
      <name val="Calibri"/>
      <family val="2"/>
      <scheme val="minor"/>
    </font>
    <font>
      <b/>
      <sz val="32"/>
      <name val="Arial"/>
      <family val="2"/>
    </font>
    <font>
      <sz val="32"/>
      <name val="Arial"/>
      <family val="2"/>
    </font>
    <font>
      <b/>
      <sz val="14"/>
      <color rgb="FF000000"/>
      <name val="Calibri"/>
      <family val="2"/>
      <scheme val="minor"/>
    </font>
    <font>
      <sz val="11"/>
      <color rgb="FF92D050"/>
      <name val="Calibri"/>
      <family val="2"/>
      <scheme val="minor"/>
    </font>
    <font>
      <b/>
      <sz val="16"/>
      <color theme="3"/>
      <name val="Calibri"/>
      <family val="2"/>
      <scheme val="minor"/>
    </font>
    <font>
      <b/>
      <sz val="9"/>
      <color theme="1"/>
      <name val="Calibri"/>
      <family val="2"/>
      <scheme val="minor"/>
    </font>
    <font>
      <b/>
      <sz val="11"/>
      <color theme="4" tint="-0.249977111117893"/>
      <name val="Calibri"/>
      <family val="2"/>
      <scheme val="minor"/>
    </font>
    <font>
      <b/>
      <u/>
      <sz val="11"/>
      <color theme="6" tint="-0.499984740745262"/>
      <name val="Calibri"/>
      <family val="2"/>
      <scheme val="minor"/>
    </font>
    <font>
      <b/>
      <sz val="11"/>
      <color theme="4"/>
      <name val="Calibri"/>
      <family val="2"/>
      <scheme val="minor"/>
    </font>
    <font>
      <i/>
      <sz val="11"/>
      <color theme="1"/>
      <name val="Calibri"/>
      <family val="2"/>
      <scheme val="minor"/>
    </font>
    <font>
      <b/>
      <sz val="12"/>
      <color theme="3"/>
      <name val="Calibri"/>
      <family val="2"/>
      <scheme val="minor"/>
    </font>
    <font>
      <sz val="11"/>
      <color theme="0"/>
      <name val="Calibri"/>
      <family val="2"/>
      <scheme val="minor"/>
    </font>
    <font>
      <b/>
      <sz val="11"/>
      <color theme="4" tint="-0.249977111117893"/>
      <name val="Candara"/>
      <family val="2"/>
    </font>
    <font>
      <b/>
      <sz val="18"/>
      <color theme="1"/>
      <name val="Calibri"/>
      <family val="2"/>
      <scheme val="minor"/>
    </font>
    <font>
      <sz val="11"/>
      <color theme="0"/>
      <name val="Magneto"/>
      <family val="5"/>
    </font>
    <font>
      <sz val="11"/>
      <color theme="1"/>
      <name val="Magneto"/>
      <family val="5"/>
    </font>
    <font>
      <sz val="18"/>
      <color theme="9" tint="-0.249977111117893"/>
      <name val="Verdana"/>
      <family val="2"/>
    </font>
    <font>
      <sz val="18"/>
      <color theme="9" tint="-0.249977111117893"/>
      <name val="Calibri"/>
      <family val="2"/>
      <scheme val="minor"/>
    </font>
  </fonts>
  <fills count="58">
    <fill>
      <patternFill patternType="none"/>
    </fill>
    <fill>
      <patternFill patternType="gray125"/>
    </fill>
    <fill>
      <patternFill patternType="solid">
        <fgColor rgb="FFC6EFCE"/>
      </patternFill>
    </fill>
    <fill>
      <patternFill patternType="solid">
        <fgColor rgb="FFFFCC99"/>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5" tint="0.79998168889431442"/>
        <bgColor indexed="64"/>
      </patternFill>
    </fill>
    <fill>
      <patternFill patternType="solid">
        <fgColor theme="7"/>
        <bgColor indexed="64"/>
      </patternFill>
    </fill>
    <fill>
      <patternFill patternType="solid">
        <fgColor indexed="13"/>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theme="7" tint="0.79998168889431442"/>
        <bgColor indexed="64"/>
      </patternFill>
    </fill>
    <fill>
      <patternFill patternType="solid">
        <fgColor rgb="FFFFC000"/>
        <bgColor indexed="64"/>
      </patternFill>
    </fill>
    <fill>
      <patternFill patternType="solid">
        <fgColor theme="0"/>
        <bgColor indexed="64"/>
      </patternFill>
    </fill>
    <fill>
      <patternFill patternType="solid">
        <fgColor theme="1"/>
        <bgColor indexed="64"/>
      </patternFill>
    </fill>
    <fill>
      <patternFill patternType="solid">
        <fgColor rgb="FF92D050"/>
        <bgColor indexed="64"/>
      </patternFill>
    </fill>
    <fill>
      <patternFill patternType="solid">
        <fgColor rgb="FFFFC7CE"/>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indexed="45"/>
        <bgColor indexed="64"/>
      </patternFill>
    </fill>
    <fill>
      <patternFill patternType="solid">
        <fgColor theme="4" tint="0.59999389629810485"/>
        <bgColor indexed="64"/>
      </patternFill>
    </fill>
    <fill>
      <patternFill patternType="solid">
        <fgColor indexed="22"/>
        <bgColor indexed="64"/>
      </patternFill>
    </fill>
    <fill>
      <patternFill patternType="lightUp">
        <bgColor indexed="22"/>
      </patternFill>
    </fill>
    <fill>
      <patternFill patternType="solid">
        <fgColor indexed="11"/>
        <bgColor indexed="64"/>
      </patternFill>
    </fill>
    <fill>
      <patternFill patternType="solid">
        <fgColor theme="9"/>
        <bgColor indexed="64"/>
      </patternFill>
    </fill>
    <fill>
      <patternFill patternType="solid">
        <fgColor indexed="40"/>
        <bgColor indexed="64"/>
      </patternFill>
    </fill>
    <fill>
      <patternFill patternType="solid">
        <fgColor theme="8" tint="0.59999389629810485"/>
        <bgColor indexed="64"/>
      </patternFill>
    </fill>
    <fill>
      <patternFill patternType="solid">
        <fgColor indexed="43"/>
        <bgColor indexed="64"/>
      </patternFill>
    </fill>
    <fill>
      <patternFill patternType="solid">
        <fgColor indexed="42"/>
        <bgColor indexed="64"/>
      </patternFill>
    </fill>
    <fill>
      <patternFill patternType="solid">
        <fgColor indexed="15"/>
        <bgColor indexed="64"/>
      </patternFill>
    </fill>
    <fill>
      <patternFill patternType="solid">
        <fgColor indexed="47"/>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A5A5A5"/>
      </patternFill>
    </fill>
    <fill>
      <patternFill patternType="solid">
        <fgColor theme="4" tint="0.39997558519241921"/>
        <bgColor indexed="64"/>
      </patternFill>
    </fill>
    <fill>
      <patternFill patternType="solid">
        <fgColor rgb="FFE7E6E6"/>
        <bgColor indexed="64"/>
      </patternFill>
    </fill>
    <fill>
      <patternFill patternType="solid">
        <fgColor theme="6" tint="0.59999389629810485"/>
        <bgColor indexed="64"/>
      </patternFill>
    </fill>
    <fill>
      <patternFill patternType="solid">
        <fgColor theme="5"/>
        <bgColor indexed="64"/>
      </patternFill>
    </fill>
    <fill>
      <patternFill patternType="solid">
        <fgColor theme="7" tint="0.39997558519241921"/>
        <bgColor indexed="64"/>
      </patternFill>
    </fill>
    <fill>
      <gradientFill>
        <stop position="0">
          <color theme="7" tint="0.40000610370189521"/>
        </stop>
        <stop position="1">
          <color theme="5"/>
        </stop>
      </gradientFill>
    </fill>
    <fill>
      <gradientFill degree="45">
        <stop position="0">
          <color theme="7" tint="0.40000610370189521"/>
        </stop>
        <stop position="1">
          <color theme="8" tint="0.40000610370189521"/>
        </stop>
      </gradientFill>
    </fill>
    <fill>
      <gradientFill degree="225">
        <stop position="0">
          <color theme="7" tint="0.40000610370189521"/>
        </stop>
        <stop position="1">
          <color theme="8" tint="0.40000610370189521"/>
        </stop>
      </gradientFill>
    </fill>
    <fill>
      <gradientFill type="path" left="1" right="1">
        <stop position="0">
          <color theme="5"/>
        </stop>
        <stop position="1">
          <color theme="8" tint="0.40000610370189521"/>
        </stop>
      </gradientFill>
    </fill>
    <fill>
      <gradientFill degree="270">
        <stop position="0">
          <color theme="7" tint="0.40000610370189521"/>
        </stop>
        <stop position="1">
          <color theme="5"/>
        </stop>
      </gradientFill>
    </fill>
    <fill>
      <gradientFill type="path" left="1" right="1">
        <stop position="0">
          <color theme="8" tint="0.40000610370189521"/>
        </stop>
        <stop position="1">
          <color theme="6"/>
        </stop>
      </gradientFill>
    </fill>
    <fill>
      <patternFill patternType="solid">
        <fgColor theme="9" tint="0.59999389629810485"/>
        <bgColor indexed="64"/>
      </patternFill>
    </fill>
    <fill>
      <patternFill patternType="solid">
        <fgColor theme="0" tint="-4.9989318521683403E-2"/>
        <bgColor indexed="64"/>
      </patternFill>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6" tint="0.79998168889431442"/>
        <bgColor indexed="65"/>
      </patternFill>
    </fill>
    <fill>
      <patternFill patternType="solid">
        <fgColor theme="2" tint="-9.9978637043366805E-2"/>
        <bgColor indexed="64"/>
      </patternFill>
    </fill>
  </fills>
  <borders count="185">
    <border>
      <left/>
      <right/>
      <top/>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thick">
        <color auto="1"/>
      </left>
      <right/>
      <top style="thick">
        <color auto="1"/>
      </top>
      <bottom style="thick">
        <color auto="1"/>
      </bottom>
      <diagonal/>
    </border>
    <border>
      <left style="thick">
        <color auto="1"/>
      </left>
      <right style="thick">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right style="thick">
        <color auto="1"/>
      </right>
      <top style="thick">
        <color auto="1"/>
      </top>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n">
        <color auto="1"/>
      </left>
      <right style="thin">
        <color auto="1"/>
      </right>
      <top style="thick">
        <color auto="1"/>
      </top>
      <bottom style="thin">
        <color auto="1"/>
      </bottom>
      <diagonal/>
    </border>
    <border>
      <left/>
      <right style="thin">
        <color auto="1"/>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style="thin">
        <color auto="1"/>
      </bottom>
      <diagonal/>
    </border>
    <border>
      <left/>
      <right style="thick">
        <color auto="1"/>
      </right>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style="thin">
        <color auto="1"/>
      </top>
      <bottom style="thick">
        <color auto="1"/>
      </bottom>
      <diagonal/>
    </border>
    <border>
      <left/>
      <right style="thick">
        <color auto="1"/>
      </right>
      <top/>
      <bottom/>
      <diagonal/>
    </border>
    <border>
      <left style="thick">
        <color auto="1"/>
      </left>
      <right/>
      <top style="thick">
        <color auto="1"/>
      </top>
      <bottom style="thin">
        <color auto="1"/>
      </bottom>
      <diagonal/>
    </border>
    <border>
      <left style="thick">
        <color auto="1"/>
      </left>
      <right style="thin">
        <color auto="1"/>
      </right>
      <top style="thick">
        <color auto="1"/>
      </top>
      <bottom style="thin">
        <color auto="1"/>
      </bottom>
      <diagonal/>
    </border>
    <border>
      <left style="thick">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ck">
        <color auto="1"/>
      </left>
      <right/>
      <top style="thin">
        <color auto="1"/>
      </top>
      <bottom style="thick">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right style="thick">
        <color auto="1"/>
      </right>
      <top style="thin">
        <color auto="1"/>
      </top>
      <bottom style="thick">
        <color auto="1"/>
      </bottom>
      <diagonal/>
    </border>
    <border>
      <left style="thick">
        <color auto="1"/>
      </left>
      <right/>
      <top style="thin">
        <color auto="1"/>
      </top>
      <bottom/>
      <diagonal/>
    </border>
    <border>
      <left/>
      <right style="thick">
        <color auto="1"/>
      </right>
      <top style="thin">
        <color auto="1"/>
      </top>
      <bottom/>
      <diagonal/>
    </border>
    <border>
      <left style="thick">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bottom style="medium">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style="medium">
        <color auto="1"/>
      </left>
      <right style="thin">
        <color auto="1"/>
      </right>
      <top/>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999999"/>
      </left>
      <right/>
      <top/>
      <bottom/>
      <diagonal/>
    </border>
    <border>
      <left style="medium">
        <color rgb="FF999999"/>
      </left>
      <right/>
      <top style="medium">
        <color rgb="FF999999"/>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
      <left style="thin">
        <color auto="1"/>
      </left>
      <right/>
      <top/>
      <bottom/>
      <diagonal/>
    </border>
    <border>
      <left style="medium">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bottom style="medium">
        <color indexed="64"/>
      </bottom>
      <diagonal/>
    </border>
    <border>
      <left style="medium">
        <color auto="1"/>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1">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1" applyNumberFormat="0" applyAlignment="0" applyProtection="0"/>
    <xf numFmtId="0" fontId="5" fillId="0" borderId="0" applyNumberForma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0" fontId="38"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4" fillId="0" borderId="0"/>
    <xf numFmtId="0" fontId="88" fillId="0" borderId="0" applyNumberFormat="0" applyFill="0" applyBorder="0" applyAlignment="0" applyProtection="0">
      <alignment vertical="top"/>
      <protection locked="0"/>
    </xf>
    <xf numFmtId="0" fontId="90" fillId="0" borderId="0">
      <protection locked="0"/>
    </xf>
    <xf numFmtId="0" fontId="100" fillId="39" borderId="108" applyNumberFormat="0" applyAlignment="0" applyProtection="0"/>
    <xf numFmtId="0" fontId="160" fillId="53" borderId="0" applyNumberFormat="0" applyBorder="0" applyAlignment="0" applyProtection="0"/>
    <xf numFmtId="0" fontId="1" fillId="54" borderId="0" applyNumberFormat="0" applyBorder="0" applyAlignment="0" applyProtection="0"/>
    <xf numFmtId="0" fontId="160" fillId="55" borderId="0" applyNumberFormat="0" applyBorder="0" applyAlignment="0" applyProtection="0"/>
    <xf numFmtId="0" fontId="1" fillId="56" borderId="0" applyNumberFormat="0" applyBorder="0" applyAlignment="0" applyProtection="0"/>
  </cellStyleXfs>
  <cellXfs count="1306">
    <xf numFmtId="0" fontId="0" fillId="0" borderId="0" xfId="0"/>
    <xf numFmtId="0" fontId="0" fillId="5" borderId="0" xfId="0" applyFill="1"/>
    <xf numFmtId="0" fontId="1" fillId="4" borderId="0" xfId="0" applyFont="1" applyFill="1"/>
    <xf numFmtId="2" fontId="0" fillId="5" borderId="0" xfId="0" applyNumberFormat="1" applyFill="1"/>
    <xf numFmtId="165" fontId="0" fillId="5" borderId="0" xfId="0" applyNumberFormat="1" applyFill="1"/>
    <xf numFmtId="0" fontId="0" fillId="4" borderId="0" xfId="0" applyFill="1"/>
    <xf numFmtId="0" fontId="0" fillId="6" borderId="0" xfId="0" applyFill="1"/>
    <xf numFmtId="0" fontId="6" fillId="8" borderId="0" xfId="4" applyFont="1" applyFill="1"/>
    <xf numFmtId="165" fontId="0" fillId="6" borderId="0" xfId="0" applyNumberFormat="1" applyFill="1"/>
    <xf numFmtId="165" fontId="0" fillId="0" borderId="0" xfId="0" applyNumberFormat="1"/>
    <xf numFmtId="0" fontId="2" fillId="2" borderId="0" xfId="2"/>
    <xf numFmtId="9" fontId="2" fillId="2" borderId="0" xfId="2" applyNumberFormat="1"/>
    <xf numFmtId="0" fontId="4" fillId="0" borderId="0" xfId="0" applyFont="1"/>
    <xf numFmtId="0" fontId="7" fillId="0" borderId="0" xfId="5"/>
    <xf numFmtId="0" fontId="11" fillId="0" borderId="0" xfId="5" applyFont="1"/>
    <xf numFmtId="3" fontId="11" fillId="0" borderId="0" xfId="5" applyNumberFormat="1" applyFont="1" applyAlignment="1">
      <alignment horizontal="center"/>
    </xf>
    <xf numFmtId="0" fontId="11" fillId="0" borderId="0" xfId="5" applyFont="1" applyAlignment="1">
      <alignment horizontal="center"/>
    </xf>
    <xf numFmtId="0" fontId="12" fillId="0" borderId="0" xfId="5" applyFont="1"/>
    <xf numFmtId="0" fontId="10" fillId="0" borderId="0" xfId="5" applyFont="1" applyAlignment="1">
      <alignment horizontal="center"/>
    </xf>
    <xf numFmtId="0" fontId="10" fillId="0" borderId="0" xfId="5" applyFont="1"/>
    <xf numFmtId="0" fontId="13" fillId="10" borderId="0" xfId="5" applyFont="1" applyFill="1" applyAlignment="1">
      <alignment horizontal="center"/>
    </xf>
    <xf numFmtId="0" fontId="13" fillId="11" borderId="0" xfId="5" applyFont="1" applyFill="1"/>
    <xf numFmtId="3" fontId="13" fillId="7" borderId="0" xfId="5" applyNumberFormat="1" applyFont="1" applyFill="1" applyAlignment="1">
      <alignment horizontal="center"/>
    </xf>
    <xf numFmtId="0" fontId="13" fillId="7" borderId="0" xfId="5" applyFont="1" applyFill="1" applyAlignment="1">
      <alignment horizontal="center"/>
    </xf>
    <xf numFmtId="0" fontId="14" fillId="0" borderId="0" xfId="5" applyFont="1"/>
    <xf numFmtId="168" fontId="14" fillId="12" borderId="2" xfId="5" applyNumberFormat="1" applyFont="1" applyFill="1" applyBorder="1"/>
    <xf numFmtId="164" fontId="14" fillId="12" borderId="2" xfId="6" applyFont="1" applyFill="1" applyBorder="1" applyAlignment="1">
      <alignment horizontal="center"/>
    </xf>
    <xf numFmtId="164" fontId="13" fillId="12" borderId="2" xfId="6" applyFont="1" applyFill="1" applyBorder="1"/>
    <xf numFmtId="0" fontId="14" fillId="12" borderId="2" xfId="5" applyFont="1" applyFill="1" applyBorder="1"/>
    <xf numFmtId="169" fontId="14" fillId="12" borderId="2" xfId="6" applyNumberFormat="1" applyFont="1" applyFill="1" applyBorder="1"/>
    <xf numFmtId="170" fontId="14" fillId="13" borderId="2" xfId="5" applyNumberFormat="1" applyFont="1" applyFill="1" applyBorder="1" applyAlignment="1">
      <alignment horizontal="center"/>
    </xf>
    <xf numFmtId="171" fontId="14" fillId="13" borderId="2" xfId="5" applyNumberFormat="1" applyFont="1" applyFill="1" applyBorder="1" applyAlignment="1">
      <alignment horizontal="center"/>
    </xf>
    <xf numFmtId="166" fontId="14" fillId="13" borderId="2" xfId="5" applyNumberFormat="1" applyFont="1" applyFill="1" applyBorder="1" applyAlignment="1">
      <alignment horizontal="center"/>
    </xf>
    <xf numFmtId="172" fontId="14" fillId="13" borderId="2" xfId="5" applyNumberFormat="1" applyFont="1" applyFill="1" applyBorder="1" applyAlignment="1">
      <alignment horizontal="center"/>
    </xf>
    <xf numFmtId="3" fontId="14" fillId="13" borderId="2" xfId="5" applyNumberFormat="1" applyFont="1" applyFill="1" applyBorder="1" applyAlignment="1">
      <alignment horizontal="center"/>
    </xf>
    <xf numFmtId="1" fontId="14" fillId="13" borderId="2" xfId="5" applyNumberFormat="1" applyFont="1" applyFill="1" applyBorder="1" applyAlignment="1">
      <alignment horizontal="center"/>
    </xf>
    <xf numFmtId="2" fontId="14" fillId="13" borderId="2" xfId="5" applyNumberFormat="1" applyFont="1" applyFill="1" applyBorder="1" applyAlignment="1">
      <alignment horizontal="center"/>
    </xf>
    <xf numFmtId="165" fontId="14" fillId="13" borderId="2" xfId="5" applyNumberFormat="1" applyFont="1" applyFill="1" applyBorder="1" applyAlignment="1">
      <alignment horizontal="center"/>
    </xf>
    <xf numFmtId="164" fontId="14" fillId="12" borderId="2" xfId="6" applyFont="1" applyFill="1" applyBorder="1"/>
    <xf numFmtId="3" fontId="7" fillId="0" borderId="0" xfId="5" applyNumberFormat="1" applyAlignment="1">
      <alignment horizontal="center"/>
    </xf>
    <xf numFmtId="0" fontId="7" fillId="0" borderId="0" xfId="5" applyAlignment="1">
      <alignment horizontal="center"/>
    </xf>
    <xf numFmtId="0" fontId="7" fillId="0" borderId="2" xfId="5" applyBorder="1"/>
    <xf numFmtId="173" fontId="0" fillId="0" borderId="2" xfId="7" applyNumberFormat="1" applyFont="1" applyBorder="1"/>
    <xf numFmtId="9" fontId="0" fillId="0" borderId="2" xfId="7" applyFont="1" applyBorder="1"/>
    <xf numFmtId="0" fontId="15" fillId="0" borderId="0" xfId="0" applyFont="1"/>
    <xf numFmtId="0" fontId="7" fillId="4" borderId="2" xfId="5" applyFill="1" applyBorder="1"/>
    <xf numFmtId="0" fontId="7" fillId="14" borderId="0" xfId="5" applyFill="1" applyAlignment="1">
      <alignment horizontal="center"/>
    </xf>
    <xf numFmtId="0" fontId="7" fillId="14" borderId="0" xfId="5" applyFill="1"/>
    <xf numFmtId="0" fontId="9" fillId="14" borderId="0" xfId="5" applyFont="1" applyFill="1"/>
    <xf numFmtId="0" fontId="16" fillId="0" borderId="0" xfId="0" applyFont="1"/>
    <xf numFmtId="0" fontId="17" fillId="0" borderId="0" xfId="0" applyFont="1"/>
    <xf numFmtId="0" fontId="18" fillId="0" borderId="0" xfId="0" applyFont="1" applyProtection="1">
      <protection locked="0"/>
    </xf>
    <xf numFmtId="0" fontId="18" fillId="0" borderId="0" xfId="0" applyFont="1"/>
    <xf numFmtId="0" fontId="17" fillId="0" borderId="7" xfId="0" applyFont="1" applyBorder="1"/>
    <xf numFmtId="0" fontId="17" fillId="0" borderId="0" xfId="0" applyFont="1" applyAlignment="1">
      <alignment vertical="top" wrapText="1"/>
    </xf>
    <xf numFmtId="0" fontId="19" fillId="0" borderId="0" xfId="0" applyFont="1" applyAlignment="1">
      <alignment horizontal="center"/>
    </xf>
    <xf numFmtId="0" fontId="17" fillId="0" borderId="0" xfId="0" applyFont="1" applyAlignment="1">
      <alignment horizontal="center"/>
    </xf>
    <xf numFmtId="0" fontId="17" fillId="0" borderId="0" xfId="0" applyFont="1" applyAlignment="1">
      <alignment vertical="center" wrapText="1"/>
    </xf>
    <xf numFmtId="0" fontId="19" fillId="0" borderId="0" xfId="0" applyFont="1"/>
    <xf numFmtId="0" fontId="17" fillId="0" borderId="0" xfId="0" applyFont="1" applyAlignment="1">
      <alignment horizontal="right"/>
    </xf>
    <xf numFmtId="0" fontId="20" fillId="0" borderId="0" xfId="0" applyFont="1"/>
    <xf numFmtId="0" fontId="21" fillId="0" borderId="0" xfId="0" applyFont="1" applyProtection="1">
      <protection locked="0"/>
    </xf>
    <xf numFmtId="0" fontId="0" fillId="13" borderId="2" xfId="0" applyFill="1" applyBorder="1" applyAlignment="1">
      <alignment textRotation="90"/>
    </xf>
    <xf numFmtId="0" fontId="0" fillId="12" borderId="0" xfId="0" applyFill="1"/>
    <xf numFmtId="0" fontId="0" fillId="15" borderId="2" xfId="0" applyFill="1" applyBorder="1"/>
    <xf numFmtId="0" fontId="0" fillId="4" borderId="2" xfId="0" applyFill="1" applyBorder="1"/>
    <xf numFmtId="0" fontId="0" fillId="16" borderId="2" xfId="0" applyFill="1" applyBorder="1"/>
    <xf numFmtId="0" fontId="7" fillId="0" borderId="0" xfId="5" applyAlignment="1">
      <alignment horizontal="left" vertical="top"/>
    </xf>
    <xf numFmtId="0" fontId="7" fillId="14" borderId="0" xfId="5" applyFill="1" applyAlignment="1">
      <alignment horizontal="left" vertical="top"/>
    </xf>
    <xf numFmtId="0" fontId="7" fillId="17" borderId="0" xfId="5" applyFill="1" applyAlignment="1">
      <alignment horizontal="left" vertical="top"/>
    </xf>
    <xf numFmtId="0" fontId="9" fillId="17" borderId="0" xfId="5" applyFont="1" applyFill="1" applyAlignment="1">
      <alignment horizontal="left" vertical="top"/>
    </xf>
    <xf numFmtId="0" fontId="7" fillId="0" borderId="4" xfId="5" quotePrefix="1" applyBorder="1" applyAlignment="1">
      <alignment horizontal="center" vertical="top"/>
    </xf>
    <xf numFmtId="0" fontId="7" fillId="0" borderId="6" xfId="5" applyBorder="1" applyAlignment="1">
      <alignment horizontal="left" vertical="top"/>
    </xf>
    <xf numFmtId="0" fontId="7" fillId="0" borderId="4" xfId="5" quotePrefix="1" applyBorder="1" applyAlignment="1">
      <alignment vertical="top"/>
    </xf>
    <xf numFmtId="0" fontId="7" fillId="0" borderId="6" xfId="5" quotePrefix="1" applyBorder="1" applyAlignment="1">
      <alignment vertical="top"/>
    </xf>
    <xf numFmtId="0" fontId="7" fillId="0" borderId="10" xfId="5" quotePrefix="1" applyBorder="1" applyAlignment="1">
      <alignment horizontal="center" vertical="top"/>
    </xf>
    <xf numFmtId="0" fontId="7" fillId="0" borderId="11" xfId="5" applyBorder="1" applyAlignment="1">
      <alignment horizontal="left" vertical="top"/>
    </xf>
    <xf numFmtId="0" fontId="7" fillId="0" borderId="10" xfId="5" quotePrefix="1" applyBorder="1" applyAlignment="1">
      <alignment vertical="top"/>
    </xf>
    <xf numFmtId="0" fontId="7" fillId="0" borderId="11" xfId="5" quotePrefix="1" applyBorder="1" applyAlignment="1">
      <alignment vertical="top"/>
    </xf>
    <xf numFmtId="0" fontId="7" fillId="0" borderId="7" xfId="5" quotePrefix="1" applyBorder="1" applyAlignment="1">
      <alignment horizontal="center" vertical="top"/>
    </xf>
    <xf numFmtId="0" fontId="7" fillId="0" borderId="9" xfId="5" applyBorder="1" applyAlignment="1">
      <alignment horizontal="left" vertical="top"/>
    </xf>
    <xf numFmtId="0" fontId="7" fillId="0" borderId="7" xfId="5" quotePrefix="1" applyBorder="1" applyAlignment="1">
      <alignment vertical="top"/>
    </xf>
    <xf numFmtId="0" fontId="7" fillId="0" borderId="9" xfId="5" quotePrefix="1" applyBorder="1" applyAlignment="1">
      <alignment vertical="top"/>
    </xf>
    <xf numFmtId="0" fontId="7" fillId="14" borderId="8" xfId="5" applyFill="1" applyBorder="1" applyAlignment="1">
      <alignment horizontal="left" vertical="top"/>
    </xf>
    <xf numFmtId="174" fontId="14" fillId="14" borderId="0" xfId="5" applyNumberFormat="1" applyFont="1" applyFill="1" applyAlignment="1">
      <alignment horizontal="left" vertical="top"/>
    </xf>
    <xf numFmtId="0" fontId="9" fillId="0" borderId="4" xfId="5" applyFont="1" applyBorder="1" applyAlignment="1">
      <alignment horizontal="left" vertical="top"/>
    </xf>
    <xf numFmtId="0" fontId="9" fillId="0" borderId="0" xfId="5" applyFont="1" applyAlignment="1">
      <alignment horizontal="left" vertical="top"/>
    </xf>
    <xf numFmtId="0" fontId="7" fillId="17" borderId="4" xfId="5" applyFill="1" applyBorder="1" applyAlignment="1">
      <alignment horizontal="left" vertical="top"/>
    </xf>
    <xf numFmtId="0" fontId="7" fillId="17" borderId="6" xfId="5" applyFill="1" applyBorder="1" applyAlignment="1">
      <alignment horizontal="left" vertical="top"/>
    </xf>
    <xf numFmtId="0" fontId="7" fillId="17" borderId="10" xfId="5" applyFill="1" applyBorder="1" applyAlignment="1">
      <alignment horizontal="left" vertical="top"/>
    </xf>
    <xf numFmtId="0" fontId="7" fillId="17" borderId="11" xfId="5" applyFill="1" applyBorder="1" applyAlignment="1">
      <alignment horizontal="left" vertical="top"/>
    </xf>
    <xf numFmtId="0" fontId="9" fillId="17" borderId="10" xfId="5" applyFont="1" applyFill="1" applyBorder="1" applyAlignment="1">
      <alignment vertical="top"/>
    </xf>
    <xf numFmtId="0" fontId="7" fillId="17" borderId="7" xfId="5" applyFill="1" applyBorder="1" applyAlignment="1">
      <alignment horizontal="left" vertical="top"/>
    </xf>
    <xf numFmtId="0" fontId="7" fillId="17" borderId="9" xfId="5" applyFill="1" applyBorder="1" applyAlignment="1">
      <alignment horizontal="left" vertical="top"/>
    </xf>
    <xf numFmtId="0" fontId="9" fillId="17" borderId="5" xfId="5" applyFont="1" applyFill="1" applyBorder="1" applyAlignment="1">
      <alignment horizontal="left" vertical="top"/>
    </xf>
    <xf numFmtId="0" fontId="9" fillId="17" borderId="6" xfId="5" applyFont="1" applyFill="1" applyBorder="1" applyAlignment="1">
      <alignment horizontal="left" vertical="top"/>
    </xf>
    <xf numFmtId="0" fontId="23" fillId="17" borderId="0" xfId="5" applyFont="1" applyFill="1" applyAlignment="1">
      <alignment horizontal="left" vertical="top"/>
    </xf>
    <xf numFmtId="174" fontId="14" fillId="17" borderId="0" xfId="5" applyNumberFormat="1" applyFont="1" applyFill="1" applyAlignment="1">
      <alignment vertical="top"/>
    </xf>
    <xf numFmtId="0" fontId="24" fillId="17" borderId="0" xfId="5" applyFont="1" applyFill="1" applyAlignment="1">
      <alignment horizontal="left" vertical="top"/>
    </xf>
    <xf numFmtId="174" fontId="14" fillId="17" borderId="11" xfId="5" applyNumberFormat="1" applyFont="1" applyFill="1" applyBorder="1" applyAlignment="1">
      <alignment vertical="top"/>
    </xf>
    <xf numFmtId="0" fontId="23" fillId="17" borderId="0" xfId="5" applyFont="1" applyFill="1" applyAlignment="1">
      <alignment horizontal="left" vertical="center"/>
    </xf>
    <xf numFmtId="0" fontId="7" fillId="17" borderId="0" xfId="5" applyFill="1" applyAlignment="1">
      <alignment horizontal="left" vertical="center"/>
    </xf>
    <xf numFmtId="0" fontId="7" fillId="17" borderId="10" xfId="5" quotePrefix="1" applyFill="1" applyBorder="1" applyAlignment="1">
      <alignment horizontal="center" vertical="top"/>
    </xf>
    <xf numFmtId="0" fontId="7" fillId="17" borderId="11" xfId="5" applyFill="1" applyBorder="1" applyAlignment="1">
      <alignment horizontal="left" vertical="top" wrapText="1"/>
    </xf>
    <xf numFmtId="0" fontId="7" fillId="17" borderId="5" xfId="5" applyFill="1" applyBorder="1" applyAlignment="1">
      <alignment horizontal="left" vertical="top"/>
    </xf>
    <xf numFmtId="0" fontId="7" fillId="17" borderId="8" xfId="5" applyFill="1" applyBorder="1" applyAlignment="1">
      <alignment horizontal="left" vertical="top"/>
    </xf>
    <xf numFmtId="0" fontId="7" fillId="17" borderId="5" xfId="5" applyFill="1" applyBorder="1" applyAlignment="1">
      <alignment horizontal="center" vertical="top" wrapText="1"/>
    </xf>
    <xf numFmtId="0" fontId="9" fillId="17" borderId="10" xfId="5" applyFont="1" applyFill="1" applyBorder="1" applyAlignment="1">
      <alignment horizontal="center" vertical="top"/>
    </xf>
    <xf numFmtId="0" fontId="9" fillId="17" borderId="0" xfId="5" applyFont="1" applyFill="1" applyAlignment="1">
      <alignment vertical="top"/>
    </xf>
    <xf numFmtId="0" fontId="9" fillId="17" borderId="11" xfId="5" applyFont="1" applyFill="1" applyBorder="1" applyAlignment="1">
      <alignment vertical="top"/>
    </xf>
    <xf numFmtId="0" fontId="9" fillId="17" borderId="7" xfId="5" applyFont="1" applyFill="1" applyBorder="1" applyAlignment="1">
      <alignment vertical="top"/>
    </xf>
    <xf numFmtId="0" fontId="9" fillId="17" borderId="8" xfId="5" applyFont="1" applyFill="1" applyBorder="1" applyAlignment="1">
      <alignment vertical="top"/>
    </xf>
    <xf numFmtId="0" fontId="9" fillId="17" borderId="9" xfId="5" applyFont="1" applyFill="1" applyBorder="1" applyAlignment="1">
      <alignment vertical="top"/>
    </xf>
    <xf numFmtId="0" fontId="9" fillId="17" borderId="0" xfId="5" applyFont="1" applyFill="1" applyAlignment="1">
      <alignment horizontal="center" vertical="top"/>
    </xf>
    <xf numFmtId="0" fontId="9" fillId="17" borderId="11" xfId="5" applyFont="1" applyFill="1" applyBorder="1" applyAlignment="1">
      <alignment horizontal="center" vertical="top"/>
    </xf>
    <xf numFmtId="0" fontId="9" fillId="17" borderId="7" xfId="5" applyFont="1" applyFill="1" applyBorder="1" applyAlignment="1">
      <alignment horizontal="center" vertical="top"/>
    </xf>
    <xf numFmtId="0" fontId="9" fillId="17" borderId="8" xfId="5" applyFont="1" applyFill="1" applyBorder="1" applyAlignment="1">
      <alignment horizontal="center" vertical="top"/>
    </xf>
    <xf numFmtId="0" fontId="9" fillId="17" borderId="9" xfId="5" applyFont="1" applyFill="1" applyBorder="1" applyAlignment="1">
      <alignment horizontal="center" vertical="top"/>
    </xf>
    <xf numFmtId="0" fontId="9" fillId="17" borderId="10" xfId="5" applyFont="1" applyFill="1" applyBorder="1" applyAlignment="1">
      <alignment horizontal="left" vertical="top"/>
    </xf>
    <xf numFmtId="0" fontId="9" fillId="17" borderId="4" xfId="5" applyFont="1" applyFill="1" applyBorder="1" applyAlignment="1">
      <alignment horizontal="center" vertical="top"/>
    </xf>
    <xf numFmtId="0" fontId="9" fillId="17" borderId="5" xfId="5" applyFont="1" applyFill="1" applyBorder="1" applyAlignment="1">
      <alignment horizontal="center" vertical="top"/>
    </xf>
    <xf numFmtId="0" fontId="9" fillId="17" borderId="6" xfId="5" applyFont="1" applyFill="1" applyBorder="1" applyAlignment="1">
      <alignment horizontal="center" vertical="top"/>
    </xf>
    <xf numFmtId="0" fontId="9" fillId="14" borderId="4" xfId="5" applyFont="1" applyFill="1" applyBorder="1" applyAlignment="1">
      <alignment horizontal="center" vertical="top"/>
    </xf>
    <xf numFmtId="0" fontId="9" fillId="14" borderId="5" xfId="5" applyFont="1" applyFill="1" applyBorder="1" applyAlignment="1">
      <alignment horizontal="center" vertical="top"/>
    </xf>
    <xf numFmtId="0" fontId="9" fillId="14" borderId="6" xfId="5" applyFont="1" applyFill="1" applyBorder="1" applyAlignment="1">
      <alignment horizontal="center" vertical="top"/>
    </xf>
    <xf numFmtId="0" fontId="9" fillId="17" borderId="4" xfId="5" applyFont="1" applyFill="1" applyBorder="1" applyAlignment="1">
      <alignment horizontal="left" vertical="top"/>
    </xf>
    <xf numFmtId="174" fontId="13" fillId="17" borderId="10" xfId="5" applyNumberFormat="1" applyFont="1" applyFill="1" applyBorder="1" applyAlignment="1">
      <alignment vertical="top"/>
    </xf>
    <xf numFmtId="0" fontId="9" fillId="17" borderId="10" xfId="5" applyFont="1" applyFill="1" applyBorder="1" applyAlignment="1">
      <alignment vertical="center"/>
    </xf>
    <xf numFmtId="0" fontId="2" fillId="0" borderId="0" xfId="2" applyFill="1"/>
    <xf numFmtId="0" fontId="32" fillId="14" borderId="0" xfId="5" applyFont="1" applyFill="1"/>
    <xf numFmtId="0" fontId="33" fillId="0" borderId="0" xfId="0" applyFont="1"/>
    <xf numFmtId="0" fontId="34" fillId="0" borderId="0" xfId="5" applyFont="1"/>
    <xf numFmtId="0" fontId="30" fillId="0" borderId="0" xfId="0" applyFont="1"/>
    <xf numFmtId="165" fontId="3" fillId="4" borderId="1" xfId="3" applyNumberFormat="1" applyFill="1"/>
    <xf numFmtId="0" fontId="35" fillId="0" borderId="0" xfId="0" applyFont="1"/>
    <xf numFmtId="0" fontId="36" fillId="0" borderId="0" xfId="0" applyFont="1"/>
    <xf numFmtId="0" fontId="37" fillId="0" borderId="0" xfId="0" applyFont="1"/>
    <xf numFmtId="0" fontId="39" fillId="0" borderId="0" xfId="5" applyFont="1" applyAlignment="1">
      <alignment horizontal="left"/>
    </xf>
    <xf numFmtId="0" fontId="9" fillId="0" borderId="0" xfId="5" applyFont="1" applyAlignment="1">
      <alignment horizontal="left"/>
    </xf>
    <xf numFmtId="0" fontId="40" fillId="0" borderId="0" xfId="5" applyFont="1"/>
    <xf numFmtId="0" fontId="41" fillId="0" borderId="0" xfId="5" applyFont="1"/>
    <xf numFmtId="0" fontId="42" fillId="0" borderId="0" xfId="5" applyFont="1"/>
    <xf numFmtId="0" fontId="7" fillId="4" borderId="14" xfId="5" applyFill="1" applyBorder="1" applyProtection="1">
      <protection locked="0"/>
    </xf>
    <xf numFmtId="0" fontId="9" fillId="0" borderId="0" xfId="5" applyFont="1"/>
    <xf numFmtId="0" fontId="43" fillId="0" borderId="0" xfId="5" applyFont="1" applyAlignment="1">
      <alignment horizontal="center"/>
    </xf>
    <xf numFmtId="0" fontId="9" fillId="0" borderId="15" xfId="5" applyFont="1" applyBorder="1" applyAlignment="1">
      <alignment horizontal="left"/>
    </xf>
    <xf numFmtId="0" fontId="43" fillId="0" borderId="16" xfId="5" applyFont="1" applyBorder="1" applyAlignment="1">
      <alignment horizontal="center"/>
    </xf>
    <xf numFmtId="0" fontId="9" fillId="0" borderId="17" xfId="5" applyFont="1" applyBorder="1"/>
    <xf numFmtId="0" fontId="9" fillId="0" borderId="18" xfId="5" applyFont="1" applyBorder="1"/>
    <xf numFmtId="0" fontId="9" fillId="0" borderId="19" xfId="5" applyFont="1" applyBorder="1" applyAlignment="1">
      <alignment horizontal="left"/>
    </xf>
    <xf numFmtId="0" fontId="43" fillId="0" borderId="20" xfId="5" applyFont="1" applyBorder="1" applyAlignment="1">
      <alignment horizontal="center"/>
    </xf>
    <xf numFmtId="0" fontId="43" fillId="0" borderId="0" xfId="5" applyFont="1"/>
    <xf numFmtId="0" fontId="7" fillId="4" borderId="2" xfId="5" applyFill="1" applyBorder="1" applyProtection="1">
      <protection locked="0"/>
    </xf>
    <xf numFmtId="0" fontId="44" fillId="0" borderId="0" xfId="5" applyFont="1"/>
    <xf numFmtId="0" fontId="24" fillId="0" borderId="0" xfId="5" applyFont="1" applyProtection="1">
      <protection locked="0"/>
    </xf>
    <xf numFmtId="0" fontId="24" fillId="0" borderId="0" xfId="5" applyFont="1"/>
    <xf numFmtId="0" fontId="45" fillId="0" borderId="0" xfId="5" applyFont="1"/>
    <xf numFmtId="0" fontId="7" fillId="0" borderId="15" xfId="5" applyBorder="1"/>
    <xf numFmtId="0" fontId="9" fillId="0" borderId="24" xfId="5" applyFont="1" applyBorder="1" applyAlignment="1">
      <alignment horizontal="center"/>
    </xf>
    <xf numFmtId="0" fontId="9" fillId="0" borderId="0" xfId="5" applyFont="1" applyAlignment="1">
      <alignment horizontal="center"/>
    </xf>
    <xf numFmtId="0" fontId="9" fillId="0" borderId="25" xfId="5" applyFont="1" applyBorder="1" applyAlignment="1">
      <alignment horizontal="center"/>
    </xf>
    <xf numFmtId="0" fontId="7" fillId="0" borderId="24" xfId="5" applyBorder="1" applyAlignment="1">
      <alignment horizontal="center"/>
    </xf>
    <xf numFmtId="0" fontId="7" fillId="0" borderId="25" xfId="5" applyBorder="1" applyAlignment="1">
      <alignment horizontal="center"/>
    </xf>
    <xf numFmtId="0" fontId="7" fillId="0" borderId="19" xfId="5" applyBorder="1" applyAlignment="1">
      <alignment horizontal="center"/>
    </xf>
    <xf numFmtId="0" fontId="7" fillId="0" borderId="20" xfId="5" applyBorder="1" applyAlignment="1">
      <alignment horizontal="center"/>
    </xf>
    <xf numFmtId="0" fontId="7" fillId="0" borderId="26" xfId="5" applyBorder="1" applyAlignment="1">
      <alignment horizontal="center"/>
    </xf>
    <xf numFmtId="0" fontId="0" fillId="0" borderId="0" xfId="0" applyAlignment="1">
      <alignment horizontal="center"/>
    </xf>
    <xf numFmtId="0" fontId="46" fillId="0" borderId="0" xfId="0" applyFont="1" applyAlignment="1">
      <alignment horizontal="center"/>
    </xf>
    <xf numFmtId="0" fontId="0" fillId="0" borderId="0" xfId="0" applyAlignment="1">
      <alignment horizontal="right"/>
    </xf>
    <xf numFmtId="0" fontId="0" fillId="26" borderId="0" xfId="0" applyFill="1"/>
    <xf numFmtId="173" fontId="0" fillId="26" borderId="0" xfId="1" applyNumberFormat="1" applyFont="1" applyFill="1"/>
    <xf numFmtId="0" fontId="38" fillId="20" borderId="0" xfId="8"/>
    <xf numFmtId="0" fontId="47" fillId="20" borderId="0" xfId="8" applyFont="1"/>
    <xf numFmtId="0" fontId="47" fillId="0" borderId="0" xfId="0" applyFont="1"/>
    <xf numFmtId="0" fontId="49" fillId="0" borderId="29" xfId="5" applyFont="1" applyBorder="1" applyAlignment="1">
      <alignment horizontal="center" wrapText="1"/>
    </xf>
    <xf numFmtId="0" fontId="49" fillId="0" borderId="30" xfId="5" applyFont="1" applyBorder="1" applyAlignment="1">
      <alignment horizontal="center" wrapText="1"/>
    </xf>
    <xf numFmtId="0" fontId="49" fillId="0" borderId="31" xfId="5" applyFont="1" applyBorder="1" applyAlignment="1">
      <alignment horizontal="center" wrapText="1"/>
    </xf>
    <xf numFmtId="0" fontId="8" fillId="0" borderId="0" xfId="5" applyFont="1" applyAlignment="1">
      <alignment horizontal="center"/>
    </xf>
    <xf numFmtId="0" fontId="10" fillId="0" borderId="32" xfId="5" applyFont="1" applyBorder="1" applyAlignment="1">
      <alignment wrapText="1"/>
    </xf>
    <xf numFmtId="0" fontId="10" fillId="0" borderId="2" xfId="5" applyFont="1" applyBorder="1" applyAlignment="1">
      <alignment wrapText="1"/>
    </xf>
    <xf numFmtId="0" fontId="10" fillId="0" borderId="34" xfId="5" applyFont="1" applyBorder="1" applyAlignment="1">
      <alignment wrapText="1"/>
    </xf>
    <xf numFmtId="0" fontId="10" fillId="0" borderId="36" xfId="5" applyFont="1" applyBorder="1" applyAlignment="1">
      <alignment wrapText="1"/>
    </xf>
    <xf numFmtId="0" fontId="10" fillId="0" borderId="13" xfId="5" applyFont="1" applyBorder="1" applyAlignment="1">
      <alignment wrapText="1"/>
    </xf>
    <xf numFmtId="0" fontId="10" fillId="0" borderId="13" xfId="5" applyFont="1" applyBorder="1" applyAlignment="1">
      <alignment horizontal="center" wrapText="1"/>
    </xf>
    <xf numFmtId="0" fontId="10" fillId="0" borderId="37" xfId="5" applyFont="1" applyBorder="1" applyAlignment="1">
      <alignment wrapText="1"/>
    </xf>
    <xf numFmtId="0" fontId="10" fillId="0" borderId="0" xfId="5" applyFont="1" applyAlignment="1">
      <alignment wrapText="1"/>
    </xf>
    <xf numFmtId="0" fontId="10" fillId="0" borderId="13" xfId="5" applyFont="1" applyBorder="1"/>
    <xf numFmtId="0" fontId="10" fillId="0" borderId="38" xfId="5" applyFont="1" applyBorder="1" applyAlignment="1">
      <alignment wrapText="1"/>
    </xf>
    <xf numFmtId="0" fontId="10" fillId="0" borderId="27" xfId="5" applyFont="1" applyBorder="1" applyAlignment="1">
      <alignment wrapText="1"/>
    </xf>
    <xf numFmtId="0" fontId="10" fillId="0" borderId="39" xfId="5" applyFont="1" applyBorder="1" applyAlignment="1">
      <alignment wrapText="1"/>
    </xf>
    <xf numFmtId="0" fontId="10" fillId="0" borderId="40" xfId="5" applyFont="1" applyBorder="1" applyAlignment="1">
      <alignment wrapText="1"/>
    </xf>
    <xf numFmtId="0" fontId="10" fillId="0" borderId="41" xfId="5" applyFont="1" applyBorder="1" applyAlignment="1">
      <alignment wrapText="1"/>
    </xf>
    <xf numFmtId="0" fontId="10" fillId="0" borderId="21" xfId="5" applyFont="1" applyBorder="1" applyAlignment="1">
      <alignment wrapText="1"/>
    </xf>
    <xf numFmtId="0" fontId="10" fillId="0" borderId="42" xfId="5" applyFont="1" applyBorder="1" applyAlignment="1">
      <alignment wrapText="1"/>
    </xf>
    <xf numFmtId="0" fontId="10" fillId="0" borderId="0" xfId="5" applyFont="1" applyAlignment="1">
      <alignment horizontal="center" wrapText="1"/>
    </xf>
    <xf numFmtId="0" fontId="10" fillId="0" borderId="43" xfId="5" applyFont="1" applyBorder="1" applyAlignment="1">
      <alignment wrapText="1"/>
    </xf>
    <xf numFmtId="0" fontId="10" fillId="0" borderId="28" xfId="5" applyFont="1" applyBorder="1" applyAlignment="1">
      <alignment wrapText="1"/>
    </xf>
    <xf numFmtId="0" fontId="10" fillId="0" borderId="44" xfId="5" applyFont="1" applyBorder="1" applyAlignment="1">
      <alignment wrapText="1"/>
    </xf>
    <xf numFmtId="0" fontId="39" fillId="0" borderId="0" xfId="5" applyFont="1"/>
    <xf numFmtId="0" fontId="50" fillId="0" borderId="0" xfId="0" applyFont="1"/>
    <xf numFmtId="165" fontId="54" fillId="0" borderId="0" xfId="5" applyNumberFormat="1" applyFont="1" applyAlignment="1">
      <alignment horizontal="left"/>
    </xf>
    <xf numFmtId="0" fontId="7" fillId="0" borderId="0" xfId="5" applyProtection="1">
      <protection locked="0"/>
    </xf>
    <xf numFmtId="165" fontId="7" fillId="0" borderId="0" xfId="5" applyNumberFormat="1" applyProtection="1">
      <protection locked="0"/>
    </xf>
    <xf numFmtId="165" fontId="7" fillId="0" borderId="0" xfId="5" applyNumberFormat="1" applyAlignment="1">
      <alignment textRotation="90"/>
    </xf>
    <xf numFmtId="0" fontId="7" fillId="0" borderId="0" xfId="5" applyAlignment="1">
      <alignment textRotation="90"/>
    </xf>
    <xf numFmtId="165" fontId="7" fillId="0" borderId="0" xfId="5" applyNumberFormat="1" applyAlignment="1">
      <alignment horizontal="center"/>
    </xf>
    <xf numFmtId="49" fontId="7" fillId="0" borderId="0" xfId="5" applyNumberFormat="1" applyAlignment="1">
      <alignment horizontal="center"/>
    </xf>
    <xf numFmtId="0" fontId="54" fillId="0" borderId="0" xfId="5" applyFont="1" applyProtection="1">
      <protection locked="0"/>
    </xf>
    <xf numFmtId="0" fontId="49" fillId="0" borderId="46" xfId="5" applyFont="1" applyBorder="1" applyAlignment="1">
      <alignment horizontal="center" vertical="center"/>
    </xf>
    <xf numFmtId="165" fontId="7" fillId="0" borderId="47" xfId="5" applyNumberFormat="1" applyBorder="1" applyAlignment="1">
      <alignment textRotation="90"/>
    </xf>
    <xf numFmtId="0" fontId="7" fillId="27" borderId="48" xfId="5" applyFill="1" applyBorder="1" applyAlignment="1" applyProtection="1">
      <alignment textRotation="90"/>
      <protection locked="0"/>
    </xf>
    <xf numFmtId="0" fontId="7" fillId="0" borderId="0" xfId="5" applyAlignment="1" applyProtection="1">
      <alignment textRotation="90"/>
      <protection locked="0"/>
    </xf>
    <xf numFmtId="0" fontId="56" fillId="0" borderId="0" xfId="5" applyFont="1" applyProtection="1">
      <protection locked="0"/>
    </xf>
    <xf numFmtId="165" fontId="7" fillId="0" borderId="0" xfId="5" applyNumberFormat="1" applyAlignment="1" applyProtection="1">
      <alignment textRotation="90"/>
      <protection locked="0"/>
    </xf>
    <xf numFmtId="0" fontId="7" fillId="0" borderId="51" xfId="5" applyBorder="1" applyAlignment="1" applyProtection="1">
      <alignment horizontal="center"/>
      <protection locked="0"/>
    </xf>
    <xf numFmtId="49" fontId="7" fillId="28" borderId="9" xfId="5" applyNumberFormat="1" applyFill="1" applyBorder="1" applyAlignment="1" applyProtection="1">
      <alignment horizontal="center"/>
      <protection locked="0"/>
    </xf>
    <xf numFmtId="165" fontId="7" fillId="0" borderId="0" xfId="5" applyNumberFormat="1" applyAlignment="1" applyProtection="1">
      <alignment horizontal="center"/>
      <protection locked="0"/>
    </xf>
    <xf numFmtId="49" fontId="7" fillId="0" borderId="0" xfId="5" applyNumberFormat="1" applyAlignment="1" applyProtection="1">
      <alignment horizontal="center"/>
      <protection locked="0"/>
    </xf>
    <xf numFmtId="0" fontId="7" fillId="0" borderId="52" xfId="5" applyBorder="1" applyAlignment="1" applyProtection="1">
      <alignment horizontal="center"/>
      <protection locked="0"/>
    </xf>
    <xf numFmtId="49" fontId="7" fillId="28" borderId="3" xfId="5" applyNumberFormat="1" applyFill="1" applyBorder="1" applyAlignment="1" applyProtection="1">
      <alignment horizontal="center"/>
      <protection locked="0"/>
    </xf>
    <xf numFmtId="0" fontId="7" fillId="0" borderId="59" xfId="5" applyBorder="1" applyAlignment="1" applyProtection="1">
      <alignment horizontal="center"/>
      <protection locked="0"/>
    </xf>
    <xf numFmtId="165" fontId="7" fillId="0" borderId="62" xfId="5" applyNumberFormat="1" applyBorder="1" applyAlignment="1">
      <alignment horizontal="left"/>
    </xf>
    <xf numFmtId="0" fontId="7" fillId="28" borderId="63" xfId="5" applyFill="1" applyBorder="1" applyAlignment="1">
      <alignment horizontal="center"/>
    </xf>
    <xf numFmtId="0" fontId="7" fillId="28" borderId="54" xfId="5" applyFill="1" applyBorder="1" applyAlignment="1">
      <alignment horizontal="center"/>
    </xf>
    <xf numFmtId="1" fontId="7" fillId="29" borderId="53" xfId="5" applyNumberFormat="1" applyFill="1" applyBorder="1" applyAlignment="1">
      <alignment horizontal="center"/>
    </xf>
    <xf numFmtId="1" fontId="7" fillId="29" borderId="54" xfId="5" applyNumberFormat="1" applyFill="1" applyBorder="1" applyAlignment="1">
      <alignment horizontal="center"/>
    </xf>
    <xf numFmtId="1" fontId="7" fillId="29" borderId="55" xfId="5" applyNumberFormat="1" applyFill="1" applyBorder="1" applyAlignment="1">
      <alignment horizontal="center"/>
    </xf>
    <xf numFmtId="165" fontId="7" fillId="0" borderId="0" xfId="5" applyNumberFormat="1" applyAlignment="1" applyProtection="1">
      <alignment horizontal="right"/>
      <protection locked="0"/>
    </xf>
    <xf numFmtId="0" fontId="7" fillId="0" borderId="0" xfId="5" applyAlignment="1" applyProtection="1">
      <alignment horizontal="center"/>
      <protection locked="0"/>
    </xf>
    <xf numFmtId="165" fontId="7" fillId="0" borderId="64" xfId="5" applyNumberFormat="1" applyBorder="1" applyAlignment="1">
      <alignment horizontal="left"/>
    </xf>
    <xf numFmtId="0" fontId="7" fillId="28" borderId="65" xfId="5" applyFill="1" applyBorder="1" applyAlignment="1">
      <alignment horizontal="center"/>
    </xf>
    <xf numFmtId="0" fontId="7" fillId="28" borderId="3" xfId="5" applyFill="1" applyBorder="1" applyAlignment="1">
      <alignment horizontal="center"/>
    </xf>
    <xf numFmtId="1" fontId="7" fillId="30" borderId="2" xfId="5" applyNumberFormat="1" applyFill="1" applyBorder="1" applyAlignment="1">
      <alignment horizontal="center"/>
    </xf>
    <xf numFmtId="1" fontId="7" fillId="30" borderId="3" xfId="5" applyNumberFormat="1" applyFill="1" applyBorder="1" applyAlignment="1">
      <alignment horizontal="center"/>
    </xf>
    <xf numFmtId="1" fontId="7" fillId="30" borderId="56" xfId="5" applyNumberFormat="1" applyFill="1" applyBorder="1" applyAlignment="1">
      <alignment horizontal="center"/>
    </xf>
    <xf numFmtId="165" fontId="7" fillId="0" borderId="66" xfId="5" applyNumberFormat="1" applyBorder="1" applyAlignment="1">
      <alignment horizontal="left"/>
    </xf>
    <xf numFmtId="0" fontId="7" fillId="28" borderId="67" xfId="5" applyFill="1" applyBorder="1" applyAlignment="1">
      <alignment horizontal="center"/>
    </xf>
    <xf numFmtId="0" fontId="7" fillId="28" borderId="68" xfId="5" applyFill="1" applyBorder="1" applyAlignment="1">
      <alignment horizontal="center"/>
    </xf>
    <xf numFmtId="1" fontId="7" fillId="27" borderId="60" xfId="5" applyNumberFormat="1" applyFill="1" applyBorder="1" applyAlignment="1">
      <alignment horizontal="center"/>
    </xf>
    <xf numFmtId="1" fontId="7" fillId="27" borderId="68" xfId="5" applyNumberFormat="1" applyFill="1" applyBorder="1" applyAlignment="1">
      <alignment horizontal="center"/>
    </xf>
    <xf numFmtId="1" fontId="7" fillId="27" borderId="69" xfId="5" applyNumberFormat="1" applyFill="1" applyBorder="1" applyAlignment="1">
      <alignment horizontal="center"/>
    </xf>
    <xf numFmtId="1" fontId="7" fillId="0" borderId="0" xfId="5" applyNumberFormat="1" applyAlignment="1" applyProtection="1">
      <alignment horizontal="center"/>
      <protection locked="0"/>
    </xf>
    <xf numFmtId="165" fontId="7" fillId="0" borderId="70" xfId="5" applyNumberFormat="1" applyBorder="1" applyAlignment="1">
      <alignment horizontal="left"/>
    </xf>
    <xf numFmtId="1" fontId="7" fillId="30" borderId="27" xfId="5" applyNumberFormat="1" applyFill="1" applyBorder="1" applyAlignment="1">
      <alignment horizontal="center"/>
    </xf>
    <xf numFmtId="1" fontId="7" fillId="30" borderId="71" xfId="5" applyNumberFormat="1" applyFill="1" applyBorder="1" applyAlignment="1">
      <alignment horizontal="center"/>
    </xf>
    <xf numFmtId="0" fontId="7" fillId="0" borderId="46" xfId="5" applyBorder="1"/>
    <xf numFmtId="0" fontId="7" fillId="28" borderId="72" xfId="5" applyFill="1" applyBorder="1" applyAlignment="1">
      <alignment horizontal="center"/>
    </xf>
    <xf numFmtId="0" fontId="7" fillId="28" borderId="48" xfId="5" applyFill="1" applyBorder="1" applyAlignment="1">
      <alignment horizontal="center"/>
    </xf>
    <xf numFmtId="1" fontId="7" fillId="31" borderId="49" xfId="5" applyNumberFormat="1" applyFill="1" applyBorder="1" applyAlignment="1">
      <alignment horizontal="center"/>
    </xf>
    <xf numFmtId="1" fontId="7" fillId="31" borderId="73" xfId="5" applyNumberFormat="1" applyFill="1" applyBorder="1" applyAlignment="1">
      <alignment horizontal="center"/>
    </xf>
    <xf numFmtId="0" fontId="57" fillId="0" borderId="0" xfId="5" applyFont="1" applyAlignment="1">
      <alignment horizontal="left"/>
    </xf>
    <xf numFmtId="165" fontId="58" fillId="0" borderId="0" xfId="5" applyNumberFormat="1" applyFont="1"/>
    <xf numFmtId="0" fontId="58" fillId="0" borderId="0" xfId="5" applyFont="1"/>
    <xf numFmtId="165" fontId="56" fillId="0" borderId="0" xfId="5" applyNumberFormat="1" applyFont="1" applyAlignment="1">
      <alignment horizontal="center"/>
    </xf>
    <xf numFmtId="165" fontId="7" fillId="0" borderId="0" xfId="5" applyNumberFormat="1" applyAlignment="1">
      <alignment horizontal="right"/>
    </xf>
    <xf numFmtId="1" fontId="7" fillId="0" borderId="0" xfId="5" applyNumberFormat="1" applyAlignment="1">
      <alignment horizontal="center"/>
    </xf>
    <xf numFmtId="0" fontId="7" fillId="0" borderId="29" xfId="5" applyBorder="1" applyAlignment="1">
      <alignment horizontal="center" vertical="center" wrapText="1"/>
    </xf>
    <xf numFmtId="0" fontId="7" fillId="0" borderId="30" xfId="5" applyBorder="1" applyAlignment="1">
      <alignment horizontal="center" vertical="center" wrapText="1"/>
    </xf>
    <xf numFmtId="0" fontId="7" fillId="0" borderId="14" xfId="5" applyBorder="1" applyAlignment="1">
      <alignment horizontal="center" vertical="center" textRotation="255" wrapText="1"/>
    </xf>
    <xf numFmtId="0" fontId="7" fillId="0" borderId="30" xfId="5" applyBorder="1" applyAlignment="1">
      <alignment horizontal="center" vertical="center" textRotation="255" wrapText="1"/>
    </xf>
    <xf numFmtId="0" fontId="7" fillId="0" borderId="29" xfId="5" applyBorder="1" applyAlignment="1">
      <alignment horizontal="center" vertical="center" textRotation="255" wrapText="1"/>
    </xf>
    <xf numFmtId="0" fontId="7" fillId="32" borderId="14" xfId="5" applyFill="1" applyBorder="1" applyAlignment="1">
      <alignment horizontal="center" vertical="center" textRotation="255" wrapText="1"/>
    </xf>
    <xf numFmtId="0" fontId="7" fillId="0" borderId="31" xfId="5" applyBorder="1" applyAlignment="1">
      <alignment horizontal="center" vertical="center" textRotation="255" wrapText="1"/>
    </xf>
    <xf numFmtId="0" fontId="7" fillId="0" borderId="0" xfId="5" applyAlignment="1">
      <alignment horizontal="center" vertical="center" wrapText="1"/>
    </xf>
    <xf numFmtId="0" fontId="14" fillId="32" borderId="81" xfId="5" applyFont="1" applyFill="1" applyBorder="1" applyAlignment="1">
      <alignment horizontal="center" vertical="center" wrapText="1"/>
    </xf>
    <xf numFmtId="0" fontId="14" fillId="0" borderId="0" xfId="5" applyFont="1" applyAlignment="1">
      <alignment horizontal="center" vertical="center" wrapText="1"/>
    </xf>
    <xf numFmtId="0" fontId="14" fillId="32" borderId="80" xfId="5" applyFont="1" applyFill="1" applyBorder="1" applyAlignment="1">
      <alignment horizontal="center" vertical="center" wrapText="1"/>
    </xf>
    <xf numFmtId="0" fontId="6" fillId="8" borderId="0" xfId="4" applyFont="1" applyFill="1" applyAlignment="1">
      <alignment horizontal="center" vertical="top"/>
    </xf>
    <xf numFmtId="0" fontId="9" fillId="26" borderId="21" xfId="5" applyFont="1" applyFill="1" applyBorder="1"/>
    <xf numFmtId="0" fontId="9" fillId="26" borderId="22" xfId="5" applyFont="1" applyFill="1" applyBorder="1"/>
    <xf numFmtId="0" fontId="59" fillId="0" borderId="0" xfId="0" applyFont="1" applyAlignment="1">
      <alignment horizontal="left" vertical="center" readingOrder="1"/>
    </xf>
    <xf numFmtId="0" fontId="9" fillId="0" borderId="16" xfId="5" applyFont="1" applyBorder="1" applyAlignment="1">
      <alignment horizontal="center"/>
    </xf>
    <xf numFmtId="0" fontId="9" fillId="0" borderId="23" xfId="5" applyFont="1" applyBorder="1" applyAlignment="1">
      <alignment horizontal="center"/>
    </xf>
    <xf numFmtId="0" fontId="8" fillId="0" borderId="0" xfId="5" applyFont="1"/>
    <xf numFmtId="0" fontId="7" fillId="0" borderId="0" xfId="5" applyAlignment="1">
      <alignment horizontal="right"/>
    </xf>
    <xf numFmtId="0" fontId="7" fillId="0" borderId="0" xfId="5" applyAlignment="1">
      <alignment horizontal="left"/>
    </xf>
    <xf numFmtId="14" fontId="7" fillId="0" borderId="0" xfId="5" applyNumberFormat="1" applyAlignment="1">
      <alignment horizontal="left"/>
    </xf>
    <xf numFmtId="0" fontId="40" fillId="0" borderId="0" xfId="5" applyFont="1" applyAlignment="1">
      <alignment horizontal="left"/>
    </xf>
    <xf numFmtId="0" fontId="7" fillId="33" borderId="14" xfId="5" applyFill="1" applyBorder="1" applyProtection="1">
      <protection locked="0"/>
    </xf>
    <xf numFmtId="0" fontId="9" fillId="0" borderId="76" xfId="5" applyFont="1" applyBorder="1"/>
    <xf numFmtId="0" fontId="9" fillId="25" borderId="21" xfId="5" applyFont="1" applyFill="1" applyBorder="1"/>
    <xf numFmtId="0" fontId="9" fillId="25" borderId="42" xfId="5" applyFont="1" applyFill="1" applyBorder="1"/>
    <xf numFmtId="0" fontId="7" fillId="33" borderId="78" xfId="5" applyFill="1" applyBorder="1" applyProtection="1">
      <protection locked="0"/>
    </xf>
    <xf numFmtId="0" fontId="7" fillId="33" borderId="81" xfId="5" applyFill="1" applyBorder="1" applyProtection="1">
      <protection locked="0"/>
    </xf>
    <xf numFmtId="0" fontId="9" fillId="0" borderId="75" xfId="5" applyFont="1" applyBorder="1" applyAlignment="1">
      <alignment horizontal="left"/>
    </xf>
    <xf numFmtId="0" fontId="43" fillId="0" borderId="17" xfId="5" applyFont="1" applyBorder="1" applyAlignment="1">
      <alignment horizontal="center"/>
    </xf>
    <xf numFmtId="0" fontId="9" fillId="0" borderId="41" xfId="5" applyFont="1" applyBorder="1"/>
    <xf numFmtId="0" fontId="7" fillId="0" borderId="21" xfId="5" applyBorder="1"/>
    <xf numFmtId="0" fontId="7" fillId="33" borderId="81" xfId="5" applyFill="1" applyBorder="1"/>
    <xf numFmtId="0" fontId="7" fillId="33" borderId="77" xfId="5" applyFill="1" applyBorder="1" applyProtection="1">
      <protection locked="0"/>
    </xf>
    <xf numFmtId="0" fontId="7" fillId="0" borderId="16" xfId="5" applyBorder="1"/>
    <xf numFmtId="0" fontId="9" fillId="0" borderId="41" xfId="5" applyFont="1" applyBorder="1" applyAlignment="1">
      <alignment horizontal="left"/>
    </xf>
    <xf numFmtId="0" fontId="43" fillId="0" borderId="21" xfId="5" applyFont="1" applyBorder="1" applyAlignment="1">
      <alignment horizontal="center"/>
    </xf>
    <xf numFmtId="0" fontId="7" fillId="33" borderId="80" xfId="5" applyFill="1" applyBorder="1" applyProtection="1">
      <protection locked="0"/>
    </xf>
    <xf numFmtId="0" fontId="9" fillId="0" borderId="74" xfId="5" applyFont="1" applyBorder="1" applyAlignment="1">
      <alignment horizontal="left"/>
    </xf>
    <xf numFmtId="0" fontId="43" fillId="0" borderId="85" xfId="5" applyFont="1" applyBorder="1" applyAlignment="1">
      <alignment horizontal="center"/>
    </xf>
    <xf numFmtId="0" fontId="9" fillId="0" borderId="14" xfId="5" applyFont="1" applyBorder="1"/>
    <xf numFmtId="0" fontId="7" fillId="0" borderId="14" xfId="5" applyBorder="1"/>
    <xf numFmtId="0" fontId="7" fillId="33" borderId="75" xfId="5" applyFill="1" applyBorder="1" applyProtection="1">
      <protection locked="0"/>
    </xf>
    <xf numFmtId="0" fontId="7" fillId="33" borderId="76" xfId="5" applyFill="1" applyBorder="1" applyProtection="1">
      <protection locked="0"/>
    </xf>
    <xf numFmtId="166" fontId="7" fillId="0" borderId="0" xfId="5" applyNumberFormat="1"/>
    <xf numFmtId="0" fontId="7" fillId="33" borderId="32" xfId="5" applyFill="1" applyBorder="1" applyProtection="1">
      <protection locked="0"/>
    </xf>
    <xf numFmtId="0" fontId="7" fillId="33" borderId="34" xfId="5" applyFill="1" applyBorder="1" applyProtection="1">
      <protection locked="0"/>
    </xf>
    <xf numFmtId="0" fontId="7" fillId="33" borderId="41" xfId="5" applyFill="1" applyBorder="1" applyProtection="1">
      <protection locked="0"/>
    </xf>
    <xf numFmtId="0" fontId="7" fillId="33" borderId="42" xfId="5" applyFill="1" applyBorder="1" applyProtection="1">
      <protection locked="0"/>
    </xf>
    <xf numFmtId="0" fontId="7" fillId="33" borderId="88" xfId="5" applyFill="1" applyBorder="1" applyProtection="1">
      <protection locked="0"/>
    </xf>
    <xf numFmtId="0" fontId="7" fillId="33" borderId="89" xfId="5" applyFill="1" applyBorder="1" applyProtection="1">
      <protection locked="0"/>
    </xf>
    <xf numFmtId="0" fontId="61" fillId="0" borderId="0" xfId="5" applyFont="1"/>
    <xf numFmtId="0" fontId="55" fillId="0" borderId="0" xfId="5" applyFont="1"/>
    <xf numFmtId="0" fontId="62" fillId="0" borderId="0" xfId="5" applyFont="1"/>
    <xf numFmtId="0" fontId="63" fillId="0" borderId="0" xfId="5" applyFont="1"/>
    <xf numFmtId="0" fontId="61" fillId="0" borderId="0" xfId="5" applyFont="1" applyAlignment="1">
      <alignment horizontal="center"/>
    </xf>
    <xf numFmtId="0" fontId="64" fillId="0" borderId="0" xfId="5" applyFont="1"/>
    <xf numFmtId="0" fontId="65" fillId="0" borderId="0" xfId="5" applyFont="1"/>
    <xf numFmtId="0" fontId="66" fillId="0" borderId="0" xfId="5" applyFont="1"/>
    <xf numFmtId="173" fontId="10" fillId="0" borderId="0" xfId="7" applyNumberFormat="1" applyFont="1" applyAlignment="1">
      <alignment horizontal="right"/>
    </xf>
    <xf numFmtId="0" fontId="10" fillId="0" borderId="0" xfId="5" applyFont="1" applyAlignment="1">
      <alignment horizontal="left"/>
    </xf>
    <xf numFmtId="0" fontId="67" fillId="0" borderId="0" xfId="5" applyFont="1"/>
    <xf numFmtId="0" fontId="49" fillId="0" borderId="0" xfId="5" applyFont="1" applyAlignment="1">
      <alignment horizontal="right"/>
    </xf>
    <xf numFmtId="14" fontId="10" fillId="27" borderId="8" xfId="5" applyNumberFormat="1" applyFont="1" applyFill="1" applyBorder="1" applyAlignment="1" applyProtection="1">
      <alignment horizontal="left"/>
      <protection locked="0"/>
    </xf>
    <xf numFmtId="0" fontId="7" fillId="27" borderId="8" xfId="5" applyFill="1" applyBorder="1" applyProtection="1">
      <protection locked="0"/>
    </xf>
    <xf numFmtId="0" fontId="68" fillId="0" borderId="0" xfId="5" applyFont="1"/>
    <xf numFmtId="0" fontId="10" fillId="27" borderId="8" xfId="5" applyFont="1" applyFill="1" applyBorder="1" applyAlignment="1" applyProtection="1">
      <alignment horizontal="left"/>
      <protection locked="0"/>
    </xf>
    <xf numFmtId="0" fontId="69" fillId="0" borderId="0" xfId="5" applyFont="1"/>
    <xf numFmtId="0" fontId="70" fillId="27" borderId="8" xfId="5" applyFont="1" applyFill="1" applyBorder="1" applyProtection="1">
      <protection locked="0"/>
    </xf>
    <xf numFmtId="0" fontId="8" fillId="0" borderId="29" xfId="5" applyFont="1" applyBorder="1" applyAlignment="1">
      <alignment horizontal="centerContinuous"/>
    </xf>
    <xf numFmtId="0" fontId="8" fillId="0" borderId="87" xfId="5" applyFont="1" applyBorder="1" applyAlignment="1">
      <alignment horizontal="centerContinuous"/>
    </xf>
    <xf numFmtId="0" fontId="71" fillId="0" borderId="74" xfId="5" applyFont="1" applyBorder="1" applyAlignment="1" applyProtection="1">
      <alignment horizontal="centerContinuous"/>
      <protection locked="0"/>
    </xf>
    <xf numFmtId="0" fontId="7" fillId="0" borderId="14" xfId="5" applyBorder="1" applyAlignment="1">
      <alignment horizontal="centerContinuous"/>
    </xf>
    <xf numFmtId="0" fontId="8" fillId="27" borderId="14" xfId="5" applyFont="1" applyFill="1" applyBorder="1" applyAlignment="1">
      <alignment horizontal="centerContinuous"/>
    </xf>
    <xf numFmtId="0" fontId="71" fillId="0" borderId="14" xfId="5" applyFont="1" applyBorder="1" applyAlignment="1" applyProtection="1">
      <alignment horizontal="centerContinuous"/>
      <protection locked="0"/>
    </xf>
    <xf numFmtId="0" fontId="71" fillId="0" borderId="85" xfId="5" applyFont="1" applyBorder="1" applyAlignment="1" applyProtection="1">
      <alignment horizontal="centerContinuous"/>
      <protection locked="0"/>
    </xf>
    <xf numFmtId="0" fontId="8" fillId="0" borderId="77" xfId="5" applyFont="1" applyBorder="1" applyAlignment="1">
      <alignment horizontal="center"/>
    </xf>
    <xf numFmtId="0" fontId="68" fillId="0" borderId="77" xfId="5" applyFont="1" applyBorder="1" applyAlignment="1">
      <alignment horizontal="center"/>
    </xf>
    <xf numFmtId="0" fontId="8" fillId="0" borderId="91" xfId="5" applyFont="1" applyBorder="1"/>
    <xf numFmtId="0" fontId="68" fillId="0" borderId="92" xfId="5" applyFont="1" applyBorder="1" applyAlignment="1">
      <alignment horizontal="center"/>
    </xf>
    <xf numFmtId="0" fontId="8" fillId="0" borderId="93" xfId="5" applyFont="1" applyBorder="1" applyAlignment="1">
      <alignment horizontal="center"/>
    </xf>
    <xf numFmtId="0" fontId="8" fillId="0" borderId="26" xfId="5" applyFont="1" applyBorder="1" applyAlignment="1">
      <alignment horizontal="center"/>
    </xf>
    <xf numFmtId="0" fontId="8" fillId="27" borderId="79" xfId="5" applyFont="1" applyFill="1" applyBorder="1" applyAlignment="1">
      <alignment horizontal="center"/>
    </xf>
    <xf numFmtId="0" fontId="8" fillId="0" borderId="20" xfId="5" applyFont="1" applyBorder="1" applyAlignment="1">
      <alignment horizontal="center"/>
    </xf>
    <xf numFmtId="0" fontId="8" fillId="0" borderId="79" xfId="5" applyFont="1" applyBorder="1" applyAlignment="1">
      <alignment horizontal="center"/>
    </xf>
    <xf numFmtId="0" fontId="68" fillId="0" borderId="79" xfId="5" applyFont="1" applyBorder="1" applyAlignment="1">
      <alignment horizontal="center"/>
    </xf>
    <xf numFmtId="0" fontId="8" fillId="0" borderId="94" xfId="5" applyFont="1" applyBorder="1" applyAlignment="1">
      <alignment horizontal="center"/>
    </xf>
    <xf numFmtId="0" fontId="70" fillId="0" borderId="9" xfId="5" applyFont="1" applyBorder="1" applyAlignment="1" applyProtection="1">
      <alignment horizontal="center"/>
      <protection locked="0"/>
    </xf>
    <xf numFmtId="0" fontId="10" fillId="0" borderId="9" xfId="5" applyFont="1" applyBorder="1" applyAlignment="1" applyProtection="1">
      <alignment horizontal="center"/>
      <protection locked="0"/>
    </xf>
    <xf numFmtId="0" fontId="10" fillId="27" borderId="95" xfId="5" applyFont="1" applyFill="1" applyBorder="1" applyAlignment="1">
      <alignment horizontal="center"/>
    </xf>
    <xf numFmtId="0" fontId="10" fillId="0" borderId="95" xfId="5" applyFont="1" applyBorder="1" applyAlignment="1">
      <alignment horizontal="center"/>
    </xf>
    <xf numFmtId="0" fontId="70" fillId="0" borderId="95" xfId="5" applyFont="1" applyBorder="1" applyAlignment="1">
      <alignment horizontal="center"/>
    </xf>
    <xf numFmtId="0" fontId="10" fillId="27" borderId="81" xfId="5" applyFont="1" applyFill="1" applyBorder="1" applyAlignment="1">
      <alignment horizontal="center"/>
    </xf>
    <xf numFmtId="0" fontId="10" fillId="0" borderId="8" xfId="5" applyFont="1" applyBorder="1" applyAlignment="1" applyProtection="1">
      <alignment horizontal="center"/>
      <protection locked="0"/>
    </xf>
    <xf numFmtId="0" fontId="70" fillId="0" borderId="32" xfId="5" applyFont="1" applyBorder="1" applyAlignment="1" applyProtection="1">
      <alignment horizontal="center"/>
      <protection locked="0"/>
    </xf>
    <xf numFmtId="0" fontId="10" fillId="0" borderId="96" xfId="5" applyFont="1" applyBorder="1" applyAlignment="1" applyProtection="1">
      <alignment horizontal="center"/>
      <protection locked="0"/>
    </xf>
    <xf numFmtId="0" fontId="10" fillId="0" borderId="97" xfId="5" applyFont="1" applyBorder="1" applyAlignment="1" applyProtection="1">
      <alignment horizontal="center"/>
      <protection locked="0"/>
    </xf>
    <xf numFmtId="0" fontId="70" fillId="0" borderId="96" xfId="5" applyFont="1" applyBorder="1" applyAlignment="1" applyProtection="1">
      <alignment horizontal="center"/>
      <protection locked="0"/>
    </xf>
    <xf numFmtId="0" fontId="10" fillId="0" borderId="90" xfId="5" applyFont="1" applyBorder="1" applyAlignment="1" applyProtection="1">
      <alignment horizontal="center"/>
      <protection locked="0"/>
    </xf>
    <xf numFmtId="0" fontId="72" fillId="0" borderId="96" xfId="5" applyFont="1" applyBorder="1" applyAlignment="1" applyProtection="1">
      <alignment horizontal="center"/>
      <protection locked="0"/>
    </xf>
    <xf numFmtId="0" fontId="72" fillId="0" borderId="97" xfId="5" applyFont="1" applyBorder="1" applyAlignment="1" applyProtection="1">
      <alignment horizontal="center"/>
      <protection locked="0"/>
    </xf>
    <xf numFmtId="0" fontId="10" fillId="27" borderId="79" xfId="5" applyFont="1" applyFill="1" applyBorder="1" applyAlignment="1">
      <alignment horizontal="center"/>
    </xf>
    <xf numFmtId="0" fontId="10" fillId="0" borderId="79" xfId="5" applyFont="1" applyBorder="1" applyAlignment="1">
      <alignment horizontal="center"/>
    </xf>
    <xf numFmtId="0" fontId="70" fillId="0" borderId="79" xfId="5" applyFont="1" applyBorder="1" applyAlignment="1">
      <alignment horizontal="center"/>
    </xf>
    <xf numFmtId="0" fontId="9" fillId="27" borderId="16" xfId="5" applyFont="1" applyFill="1" applyBorder="1"/>
    <xf numFmtId="0" fontId="49" fillId="27" borderId="0" xfId="5" applyFont="1" applyFill="1" applyAlignment="1">
      <alignment horizontal="centerContinuous"/>
    </xf>
    <xf numFmtId="0" fontId="7" fillId="27" borderId="0" xfId="5" applyFill="1" applyAlignment="1">
      <alignment horizontal="left"/>
    </xf>
    <xf numFmtId="10" fontId="49" fillId="27" borderId="79" xfId="7" applyNumberFormat="1" applyFont="1" applyFill="1" applyBorder="1" applyAlignment="1">
      <alignment horizontal="center"/>
    </xf>
    <xf numFmtId="10" fontId="49" fillId="27" borderId="0" xfId="7" applyNumberFormat="1" applyFont="1" applyFill="1" applyAlignment="1">
      <alignment horizontal="center"/>
    </xf>
    <xf numFmtId="0" fontId="11" fillId="27" borderId="0" xfId="5" applyFont="1" applyFill="1" applyAlignment="1">
      <alignment horizontal="center"/>
    </xf>
    <xf numFmtId="0" fontId="7" fillId="0" borderId="16" xfId="5" applyBorder="1" applyAlignment="1">
      <alignment horizontal="center"/>
    </xf>
    <xf numFmtId="0" fontId="43" fillId="27" borderId="0" xfId="5" applyFont="1" applyFill="1"/>
    <xf numFmtId="0" fontId="73" fillId="27" borderId="0" xfId="5" applyFont="1" applyFill="1" applyAlignment="1">
      <alignment horizontal="centerContinuous"/>
    </xf>
    <xf numFmtId="0" fontId="74" fillId="27" borderId="0" xfId="5" applyFont="1" applyFill="1" applyAlignment="1">
      <alignment horizontal="left"/>
    </xf>
    <xf numFmtId="10" fontId="73" fillId="27" borderId="79" xfId="5" applyNumberFormat="1" applyFont="1" applyFill="1" applyBorder="1" applyAlignment="1">
      <alignment horizontal="center"/>
    </xf>
    <xf numFmtId="0" fontId="74" fillId="27" borderId="0" xfId="5" applyFont="1" applyFill="1"/>
    <xf numFmtId="10" fontId="73" fillId="27" borderId="14" xfId="5" applyNumberFormat="1" applyFont="1" applyFill="1" applyBorder="1" applyAlignment="1">
      <alignment horizontal="center"/>
    </xf>
    <xf numFmtId="0" fontId="74" fillId="0" borderId="0" xfId="5" applyFont="1"/>
    <xf numFmtId="0" fontId="7" fillId="27" borderId="0" xfId="5" applyFill="1"/>
    <xf numFmtId="0" fontId="49" fillId="27" borderId="0" xfId="5" applyFont="1" applyFill="1" applyAlignment="1">
      <alignment horizontal="right"/>
    </xf>
    <xf numFmtId="10" fontId="49" fillId="27" borderId="14" xfId="7" applyNumberFormat="1" applyFont="1" applyFill="1" applyBorder="1"/>
    <xf numFmtId="0" fontId="73" fillId="27" borderId="0" xfId="5" applyFont="1" applyFill="1" applyAlignment="1">
      <alignment horizontal="right"/>
    </xf>
    <xf numFmtId="0" fontId="73" fillId="0" borderId="0" xfId="5" applyFont="1"/>
    <xf numFmtId="0" fontId="9" fillId="0" borderId="0" xfId="5" quotePrefix="1" applyFont="1" applyAlignment="1">
      <alignment horizontal="right"/>
    </xf>
    <xf numFmtId="1" fontId="9" fillId="0" borderId="0" xfId="5" quotePrefix="1" applyNumberFormat="1" applyFont="1" applyAlignment="1">
      <alignment horizontal="right"/>
    </xf>
    <xf numFmtId="0" fontId="75" fillId="0" borderId="0" xfId="5" applyFont="1"/>
    <xf numFmtId="14" fontId="10" fillId="27" borderId="8" xfId="5" applyNumberFormat="1" applyFont="1" applyFill="1" applyBorder="1" applyAlignment="1">
      <alignment horizontal="left"/>
    </xf>
    <xf numFmtId="0" fontId="7" fillId="27" borderId="8" xfId="5" applyFill="1" applyBorder="1"/>
    <xf numFmtId="0" fontId="76" fillId="0" borderId="0" xfId="5" applyFont="1"/>
    <xf numFmtId="0" fontId="10" fillId="27" borderId="8" xfId="5" applyFont="1" applyFill="1" applyBorder="1" applyAlignment="1">
      <alignment horizontal="left"/>
    </xf>
    <xf numFmtId="0" fontId="68" fillId="27" borderId="8" xfId="5" applyFont="1" applyFill="1" applyBorder="1" applyAlignment="1">
      <alignment horizontal="left"/>
    </xf>
    <xf numFmtId="0" fontId="8" fillId="0" borderId="85" xfId="5" applyFont="1" applyBorder="1" applyAlignment="1">
      <alignment horizontal="centerContinuous"/>
    </xf>
    <xf numFmtId="0" fontId="68" fillId="0" borderId="26" xfId="5" applyFont="1" applyBorder="1" applyAlignment="1">
      <alignment horizontal="center"/>
    </xf>
    <xf numFmtId="0" fontId="8" fillId="0" borderId="24" xfId="5" applyFont="1" applyBorder="1" applyAlignment="1">
      <alignment horizontal="center"/>
    </xf>
    <xf numFmtId="0" fontId="7" fillId="0" borderId="78" xfId="5" applyBorder="1" applyAlignment="1">
      <alignment horizontal="center"/>
    </xf>
    <xf numFmtId="0" fontId="7" fillId="0" borderId="98" xfId="5" applyBorder="1" applyAlignment="1">
      <alignment horizontal="center"/>
    </xf>
    <xf numFmtId="0" fontId="8" fillId="27" borderId="94" xfId="5" applyFont="1" applyFill="1" applyBorder="1" applyAlignment="1">
      <alignment horizontal="center"/>
    </xf>
    <xf numFmtId="0" fontId="7" fillId="0" borderId="95" xfId="5" applyBorder="1" applyAlignment="1">
      <alignment horizontal="center"/>
    </xf>
    <xf numFmtId="0" fontId="7" fillId="0" borderId="79" xfId="5" applyBorder="1" applyAlignment="1">
      <alignment horizontal="center"/>
    </xf>
    <xf numFmtId="0" fontId="49" fillId="27" borderId="16" xfId="5" applyFont="1" applyFill="1" applyBorder="1" applyAlignment="1">
      <alignment horizontal="centerContinuous"/>
    </xf>
    <xf numFmtId="0" fontId="7" fillId="27" borderId="16" xfId="5" applyFill="1" applyBorder="1" applyAlignment="1">
      <alignment horizontal="left"/>
    </xf>
    <xf numFmtId="10" fontId="49" fillId="27" borderId="14" xfId="7" applyNumberFormat="1" applyFont="1" applyFill="1" applyBorder="1" applyAlignment="1">
      <alignment horizontal="center"/>
    </xf>
    <xf numFmtId="0" fontId="11" fillId="27" borderId="16" xfId="5" applyFont="1" applyFill="1" applyBorder="1" applyAlignment="1">
      <alignment horizontal="center"/>
    </xf>
    <xf numFmtId="10" fontId="73" fillId="27" borderId="14" xfId="7" applyNumberFormat="1" applyFont="1" applyFill="1" applyBorder="1" applyAlignment="1">
      <alignment horizontal="center"/>
    </xf>
    <xf numFmtId="0" fontId="49" fillId="0" borderId="0" xfId="5" applyFont="1" applyAlignment="1">
      <alignment horizontal="centerContinuous"/>
    </xf>
    <xf numFmtId="0" fontId="9" fillId="0" borderId="0" xfId="5" applyFont="1" applyAlignment="1">
      <alignment horizontal="right"/>
    </xf>
    <xf numFmtId="14" fontId="7" fillId="0" borderId="0" xfId="5" applyNumberFormat="1"/>
    <xf numFmtId="0" fontId="14" fillId="0" borderId="0" xfId="5" applyFont="1" applyAlignment="1">
      <alignment horizontal="center"/>
    </xf>
    <xf numFmtId="0" fontId="9" fillId="0" borderId="99" xfId="5" applyFont="1" applyBorder="1" applyAlignment="1">
      <alignment horizontal="centerContinuous"/>
    </xf>
    <xf numFmtId="0" fontId="9" fillId="0" borderId="100" xfId="5" applyFont="1" applyBorder="1" applyAlignment="1">
      <alignment horizontal="centerContinuous"/>
    </xf>
    <xf numFmtId="0" fontId="9" fillId="0" borderId="101" xfId="5" applyFont="1" applyBorder="1" applyAlignment="1">
      <alignment horizontal="centerContinuous"/>
    </xf>
    <xf numFmtId="0" fontId="7" fillId="0" borderId="7" xfId="5" applyBorder="1" applyAlignment="1">
      <alignment horizontal="center"/>
    </xf>
    <xf numFmtId="0" fontId="7" fillId="0" borderId="8" xfId="5" applyBorder="1" applyAlignment="1">
      <alignment horizontal="center"/>
    </xf>
    <xf numFmtId="0" fontId="7" fillId="0" borderId="9" xfId="5" applyBorder="1" applyAlignment="1">
      <alignment horizontal="center"/>
    </xf>
    <xf numFmtId="0" fontId="77" fillId="0" borderId="90" xfId="5" applyFont="1" applyBorder="1" applyAlignment="1">
      <alignment horizontal="center"/>
    </xf>
    <xf numFmtId="0" fontId="78" fillId="0" borderId="90" xfId="7" applyNumberFormat="1" applyFont="1" applyBorder="1" applyAlignment="1">
      <alignment horizontal="right"/>
    </xf>
    <xf numFmtId="173" fontId="78" fillId="0" borderId="90" xfId="7" applyNumberFormat="1" applyFont="1" applyBorder="1" applyAlignment="1">
      <alignment horizontal="right"/>
    </xf>
    <xf numFmtId="173" fontId="79" fillId="0" borderId="90" xfId="7" applyNumberFormat="1" applyFont="1" applyBorder="1" applyAlignment="1">
      <alignment horizontal="right"/>
    </xf>
    <xf numFmtId="173" fontId="78" fillId="0" borderId="0" xfId="7" applyNumberFormat="1" applyFont="1" applyAlignment="1">
      <alignment horizontal="right"/>
    </xf>
    <xf numFmtId="0" fontId="9" fillId="0" borderId="97" xfId="5" applyFont="1" applyBorder="1" applyAlignment="1">
      <alignment horizontal="centerContinuous"/>
    </xf>
    <xf numFmtId="0" fontId="9" fillId="0" borderId="102" xfId="5" applyFont="1" applyBorder="1" applyAlignment="1">
      <alignment horizontal="centerContinuous"/>
    </xf>
    <xf numFmtId="0" fontId="9" fillId="0" borderId="96" xfId="5" applyFont="1" applyBorder="1" applyAlignment="1">
      <alignment horizontal="centerContinuous"/>
    </xf>
    <xf numFmtId="0" fontId="77" fillId="0" borderId="28" xfId="5" applyFont="1" applyBorder="1" applyAlignment="1">
      <alignment horizontal="center"/>
    </xf>
    <xf numFmtId="0" fontId="77" fillId="0" borderId="90" xfId="7" applyNumberFormat="1" applyFont="1" applyBorder="1" applyAlignment="1">
      <alignment horizontal="center"/>
    </xf>
    <xf numFmtId="0" fontId="7" fillId="0" borderId="15" xfId="5" applyBorder="1" applyProtection="1">
      <protection locked="0"/>
    </xf>
    <xf numFmtId="0" fontId="7" fillId="0" borderId="16" xfId="5" applyBorder="1" applyProtection="1">
      <protection locked="0"/>
    </xf>
    <xf numFmtId="0" fontId="7" fillId="0" borderId="23" xfId="5" applyBorder="1" applyProtection="1">
      <protection locked="0"/>
    </xf>
    <xf numFmtId="0" fontId="7" fillId="0" borderId="24" xfId="5" applyBorder="1" applyProtection="1">
      <protection locked="0"/>
    </xf>
    <xf numFmtId="0" fontId="7" fillId="0" borderId="25" xfId="5" applyBorder="1" applyProtection="1">
      <protection locked="0"/>
    </xf>
    <xf numFmtId="0" fontId="7" fillId="0" borderId="19" xfId="5" applyBorder="1" applyProtection="1">
      <protection locked="0"/>
    </xf>
    <xf numFmtId="0" fontId="7" fillId="0" borderId="20" xfId="5" applyBorder="1" applyProtection="1">
      <protection locked="0"/>
    </xf>
    <xf numFmtId="0" fontId="7" fillId="0" borderId="26" xfId="5" applyBorder="1" applyProtection="1">
      <protection locked="0"/>
    </xf>
    <xf numFmtId="0" fontId="9" fillId="0" borderId="15" xfId="5" applyFont="1" applyBorder="1"/>
    <xf numFmtId="0" fontId="9" fillId="0" borderId="16" xfId="5" applyFont="1" applyBorder="1" applyAlignment="1">
      <alignment horizontal="centerContinuous"/>
    </xf>
    <xf numFmtId="0" fontId="9" fillId="0" borderId="23" xfId="5" applyFont="1" applyBorder="1" applyAlignment="1">
      <alignment horizontal="centerContinuous"/>
    </xf>
    <xf numFmtId="0" fontId="7" fillId="0" borderId="16" xfId="5" applyBorder="1" applyAlignment="1">
      <alignment horizontal="centerContinuous"/>
    </xf>
    <xf numFmtId="0" fontId="9" fillId="0" borderId="77" xfId="5" applyFont="1" applyBorder="1" applyAlignment="1">
      <alignment horizontal="center"/>
    </xf>
    <xf numFmtId="0" fontId="43" fillId="0" borderId="77" xfId="5" applyFont="1" applyBorder="1" applyAlignment="1">
      <alignment horizontal="center"/>
    </xf>
    <xf numFmtId="0" fontId="9" fillId="0" borderId="19" xfId="5" applyFont="1" applyBorder="1"/>
    <xf numFmtId="0" fontId="43" fillId="0" borderId="26" xfId="5" applyFont="1" applyBorder="1" applyAlignment="1">
      <alignment horizontal="center"/>
    </xf>
    <xf numFmtId="0" fontId="9" fillId="0" borderId="20" xfId="5" applyFont="1" applyBorder="1" applyAlignment="1">
      <alignment horizontal="center"/>
    </xf>
    <xf numFmtId="0" fontId="9" fillId="0" borderId="26" xfId="5" applyFont="1" applyBorder="1" applyAlignment="1">
      <alignment horizontal="center"/>
    </xf>
    <xf numFmtId="0" fontId="9" fillId="0" borderId="79" xfId="5" applyFont="1" applyBorder="1" applyAlignment="1">
      <alignment horizontal="center"/>
    </xf>
    <xf numFmtId="0" fontId="43" fillId="0" borderId="79" xfId="5" applyFont="1" applyBorder="1" applyAlignment="1">
      <alignment horizontal="center"/>
    </xf>
    <xf numFmtId="0" fontId="74" fillId="0" borderId="25" xfId="5" applyFont="1" applyBorder="1" applyAlignment="1">
      <alignment horizontal="center"/>
    </xf>
    <xf numFmtId="0" fontId="7" fillId="0" borderId="94" xfId="5" applyBorder="1" applyAlignment="1">
      <alignment horizontal="center"/>
    </xf>
    <xf numFmtId="0" fontId="7" fillId="0" borderId="103" xfId="5" applyBorder="1"/>
    <xf numFmtId="0" fontId="7" fillId="0" borderId="35" xfId="5" applyBorder="1"/>
    <xf numFmtId="0" fontId="9" fillId="0" borderId="16" xfId="5" applyFont="1" applyBorder="1"/>
    <xf numFmtId="10" fontId="9" fillId="0" borderId="14" xfId="7" applyNumberFormat="1" applyFont="1" applyBorder="1"/>
    <xf numFmtId="10" fontId="9" fillId="0" borderId="14" xfId="7" applyNumberFormat="1" applyFont="1" applyBorder="1" applyAlignment="1">
      <alignment horizontal="center"/>
    </xf>
    <xf numFmtId="10" fontId="0" fillId="0" borderId="16" xfId="7" applyNumberFormat="1" applyFont="1" applyBorder="1"/>
    <xf numFmtId="0" fontId="7" fillId="0" borderId="14" xfId="5" applyBorder="1" applyAlignment="1">
      <alignment horizontal="center"/>
    </xf>
    <xf numFmtId="1" fontId="9" fillId="0" borderId="0" xfId="7" applyNumberFormat="1" applyFont="1" applyAlignment="1">
      <alignment horizontal="center"/>
    </xf>
    <xf numFmtId="10" fontId="9" fillId="0" borderId="0" xfId="7" applyNumberFormat="1" applyFont="1" applyAlignment="1">
      <alignment horizontal="center"/>
    </xf>
    <xf numFmtId="2" fontId="7" fillId="0" borderId="0" xfId="5" applyNumberFormat="1" applyAlignment="1">
      <alignment horizontal="center"/>
    </xf>
    <xf numFmtId="0" fontId="80" fillId="0" borderId="0" xfId="5" applyFont="1"/>
    <xf numFmtId="0" fontId="81" fillId="0" borderId="0" xfId="5" applyFont="1"/>
    <xf numFmtId="0" fontId="82" fillId="0" borderId="0" xfId="5" applyFont="1"/>
    <xf numFmtId="0" fontId="83" fillId="0" borderId="0" xfId="0" applyFont="1"/>
    <xf numFmtId="2" fontId="14" fillId="12" borderId="2" xfId="5" applyNumberFormat="1" applyFont="1" applyFill="1" applyBorder="1"/>
    <xf numFmtId="0" fontId="84" fillId="0" borderId="0" xfId="13" applyProtection="1">
      <protection hidden="1"/>
    </xf>
    <xf numFmtId="0" fontId="7" fillId="27" borderId="0" xfId="5" applyFill="1" applyAlignment="1" applyProtection="1">
      <alignment vertical="center"/>
      <protection hidden="1"/>
    </xf>
    <xf numFmtId="0" fontId="7" fillId="27" borderId="0" xfId="5" applyFill="1" applyAlignment="1" applyProtection="1">
      <alignment horizontal="right" vertical="center"/>
      <protection hidden="1"/>
    </xf>
    <xf numFmtId="0" fontId="7" fillId="27" borderId="11" xfId="5" applyFill="1" applyBorder="1" applyAlignment="1" applyProtection="1">
      <alignment vertical="center"/>
      <protection hidden="1"/>
    </xf>
    <xf numFmtId="0" fontId="7" fillId="34" borderId="0" xfId="5" applyFill="1" applyAlignment="1" applyProtection="1">
      <alignment horizontal="right" vertical="center"/>
      <protection hidden="1"/>
    </xf>
    <xf numFmtId="0" fontId="7" fillId="34" borderId="0" xfId="5" applyFill="1" applyAlignment="1" applyProtection="1">
      <alignment vertical="center"/>
      <protection hidden="1"/>
    </xf>
    <xf numFmtId="0" fontId="7" fillId="34" borderId="11" xfId="5" applyFill="1" applyBorder="1" applyAlignment="1" applyProtection="1">
      <alignment vertical="center"/>
      <protection hidden="1"/>
    </xf>
    <xf numFmtId="0" fontId="7" fillId="34" borderId="0" xfId="5" applyFill="1" applyAlignment="1" applyProtection="1">
      <alignment horizontal="center" vertical="center"/>
      <protection hidden="1"/>
    </xf>
    <xf numFmtId="0" fontId="7" fillId="34" borderId="0" xfId="5" applyFill="1" applyAlignment="1" applyProtection="1">
      <alignment horizontal="left" vertical="center"/>
      <protection hidden="1"/>
    </xf>
    <xf numFmtId="0" fontId="7" fillId="35" borderId="75" xfId="5" applyFill="1" applyBorder="1" applyAlignment="1" applyProtection="1">
      <alignment horizontal="center" vertical="center"/>
      <protection hidden="1"/>
    </xf>
    <xf numFmtId="0" fontId="7" fillId="35" borderId="76" xfId="5" applyFill="1" applyBorder="1" applyAlignment="1" applyProtection="1">
      <alignment horizontal="center" vertical="center"/>
      <protection hidden="1"/>
    </xf>
    <xf numFmtId="171" fontId="7" fillId="34" borderId="0" xfId="5" applyNumberFormat="1" applyFill="1" applyAlignment="1" applyProtection="1">
      <alignment horizontal="left" vertical="center"/>
      <protection hidden="1"/>
    </xf>
    <xf numFmtId="0" fontId="7" fillId="34" borderId="0" xfId="5" quotePrefix="1" applyFill="1" applyAlignment="1" applyProtection="1">
      <alignment vertical="center"/>
      <protection hidden="1"/>
    </xf>
    <xf numFmtId="0" fontId="7" fillId="34" borderId="11" xfId="5" applyFill="1" applyBorder="1" applyAlignment="1" applyProtection="1">
      <alignment horizontal="center" vertical="center"/>
      <protection hidden="1"/>
    </xf>
    <xf numFmtId="0" fontId="7" fillId="34" borderId="0" xfId="5" quotePrefix="1" applyFill="1" applyAlignment="1" applyProtection="1">
      <alignment horizontal="left" vertical="center"/>
      <protection hidden="1"/>
    </xf>
    <xf numFmtId="0" fontId="7" fillId="35" borderId="17" xfId="5" applyFill="1" applyBorder="1" applyAlignment="1" applyProtection="1">
      <alignment horizontal="center" vertical="center"/>
      <protection hidden="1"/>
    </xf>
    <xf numFmtId="0" fontId="7" fillId="34" borderId="11" xfId="5" applyFill="1" applyBorder="1" applyAlignment="1" applyProtection="1">
      <alignment horizontal="left" vertical="center"/>
      <protection hidden="1"/>
    </xf>
    <xf numFmtId="0" fontId="10" fillId="27" borderId="0" xfId="5" applyFont="1" applyFill="1" applyProtection="1">
      <protection hidden="1"/>
    </xf>
    <xf numFmtId="0" fontId="8" fillId="27" borderId="0" xfId="5" applyFont="1" applyFill="1" applyProtection="1">
      <protection hidden="1"/>
    </xf>
    <xf numFmtId="0" fontId="7" fillId="27" borderId="0" xfId="5" applyFill="1" applyProtection="1">
      <protection hidden="1"/>
    </xf>
    <xf numFmtId="0" fontId="10" fillId="0" borderId="0" xfId="5" applyFont="1" applyProtection="1">
      <protection hidden="1"/>
    </xf>
    <xf numFmtId="0" fontId="10" fillId="27" borderId="0" xfId="5" applyFont="1" applyFill="1" applyAlignment="1" applyProtection="1">
      <alignment horizontal="left"/>
      <protection hidden="1"/>
    </xf>
    <xf numFmtId="0" fontId="7" fillId="0" borderId="0" xfId="5" applyProtection="1">
      <protection hidden="1"/>
    </xf>
    <xf numFmtId="0" fontId="8" fillId="34" borderId="0" xfId="5" applyFont="1" applyFill="1" applyProtection="1">
      <protection hidden="1"/>
    </xf>
    <xf numFmtId="0" fontId="10" fillId="34" borderId="0" xfId="5" applyFont="1" applyFill="1" applyProtection="1">
      <protection hidden="1"/>
    </xf>
    <xf numFmtId="0" fontId="86" fillId="34" borderId="0" xfId="5" applyFont="1" applyFill="1" applyAlignment="1" applyProtection="1">
      <alignment horizontal="center"/>
      <protection hidden="1"/>
    </xf>
    <xf numFmtId="0" fontId="10" fillId="34" borderId="0" xfId="5" applyFont="1" applyFill="1" applyAlignment="1" applyProtection="1">
      <alignment horizontal="center"/>
      <protection hidden="1"/>
    </xf>
    <xf numFmtId="10" fontId="10" fillId="34" borderId="11" xfId="5" applyNumberFormat="1" applyFont="1" applyFill="1" applyBorder="1" applyAlignment="1" applyProtection="1">
      <alignment horizontal="right"/>
      <protection hidden="1"/>
    </xf>
    <xf numFmtId="0" fontId="10" fillId="34" borderId="0" xfId="5" applyFont="1" applyFill="1" applyAlignment="1" applyProtection="1">
      <alignment horizontal="right"/>
      <protection hidden="1"/>
    </xf>
    <xf numFmtId="0" fontId="10" fillId="27" borderId="0" xfId="5" applyFont="1" applyFill="1" applyAlignment="1" applyProtection="1">
      <alignment horizontal="right"/>
      <protection hidden="1"/>
    </xf>
    <xf numFmtId="0" fontId="10" fillId="34" borderId="11" xfId="5" applyFont="1" applyFill="1" applyBorder="1" applyProtection="1">
      <protection hidden="1"/>
    </xf>
    <xf numFmtId="10" fontId="87" fillId="34" borderId="0" xfId="5" applyNumberFormat="1" applyFont="1" applyFill="1" applyAlignment="1" applyProtection="1">
      <alignment horizontal="right"/>
      <protection hidden="1"/>
    </xf>
    <xf numFmtId="10" fontId="87" fillId="34" borderId="11" xfId="5" applyNumberFormat="1" applyFont="1" applyFill="1" applyBorder="1" applyAlignment="1" applyProtection="1">
      <alignment horizontal="right"/>
      <protection hidden="1"/>
    </xf>
    <xf numFmtId="10" fontId="10" fillId="34" borderId="0" xfId="5" applyNumberFormat="1" applyFont="1" applyFill="1" applyAlignment="1" applyProtection="1">
      <alignment horizontal="right"/>
      <protection hidden="1"/>
    </xf>
    <xf numFmtId="0" fontId="8" fillId="34" borderId="11" xfId="5" applyFont="1" applyFill="1" applyBorder="1" applyProtection="1">
      <protection hidden="1"/>
    </xf>
    <xf numFmtId="0" fontId="86" fillId="34" borderId="11" xfId="5" applyFont="1" applyFill="1" applyBorder="1" applyAlignment="1" applyProtection="1">
      <alignment horizontal="center"/>
      <protection hidden="1"/>
    </xf>
    <xf numFmtId="171" fontId="10" fillId="34" borderId="0" xfId="5" applyNumberFormat="1" applyFont="1" applyFill="1" applyAlignment="1" applyProtection="1">
      <alignment horizontal="center"/>
      <protection hidden="1"/>
    </xf>
    <xf numFmtId="171" fontId="10" fillId="34" borderId="11" xfId="5" applyNumberFormat="1" applyFont="1" applyFill="1" applyBorder="1" applyAlignment="1" applyProtection="1">
      <alignment horizontal="center"/>
      <protection hidden="1"/>
    </xf>
    <xf numFmtId="0" fontId="10" fillId="34" borderId="11" xfId="5" applyFont="1" applyFill="1" applyBorder="1" applyAlignment="1" applyProtection="1">
      <alignment horizontal="center"/>
      <protection hidden="1"/>
    </xf>
    <xf numFmtId="0" fontId="7" fillId="34" borderId="0" xfId="5" applyFill="1"/>
    <xf numFmtId="2" fontId="7" fillId="0" borderId="0" xfId="5" applyNumberFormat="1"/>
    <xf numFmtId="9" fontId="7" fillId="0" borderId="0" xfId="5" applyNumberFormat="1"/>
    <xf numFmtId="0" fontId="7" fillId="34" borderId="11" xfId="5" applyFill="1" applyBorder="1" applyAlignment="1">
      <alignment horizontal="center"/>
    </xf>
    <xf numFmtId="10" fontId="7" fillId="0" borderId="0" xfId="5" applyNumberFormat="1"/>
    <xf numFmtId="0" fontId="90" fillId="0" borderId="0" xfId="15" applyAlignment="1" applyProtection="1">
      <alignment horizontal="left"/>
    </xf>
    <xf numFmtId="0" fontId="7" fillId="36" borderId="0" xfId="5" applyFill="1"/>
    <xf numFmtId="0" fontId="90" fillId="36" borderId="0" xfId="15" applyFill="1" applyAlignment="1" applyProtection="1">
      <alignment horizontal="center"/>
    </xf>
    <xf numFmtId="0" fontId="90" fillId="0" borderId="0" xfId="15" applyAlignment="1" applyProtection="1">
      <alignment horizontal="center"/>
    </xf>
    <xf numFmtId="0" fontId="90" fillId="36" borderId="0" xfId="15" applyFill="1" applyAlignment="1" applyProtection="1">
      <alignment horizontal="left"/>
    </xf>
    <xf numFmtId="0" fontId="90" fillId="36" borderId="0" xfId="15" applyFill="1" applyAlignment="1" applyProtection="1">
      <alignment horizontal="right"/>
    </xf>
    <xf numFmtId="0" fontId="7" fillId="36" borderId="0" xfId="5" applyFill="1" applyAlignment="1">
      <alignment horizontal="right"/>
    </xf>
    <xf numFmtId="0" fontId="7" fillId="34" borderId="0" xfId="5" applyFill="1" applyAlignment="1">
      <alignment horizontal="center"/>
    </xf>
    <xf numFmtId="0" fontId="90" fillId="25" borderId="0" xfId="15" applyFill="1" applyAlignment="1" applyProtection="1">
      <alignment horizontal="center"/>
    </xf>
    <xf numFmtId="0" fontId="7" fillId="34" borderId="11" xfId="5" applyFill="1" applyBorder="1"/>
    <xf numFmtId="0" fontId="7" fillId="25" borderId="0" xfId="5" applyFill="1" applyAlignment="1">
      <alignment horizontal="center"/>
    </xf>
    <xf numFmtId="0" fontId="91" fillId="27" borderId="0" xfId="5" applyFont="1" applyFill="1" applyAlignment="1" applyProtection="1">
      <alignment vertical="center"/>
      <protection hidden="1"/>
    </xf>
    <xf numFmtId="0" fontId="91" fillId="27" borderId="0" xfId="5" applyFont="1" applyFill="1" applyProtection="1">
      <protection hidden="1"/>
    </xf>
    <xf numFmtId="0" fontId="8" fillId="15" borderId="0" xfId="5" applyFont="1" applyFill="1" applyProtection="1">
      <protection hidden="1"/>
    </xf>
    <xf numFmtId="0" fontId="10" fillId="15" borderId="0" xfId="5" applyFont="1" applyFill="1" applyProtection="1">
      <protection hidden="1"/>
    </xf>
    <xf numFmtId="0" fontId="10" fillId="15" borderId="11" xfId="5" applyFont="1" applyFill="1" applyBorder="1" applyProtection="1">
      <protection hidden="1"/>
    </xf>
    <xf numFmtId="0" fontId="10" fillId="15" borderId="0" xfId="5" applyFont="1" applyFill="1" applyAlignment="1" applyProtection="1">
      <alignment horizontal="center"/>
      <protection hidden="1"/>
    </xf>
    <xf numFmtId="10" fontId="87" fillId="15" borderId="0" xfId="5" applyNumberFormat="1" applyFont="1" applyFill="1" applyAlignment="1" applyProtection="1">
      <alignment horizontal="right"/>
      <protection hidden="1"/>
    </xf>
    <xf numFmtId="0" fontId="10" fillId="15" borderId="0" xfId="5" applyFont="1" applyFill="1" applyAlignment="1" applyProtection="1">
      <alignment horizontal="right"/>
      <protection hidden="1"/>
    </xf>
    <xf numFmtId="10" fontId="87" fillId="15" borderId="11" xfId="5" applyNumberFormat="1" applyFont="1" applyFill="1" applyBorder="1" applyAlignment="1" applyProtection="1">
      <alignment horizontal="right"/>
      <protection hidden="1"/>
    </xf>
    <xf numFmtId="10" fontId="10" fillId="15" borderId="0" xfId="5" applyNumberFormat="1" applyFont="1" applyFill="1" applyAlignment="1" applyProtection="1">
      <alignment horizontal="right"/>
      <protection hidden="1"/>
    </xf>
    <xf numFmtId="10" fontId="10" fillId="15" borderId="11" xfId="5" applyNumberFormat="1" applyFont="1" applyFill="1" applyBorder="1" applyAlignment="1" applyProtection="1">
      <alignment horizontal="right"/>
      <protection hidden="1"/>
    </xf>
    <xf numFmtId="3" fontId="93" fillId="12" borderId="17" xfId="5" applyNumberFormat="1" applyFont="1" applyFill="1" applyBorder="1" applyAlignment="1">
      <alignment horizontal="centerContinuous" vertical="center" wrapText="1"/>
    </xf>
    <xf numFmtId="3" fontId="93" fillId="12" borderId="90" xfId="5" applyNumberFormat="1" applyFont="1" applyFill="1" applyBorder="1" applyAlignment="1">
      <alignment horizontal="centerContinuous" vertical="center" wrapText="1"/>
    </xf>
    <xf numFmtId="3" fontId="93" fillId="12" borderId="21" xfId="5" applyNumberFormat="1" applyFont="1" applyFill="1" applyBorder="1" applyAlignment="1">
      <alignment horizontal="center" vertical="center"/>
    </xf>
    <xf numFmtId="3" fontId="94" fillId="12" borderId="21" xfId="5" applyNumberFormat="1" applyFont="1" applyFill="1" applyBorder="1" applyAlignment="1">
      <alignment horizontal="center" vertical="center" wrapText="1"/>
    </xf>
    <xf numFmtId="170" fontId="93" fillId="0" borderId="43" xfId="5" applyNumberFormat="1" applyFont="1" applyBorder="1" applyAlignment="1">
      <alignment horizontal="center" vertical="center"/>
    </xf>
    <xf numFmtId="3" fontId="93" fillId="0" borderId="28" xfId="5" applyNumberFormat="1" applyFont="1" applyBorder="1" applyAlignment="1">
      <alignment horizontal="center" vertical="center"/>
    </xf>
    <xf numFmtId="3" fontId="93" fillId="0" borderId="28" xfId="5" applyNumberFormat="1" applyFont="1" applyBorder="1" applyAlignment="1">
      <alignment horizontal="center" vertical="center" wrapText="1"/>
    </xf>
    <xf numFmtId="3" fontId="95" fillId="0" borderId="28" xfId="5" applyNumberFormat="1" applyFont="1" applyBorder="1" applyAlignment="1">
      <alignment horizontal="left" vertical="center" wrapText="1"/>
    </xf>
    <xf numFmtId="176" fontId="94" fillId="0" borderId="28" xfId="5" applyNumberFormat="1" applyFont="1" applyBorder="1" applyAlignment="1">
      <alignment horizontal="center" vertical="center" wrapText="1"/>
    </xf>
    <xf numFmtId="9" fontId="93" fillId="0" borderId="28" xfId="7" applyFont="1" applyBorder="1" applyAlignment="1">
      <alignment horizontal="center" vertical="center"/>
    </xf>
    <xf numFmtId="3" fontId="93" fillId="0" borderId="44" xfId="5" applyNumberFormat="1" applyFont="1" applyBorder="1" applyAlignment="1">
      <alignment horizontal="left" vertical="center" wrapText="1"/>
    </xf>
    <xf numFmtId="170" fontId="93" fillId="0" borderId="32" xfId="5" applyNumberFormat="1" applyFont="1" applyBorder="1" applyAlignment="1">
      <alignment horizontal="center" vertical="center"/>
    </xf>
    <xf numFmtId="3" fontId="93" fillId="0" borderId="90" xfId="5" applyNumberFormat="1" applyFont="1" applyBorder="1" applyAlignment="1">
      <alignment horizontal="center" vertical="center"/>
    </xf>
    <xf numFmtId="3" fontId="93" fillId="0" borderId="90" xfId="5" applyNumberFormat="1" applyFont="1" applyBorder="1" applyAlignment="1">
      <alignment horizontal="center" vertical="center" wrapText="1"/>
    </xf>
    <xf numFmtId="3" fontId="95" fillId="0" borderId="90" xfId="5" applyNumberFormat="1" applyFont="1" applyBorder="1" applyAlignment="1">
      <alignment horizontal="left" vertical="center" wrapText="1"/>
    </xf>
    <xf numFmtId="176" fontId="94" fillId="0" borderId="90" xfId="5" applyNumberFormat="1" applyFont="1" applyBorder="1" applyAlignment="1">
      <alignment horizontal="center" vertical="center" wrapText="1"/>
    </xf>
    <xf numFmtId="9" fontId="93" fillId="0" borderId="90" xfId="7" applyFont="1" applyBorder="1" applyAlignment="1">
      <alignment horizontal="center" vertical="center"/>
    </xf>
    <xf numFmtId="3" fontId="93" fillId="0" borderId="34" xfId="5" applyNumberFormat="1" applyFont="1" applyBorder="1" applyAlignment="1">
      <alignment horizontal="left" vertical="center" wrapText="1"/>
    </xf>
    <xf numFmtId="0" fontId="7" fillId="0" borderId="90" xfId="5" applyBorder="1" applyAlignment="1">
      <alignment horizontal="left" vertical="center" wrapText="1" indent="5"/>
    </xf>
    <xf numFmtId="0" fontId="7" fillId="0" borderId="90" xfId="5" applyBorder="1" applyAlignment="1">
      <alignment wrapText="1"/>
    </xf>
    <xf numFmtId="0" fontId="7" fillId="0" borderId="28" xfId="5" applyBorder="1" applyAlignment="1">
      <alignment horizontal="left" vertical="center" wrapText="1" indent="5"/>
    </xf>
    <xf numFmtId="0" fontId="7" fillId="0" borderId="28" xfId="5" applyBorder="1" applyAlignment="1">
      <alignment wrapText="1"/>
    </xf>
    <xf numFmtId="170" fontId="93" fillId="0" borderId="75" xfId="5" applyNumberFormat="1" applyFont="1" applyBorder="1" applyAlignment="1">
      <alignment horizontal="center" vertical="center"/>
    </xf>
    <xf numFmtId="3" fontId="93" fillId="0" borderId="17" xfId="5" applyNumberFormat="1" applyFont="1" applyBorder="1" applyAlignment="1">
      <alignment horizontal="center" vertical="center"/>
    </xf>
    <xf numFmtId="3" fontId="93" fillId="0" borderId="17" xfId="5" applyNumberFormat="1" applyFont="1" applyBorder="1" applyAlignment="1">
      <alignment horizontal="center" vertical="center" wrapText="1"/>
    </xf>
    <xf numFmtId="3" fontId="95" fillId="0" borderId="17" xfId="5" applyNumberFormat="1" applyFont="1" applyBorder="1" applyAlignment="1">
      <alignment horizontal="left" vertical="center" wrapText="1"/>
    </xf>
    <xf numFmtId="176" fontId="94" fillId="0" borderId="17" xfId="5" applyNumberFormat="1" applyFont="1" applyBorder="1" applyAlignment="1">
      <alignment horizontal="center" vertical="center" wrapText="1"/>
    </xf>
    <xf numFmtId="3" fontId="94" fillId="0" borderId="17" xfId="5" applyNumberFormat="1" applyFont="1" applyBorder="1" applyAlignment="1">
      <alignment horizontal="center" vertical="center" wrapText="1"/>
    </xf>
    <xf numFmtId="3" fontId="93" fillId="0" borderId="76" xfId="5" applyNumberFormat="1" applyFont="1" applyBorder="1" applyAlignment="1">
      <alignment horizontal="left" vertical="center" wrapText="1"/>
    </xf>
    <xf numFmtId="3" fontId="94" fillId="0" borderId="28" xfId="5" applyNumberFormat="1" applyFont="1" applyBorder="1" applyAlignment="1">
      <alignment horizontal="center" vertical="center" wrapText="1"/>
    </xf>
    <xf numFmtId="170" fontId="7" fillId="0" borderId="0" xfId="5" applyNumberFormat="1"/>
    <xf numFmtId="0" fontId="48" fillId="12" borderId="0" xfId="8" applyFont="1" applyFill="1"/>
    <xf numFmtId="0" fontId="38" fillId="12" borderId="0" xfId="8" applyFill="1"/>
    <xf numFmtId="0" fontId="97" fillId="18" borderId="0" xfId="0" applyFont="1" applyFill="1"/>
    <xf numFmtId="0" fontId="0" fillId="0" borderId="0" xfId="0" applyAlignment="1">
      <alignment horizontal="left"/>
    </xf>
    <xf numFmtId="0" fontId="0" fillId="17" borderId="0" xfId="0" applyFill="1"/>
    <xf numFmtId="0" fontId="10" fillId="0" borderId="29" xfId="0" applyFont="1" applyBorder="1" applyAlignment="1">
      <alignment horizontal="center" vertical="center" wrapText="1"/>
    </xf>
    <xf numFmtId="0" fontId="10" fillId="38" borderId="31" xfId="0" applyFont="1" applyFill="1" applyBorder="1" applyAlignment="1">
      <alignment horizontal="center" vertical="center" wrapText="1"/>
    </xf>
    <xf numFmtId="0" fontId="10" fillId="0" borderId="0" xfId="0" applyFont="1" applyAlignment="1">
      <alignment horizontal="center" vertical="center" wrapText="1"/>
    </xf>
    <xf numFmtId="0" fontId="10" fillId="0" borderId="32"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Alignment="1">
      <alignment horizontal="left" vertical="center" wrapText="1"/>
    </xf>
    <xf numFmtId="0" fontId="10" fillId="0" borderId="29" xfId="0" applyFont="1" applyBorder="1" applyAlignment="1">
      <alignment horizontal="left" vertical="center" wrapText="1"/>
    </xf>
    <xf numFmtId="0" fontId="10" fillId="0" borderId="106" xfId="0" applyFont="1" applyBorder="1" applyAlignment="1">
      <alignment horizontal="center" vertical="center" wrapText="1"/>
    </xf>
    <xf numFmtId="0" fontId="10" fillId="0" borderId="30" xfId="0" applyFont="1" applyBorder="1" applyAlignment="1">
      <alignment horizontal="center" vertical="center" wrapText="1"/>
    </xf>
    <xf numFmtId="0" fontId="98" fillId="0" borderId="88" xfId="0" applyFont="1" applyBorder="1" applyAlignment="1">
      <alignment horizontal="left" vertical="center" wrapText="1"/>
    </xf>
    <xf numFmtId="0" fontId="99" fillId="0" borderId="90" xfId="0" applyFont="1" applyBorder="1" applyAlignment="1">
      <alignment horizontal="center" vertical="center" wrapText="1"/>
    </xf>
    <xf numFmtId="0" fontId="10" fillId="0" borderId="90" xfId="0" applyFont="1" applyBorder="1" applyAlignment="1">
      <alignment horizontal="center" vertical="center" wrapText="1"/>
    </xf>
    <xf numFmtId="0" fontId="10" fillId="0" borderId="43" xfId="0" applyFont="1" applyBorder="1" applyAlignment="1">
      <alignment horizontal="left" vertical="center" wrapText="1"/>
    </xf>
    <xf numFmtId="0" fontId="10" fillId="0" borderId="107" xfId="0" applyFont="1" applyBorder="1" applyAlignment="1">
      <alignment horizontal="left" vertical="center" wrapText="1"/>
    </xf>
    <xf numFmtId="0" fontId="98" fillId="0" borderId="32" xfId="0" applyFont="1" applyBorder="1" applyAlignment="1">
      <alignment horizontal="left" vertical="center" wrapText="1"/>
    </xf>
    <xf numFmtId="0" fontId="98" fillId="0" borderId="41" xfId="0" applyFont="1" applyBorder="1" applyAlignment="1">
      <alignment horizontal="left" vertical="center" wrapText="1"/>
    </xf>
    <xf numFmtId="0" fontId="99" fillId="0" borderId="21" xfId="0" applyFont="1" applyBorder="1" applyAlignment="1">
      <alignment horizontal="center" vertical="center" wrapText="1"/>
    </xf>
    <xf numFmtId="0" fontId="0" fillId="0" borderId="29" xfId="0" applyBorder="1" applyAlignment="1">
      <alignment horizontal="center" vertical="top" wrapText="1"/>
    </xf>
    <xf numFmtId="0" fontId="0" fillId="0" borderId="30" xfId="0" applyBorder="1" applyAlignment="1">
      <alignment horizontal="center" vertical="top" wrapText="1"/>
    </xf>
    <xf numFmtId="0" fontId="7" fillId="38" borderId="31" xfId="0" applyFont="1" applyFill="1" applyBorder="1" applyAlignment="1">
      <alignment horizontal="center" vertical="top" wrapText="1"/>
    </xf>
    <xf numFmtId="0" fontId="0" fillId="0" borderId="32" xfId="0" applyBorder="1" applyAlignment="1">
      <alignment horizontal="center" vertical="top" wrapText="1"/>
    </xf>
    <xf numFmtId="0" fontId="0" fillId="0" borderId="90" xfId="0" applyBorder="1" applyAlignment="1">
      <alignment horizontal="center" vertical="top" wrapText="1"/>
    </xf>
    <xf numFmtId="0" fontId="0" fillId="0" borderId="34" xfId="0" applyBorder="1" applyAlignment="1">
      <alignment horizontal="center" vertical="top" wrapText="1"/>
    </xf>
    <xf numFmtId="0" fontId="0" fillId="0" borderId="41" xfId="0" applyBorder="1" applyAlignment="1">
      <alignment horizontal="center" vertical="top" wrapText="1"/>
    </xf>
    <xf numFmtId="0" fontId="0" fillId="0" borderId="21" xfId="0" applyBorder="1" applyAlignment="1">
      <alignment horizontal="center" vertical="top" wrapText="1"/>
    </xf>
    <xf numFmtId="0" fontId="0" fillId="0" borderId="42" xfId="0" applyBorder="1" applyAlignment="1">
      <alignment horizontal="center" vertical="top" wrapText="1"/>
    </xf>
    <xf numFmtId="0" fontId="101" fillId="2" borderId="0" xfId="2" applyFont="1"/>
    <xf numFmtId="0" fontId="100" fillId="39" borderId="108" xfId="16"/>
    <xf numFmtId="0" fontId="102" fillId="20" borderId="0" xfId="8" applyFont="1"/>
    <xf numFmtId="0" fontId="2" fillId="2" borderId="90" xfId="2" applyBorder="1" applyAlignment="1">
      <alignment wrapText="1"/>
    </xf>
    <xf numFmtId="0" fontId="38" fillId="20" borderId="90" xfId="8" applyBorder="1" applyAlignment="1">
      <alignment wrapText="1"/>
    </xf>
    <xf numFmtId="0" fontId="103" fillId="2" borderId="0" xfId="2" applyFont="1"/>
    <xf numFmtId="0" fontId="104" fillId="20" borderId="0" xfId="8" applyFont="1" applyAlignment="1">
      <alignment horizontal="left"/>
    </xf>
    <xf numFmtId="0" fontId="105" fillId="0" borderId="0" xfId="0" applyFont="1"/>
    <xf numFmtId="0" fontId="106" fillId="0" borderId="0" xfId="0" applyFont="1"/>
    <xf numFmtId="0" fontId="107" fillId="0" borderId="0" xfId="0" applyFont="1"/>
    <xf numFmtId="0" fontId="111" fillId="0" borderId="0" xfId="0" applyFont="1"/>
    <xf numFmtId="0" fontId="112" fillId="0" borderId="0" xfId="0" applyFont="1"/>
    <xf numFmtId="0" fontId="114" fillId="0" borderId="0" xfId="0" applyFont="1"/>
    <xf numFmtId="0" fontId="115" fillId="0" borderId="0" xfId="0" applyFont="1"/>
    <xf numFmtId="0" fontId="117" fillId="0" borderId="0" xfId="0" applyFont="1"/>
    <xf numFmtId="0" fontId="118" fillId="0" borderId="0" xfId="0" applyFont="1"/>
    <xf numFmtId="0" fontId="120" fillId="0" borderId="0" xfId="0" applyFont="1"/>
    <xf numFmtId="0" fontId="119" fillId="0" borderId="0" xfId="0" applyFont="1"/>
    <xf numFmtId="0" fontId="121" fillId="0" borderId="0" xfId="0" applyFont="1"/>
    <xf numFmtId="0" fontId="31" fillId="0" borderId="0" xfId="0" applyFont="1" applyAlignment="1">
      <alignment horizontal="center"/>
    </xf>
    <xf numFmtId="0" fontId="123" fillId="0" borderId="0" xfId="0" applyFont="1"/>
    <xf numFmtId="0" fontId="30" fillId="0" borderId="0" xfId="2" applyFont="1" applyFill="1"/>
    <xf numFmtId="0" fontId="7" fillId="17" borderId="10" xfId="5" applyFill="1" applyBorder="1" applyAlignment="1">
      <alignment vertical="top"/>
    </xf>
    <xf numFmtId="0" fontId="24" fillId="17" borderId="10" xfId="5" applyFont="1" applyFill="1" applyBorder="1" applyAlignment="1">
      <alignment vertical="top"/>
    </xf>
    <xf numFmtId="0" fontId="44" fillId="17" borderId="0" xfId="5" applyFont="1" applyFill="1" applyAlignment="1">
      <alignment vertical="top"/>
    </xf>
    <xf numFmtId="0" fontId="44" fillId="17" borderId="11" xfId="5" applyFont="1" applyFill="1" applyBorder="1" applyAlignment="1">
      <alignment vertical="top"/>
    </xf>
    <xf numFmtId="0" fontId="9" fillId="17" borderId="7" xfId="5" applyFont="1" applyFill="1" applyBorder="1" applyAlignment="1">
      <alignment horizontal="left" vertical="top"/>
    </xf>
    <xf numFmtId="0" fontId="9" fillId="17" borderId="0" xfId="5" applyFont="1" applyFill="1" applyAlignment="1">
      <alignment horizontal="left" vertical="top" indent="3"/>
    </xf>
    <xf numFmtId="0" fontId="7" fillId="17" borderId="0" xfId="5" applyFill="1" applyAlignment="1">
      <alignment horizontal="left" vertical="top" indent="3"/>
    </xf>
    <xf numFmtId="0" fontId="9" fillId="17" borderId="0" xfId="5" applyFont="1" applyFill="1" applyAlignment="1">
      <alignment horizontal="left" vertical="top" indent="7"/>
    </xf>
    <xf numFmtId="0" fontId="9" fillId="17" borderId="10" xfId="5" applyFont="1" applyFill="1" applyBorder="1" applyAlignment="1">
      <alignment horizontal="left" vertical="top" indent="2"/>
    </xf>
    <xf numFmtId="0" fontId="7" fillId="17" borderId="10" xfId="5" applyFill="1" applyBorder="1" applyAlignment="1">
      <alignment horizontal="left" vertical="top" indent="2"/>
    </xf>
    <xf numFmtId="0" fontId="54" fillId="17" borderId="0" xfId="5" applyFont="1" applyFill="1" applyAlignment="1">
      <alignment horizontal="left" vertical="top" indent="7"/>
    </xf>
    <xf numFmtId="0" fontId="54" fillId="17" borderId="0" xfId="5" applyFont="1" applyFill="1" applyAlignment="1">
      <alignment horizontal="left" vertical="top" indent="6"/>
    </xf>
    <xf numFmtId="0" fontId="9" fillId="17" borderId="10" xfId="5" quotePrefix="1" applyFont="1" applyFill="1" applyBorder="1" applyAlignment="1">
      <alignment horizontal="left" vertical="center"/>
    </xf>
    <xf numFmtId="0" fontId="9" fillId="14" borderId="4" xfId="5" applyFont="1" applyFill="1" applyBorder="1" applyAlignment="1">
      <alignment horizontal="left" vertical="top"/>
    </xf>
    <xf numFmtId="0" fontId="40" fillId="17" borderId="10" xfId="5" applyFont="1" applyFill="1" applyBorder="1" applyAlignment="1">
      <alignment horizontal="left" vertical="top"/>
    </xf>
    <xf numFmtId="0" fontId="40" fillId="17" borderId="11" xfId="5" applyFont="1" applyFill="1" applyBorder="1" applyAlignment="1">
      <alignment horizontal="left" vertical="top" wrapText="1"/>
    </xf>
    <xf numFmtId="0" fontId="40" fillId="14" borderId="11" xfId="5" applyFont="1" applyFill="1" applyBorder="1" applyAlignment="1">
      <alignment horizontal="left" vertical="top"/>
    </xf>
    <xf numFmtId="0" fontId="40" fillId="17" borderId="10" xfId="5" applyFont="1" applyFill="1" applyBorder="1" applyAlignment="1">
      <alignment vertical="top"/>
    </xf>
    <xf numFmtId="0" fontId="10" fillId="26" borderId="85" xfId="5" applyFont="1" applyFill="1" applyBorder="1" applyAlignment="1">
      <alignment wrapText="1"/>
    </xf>
    <xf numFmtId="0" fontId="10" fillId="26" borderId="85" xfId="5" applyFont="1" applyFill="1" applyBorder="1" applyAlignment="1">
      <alignment horizontal="center" wrapText="1"/>
    </xf>
    <xf numFmtId="0" fontId="10" fillId="26" borderId="87" xfId="5" applyFont="1" applyFill="1" applyBorder="1" applyAlignment="1">
      <alignment wrapText="1"/>
    </xf>
    <xf numFmtId="0" fontId="67" fillId="26" borderId="74" xfId="5" applyFont="1" applyFill="1" applyBorder="1"/>
    <xf numFmtId="0" fontId="133" fillId="41" borderId="121" xfId="0" applyFont="1" applyFill="1" applyBorder="1" applyAlignment="1">
      <alignment vertical="center" wrapText="1"/>
    </xf>
    <xf numFmtId="0" fontId="135" fillId="0" borderId="113" xfId="0" applyFont="1" applyBorder="1" applyAlignment="1">
      <alignment horizontal="left" vertical="top" wrapText="1" readingOrder="1"/>
    </xf>
    <xf numFmtId="0" fontId="136" fillId="0" borderId="113" xfId="0" applyFont="1" applyBorder="1" applyAlignment="1">
      <alignment horizontal="left" vertical="top" wrapText="1" readingOrder="1"/>
    </xf>
    <xf numFmtId="15" fontId="136" fillId="0" borderId="113" xfId="0" applyNumberFormat="1" applyFont="1" applyBorder="1" applyAlignment="1">
      <alignment horizontal="left" vertical="top" wrapText="1" readingOrder="1"/>
    </xf>
    <xf numFmtId="0" fontId="96" fillId="0" borderId="0" xfId="0" applyFont="1"/>
    <xf numFmtId="0" fontId="135" fillId="0" borderId="113" xfId="0" applyFont="1" applyBorder="1" applyAlignment="1">
      <alignment vertical="top" wrapText="1" readingOrder="1"/>
    </xf>
    <xf numFmtId="0" fontId="7" fillId="17" borderId="0" xfId="5" applyFill="1"/>
    <xf numFmtId="0" fontId="0" fillId="17" borderId="133" xfId="0" applyFill="1" applyBorder="1"/>
    <xf numFmtId="0" fontId="0" fillId="17" borderId="11" xfId="0" applyFill="1" applyBorder="1"/>
    <xf numFmtId="0" fontId="0" fillId="17" borderId="24" xfId="0" applyFill="1" applyBorder="1"/>
    <xf numFmtId="0" fontId="0" fillId="17" borderId="25" xfId="0" applyFill="1" applyBorder="1"/>
    <xf numFmtId="0" fontId="4" fillId="17" borderId="0" xfId="0" applyFont="1" applyFill="1"/>
    <xf numFmtId="0" fontId="35" fillId="17" borderId="0" xfId="0" applyFont="1" applyFill="1"/>
    <xf numFmtId="0" fontId="0" fillId="17" borderId="156" xfId="0" applyFill="1" applyBorder="1"/>
    <xf numFmtId="0" fontId="0" fillId="17" borderId="154" xfId="0" applyFill="1" applyBorder="1"/>
    <xf numFmtId="0" fontId="140" fillId="0" borderId="0" xfId="0" applyFont="1"/>
    <xf numFmtId="0" fontId="7" fillId="17" borderId="0" xfId="0" applyFont="1" applyFill="1"/>
    <xf numFmtId="0" fontId="142" fillId="17" borderId="154" xfId="0" applyFont="1" applyFill="1" applyBorder="1" applyAlignment="1">
      <alignment horizontal="left"/>
    </xf>
    <xf numFmtId="0" fontId="7" fillId="17" borderId="154" xfId="0" applyFont="1" applyFill="1" applyBorder="1" applyAlignment="1">
      <alignment horizontal="center"/>
    </xf>
    <xf numFmtId="0" fontId="143" fillId="17" borderId="135" xfId="0" applyFont="1" applyFill="1" applyBorder="1" applyAlignment="1">
      <alignment horizontal="center" vertical="center"/>
    </xf>
    <xf numFmtId="0" fontId="7" fillId="17" borderId="135" xfId="0" applyFont="1" applyFill="1" applyBorder="1"/>
    <xf numFmtId="0" fontId="144" fillId="17" borderId="135" xfId="0" applyFont="1" applyFill="1" applyBorder="1" applyAlignment="1">
      <alignment textRotation="90" wrapText="1"/>
    </xf>
    <xf numFmtId="0" fontId="49" fillId="17" borderId="135" xfId="0" applyFont="1" applyFill="1" applyBorder="1"/>
    <xf numFmtId="0" fontId="144" fillId="17" borderId="135" xfId="0" applyFont="1" applyFill="1" applyBorder="1" applyAlignment="1">
      <alignment horizontal="left" textRotation="90" wrapText="1"/>
    </xf>
    <xf numFmtId="0" fontId="144" fillId="17" borderId="138" xfId="0" applyFont="1" applyFill="1" applyBorder="1" applyAlignment="1">
      <alignment horizontal="left" textRotation="90" wrapText="1"/>
    </xf>
    <xf numFmtId="0" fontId="49" fillId="17" borderId="138" xfId="0" applyFont="1" applyFill="1" applyBorder="1"/>
    <xf numFmtId="0" fontId="49" fillId="17" borderId="139" xfId="0" applyFont="1" applyFill="1" applyBorder="1" applyAlignment="1">
      <alignment textRotation="90"/>
    </xf>
    <xf numFmtId="0" fontId="63" fillId="17" borderId="139" xfId="0" applyFont="1" applyFill="1" applyBorder="1" applyAlignment="1">
      <alignment horizontal="center"/>
    </xf>
    <xf numFmtId="1" fontId="146" fillId="17" borderId="139" xfId="0" applyNumberFormat="1" applyFont="1" applyFill="1" applyBorder="1" applyAlignment="1">
      <alignment horizontal="center" vertical="center" wrapText="1"/>
    </xf>
    <xf numFmtId="0" fontId="7" fillId="17" borderId="139" xfId="0" applyFont="1" applyFill="1" applyBorder="1"/>
    <xf numFmtId="1" fontId="146" fillId="17" borderId="138" xfId="0" applyNumberFormat="1" applyFont="1" applyFill="1" applyBorder="1" applyAlignment="1">
      <alignment horizontal="center" vertical="center" wrapText="1"/>
    </xf>
    <xf numFmtId="0" fontId="7" fillId="17" borderId="153" xfId="0" applyFont="1" applyFill="1" applyBorder="1"/>
    <xf numFmtId="1" fontId="146" fillId="17" borderId="143" xfId="0" applyNumberFormat="1" applyFont="1" applyFill="1" applyBorder="1" applyAlignment="1">
      <alignment horizontal="center" vertical="center" wrapText="1"/>
    </xf>
    <xf numFmtId="0" fontId="63" fillId="17" borderId="135" xfId="0" applyFont="1" applyFill="1" applyBorder="1" applyAlignment="1">
      <alignment horizontal="center"/>
    </xf>
    <xf numFmtId="0" fontId="7" fillId="17" borderId="153" xfId="0" applyFont="1" applyFill="1" applyBorder="1" applyAlignment="1">
      <alignment wrapText="1"/>
    </xf>
    <xf numFmtId="0" fontId="7" fillId="17" borderId="135" xfId="0" applyFont="1" applyFill="1" applyBorder="1" applyAlignment="1">
      <alignment wrapText="1"/>
    </xf>
    <xf numFmtId="0" fontId="63" fillId="19" borderId="82" xfId="0" applyFont="1" applyFill="1" applyBorder="1" applyAlignment="1">
      <alignment horizontal="center"/>
    </xf>
    <xf numFmtId="0" fontId="63" fillId="19" borderId="155" xfId="0" applyFont="1" applyFill="1" applyBorder="1" applyAlignment="1">
      <alignment horizontal="center"/>
    </xf>
    <xf numFmtId="0" fontId="145" fillId="13" borderId="137" xfId="0" applyFont="1" applyFill="1" applyBorder="1" applyAlignment="1">
      <alignment horizontal="left" vertical="center" wrapText="1"/>
    </xf>
    <xf numFmtId="0" fontId="144" fillId="13" borderId="137" xfId="0" applyFont="1" applyFill="1" applyBorder="1" applyAlignment="1">
      <alignment horizontal="left" vertical="center" wrapText="1"/>
    </xf>
    <xf numFmtId="0" fontId="144" fillId="13" borderId="135" xfId="0" applyFont="1" applyFill="1" applyBorder="1" applyAlignment="1">
      <alignment horizontal="left" textRotation="90" wrapText="1"/>
    </xf>
    <xf numFmtId="0" fontId="144" fillId="12" borderId="135" xfId="0" applyFont="1" applyFill="1" applyBorder="1" applyAlignment="1">
      <alignment horizontal="left" textRotation="90" wrapText="1"/>
    </xf>
    <xf numFmtId="0" fontId="144" fillId="12" borderId="137" xfId="0" applyFont="1" applyFill="1" applyBorder="1" applyAlignment="1">
      <alignment horizontal="left" vertical="center" wrapText="1"/>
    </xf>
    <xf numFmtId="0" fontId="144" fillId="42" borderId="135" xfId="0" applyFont="1" applyFill="1" applyBorder="1" applyAlignment="1">
      <alignment horizontal="left" textRotation="90" wrapText="1"/>
    </xf>
    <xf numFmtId="0" fontId="144" fillId="42" borderId="137" xfId="0" applyFont="1" applyFill="1" applyBorder="1" applyAlignment="1">
      <alignment horizontal="left" vertical="center" wrapText="1"/>
    </xf>
    <xf numFmtId="0" fontId="144" fillId="12" borderId="138" xfId="0" applyFont="1" applyFill="1" applyBorder="1" applyAlignment="1">
      <alignment horizontal="left" textRotation="90" wrapText="1"/>
    </xf>
    <xf numFmtId="0" fontId="147" fillId="17" borderId="0" xfId="0" applyFont="1" applyFill="1"/>
    <xf numFmtId="0" fontId="54" fillId="17" borderId="0" xfId="0" applyFont="1" applyFill="1"/>
    <xf numFmtId="0" fontId="149" fillId="17" borderId="0" xfId="0" applyFont="1" applyFill="1" applyAlignment="1">
      <alignment horizontal="left"/>
    </xf>
    <xf numFmtId="0" fontId="150" fillId="17" borderId="0" xfId="0" applyFont="1" applyFill="1" applyAlignment="1">
      <alignment horizontal="center"/>
    </xf>
    <xf numFmtId="0" fontId="150" fillId="17" borderId="0" xfId="0" applyFont="1" applyFill="1"/>
    <xf numFmtId="0" fontId="149" fillId="17" borderId="154" xfId="0" applyFont="1" applyFill="1" applyBorder="1" applyAlignment="1">
      <alignment horizontal="left"/>
    </xf>
    <xf numFmtId="2" fontId="4" fillId="5" borderId="0" xfId="0" applyNumberFormat="1" applyFont="1" applyFill="1"/>
    <xf numFmtId="0" fontId="4" fillId="5" borderId="0" xfId="0" applyFont="1" applyFill="1"/>
    <xf numFmtId="167" fontId="4" fillId="5" borderId="0" xfId="1" applyNumberFormat="1" applyFont="1" applyFill="1"/>
    <xf numFmtId="166" fontId="4" fillId="5" borderId="0" xfId="0" applyNumberFormat="1" applyFont="1" applyFill="1"/>
    <xf numFmtId="0" fontId="0" fillId="0" borderId="140" xfId="0" applyBorder="1"/>
    <xf numFmtId="0" fontId="0" fillId="0" borderId="141" xfId="0" applyBorder="1"/>
    <xf numFmtId="0" fontId="0" fillId="0" borderId="142" xfId="0" applyBorder="1"/>
    <xf numFmtId="0" fontId="0" fillId="0" borderId="133" xfId="0" applyBorder="1"/>
    <xf numFmtId="0" fontId="0" fillId="0" borderId="11" xfId="0" applyBorder="1"/>
    <xf numFmtId="0" fontId="0" fillId="0" borderId="156" xfId="0" applyBorder="1"/>
    <xf numFmtId="0" fontId="0" fillId="0" borderId="154" xfId="0" applyBorder="1"/>
    <xf numFmtId="0" fontId="0" fillId="0" borderId="155" xfId="0" applyBorder="1"/>
    <xf numFmtId="0" fontId="152" fillId="0" borderId="0" xfId="0" applyFont="1"/>
    <xf numFmtId="0" fontId="0" fillId="17" borderId="166" xfId="0" applyFill="1" applyBorder="1"/>
    <xf numFmtId="0" fontId="50" fillId="17" borderId="0" xfId="0" applyFont="1" applyFill="1"/>
    <xf numFmtId="0" fontId="36" fillId="17" borderId="0" xfId="0" applyFont="1" applyFill="1"/>
    <xf numFmtId="0" fontId="54" fillId="17" borderId="6" xfId="5" applyFont="1" applyFill="1" applyBorder="1" applyAlignment="1">
      <alignment horizontal="center" vertical="top" wrapText="1"/>
    </xf>
    <xf numFmtId="0" fontId="153" fillId="0" borderId="0" xfId="0" applyFont="1"/>
    <xf numFmtId="0" fontId="0" fillId="0" borderId="168" xfId="0" applyBorder="1"/>
    <xf numFmtId="0" fontId="14" fillId="0" borderId="157" xfId="5" applyFont="1" applyBorder="1" applyAlignment="1">
      <alignment horizontal="center" vertical="center" wrapText="1"/>
    </xf>
    <xf numFmtId="0" fontId="14" fillId="17" borderId="168" xfId="5" applyFont="1" applyFill="1" applyBorder="1" applyAlignment="1">
      <alignment horizontal="center" vertical="center" wrapText="1"/>
    </xf>
    <xf numFmtId="0" fontId="14" fillId="17" borderId="81" xfId="5" applyFont="1" applyFill="1" applyBorder="1" applyAlignment="1">
      <alignment horizontal="center" vertical="center" wrapText="1"/>
    </xf>
    <xf numFmtId="0" fontId="14" fillId="17" borderId="157" xfId="5" applyFont="1" applyFill="1" applyBorder="1" applyAlignment="1">
      <alignment horizontal="center" vertical="center" wrapText="1"/>
    </xf>
    <xf numFmtId="0" fontId="14" fillId="26" borderId="158" xfId="5" applyFont="1" applyFill="1" applyBorder="1" applyAlignment="1">
      <alignment horizontal="center" vertical="center" wrapText="1"/>
    </xf>
    <xf numFmtId="0" fontId="14" fillId="0" borderId="159" xfId="5" applyFont="1" applyBorder="1" applyAlignment="1">
      <alignment horizontal="center" vertical="center" wrapText="1"/>
    </xf>
    <xf numFmtId="0" fontId="14" fillId="17" borderId="160" xfId="5" applyFont="1" applyFill="1" applyBorder="1" applyAlignment="1">
      <alignment horizontal="center" vertical="center" wrapText="1"/>
    </xf>
    <xf numFmtId="0" fontId="14" fillId="17" borderId="80" xfId="5" applyFont="1" applyFill="1" applyBorder="1" applyAlignment="1">
      <alignment horizontal="center" vertical="center" wrapText="1"/>
    </xf>
    <xf numFmtId="0" fontId="14" fillId="17" borderId="159" xfId="5" applyFont="1" applyFill="1" applyBorder="1" applyAlignment="1">
      <alignment horizontal="center" vertical="center" wrapText="1"/>
    </xf>
    <xf numFmtId="0" fontId="7" fillId="27" borderId="133" xfId="5" applyFill="1" applyBorder="1" applyAlignment="1" applyProtection="1">
      <alignment vertical="center"/>
      <protection hidden="1"/>
    </xf>
    <xf numFmtId="0" fontId="7" fillId="27" borderId="156" xfId="5" applyFill="1" applyBorder="1" applyAlignment="1" applyProtection="1">
      <alignment vertical="center"/>
      <protection hidden="1"/>
    </xf>
    <xf numFmtId="0" fontId="7" fillId="27" borderId="154" xfId="5" applyFill="1" applyBorder="1" applyAlignment="1" applyProtection="1">
      <alignment vertical="center"/>
      <protection hidden="1"/>
    </xf>
    <xf numFmtId="0" fontId="7" fillId="27" borderId="155" xfId="5" applyFill="1" applyBorder="1" applyAlignment="1" applyProtection="1">
      <alignment vertical="center"/>
      <protection hidden="1"/>
    </xf>
    <xf numFmtId="0" fontId="7" fillId="34" borderId="156" xfId="5" applyFill="1" applyBorder="1" applyAlignment="1" applyProtection="1">
      <alignment horizontal="right" vertical="center"/>
      <protection hidden="1"/>
    </xf>
    <xf numFmtId="0" fontId="7" fillId="34" borderId="155" xfId="5" applyFill="1" applyBorder="1" applyAlignment="1" applyProtection="1">
      <alignment horizontal="left" vertical="center"/>
      <protection hidden="1"/>
    </xf>
    <xf numFmtId="0" fontId="7" fillId="34" borderId="133" xfId="5" applyFill="1" applyBorder="1" applyAlignment="1" applyProtection="1">
      <alignment vertical="center"/>
      <protection hidden="1"/>
    </xf>
    <xf numFmtId="0" fontId="7" fillId="34" borderId="154" xfId="5" applyFill="1" applyBorder="1" applyAlignment="1" applyProtection="1">
      <alignment vertical="center"/>
      <protection hidden="1"/>
    </xf>
    <xf numFmtId="0" fontId="7" fillId="34" borderId="155" xfId="5" applyFill="1" applyBorder="1" applyAlignment="1" applyProtection="1">
      <alignment vertical="center"/>
      <protection hidden="1"/>
    </xf>
    <xf numFmtId="0" fontId="7" fillId="34" borderId="156" xfId="5" applyFill="1" applyBorder="1" applyAlignment="1" applyProtection="1">
      <alignment vertical="center"/>
      <protection hidden="1"/>
    </xf>
    <xf numFmtId="0" fontId="10" fillId="34" borderId="133" xfId="5" applyFont="1" applyFill="1" applyBorder="1" applyProtection="1">
      <protection hidden="1"/>
    </xf>
    <xf numFmtId="0" fontId="10" fillId="34" borderId="154" xfId="5" applyFont="1" applyFill="1" applyBorder="1" applyAlignment="1" applyProtection="1">
      <alignment horizontal="center"/>
      <protection hidden="1"/>
    </xf>
    <xf numFmtId="0" fontId="10" fillId="34" borderId="154" xfId="5" applyFont="1" applyFill="1" applyBorder="1" applyProtection="1">
      <protection hidden="1"/>
    </xf>
    <xf numFmtId="10" fontId="10" fillId="34" borderId="155" xfId="5" applyNumberFormat="1" applyFont="1" applyFill="1" applyBorder="1" applyAlignment="1" applyProtection="1">
      <alignment horizontal="right"/>
      <protection hidden="1"/>
    </xf>
    <xf numFmtId="0" fontId="8" fillId="34" borderId="133" xfId="5" applyFont="1" applyFill="1" applyBorder="1" applyProtection="1">
      <protection hidden="1"/>
    </xf>
    <xf numFmtId="10" fontId="10" fillId="34" borderId="154" xfId="5" applyNumberFormat="1" applyFont="1" applyFill="1" applyBorder="1" applyAlignment="1" applyProtection="1">
      <alignment horizontal="right"/>
      <protection hidden="1"/>
    </xf>
    <xf numFmtId="0" fontId="10" fillId="34" borderId="154" xfId="5" applyFont="1" applyFill="1" applyBorder="1" applyAlignment="1" applyProtection="1">
      <alignment horizontal="right"/>
      <protection hidden="1"/>
    </xf>
    <xf numFmtId="0" fontId="8" fillId="15" borderId="133" xfId="5" applyFont="1" applyFill="1" applyBorder="1" applyProtection="1">
      <protection hidden="1"/>
    </xf>
    <xf numFmtId="0" fontId="10" fillId="15" borderId="133" xfId="5" applyFont="1" applyFill="1" applyBorder="1" applyProtection="1">
      <protection hidden="1"/>
    </xf>
    <xf numFmtId="0" fontId="10" fillId="15" borderId="154" xfId="5" applyFont="1" applyFill="1" applyBorder="1" applyAlignment="1" applyProtection="1">
      <alignment horizontal="center"/>
      <protection hidden="1"/>
    </xf>
    <xf numFmtId="0" fontId="10" fillId="15" borderId="154" xfId="5" applyFont="1" applyFill="1" applyBorder="1" applyProtection="1">
      <protection hidden="1"/>
    </xf>
    <xf numFmtId="10" fontId="10" fillId="15" borderId="154" xfId="5" applyNumberFormat="1" applyFont="1" applyFill="1" applyBorder="1" applyAlignment="1" applyProtection="1">
      <alignment horizontal="right"/>
      <protection hidden="1"/>
    </xf>
    <xf numFmtId="0" fontId="10" fillId="15" borderId="154" xfId="5" applyFont="1" applyFill="1" applyBorder="1" applyAlignment="1" applyProtection="1">
      <alignment horizontal="right"/>
      <protection hidden="1"/>
    </xf>
    <xf numFmtId="10" fontId="10" fillId="15" borderId="155" xfId="5" applyNumberFormat="1" applyFont="1" applyFill="1" applyBorder="1" applyAlignment="1" applyProtection="1">
      <alignment horizontal="right"/>
      <protection hidden="1"/>
    </xf>
    <xf numFmtId="0" fontId="10" fillId="34" borderId="156" xfId="5" applyFont="1" applyFill="1" applyBorder="1" applyProtection="1">
      <protection hidden="1"/>
    </xf>
    <xf numFmtId="0" fontId="10" fillId="34" borderId="155" xfId="5" applyFont="1" applyFill="1" applyBorder="1" applyProtection="1">
      <protection hidden="1"/>
    </xf>
    <xf numFmtId="0" fontId="36" fillId="26" borderId="75" xfId="0" applyFont="1" applyFill="1" applyBorder="1" applyAlignment="1">
      <alignment horizontal="center" vertical="center" wrapText="1"/>
    </xf>
    <xf numFmtId="0" fontId="36" fillId="26" borderId="17" xfId="0" applyFont="1" applyFill="1" applyBorder="1" applyAlignment="1">
      <alignment horizontal="center" vertical="center" wrapText="1"/>
    </xf>
    <xf numFmtId="0" fontId="36" fillId="26" borderId="76" xfId="0" applyFont="1" applyFill="1" applyBorder="1" applyAlignment="1">
      <alignment horizontal="center" vertical="center" wrapText="1"/>
    </xf>
    <xf numFmtId="0" fontId="4" fillId="0" borderId="0" xfId="0" applyFont="1" applyAlignment="1">
      <alignment wrapText="1"/>
    </xf>
    <xf numFmtId="0" fontId="0" fillId="0" borderId="157" xfId="0" applyBorder="1"/>
    <xf numFmtId="0" fontId="0" fillId="0" borderId="168" xfId="0" applyBorder="1" applyAlignment="1">
      <alignment horizontal="left" vertical="center"/>
    </xf>
    <xf numFmtId="15" fontId="0" fillId="0" borderId="168" xfId="0" applyNumberFormat="1" applyBorder="1" applyAlignment="1">
      <alignment horizontal="left" vertical="center"/>
    </xf>
    <xf numFmtId="0" fontId="0" fillId="0" borderId="168" xfId="0" applyBorder="1" applyAlignment="1">
      <alignment horizontal="left" vertical="center" wrapText="1"/>
    </xf>
    <xf numFmtId="0" fontId="0" fillId="0" borderId="158" xfId="0" applyBorder="1" applyAlignment="1">
      <alignment horizontal="left" vertical="center"/>
    </xf>
    <xf numFmtId="0" fontId="0" fillId="0" borderId="159" xfId="0" applyBorder="1"/>
    <xf numFmtId="0" fontId="0" fillId="0" borderId="160" xfId="0" applyBorder="1" applyAlignment="1">
      <alignment horizontal="left" vertical="center"/>
    </xf>
    <xf numFmtId="0" fontId="0" fillId="0" borderId="161" xfId="0" applyBorder="1" applyAlignment="1">
      <alignment horizontal="left" vertical="center"/>
    </xf>
    <xf numFmtId="0" fontId="53" fillId="8" borderId="0" xfId="4" applyFont="1" applyFill="1" applyAlignment="1">
      <alignment horizontal="center"/>
    </xf>
    <xf numFmtId="0" fontId="6" fillId="8" borderId="0" xfId="4" applyFont="1" applyFill="1" applyAlignment="1">
      <alignment horizontal="center"/>
    </xf>
    <xf numFmtId="0" fontId="22" fillId="8" borderId="0" xfId="4" applyFont="1" applyFill="1" applyAlignment="1">
      <alignment horizontal="center"/>
    </xf>
    <xf numFmtId="2" fontId="154" fillId="5" borderId="0" xfId="0" applyNumberFormat="1" applyFont="1" applyFill="1"/>
    <xf numFmtId="0" fontId="6" fillId="8" borderId="0" xfId="4" applyFont="1" applyFill="1" applyAlignment="1">
      <alignment vertical="center"/>
    </xf>
    <xf numFmtId="0" fontId="155" fillId="23" borderId="0" xfId="11" applyFont="1"/>
    <xf numFmtId="0" fontId="106" fillId="2" borderId="0" xfId="2" applyFont="1"/>
    <xf numFmtId="0" fontId="156" fillId="0" borderId="0" xfId="4" applyFont="1"/>
    <xf numFmtId="0" fontId="111" fillId="22" borderId="0" xfId="10" applyFont="1"/>
    <xf numFmtId="0" fontId="111" fillId="0" borderId="0" xfId="2" applyFont="1" applyFill="1"/>
    <xf numFmtId="0" fontId="114" fillId="21" borderId="0" xfId="9" applyFont="1"/>
    <xf numFmtId="0" fontId="114" fillId="0" borderId="0" xfId="2" applyFont="1" applyFill="1"/>
    <xf numFmtId="0" fontId="117" fillId="24" borderId="0" xfId="12" applyFont="1"/>
    <xf numFmtId="0" fontId="0" fillId="40" borderId="168" xfId="0" applyFill="1" applyBorder="1" applyAlignment="1">
      <alignment horizontal="center"/>
    </xf>
    <xf numFmtId="0" fontId="0" fillId="17" borderId="164" xfId="0" applyFill="1" applyBorder="1"/>
    <xf numFmtId="0" fontId="0" fillId="0" borderId="153" xfId="0" applyBorder="1"/>
    <xf numFmtId="0" fontId="157" fillId="0" borderId="0" xfId="0" applyFont="1"/>
    <xf numFmtId="0" fontId="0" fillId="4" borderId="168" xfId="0" applyFill="1" applyBorder="1" applyAlignment="1">
      <alignment horizontal="center"/>
    </xf>
    <xf numFmtId="9" fontId="0" fillId="4" borderId="168" xfId="1" applyFont="1" applyFill="1" applyBorder="1" applyAlignment="1">
      <alignment horizontal="center"/>
    </xf>
    <xf numFmtId="0" fontId="0" fillId="0" borderId="164" xfId="0" applyBorder="1" applyAlignment="1">
      <alignment horizontal="center"/>
    </xf>
    <xf numFmtId="0" fontId="0" fillId="0" borderId="153" xfId="0" applyBorder="1" applyAlignment="1">
      <alignment horizontal="center"/>
    </xf>
    <xf numFmtId="0" fontId="0" fillId="17" borderId="164" xfId="0" applyFill="1" applyBorder="1" applyAlignment="1">
      <alignment wrapText="1"/>
    </xf>
    <xf numFmtId="0" fontId="5" fillId="0" borderId="0" xfId="4"/>
    <xf numFmtId="0" fontId="8" fillId="27" borderId="0" xfId="5" applyFont="1" applyFill="1" applyAlignment="1" applyProtection="1">
      <alignment horizontal="left"/>
      <protection hidden="1"/>
    </xf>
    <xf numFmtId="0" fontId="10" fillId="34" borderId="133" xfId="5" applyFont="1" applyFill="1" applyBorder="1" applyAlignment="1" applyProtection="1">
      <alignment horizontal="left"/>
      <protection hidden="1"/>
    </xf>
    <xf numFmtId="0" fontId="10" fillId="15" borderId="133" xfId="5" applyFont="1" applyFill="1" applyBorder="1" applyAlignment="1" applyProtection="1">
      <alignment horizontal="left"/>
      <protection hidden="1"/>
    </xf>
    <xf numFmtId="0" fontId="159" fillId="0" borderId="0" xfId="0" applyFont="1"/>
    <xf numFmtId="0" fontId="7" fillId="0" borderId="172" xfId="5" applyBorder="1" applyAlignment="1" applyProtection="1">
      <alignment vertical="center"/>
      <protection locked="0"/>
    </xf>
    <xf numFmtId="0" fontId="7" fillId="34" borderId="172" xfId="5" applyFill="1" applyBorder="1" applyAlignment="1" applyProtection="1">
      <alignment horizontal="center" vertical="center"/>
      <protection hidden="1"/>
    </xf>
    <xf numFmtId="0" fontId="7" fillId="34" borderId="172" xfId="5" applyFill="1" applyBorder="1" applyAlignment="1" applyProtection="1">
      <alignment vertical="center"/>
      <protection hidden="1"/>
    </xf>
    <xf numFmtId="0" fontId="7" fillId="35" borderId="172" xfId="5" applyFill="1" applyBorder="1" applyAlignment="1" applyProtection="1">
      <alignment horizontal="center" vertical="center"/>
      <protection hidden="1"/>
    </xf>
    <xf numFmtId="0" fontId="7" fillId="0" borderId="174" xfId="5" applyBorder="1" applyAlignment="1" applyProtection="1">
      <alignment vertical="center"/>
      <protection locked="0"/>
    </xf>
    <xf numFmtId="0" fontId="7" fillId="35" borderId="172" xfId="5" applyFill="1" applyBorder="1" applyAlignment="1" applyProtection="1">
      <alignment horizontal="right" vertical="center"/>
      <protection hidden="1"/>
    </xf>
    <xf numFmtId="0" fontId="0" fillId="0" borderId="172" xfId="0" applyBorder="1" applyAlignment="1" applyProtection="1">
      <alignment vertical="center"/>
      <protection locked="0"/>
    </xf>
    <xf numFmtId="0" fontId="7" fillId="35" borderId="174" xfId="5" applyFill="1" applyBorder="1" applyAlignment="1" applyProtection="1">
      <alignment vertical="center"/>
      <protection hidden="1"/>
    </xf>
    <xf numFmtId="0" fontId="7" fillId="35" borderId="175" xfId="5" applyFill="1" applyBorder="1" applyAlignment="1" applyProtection="1">
      <alignment horizontal="right" vertical="center"/>
      <protection hidden="1"/>
    </xf>
    <xf numFmtId="0" fontId="7" fillId="34" borderId="174" xfId="5" applyFill="1" applyBorder="1" applyAlignment="1" applyProtection="1">
      <alignment horizontal="right" vertical="center"/>
      <protection hidden="1"/>
    </xf>
    <xf numFmtId="0" fontId="7" fillId="34" borderId="175" xfId="5" applyFill="1" applyBorder="1" applyAlignment="1" applyProtection="1">
      <alignment horizontal="left" vertical="center"/>
      <protection hidden="1"/>
    </xf>
    <xf numFmtId="0" fontId="7" fillId="34" borderId="169" xfId="5" applyFill="1" applyBorder="1" applyAlignment="1" applyProtection="1">
      <alignment horizontal="right" vertical="center"/>
      <protection hidden="1"/>
    </xf>
    <xf numFmtId="0" fontId="7" fillId="34" borderId="171" xfId="5" applyFill="1" applyBorder="1" applyAlignment="1" applyProtection="1">
      <alignment horizontal="left" vertical="center"/>
      <protection hidden="1"/>
    </xf>
    <xf numFmtId="0" fontId="7" fillId="35" borderId="176" xfId="5" applyFill="1" applyBorder="1" applyAlignment="1" applyProtection="1">
      <alignment vertical="center"/>
      <protection hidden="1"/>
    </xf>
    <xf numFmtId="0" fontId="7" fillId="35" borderId="175" xfId="5" applyFill="1" applyBorder="1" applyAlignment="1" applyProtection="1">
      <alignment vertical="center"/>
      <protection hidden="1"/>
    </xf>
    <xf numFmtId="0" fontId="7" fillId="34" borderId="174" xfId="5" applyFill="1" applyBorder="1" applyAlignment="1" applyProtection="1">
      <alignment vertical="center"/>
      <protection hidden="1"/>
    </xf>
    <xf numFmtId="0" fontId="7" fillId="34" borderId="169" xfId="5" applyFill="1" applyBorder="1" applyAlignment="1" applyProtection="1">
      <alignment vertical="center"/>
      <protection hidden="1"/>
    </xf>
    <xf numFmtId="0" fontId="7" fillId="34" borderId="170" xfId="5" applyFill="1" applyBorder="1" applyAlignment="1" applyProtection="1">
      <alignment vertical="center"/>
      <protection hidden="1"/>
    </xf>
    <xf numFmtId="0" fontId="7" fillId="34" borderId="171" xfId="5" applyFill="1" applyBorder="1" applyAlignment="1" applyProtection="1">
      <alignment vertical="center"/>
      <protection hidden="1"/>
    </xf>
    <xf numFmtId="0" fontId="7" fillId="35" borderId="177" xfId="5" applyFill="1" applyBorder="1" applyAlignment="1" applyProtection="1">
      <alignment horizontal="center" vertical="center"/>
      <protection hidden="1"/>
    </xf>
    <xf numFmtId="0" fontId="7" fillId="34" borderId="178" xfId="5" applyFill="1" applyBorder="1" applyAlignment="1" applyProtection="1">
      <alignment horizontal="center" vertical="center"/>
      <protection hidden="1"/>
    </xf>
    <xf numFmtId="0" fontId="7" fillId="35" borderId="179" xfId="5" applyFill="1" applyBorder="1" applyAlignment="1" applyProtection="1">
      <alignment horizontal="center" vertical="center"/>
      <protection hidden="1"/>
    </xf>
    <xf numFmtId="0" fontId="7" fillId="34" borderId="180" xfId="5" applyFill="1" applyBorder="1" applyAlignment="1" applyProtection="1">
      <alignment horizontal="center" vertical="center"/>
      <protection hidden="1"/>
    </xf>
    <xf numFmtId="0" fontId="7" fillId="34" borderId="181" xfId="5" applyFill="1" applyBorder="1" applyAlignment="1" applyProtection="1">
      <alignment horizontal="center" vertical="center"/>
      <protection hidden="1"/>
    </xf>
    <xf numFmtId="0" fontId="8" fillId="35" borderId="174" xfId="5" applyFont="1" applyFill="1" applyBorder="1" applyProtection="1">
      <protection hidden="1"/>
    </xf>
    <xf numFmtId="0" fontId="8" fillId="35" borderId="176" xfId="5" applyFont="1" applyFill="1" applyBorder="1" applyProtection="1">
      <protection hidden="1"/>
    </xf>
    <xf numFmtId="0" fontId="10" fillId="35" borderId="175" xfId="5" applyFont="1" applyFill="1" applyBorder="1" applyProtection="1">
      <protection hidden="1"/>
    </xf>
    <xf numFmtId="0" fontId="10" fillId="35" borderId="176" xfId="5" applyFont="1" applyFill="1" applyBorder="1" applyProtection="1">
      <protection hidden="1"/>
    </xf>
    <xf numFmtId="0" fontId="10" fillId="34" borderId="176" xfId="5" applyFont="1" applyFill="1" applyBorder="1" applyAlignment="1" applyProtection="1">
      <alignment horizontal="left"/>
      <protection hidden="1"/>
    </xf>
    <xf numFmtId="0" fontId="10" fillId="34" borderId="176" xfId="5" applyFont="1" applyFill="1" applyBorder="1" applyProtection="1">
      <protection hidden="1"/>
    </xf>
    <xf numFmtId="0" fontId="10" fillId="34" borderId="175" xfId="5" applyFont="1" applyFill="1" applyBorder="1" applyProtection="1">
      <protection hidden="1"/>
    </xf>
    <xf numFmtId="0" fontId="8" fillId="37" borderId="174" xfId="5" applyFont="1" applyFill="1" applyBorder="1" applyProtection="1">
      <protection hidden="1"/>
    </xf>
    <xf numFmtId="0" fontId="8" fillId="37" borderId="176" xfId="5" applyFont="1" applyFill="1" applyBorder="1" applyProtection="1">
      <protection hidden="1"/>
    </xf>
    <xf numFmtId="0" fontId="10" fillId="37" borderId="176" xfId="5" applyFont="1" applyFill="1" applyBorder="1" applyProtection="1">
      <protection hidden="1"/>
    </xf>
    <xf numFmtId="0" fontId="10" fillId="37" borderId="175" xfId="5" applyFont="1" applyFill="1" applyBorder="1" applyProtection="1">
      <protection hidden="1"/>
    </xf>
    <xf numFmtId="0" fontId="8" fillId="35" borderId="175" xfId="5" applyFont="1" applyFill="1" applyBorder="1" applyProtection="1">
      <protection hidden="1"/>
    </xf>
    <xf numFmtId="0" fontId="7" fillId="34" borderId="169" xfId="5" applyFill="1" applyBorder="1" applyAlignment="1">
      <alignment horizontal="center"/>
    </xf>
    <xf numFmtId="0" fontId="7" fillId="34" borderId="171" xfId="5" applyFill="1" applyBorder="1" applyAlignment="1">
      <alignment horizontal="center"/>
    </xf>
    <xf numFmtId="0" fontId="7" fillId="34" borderId="169" xfId="5" applyFill="1" applyBorder="1"/>
    <xf numFmtId="0" fontId="7" fillId="34" borderId="170" xfId="5" applyFill="1" applyBorder="1" applyAlignment="1">
      <alignment horizontal="center"/>
    </xf>
    <xf numFmtId="0" fontId="7" fillId="34" borderId="171" xfId="5" applyFill="1" applyBorder="1"/>
    <xf numFmtId="0" fontId="7" fillId="34" borderId="174" xfId="5" applyFill="1" applyBorder="1"/>
    <xf numFmtId="0" fontId="7" fillId="34" borderId="176" xfId="5" applyFill="1" applyBorder="1" applyAlignment="1">
      <alignment horizontal="center"/>
    </xf>
    <xf numFmtId="0" fontId="7" fillId="34" borderId="175" xfId="5" applyFill="1" applyBorder="1"/>
    <xf numFmtId="0" fontId="7" fillId="34" borderId="156" xfId="5" applyFill="1" applyBorder="1" applyAlignment="1">
      <alignment horizontal="center"/>
    </xf>
    <xf numFmtId="0" fontId="7" fillId="34" borderId="155" xfId="5" applyFill="1" applyBorder="1" applyAlignment="1">
      <alignment horizontal="center"/>
    </xf>
    <xf numFmtId="0" fontId="7" fillId="34" borderId="172" xfId="5" applyFill="1" applyBorder="1" applyAlignment="1">
      <alignment horizontal="center"/>
    </xf>
    <xf numFmtId="0" fontId="7" fillId="34" borderId="173" xfId="5" applyFill="1" applyBorder="1" applyAlignment="1">
      <alignment horizontal="center"/>
    </xf>
    <xf numFmtId="0" fontId="7" fillId="34" borderId="172" xfId="5" applyFill="1" applyBorder="1"/>
    <xf numFmtId="0" fontId="7" fillId="34" borderId="172" xfId="5" applyFill="1" applyBorder="1" applyAlignment="1">
      <alignment horizontal="left"/>
    </xf>
    <xf numFmtId="171" fontId="7" fillId="34" borderId="172" xfId="5" applyNumberFormat="1" applyFill="1" applyBorder="1"/>
    <xf numFmtId="0" fontId="7" fillId="34" borderId="133" xfId="5" applyFill="1" applyBorder="1" applyAlignment="1">
      <alignment horizontal="center"/>
    </xf>
    <xf numFmtId="0" fontId="7" fillId="34" borderId="143" xfId="5" applyFill="1" applyBorder="1" applyAlignment="1">
      <alignment horizontal="center"/>
    </xf>
    <xf numFmtId="0" fontId="7" fillId="34" borderId="153" xfId="5" applyFill="1" applyBorder="1" applyAlignment="1">
      <alignment horizontal="center"/>
    </xf>
    <xf numFmtId="0" fontId="90" fillId="34" borderId="172" xfId="15" applyFill="1" applyBorder="1" applyAlignment="1" applyProtection="1">
      <alignment horizontal="center"/>
    </xf>
    <xf numFmtId="0" fontId="7" fillId="34" borderId="173" xfId="5" applyFill="1" applyBorder="1"/>
    <xf numFmtId="0" fontId="7" fillId="34" borderId="174" xfId="5" applyFill="1" applyBorder="1" applyAlignment="1">
      <alignment horizontal="center"/>
    </xf>
    <xf numFmtId="0" fontId="7" fillId="34" borderId="175" xfId="5" applyFill="1" applyBorder="1" applyAlignment="1">
      <alignment horizontal="center"/>
    </xf>
    <xf numFmtId="0" fontId="7" fillId="34" borderId="176" xfId="5" applyFill="1" applyBorder="1"/>
    <xf numFmtId="0" fontId="7" fillId="36" borderId="172" xfId="5" applyFill="1" applyBorder="1"/>
    <xf numFmtId="0" fontId="90" fillId="36" borderId="172" xfId="15" applyFill="1" applyBorder="1" applyAlignment="1">
      <alignment horizontal="center"/>
      <protection locked="0"/>
    </xf>
    <xf numFmtId="0" fontId="7" fillId="36" borderId="173" xfId="5" applyFill="1" applyBorder="1"/>
    <xf numFmtId="0" fontId="7" fillId="36" borderId="143" xfId="5" applyFill="1" applyBorder="1"/>
    <xf numFmtId="0" fontId="7" fillId="36" borderId="153" xfId="5" applyFill="1" applyBorder="1"/>
    <xf numFmtId="0" fontId="7" fillId="34" borderId="170" xfId="5" applyFill="1" applyBorder="1"/>
    <xf numFmtId="0" fontId="90" fillId="25" borderId="172" xfId="15" applyFill="1" applyBorder="1" applyAlignment="1">
      <alignment horizontal="center"/>
      <protection locked="0"/>
    </xf>
    <xf numFmtId="0" fontId="7" fillId="34" borderId="133" xfId="5" applyFill="1" applyBorder="1"/>
    <xf numFmtId="0" fontId="7" fillId="34" borderId="143" xfId="5" applyFill="1" applyBorder="1"/>
    <xf numFmtId="0" fontId="7" fillId="34" borderId="156" xfId="5" applyFill="1" applyBorder="1"/>
    <xf numFmtId="0" fontId="7" fillId="34" borderId="154" xfId="5" applyFill="1" applyBorder="1"/>
    <xf numFmtId="0" fontId="7" fillId="34" borderId="155" xfId="5" applyFill="1" applyBorder="1"/>
    <xf numFmtId="0" fontId="7" fillId="34" borderId="153" xfId="5" applyFill="1" applyBorder="1"/>
    <xf numFmtId="0" fontId="7" fillId="25" borderId="172" xfId="5" applyFill="1" applyBorder="1" applyAlignment="1">
      <alignment horizontal="center"/>
    </xf>
    <xf numFmtId="0" fontId="90" fillId="36" borderId="172" xfId="15" applyFill="1" applyBorder="1" applyAlignment="1" applyProtection="1">
      <alignment horizontal="center"/>
    </xf>
    <xf numFmtId="0" fontId="7" fillId="36" borderId="172" xfId="5" applyFill="1" applyBorder="1" applyAlignment="1" applyProtection="1">
      <alignment horizontal="center"/>
      <protection locked="0"/>
    </xf>
    <xf numFmtId="0" fontId="7" fillId="36" borderId="172" xfId="5" applyFill="1" applyBorder="1" applyAlignment="1">
      <alignment horizontal="right"/>
    </xf>
    <xf numFmtId="0" fontId="18" fillId="0" borderId="0" xfId="0" applyFont="1" applyAlignment="1">
      <alignment horizontal="left"/>
    </xf>
    <xf numFmtId="0" fontId="17" fillId="0" borderId="0" xfId="0" applyFont="1" applyAlignment="1">
      <alignment horizontal="left"/>
    </xf>
    <xf numFmtId="0" fontId="4" fillId="10" borderId="182" xfId="0" applyFont="1" applyFill="1" applyBorder="1"/>
    <xf numFmtId="0" fontId="4" fillId="10" borderId="183" xfId="0" applyFont="1" applyFill="1" applyBorder="1"/>
    <xf numFmtId="0" fontId="158" fillId="10" borderId="184" xfId="0" applyFont="1" applyFill="1" applyBorder="1"/>
    <xf numFmtId="0" fontId="4" fillId="10" borderId="133" xfId="0" applyFont="1" applyFill="1" applyBorder="1"/>
    <xf numFmtId="0" fontId="4" fillId="10" borderId="0" xfId="0" applyFont="1" applyFill="1" applyBorder="1"/>
    <xf numFmtId="0" fontId="4" fillId="10" borderId="11" xfId="0" applyFont="1" applyFill="1" applyBorder="1"/>
    <xf numFmtId="0" fontId="0" fillId="10" borderId="133" xfId="0" applyFill="1" applyBorder="1"/>
    <xf numFmtId="0" fontId="0" fillId="10" borderId="0" xfId="0" applyFill="1" applyBorder="1"/>
    <xf numFmtId="0" fontId="0" fillId="10" borderId="11" xfId="0" applyFill="1" applyBorder="1"/>
    <xf numFmtId="0" fontId="0" fillId="10" borderId="156" xfId="0" applyFill="1" applyBorder="1"/>
    <xf numFmtId="0" fontId="0" fillId="10" borderId="154" xfId="0" applyFill="1" applyBorder="1"/>
    <xf numFmtId="0" fontId="0" fillId="10" borderId="155" xfId="0" applyFill="1" applyBorder="1"/>
    <xf numFmtId="0" fontId="4" fillId="13" borderId="182" xfId="0" applyFont="1" applyFill="1" applyBorder="1"/>
    <xf numFmtId="0" fontId="4" fillId="13" borderId="183" xfId="0" applyFont="1" applyFill="1" applyBorder="1"/>
    <xf numFmtId="0" fontId="0" fillId="13" borderId="183" xfId="0" applyFill="1" applyBorder="1"/>
    <xf numFmtId="0" fontId="158" fillId="13" borderId="184" xfId="0" applyFont="1" applyFill="1" applyBorder="1"/>
    <xf numFmtId="0" fontId="4" fillId="13" borderId="133" xfId="0" applyFont="1" applyFill="1" applyBorder="1"/>
    <xf numFmtId="0" fontId="4" fillId="13" borderId="0" xfId="0" applyFont="1" applyFill="1" applyBorder="1"/>
    <xf numFmtId="0" fontId="0" fillId="13" borderId="0" xfId="0" applyFill="1" applyBorder="1"/>
    <xf numFmtId="0" fontId="0" fillId="13" borderId="11" xfId="0" applyFill="1" applyBorder="1"/>
    <xf numFmtId="0" fontId="0" fillId="13" borderId="133" xfId="0" applyFill="1" applyBorder="1"/>
    <xf numFmtId="0" fontId="0" fillId="13" borderId="156" xfId="0" applyFill="1" applyBorder="1"/>
    <xf numFmtId="0" fontId="0" fillId="13" borderId="154" xfId="0" applyFill="1" applyBorder="1"/>
    <xf numFmtId="0" fontId="0" fillId="13" borderId="155" xfId="0" applyFill="1" applyBorder="1"/>
    <xf numFmtId="0" fontId="4" fillId="51" borderId="182" xfId="0" applyFont="1" applyFill="1" applyBorder="1"/>
    <xf numFmtId="0" fontId="4" fillId="51" borderId="183" xfId="0" applyFont="1" applyFill="1" applyBorder="1"/>
    <xf numFmtId="0" fontId="0" fillId="51" borderId="183" xfId="0" applyFill="1" applyBorder="1"/>
    <xf numFmtId="0" fontId="158" fillId="51" borderId="184" xfId="0" applyFont="1" applyFill="1" applyBorder="1"/>
    <xf numFmtId="0" fontId="4" fillId="51" borderId="133" xfId="0" applyFont="1" applyFill="1" applyBorder="1"/>
    <xf numFmtId="0" fontId="4" fillId="51" borderId="0" xfId="0" applyFont="1" applyFill="1" applyBorder="1"/>
    <xf numFmtId="0" fontId="0" fillId="51" borderId="0" xfId="0" applyFill="1" applyBorder="1"/>
    <xf numFmtId="0" fontId="0" fillId="51" borderId="11" xfId="0" applyFill="1" applyBorder="1"/>
    <xf numFmtId="0" fontId="0" fillId="51" borderId="133" xfId="0" applyFill="1" applyBorder="1"/>
    <xf numFmtId="0" fontId="0" fillId="51" borderId="156" xfId="0" applyFill="1" applyBorder="1"/>
    <xf numFmtId="0" fontId="0" fillId="51" borderId="154" xfId="0" applyFill="1" applyBorder="1"/>
    <xf numFmtId="0" fontId="0" fillId="51" borderId="155" xfId="0" applyFill="1" applyBorder="1"/>
    <xf numFmtId="0" fontId="4" fillId="12" borderId="182" xfId="0" applyFont="1" applyFill="1" applyBorder="1"/>
    <xf numFmtId="0" fontId="4" fillId="12" borderId="183" xfId="0" applyFont="1" applyFill="1" applyBorder="1"/>
    <xf numFmtId="0" fontId="158" fillId="12" borderId="184" xfId="0" applyFont="1" applyFill="1" applyBorder="1"/>
    <xf numFmtId="0" fontId="4" fillId="12" borderId="133" xfId="0" applyFont="1" applyFill="1" applyBorder="1"/>
    <xf numFmtId="0" fontId="4" fillId="12" borderId="0" xfId="0" applyFont="1" applyFill="1" applyBorder="1"/>
    <xf numFmtId="0" fontId="4" fillId="12" borderId="11" xfId="0" applyFont="1" applyFill="1" applyBorder="1"/>
    <xf numFmtId="0" fontId="0" fillId="12" borderId="133" xfId="0" applyFill="1" applyBorder="1"/>
    <xf numFmtId="0" fontId="0" fillId="12" borderId="0" xfId="0" applyFill="1" applyBorder="1"/>
    <xf numFmtId="0" fontId="0" fillId="12" borderId="11" xfId="0" applyFill="1" applyBorder="1"/>
    <xf numFmtId="0" fontId="0" fillId="12" borderId="156" xfId="0" applyFill="1" applyBorder="1"/>
    <xf numFmtId="0" fontId="0" fillId="12" borderId="154" xfId="0" applyFill="1" applyBorder="1"/>
    <xf numFmtId="0" fontId="0" fillId="12" borderId="155" xfId="0" applyFill="1" applyBorder="1"/>
    <xf numFmtId="0" fontId="53" fillId="8" borderId="0" xfId="4" applyFont="1" applyFill="1" applyAlignment="1">
      <alignment horizontal="center" vertical="center"/>
    </xf>
    <xf numFmtId="0" fontId="7" fillId="52" borderId="49" xfId="5" applyFill="1" applyBorder="1" applyAlignment="1" applyProtection="1">
      <alignment textRotation="90"/>
      <protection locked="0"/>
    </xf>
    <xf numFmtId="0" fontId="7" fillId="52" borderId="50" xfId="5" applyFill="1" applyBorder="1" applyAlignment="1" applyProtection="1">
      <alignment textRotation="90"/>
      <protection locked="0"/>
    </xf>
    <xf numFmtId="49" fontId="7" fillId="52" borderId="28" xfId="5" applyNumberFormat="1" applyFill="1" applyBorder="1" applyAlignment="1" applyProtection="1">
      <alignment horizontal="center"/>
      <protection locked="0"/>
    </xf>
    <xf numFmtId="49" fontId="7" fillId="52" borderId="53" xfId="5" applyNumberFormat="1" applyFill="1" applyBorder="1" applyAlignment="1" applyProtection="1">
      <alignment horizontal="center"/>
      <protection locked="0"/>
    </xf>
    <xf numFmtId="0" fontId="7" fillId="52" borderId="53" xfId="5" applyFill="1" applyBorder="1" applyProtection="1">
      <protection locked="0"/>
    </xf>
    <xf numFmtId="0" fontId="7" fillId="52" borderId="54" xfId="5" applyFill="1" applyBorder="1" applyProtection="1">
      <protection locked="0"/>
    </xf>
    <xf numFmtId="0" fontId="7" fillId="52" borderId="55" xfId="5" applyFill="1" applyBorder="1" applyProtection="1">
      <protection locked="0"/>
    </xf>
    <xf numFmtId="49" fontId="7" fillId="52" borderId="2" xfId="5" applyNumberFormat="1" applyFill="1" applyBorder="1" applyAlignment="1" applyProtection="1">
      <alignment horizontal="center"/>
      <protection locked="0"/>
    </xf>
    <xf numFmtId="0" fontId="7" fillId="52" borderId="2" xfId="5" applyFill="1" applyBorder="1" applyProtection="1">
      <protection locked="0"/>
    </xf>
    <xf numFmtId="0" fontId="7" fillId="52" borderId="3" xfId="5" applyFill="1" applyBorder="1" applyProtection="1">
      <protection locked="0"/>
    </xf>
    <xf numFmtId="0" fontId="7" fillId="52" borderId="56" xfId="5" applyFill="1" applyBorder="1" applyProtection="1">
      <protection locked="0"/>
    </xf>
    <xf numFmtId="0" fontId="7" fillId="52" borderId="28" xfId="5" applyFill="1" applyBorder="1" applyProtection="1">
      <protection locked="0"/>
    </xf>
    <xf numFmtId="0" fontId="7" fillId="52" borderId="9" xfId="5" applyFill="1" applyBorder="1" applyProtection="1">
      <protection locked="0"/>
    </xf>
    <xf numFmtId="0" fontId="7" fillId="52" borderId="57" xfId="5" applyFill="1" applyBorder="1" applyProtection="1">
      <protection locked="0"/>
    </xf>
    <xf numFmtId="0" fontId="7" fillId="52" borderId="58" xfId="5" applyFill="1" applyBorder="1" applyProtection="1">
      <protection locked="0"/>
    </xf>
    <xf numFmtId="49" fontId="7" fillId="52" borderId="27" xfId="5" applyNumberFormat="1" applyFill="1" applyBorder="1" applyAlignment="1" applyProtection="1">
      <alignment horizontal="center"/>
      <protection locked="0"/>
    </xf>
    <xf numFmtId="49" fontId="7" fillId="52" borderId="60" xfId="5" applyNumberFormat="1" applyFill="1" applyBorder="1" applyAlignment="1" applyProtection="1">
      <alignment horizontal="center"/>
      <protection locked="0"/>
    </xf>
    <xf numFmtId="0" fontId="7" fillId="52" borderId="11" xfId="5" applyFill="1" applyBorder="1" applyProtection="1">
      <protection locked="0"/>
    </xf>
    <xf numFmtId="0" fontId="7" fillId="52" borderId="35" xfId="5" applyFill="1" applyBorder="1" applyProtection="1">
      <protection locked="0"/>
    </xf>
    <xf numFmtId="0" fontId="7" fillId="52" borderId="61" xfId="5" applyFill="1" applyBorder="1" applyProtection="1">
      <protection locked="0"/>
    </xf>
    <xf numFmtId="0" fontId="7" fillId="52" borderId="8" xfId="5" applyFill="1" applyBorder="1" applyProtection="1">
      <protection locked="0"/>
    </xf>
    <xf numFmtId="1" fontId="7" fillId="52" borderId="52" xfId="5" applyNumberFormat="1" applyFill="1" applyBorder="1" applyProtection="1">
      <protection locked="0"/>
    </xf>
    <xf numFmtId="1" fontId="7" fillId="52" borderId="59" xfId="5" applyNumberFormat="1" applyFill="1" applyBorder="1" applyProtection="1">
      <protection locked="0"/>
    </xf>
    <xf numFmtId="0" fontId="161" fillId="23" borderId="0" xfId="11" applyFont="1"/>
    <xf numFmtId="0" fontId="162" fillId="0" borderId="0" xfId="0" applyFont="1" applyAlignment="1">
      <alignment horizontal="center"/>
    </xf>
    <xf numFmtId="0" fontId="163" fillId="55" borderId="0" xfId="19" applyFont="1"/>
    <xf numFmtId="0" fontId="1" fillId="21" borderId="0" xfId="9" applyAlignment="1">
      <alignment wrapText="1"/>
    </xf>
    <xf numFmtId="0" fontId="164" fillId="57" borderId="0" xfId="0" applyFont="1" applyFill="1"/>
    <xf numFmtId="0" fontId="163" fillId="53" borderId="0" xfId="17" applyFont="1" applyAlignment="1">
      <alignment horizontal="center" vertical="center"/>
    </xf>
    <xf numFmtId="0" fontId="1" fillId="54" borderId="0" xfId="18" applyAlignment="1">
      <alignment wrapText="1"/>
    </xf>
    <xf numFmtId="0" fontId="1" fillId="56" borderId="0" xfId="20" applyAlignment="1">
      <alignment wrapText="1"/>
    </xf>
    <xf numFmtId="0" fontId="164" fillId="0" borderId="0" xfId="0" applyFont="1" applyAlignment="1">
      <alignment horizontal="center"/>
    </xf>
    <xf numFmtId="0" fontId="165" fillId="0" borderId="0" xfId="0" applyFont="1"/>
    <xf numFmtId="0" fontId="166" fillId="0" borderId="0" xfId="0" applyFont="1" applyAlignment="1">
      <alignment horizontal="left"/>
    </xf>
    <xf numFmtId="49" fontId="8" fillId="9" borderId="172" xfId="5" applyNumberFormat="1" applyFont="1" applyFill="1" applyBorder="1" applyAlignment="1">
      <alignment horizontal="center" vertical="center" wrapText="1"/>
    </xf>
    <xf numFmtId="49" fontId="9" fillId="9" borderId="175" xfId="5" applyNumberFormat="1" applyFont="1" applyFill="1" applyBorder="1" applyAlignment="1">
      <alignment horizontal="center" vertical="center" wrapText="1"/>
    </xf>
    <xf numFmtId="49" fontId="8" fillId="9" borderId="175" xfId="5" applyNumberFormat="1" applyFont="1" applyFill="1" applyBorder="1" applyAlignment="1">
      <alignment horizontal="center" vertical="center" wrapText="1"/>
    </xf>
    <xf numFmtId="49" fontId="13" fillId="9" borderId="175" xfId="5" applyNumberFormat="1" applyFont="1" applyFill="1" applyBorder="1" applyAlignment="1">
      <alignment horizontal="center" vertical="center" wrapText="1"/>
    </xf>
    <xf numFmtId="49" fontId="79" fillId="9" borderId="175" xfId="5" applyNumberFormat="1" applyFont="1" applyFill="1" applyBorder="1" applyAlignment="1">
      <alignment horizontal="center" vertical="center" wrapText="1"/>
    </xf>
    <xf numFmtId="0" fontId="0" fillId="0" borderId="172" xfId="0" applyBorder="1"/>
    <xf numFmtId="0" fontId="53" fillId="8" borderId="0" xfId="4" applyFont="1" applyFill="1" applyAlignment="1">
      <alignment horizontal="center"/>
    </xf>
    <xf numFmtId="0" fontId="122" fillId="12" borderId="0" xfId="0" applyFont="1" applyFill="1" applyAlignment="1">
      <alignment horizontal="center" vertical="center"/>
    </xf>
    <xf numFmtId="0" fontId="116" fillId="24" borderId="0" xfId="12" applyFont="1" applyAlignment="1">
      <alignment horizontal="center" vertical="center"/>
    </xf>
    <xf numFmtId="0" fontId="110" fillId="22" borderId="0" xfId="10" applyFont="1" applyAlignment="1">
      <alignment horizontal="center" vertical="center"/>
    </xf>
    <xf numFmtId="0" fontId="113" fillId="21" borderId="0" xfId="9" applyFont="1" applyAlignment="1">
      <alignment horizontal="center" vertical="center"/>
    </xf>
    <xf numFmtId="0" fontId="108" fillId="2" borderId="0" xfId="2" applyFont="1" applyAlignment="1">
      <alignment horizontal="center" vertical="center" wrapText="1"/>
    </xf>
    <xf numFmtId="0" fontId="109" fillId="23" borderId="0" xfId="11" applyFont="1" applyAlignment="1">
      <alignment horizontal="center" vertical="center"/>
    </xf>
    <xf numFmtId="0" fontId="133" fillId="0" borderId="121" xfId="0" applyFont="1" applyBorder="1" applyAlignment="1">
      <alignment horizontal="center" vertical="center" textRotation="90" wrapText="1"/>
    </xf>
    <xf numFmtId="0" fontId="133" fillId="0" borderId="120" xfId="0" applyFont="1" applyBorder="1" applyAlignment="1">
      <alignment horizontal="center" vertical="center" textRotation="90" wrapText="1"/>
    </xf>
    <xf numFmtId="0" fontId="132" fillId="0" borderId="122" xfId="0" applyFont="1" applyBorder="1" applyAlignment="1">
      <alignment horizontal="left" vertical="top" wrapText="1"/>
    </xf>
    <xf numFmtId="0" fontId="132" fillId="0" borderId="123" xfId="0" applyFont="1" applyBorder="1" applyAlignment="1">
      <alignment horizontal="left" vertical="top" wrapText="1"/>
    </xf>
    <xf numFmtId="0" fontId="132" fillId="0" borderId="124" xfId="0" applyFont="1" applyBorder="1" applyAlignment="1">
      <alignment horizontal="left" vertical="top" wrapText="1"/>
    </xf>
    <xf numFmtId="0" fontId="132" fillId="0" borderId="125" xfId="0" applyFont="1" applyBorder="1" applyAlignment="1">
      <alignment horizontal="left" vertical="top" wrapText="1"/>
    </xf>
    <xf numFmtId="0" fontId="132" fillId="0" borderId="0" xfId="0" applyFont="1" applyAlignment="1">
      <alignment horizontal="left" vertical="top" wrapText="1"/>
    </xf>
    <xf numFmtId="0" fontId="132" fillId="0" borderId="126" xfId="0" applyFont="1" applyBorder="1" applyAlignment="1">
      <alignment horizontal="left" vertical="top" wrapText="1"/>
    </xf>
    <xf numFmtId="0" fontId="132" fillId="0" borderId="127" xfId="0" applyFont="1" applyBorder="1" applyAlignment="1">
      <alignment horizontal="left" vertical="top" wrapText="1"/>
    </xf>
    <xf numFmtId="0" fontId="132" fillId="0" borderId="128" xfId="0" applyFont="1" applyBorder="1" applyAlignment="1">
      <alignment horizontal="left" vertical="top" wrapText="1"/>
    </xf>
    <xf numFmtId="0" fontId="132" fillId="0" borderId="129" xfId="0" applyFont="1" applyBorder="1" applyAlignment="1">
      <alignment horizontal="left" vertical="top" wrapText="1"/>
    </xf>
    <xf numFmtId="0" fontId="133" fillId="41" borderId="122" xfId="0" applyFont="1" applyFill="1" applyBorder="1" applyAlignment="1">
      <alignment horizontal="left" vertical="center" wrapText="1"/>
    </xf>
    <xf numFmtId="0" fontId="133" fillId="41" borderId="123" xfId="0" applyFont="1" applyFill="1" applyBorder="1" applyAlignment="1">
      <alignment horizontal="left" vertical="center" wrapText="1"/>
    </xf>
    <xf numFmtId="0" fontId="133" fillId="41" borderId="124" xfId="0" applyFont="1" applyFill="1" applyBorder="1" applyAlignment="1">
      <alignment horizontal="left" vertical="center" wrapText="1"/>
    </xf>
    <xf numFmtId="0" fontId="133" fillId="0" borderId="130" xfId="0" applyFont="1" applyBorder="1" applyAlignment="1">
      <alignment horizontal="center" vertical="center" textRotation="90" wrapText="1"/>
    </xf>
    <xf numFmtId="0" fontId="133" fillId="0" borderId="131" xfId="0" applyFont="1" applyBorder="1" applyAlignment="1">
      <alignment horizontal="center" vertical="center" textRotation="90" wrapText="1"/>
    </xf>
    <xf numFmtId="0" fontId="133" fillId="0" borderId="132" xfId="0" applyFont="1" applyBorder="1" applyAlignment="1">
      <alignment horizontal="center" vertical="center" textRotation="90" wrapText="1"/>
    </xf>
    <xf numFmtId="0" fontId="53" fillId="8" borderId="0" xfId="4" applyFont="1" applyFill="1" applyAlignment="1">
      <alignment horizontal="center" vertical="center" wrapText="1"/>
    </xf>
    <xf numFmtId="0" fontId="7" fillId="0" borderId="12" xfId="5" applyBorder="1" applyAlignment="1">
      <alignment horizontal="left" vertical="top"/>
    </xf>
    <xf numFmtId="0" fontId="7" fillId="0" borderId="3" xfId="5" applyBorder="1" applyAlignment="1">
      <alignment horizontal="left" vertical="top"/>
    </xf>
    <xf numFmtId="15" fontId="7" fillId="0" borderId="12" xfId="5" applyNumberFormat="1" applyBorder="1" applyAlignment="1">
      <alignment horizontal="center" vertical="top"/>
    </xf>
    <xf numFmtId="15" fontId="7" fillId="0" borderId="3" xfId="5" applyNumberFormat="1" applyBorder="1" applyAlignment="1">
      <alignment horizontal="center" vertical="top"/>
    </xf>
    <xf numFmtId="0" fontId="29" fillId="18" borderId="12" xfId="5" applyFont="1" applyFill="1" applyBorder="1" applyAlignment="1">
      <alignment horizontal="left" vertical="top"/>
    </xf>
    <xf numFmtId="0" fontId="29" fillId="18" borderId="3" xfId="5" applyFont="1" applyFill="1" applyBorder="1" applyAlignment="1">
      <alignment horizontal="left" vertical="top"/>
    </xf>
    <xf numFmtId="0" fontId="29" fillId="18" borderId="12" xfId="5" applyFont="1" applyFill="1" applyBorder="1" applyAlignment="1">
      <alignment horizontal="center" vertical="top"/>
    </xf>
    <xf numFmtId="0" fontId="29" fillId="18" borderId="3" xfId="5" applyFont="1" applyFill="1" applyBorder="1" applyAlignment="1">
      <alignment horizontal="center" vertical="top"/>
    </xf>
    <xf numFmtId="0" fontId="29" fillId="18" borderId="2" xfId="5" applyFont="1" applyFill="1" applyBorder="1" applyAlignment="1">
      <alignment horizontal="center" vertical="top"/>
    </xf>
    <xf numFmtId="15" fontId="7" fillId="0" borderId="2" xfId="5" applyNumberFormat="1" applyBorder="1" applyAlignment="1">
      <alignment horizontal="center" vertical="top"/>
    </xf>
    <xf numFmtId="0" fontId="9" fillId="19" borderId="12" xfId="5" applyFont="1" applyFill="1" applyBorder="1" applyAlignment="1">
      <alignment horizontal="left" vertical="center" wrapText="1"/>
    </xf>
    <xf numFmtId="0" fontId="9" fillId="19" borderId="13" xfId="5" applyFont="1" applyFill="1" applyBorder="1" applyAlignment="1">
      <alignment horizontal="left" vertical="center" wrapText="1"/>
    </xf>
    <xf numFmtId="0" fontId="9" fillId="19" borderId="3" xfId="5" applyFont="1" applyFill="1" applyBorder="1" applyAlignment="1">
      <alignment horizontal="left" vertical="center" wrapText="1"/>
    </xf>
    <xf numFmtId="0" fontId="9" fillId="19" borderId="12" xfId="5" applyFont="1" applyFill="1" applyBorder="1" applyAlignment="1">
      <alignment horizontal="left" vertical="center"/>
    </xf>
    <xf numFmtId="0" fontId="9" fillId="19" borderId="13" xfId="5" applyFont="1" applyFill="1" applyBorder="1" applyAlignment="1">
      <alignment horizontal="left" vertical="center"/>
    </xf>
    <xf numFmtId="0" fontId="9" fillId="19" borderId="3" xfId="5" applyFont="1" applyFill="1" applyBorder="1" applyAlignment="1">
      <alignment horizontal="left" vertical="center"/>
    </xf>
    <xf numFmtId="0" fontId="9" fillId="19" borderId="12" xfId="5" applyFont="1" applyFill="1" applyBorder="1" applyAlignment="1">
      <alignment horizontal="left" vertical="top"/>
    </xf>
    <xf numFmtId="0" fontId="9" fillId="19" borderId="3" xfId="5" applyFont="1" applyFill="1" applyBorder="1" applyAlignment="1">
      <alignment horizontal="left" vertical="top"/>
    </xf>
    <xf numFmtId="0" fontId="9" fillId="19" borderId="4" xfId="5" applyFont="1" applyFill="1" applyBorder="1" applyAlignment="1">
      <alignment horizontal="left" vertical="top"/>
    </xf>
    <xf numFmtId="0" fontId="9" fillId="19" borderId="5" xfId="5" applyFont="1" applyFill="1" applyBorder="1" applyAlignment="1">
      <alignment horizontal="left" vertical="top"/>
    </xf>
    <xf numFmtId="0" fontId="9" fillId="19" borderId="6" xfId="5" applyFont="1" applyFill="1" applyBorder="1" applyAlignment="1">
      <alignment horizontal="left" vertical="top"/>
    </xf>
    <xf numFmtId="0" fontId="9" fillId="19" borderId="13" xfId="5" applyFont="1" applyFill="1" applyBorder="1" applyAlignment="1">
      <alignment horizontal="left" vertical="top"/>
    </xf>
    <xf numFmtId="174" fontId="9" fillId="19" borderId="4" xfId="5" applyNumberFormat="1" applyFont="1" applyFill="1" applyBorder="1" applyAlignment="1">
      <alignment horizontal="left" vertical="center"/>
    </xf>
    <xf numFmtId="174" fontId="9" fillId="19" borderId="5" xfId="5" applyNumberFormat="1" applyFont="1" applyFill="1" applyBorder="1" applyAlignment="1">
      <alignment horizontal="left" vertical="center"/>
    </xf>
    <xf numFmtId="174" fontId="9" fillId="19" borderId="6" xfId="5" applyNumberFormat="1" applyFont="1" applyFill="1" applyBorder="1" applyAlignment="1">
      <alignment horizontal="left" vertical="center"/>
    </xf>
    <xf numFmtId="0" fontId="135" fillId="0" borderId="114" xfId="0" applyFont="1" applyBorder="1" applyAlignment="1">
      <alignment horizontal="left" vertical="top" wrapText="1" readingOrder="1"/>
    </xf>
    <xf numFmtId="0" fontId="96" fillId="0" borderId="115" xfId="0" applyFont="1" applyBorder="1"/>
    <xf numFmtId="0" fontId="96" fillId="0" borderId="116" xfId="0" applyFont="1" applyBorder="1"/>
    <xf numFmtId="0" fontId="96" fillId="0" borderId="133" xfId="0" applyFont="1" applyBorder="1"/>
    <xf numFmtId="0" fontId="96" fillId="0" borderId="0" xfId="0" applyFont="1"/>
    <xf numFmtId="0" fontId="96" fillId="0" borderId="11" xfId="0" applyFont="1" applyBorder="1"/>
    <xf numFmtId="0" fontId="136" fillId="0" borderId="117" xfId="0" applyFont="1" applyBorder="1" applyAlignment="1">
      <alignment horizontal="left" vertical="top" wrapText="1" readingOrder="1"/>
    </xf>
    <xf numFmtId="0" fontId="136" fillId="0" borderId="118" xfId="0" applyFont="1" applyBorder="1" applyAlignment="1">
      <alignment horizontal="left" vertical="top" wrapText="1" readingOrder="1"/>
    </xf>
    <xf numFmtId="0" fontId="136" fillId="0" borderId="119" xfId="0" applyFont="1" applyBorder="1" applyAlignment="1">
      <alignment horizontal="left" vertical="top" wrapText="1" readingOrder="1"/>
    </xf>
    <xf numFmtId="0" fontId="136" fillId="0" borderId="113" xfId="0" applyFont="1" applyBorder="1" applyAlignment="1">
      <alignment horizontal="left" vertical="top" wrapText="1" readingOrder="1"/>
    </xf>
    <xf numFmtId="0" fontId="135" fillId="0" borderId="117" xfId="0" applyFont="1" applyBorder="1" applyAlignment="1">
      <alignment horizontal="left" vertical="top" wrapText="1" readingOrder="1"/>
    </xf>
    <xf numFmtId="0" fontId="135" fillId="0" borderId="118" xfId="0" applyFont="1" applyBorder="1" applyAlignment="1">
      <alignment horizontal="left" vertical="top" wrapText="1" readingOrder="1"/>
    </xf>
    <xf numFmtId="0" fontId="135" fillId="0" borderId="119" xfId="0" applyFont="1" applyBorder="1" applyAlignment="1">
      <alignment horizontal="left" vertical="top" wrapText="1" readingOrder="1"/>
    </xf>
    <xf numFmtId="0" fontId="96" fillId="0" borderId="117" xfId="0" applyFont="1" applyBorder="1"/>
    <xf numFmtId="0" fontId="96" fillId="0" borderId="118" xfId="0" applyFont="1" applyBorder="1"/>
    <xf numFmtId="0" fontId="96" fillId="0" borderId="119" xfId="0" applyFont="1" applyBorder="1"/>
    <xf numFmtId="0" fontId="53" fillId="8" borderId="0" xfId="4" applyFont="1" applyFill="1" applyAlignment="1">
      <alignment horizontal="center" vertical="center"/>
    </xf>
    <xf numFmtId="17" fontId="136" fillId="0" borderId="113" xfId="0" applyNumberFormat="1" applyFont="1" applyBorder="1" applyAlignment="1">
      <alignment horizontal="left" vertical="top" wrapText="1" readingOrder="1"/>
    </xf>
    <xf numFmtId="0" fontId="96" fillId="0" borderId="113" xfId="0" applyFont="1" applyBorder="1"/>
    <xf numFmtId="0" fontId="136" fillId="5" borderId="117" xfId="0" applyFont="1" applyFill="1" applyBorder="1" applyAlignment="1">
      <alignment horizontal="left" vertical="top" wrapText="1" readingOrder="1"/>
    </xf>
    <xf numFmtId="0" fontId="136" fillId="5" borderId="118" xfId="0" applyFont="1" applyFill="1" applyBorder="1" applyAlignment="1">
      <alignment horizontal="left" vertical="top" wrapText="1" readingOrder="1"/>
    </xf>
    <xf numFmtId="0" fontId="136" fillId="5" borderId="119" xfId="0" applyFont="1" applyFill="1" applyBorder="1" applyAlignment="1">
      <alignment horizontal="left" vertical="top" wrapText="1" readingOrder="1"/>
    </xf>
    <xf numFmtId="0" fontId="135" fillId="0" borderId="115" xfId="0" applyFont="1" applyBorder="1" applyAlignment="1">
      <alignment horizontal="left" vertical="top" wrapText="1" readingOrder="1"/>
    </xf>
    <xf numFmtId="0" fontId="135" fillId="0" borderId="116" xfId="0" applyFont="1" applyBorder="1" applyAlignment="1">
      <alignment horizontal="left" vertical="top" wrapText="1" readingOrder="1"/>
    </xf>
    <xf numFmtId="0" fontId="135" fillId="0" borderId="133" xfId="0" applyFont="1" applyBorder="1" applyAlignment="1">
      <alignment horizontal="left" vertical="top" wrapText="1" readingOrder="1"/>
    </xf>
    <xf numFmtId="0" fontId="135" fillId="0" borderId="0" xfId="0" applyFont="1" applyAlignment="1">
      <alignment horizontal="left" vertical="top" wrapText="1" readingOrder="1"/>
    </xf>
    <xf numFmtId="0" fontId="135" fillId="0" borderId="11" xfId="0" applyFont="1" applyBorder="1" applyAlignment="1">
      <alignment horizontal="left" vertical="top" wrapText="1" readingOrder="1"/>
    </xf>
    <xf numFmtId="0" fontId="135" fillId="0" borderId="110" xfId="0" applyFont="1" applyBorder="1" applyAlignment="1">
      <alignment horizontal="left" vertical="top" wrapText="1" readingOrder="1"/>
    </xf>
    <xf numFmtId="0" fontId="135" fillId="0" borderId="111" xfId="0" applyFont="1" applyBorder="1" applyAlignment="1">
      <alignment horizontal="left" vertical="top" wrapText="1" readingOrder="1"/>
    </xf>
    <xf numFmtId="0" fontId="135" fillId="0" borderId="112" xfId="0" applyFont="1" applyBorder="1" applyAlignment="1">
      <alignment horizontal="left" vertical="top" wrapText="1" readingOrder="1"/>
    </xf>
    <xf numFmtId="0" fontId="135" fillId="5" borderId="114" xfId="0" applyFont="1" applyFill="1" applyBorder="1" applyAlignment="1">
      <alignment horizontal="left" vertical="top" wrapText="1" readingOrder="1"/>
    </xf>
    <xf numFmtId="0" fontId="135" fillId="5" borderId="115" xfId="0" applyFont="1" applyFill="1" applyBorder="1" applyAlignment="1">
      <alignment horizontal="left" vertical="top" wrapText="1" readingOrder="1"/>
    </xf>
    <xf numFmtId="0" fontId="135" fillId="5" borderId="116" xfId="0" applyFont="1" applyFill="1" applyBorder="1" applyAlignment="1">
      <alignment horizontal="left" vertical="top" wrapText="1" readingOrder="1"/>
    </xf>
    <xf numFmtId="0" fontId="135" fillId="0" borderId="113" xfId="0" applyFont="1" applyBorder="1" applyAlignment="1">
      <alignment horizontal="left" vertical="top" wrapText="1" readingOrder="1"/>
    </xf>
    <xf numFmtId="0" fontId="36" fillId="0" borderId="113" xfId="0" applyFont="1" applyBorder="1"/>
    <xf numFmtId="0" fontId="96" fillId="0" borderId="110" xfId="0" applyFont="1" applyBorder="1"/>
    <xf numFmtId="0" fontId="96" fillId="0" borderId="111" xfId="0" applyFont="1" applyBorder="1"/>
    <xf numFmtId="0" fontId="96" fillId="0" borderId="112" xfId="0" applyFont="1" applyBorder="1"/>
    <xf numFmtId="0" fontId="4" fillId="17" borderId="25" xfId="0" applyFont="1" applyFill="1" applyBorder="1" applyAlignment="1">
      <alignment horizontal="center" vertical="center" textRotation="90"/>
    </xf>
    <xf numFmtId="0" fontId="4" fillId="17" borderId="25" xfId="0" applyFont="1" applyFill="1" applyBorder="1" applyAlignment="1">
      <alignment horizontal="center" textRotation="90"/>
    </xf>
    <xf numFmtId="0" fontId="50" fillId="17" borderId="25" xfId="0" applyFont="1" applyFill="1" applyBorder="1" applyAlignment="1">
      <alignment horizontal="center" vertical="top" textRotation="90"/>
    </xf>
    <xf numFmtId="0" fontId="6" fillId="8" borderId="0" xfId="4" applyFont="1" applyFill="1" applyAlignment="1">
      <alignment horizontal="center"/>
    </xf>
    <xf numFmtId="0" fontId="4" fillId="17" borderId="16" xfId="0" applyFont="1" applyFill="1" applyBorder="1" applyAlignment="1">
      <alignment horizontal="center"/>
    </xf>
    <xf numFmtId="0" fontId="4" fillId="17" borderId="16" xfId="0" applyFont="1" applyFill="1" applyBorder="1" applyAlignment="1">
      <alignment horizontal="right"/>
    </xf>
    <xf numFmtId="0" fontId="37" fillId="43" borderId="165" xfId="0" applyFont="1" applyFill="1" applyBorder="1" applyAlignment="1">
      <alignment horizontal="center" vertical="center"/>
    </xf>
    <xf numFmtId="0" fontId="37" fillId="43" borderId="162" xfId="0" applyFont="1" applyFill="1" applyBorder="1" applyAlignment="1">
      <alignment horizontal="center" vertical="center"/>
    </xf>
    <xf numFmtId="0" fontId="37" fillId="43" borderId="163" xfId="0" applyFont="1" applyFill="1" applyBorder="1" applyAlignment="1">
      <alignment horizontal="center" vertical="center"/>
    </xf>
    <xf numFmtId="0" fontId="37" fillId="43" borderId="133" xfId="0" applyFont="1" applyFill="1" applyBorder="1" applyAlignment="1">
      <alignment horizontal="center" vertical="center"/>
    </xf>
    <xf numFmtId="0" fontId="37" fillId="43" borderId="0" xfId="0" applyFont="1" applyFill="1" applyAlignment="1">
      <alignment horizontal="center" vertical="center"/>
    </xf>
    <xf numFmtId="0" fontId="37" fillId="43" borderId="11" xfId="0" applyFont="1" applyFill="1" applyBorder="1" applyAlignment="1">
      <alignment horizontal="center" vertical="center"/>
    </xf>
    <xf numFmtId="0" fontId="37" fillId="43" borderId="156" xfId="0" applyFont="1" applyFill="1" applyBorder="1" applyAlignment="1">
      <alignment horizontal="center" vertical="center"/>
    </xf>
    <xf numFmtId="0" fontId="37" fillId="43" borderId="154" xfId="0" applyFont="1" applyFill="1" applyBorder="1" applyAlignment="1">
      <alignment horizontal="center" vertical="center"/>
    </xf>
    <xf numFmtId="0" fontId="37" fillId="43" borderId="155" xfId="0" applyFont="1" applyFill="1" applyBorder="1" applyAlignment="1">
      <alignment horizontal="center" vertical="center"/>
    </xf>
    <xf numFmtId="0" fontId="37" fillId="48" borderId="165" xfId="0" applyFont="1" applyFill="1" applyBorder="1" applyAlignment="1">
      <alignment horizontal="center" vertical="center"/>
    </xf>
    <xf numFmtId="0" fontId="37" fillId="48" borderId="162" xfId="0" applyFont="1" applyFill="1" applyBorder="1" applyAlignment="1">
      <alignment horizontal="center" vertical="center"/>
    </xf>
    <xf numFmtId="0" fontId="37" fillId="48" borderId="163" xfId="0" applyFont="1" applyFill="1" applyBorder="1" applyAlignment="1">
      <alignment horizontal="center" vertical="center"/>
    </xf>
    <xf numFmtId="0" fontId="37" fillId="48" borderId="133" xfId="0" applyFont="1" applyFill="1" applyBorder="1" applyAlignment="1">
      <alignment horizontal="center" vertical="center"/>
    </xf>
    <xf numFmtId="0" fontId="37" fillId="48" borderId="0" xfId="0" applyFont="1" applyFill="1" applyAlignment="1">
      <alignment horizontal="center" vertical="center"/>
    </xf>
    <xf numFmtId="0" fontId="37" fillId="48" borderId="11" xfId="0" applyFont="1" applyFill="1" applyBorder="1" applyAlignment="1">
      <alignment horizontal="center" vertical="center"/>
    </xf>
    <xf numFmtId="0" fontId="37" fillId="48" borderId="156" xfId="0" applyFont="1" applyFill="1" applyBorder="1" applyAlignment="1">
      <alignment horizontal="center" vertical="center"/>
    </xf>
    <xf numFmtId="0" fontId="37" fillId="48" borderId="154" xfId="0" applyFont="1" applyFill="1" applyBorder="1" applyAlignment="1">
      <alignment horizontal="center" vertical="center"/>
    </xf>
    <xf numFmtId="0" fontId="37" fillId="48" borderId="155" xfId="0" applyFont="1" applyFill="1" applyBorder="1" applyAlignment="1">
      <alignment horizontal="center" vertical="center"/>
    </xf>
    <xf numFmtId="0" fontId="37" fillId="47" borderId="165" xfId="0" applyFont="1" applyFill="1" applyBorder="1" applyAlignment="1">
      <alignment horizontal="center" vertical="center"/>
    </xf>
    <xf numFmtId="0" fontId="37" fillId="47" borderId="162" xfId="0" applyFont="1" applyFill="1" applyBorder="1" applyAlignment="1">
      <alignment horizontal="center" vertical="center"/>
    </xf>
    <xf numFmtId="0" fontId="37" fillId="47" borderId="163" xfId="0" applyFont="1" applyFill="1" applyBorder="1" applyAlignment="1">
      <alignment horizontal="center" vertical="center"/>
    </xf>
    <xf numFmtId="0" fontId="37" fillId="47" borderId="133" xfId="0" applyFont="1" applyFill="1" applyBorder="1" applyAlignment="1">
      <alignment horizontal="center" vertical="center"/>
    </xf>
    <xf numFmtId="0" fontId="37" fillId="47" borderId="0" xfId="0" applyFont="1" applyFill="1" applyAlignment="1">
      <alignment horizontal="center" vertical="center"/>
    </xf>
    <xf numFmtId="0" fontId="37" fillId="47" borderId="11" xfId="0" applyFont="1" applyFill="1" applyBorder="1" applyAlignment="1">
      <alignment horizontal="center" vertical="center"/>
    </xf>
    <xf numFmtId="0" fontId="37" fillId="47" borderId="156" xfId="0" applyFont="1" applyFill="1" applyBorder="1" applyAlignment="1">
      <alignment horizontal="center" vertical="center"/>
    </xf>
    <xf numFmtId="0" fontId="37" fillId="47" borderId="154" xfId="0" applyFont="1" applyFill="1" applyBorder="1" applyAlignment="1">
      <alignment horizontal="center" vertical="center"/>
    </xf>
    <xf numFmtId="0" fontId="37" fillId="47" borderId="155" xfId="0" applyFont="1" applyFill="1" applyBorder="1" applyAlignment="1">
      <alignment horizontal="center" vertical="center"/>
    </xf>
    <xf numFmtId="0" fontId="37" fillId="45" borderId="165" xfId="0" applyFont="1" applyFill="1" applyBorder="1" applyAlignment="1">
      <alignment horizontal="center" vertical="center"/>
    </xf>
    <xf numFmtId="0" fontId="37" fillId="45" borderId="162" xfId="0" applyFont="1" applyFill="1" applyBorder="1" applyAlignment="1">
      <alignment horizontal="center" vertical="center"/>
    </xf>
    <xf numFmtId="0" fontId="37" fillId="45" borderId="163" xfId="0" applyFont="1" applyFill="1" applyBorder="1" applyAlignment="1">
      <alignment horizontal="center" vertical="center"/>
    </xf>
    <xf numFmtId="0" fontId="37" fillId="45" borderId="133" xfId="0" applyFont="1" applyFill="1" applyBorder="1" applyAlignment="1">
      <alignment horizontal="center" vertical="center"/>
    </xf>
    <xf numFmtId="0" fontId="37" fillId="45" borderId="0" xfId="0" applyFont="1" applyFill="1" applyAlignment="1">
      <alignment horizontal="center" vertical="center"/>
    </xf>
    <xf numFmtId="0" fontId="37" fillId="45" borderId="11" xfId="0" applyFont="1" applyFill="1" applyBorder="1" applyAlignment="1">
      <alignment horizontal="center" vertical="center"/>
    </xf>
    <xf numFmtId="0" fontId="37" fillId="45" borderId="156" xfId="0" applyFont="1" applyFill="1" applyBorder="1" applyAlignment="1">
      <alignment horizontal="center" vertical="center"/>
    </xf>
    <xf numFmtId="0" fontId="37" fillId="45" borderId="154" xfId="0" applyFont="1" applyFill="1" applyBorder="1" applyAlignment="1">
      <alignment horizontal="center" vertical="center"/>
    </xf>
    <xf numFmtId="0" fontId="37" fillId="45" borderId="155" xfId="0" applyFont="1" applyFill="1" applyBorder="1" applyAlignment="1">
      <alignment horizontal="center" vertical="center"/>
    </xf>
    <xf numFmtId="0" fontId="4" fillId="17" borderId="16" xfId="0" applyFont="1" applyFill="1" applyBorder="1" applyAlignment="1">
      <alignment horizontal="left"/>
    </xf>
    <xf numFmtId="0" fontId="137" fillId="50" borderId="167" xfId="0" applyFont="1" applyFill="1" applyBorder="1" applyAlignment="1">
      <alignment horizontal="center" vertical="center"/>
    </xf>
    <xf numFmtId="0" fontId="137" fillId="50" borderId="162" xfId="0" applyFont="1" applyFill="1" applyBorder="1" applyAlignment="1">
      <alignment horizontal="center" vertical="center"/>
    </xf>
    <xf numFmtId="0" fontId="137" fillId="50" borderId="163" xfId="0" applyFont="1" applyFill="1" applyBorder="1" applyAlignment="1">
      <alignment horizontal="center" vertical="center"/>
    </xf>
    <xf numFmtId="0" fontId="137" fillId="50" borderId="24" xfId="0" applyFont="1" applyFill="1" applyBorder="1" applyAlignment="1">
      <alignment horizontal="center" vertical="center"/>
    </xf>
    <xf numFmtId="0" fontId="137" fillId="50" borderId="0" xfId="0" applyFont="1" applyFill="1" applyAlignment="1">
      <alignment horizontal="center" vertical="center"/>
    </xf>
    <xf numFmtId="0" fontId="137" fillId="50" borderId="11" xfId="0" applyFont="1" applyFill="1" applyBorder="1" applyAlignment="1">
      <alignment horizontal="center" vertical="center"/>
    </xf>
    <xf numFmtId="0" fontId="137" fillId="50" borderId="19" xfId="0" applyFont="1" applyFill="1" applyBorder="1" applyAlignment="1">
      <alignment horizontal="center" vertical="center"/>
    </xf>
    <xf numFmtId="0" fontId="137" fillId="50" borderId="20" xfId="0" applyFont="1" applyFill="1" applyBorder="1" applyAlignment="1">
      <alignment horizontal="center" vertical="center"/>
    </xf>
    <xf numFmtId="0" fontId="137" fillId="50" borderId="93" xfId="0" applyFont="1" applyFill="1" applyBorder="1" applyAlignment="1">
      <alignment horizontal="center" vertical="center"/>
    </xf>
    <xf numFmtId="0" fontId="37" fillId="46" borderId="165" xfId="0" applyFont="1" applyFill="1" applyBorder="1" applyAlignment="1">
      <alignment horizontal="center" vertical="center"/>
    </xf>
    <xf numFmtId="0" fontId="37" fillId="46" borderId="162" xfId="0" applyFont="1" applyFill="1" applyBorder="1" applyAlignment="1">
      <alignment horizontal="center" vertical="center"/>
    </xf>
    <xf numFmtId="0" fontId="37" fillId="46" borderId="163" xfId="0" applyFont="1" applyFill="1" applyBorder="1" applyAlignment="1">
      <alignment horizontal="center" vertical="center"/>
    </xf>
    <xf numFmtId="0" fontId="37" fillId="46" borderId="133" xfId="0" applyFont="1" applyFill="1" applyBorder="1" applyAlignment="1">
      <alignment horizontal="center" vertical="center"/>
    </xf>
    <xf numFmtId="0" fontId="37" fillId="46" borderId="0" xfId="0" applyFont="1" applyFill="1" applyAlignment="1">
      <alignment horizontal="center" vertical="center"/>
    </xf>
    <xf numFmtId="0" fontId="37" fillId="46" borderId="11" xfId="0" applyFont="1" applyFill="1" applyBorder="1" applyAlignment="1">
      <alignment horizontal="center" vertical="center"/>
    </xf>
    <xf numFmtId="0" fontId="37" fillId="46" borderId="156" xfId="0" applyFont="1" applyFill="1" applyBorder="1" applyAlignment="1">
      <alignment horizontal="center" vertical="center"/>
    </xf>
    <xf numFmtId="0" fontId="37" fillId="46" borderId="154" xfId="0" applyFont="1" applyFill="1" applyBorder="1" applyAlignment="1">
      <alignment horizontal="center" vertical="center"/>
    </xf>
    <xf numFmtId="0" fontId="37" fillId="46" borderId="155" xfId="0" applyFont="1" applyFill="1" applyBorder="1" applyAlignment="1">
      <alignment horizontal="center" vertical="center"/>
    </xf>
    <xf numFmtId="0" fontId="37" fillId="44" borderId="165" xfId="0" applyFont="1" applyFill="1" applyBorder="1" applyAlignment="1">
      <alignment horizontal="center" vertical="center"/>
    </xf>
    <xf numFmtId="0" fontId="37" fillId="44" borderId="162" xfId="0" applyFont="1" applyFill="1" applyBorder="1" applyAlignment="1">
      <alignment horizontal="center" vertical="center"/>
    </xf>
    <xf numFmtId="0" fontId="37" fillId="44" borderId="163" xfId="0" applyFont="1" applyFill="1" applyBorder="1" applyAlignment="1">
      <alignment horizontal="center" vertical="center"/>
    </xf>
    <xf numFmtId="0" fontId="37" fillId="44" borderId="133" xfId="0" applyFont="1" applyFill="1" applyBorder="1" applyAlignment="1">
      <alignment horizontal="center" vertical="center"/>
    </xf>
    <xf numFmtId="0" fontId="37" fillId="44" borderId="0" xfId="0" applyFont="1" applyFill="1" applyAlignment="1">
      <alignment horizontal="center" vertical="center"/>
    </xf>
    <xf numFmtId="0" fontId="37" fillId="44" borderId="11" xfId="0" applyFont="1" applyFill="1" applyBorder="1" applyAlignment="1">
      <alignment horizontal="center" vertical="center"/>
    </xf>
    <xf numFmtId="0" fontId="37" fillId="44" borderId="156" xfId="0" applyFont="1" applyFill="1" applyBorder="1" applyAlignment="1">
      <alignment horizontal="center" vertical="center"/>
    </xf>
    <xf numFmtId="0" fontId="37" fillId="44" borderId="154" xfId="0" applyFont="1" applyFill="1" applyBorder="1" applyAlignment="1">
      <alignment horizontal="center" vertical="center"/>
    </xf>
    <xf numFmtId="0" fontId="37" fillId="44" borderId="155" xfId="0" applyFont="1" applyFill="1" applyBorder="1" applyAlignment="1">
      <alignment horizontal="center" vertical="center"/>
    </xf>
    <xf numFmtId="0" fontId="37" fillId="49" borderId="165" xfId="0" applyFont="1" applyFill="1" applyBorder="1" applyAlignment="1">
      <alignment horizontal="center" vertical="center"/>
    </xf>
    <xf numFmtId="0" fontId="37" fillId="49" borderId="162" xfId="0" applyFont="1" applyFill="1" applyBorder="1" applyAlignment="1">
      <alignment horizontal="center" vertical="center"/>
    </xf>
    <xf numFmtId="0" fontId="37" fillId="49" borderId="163" xfId="0" applyFont="1" applyFill="1" applyBorder="1" applyAlignment="1">
      <alignment horizontal="center" vertical="center"/>
    </xf>
    <xf numFmtId="0" fontId="37" fillId="49" borderId="133" xfId="0" applyFont="1" applyFill="1" applyBorder="1" applyAlignment="1">
      <alignment horizontal="center" vertical="center"/>
    </xf>
    <xf numFmtId="0" fontId="37" fillId="49" borderId="0" xfId="0" applyFont="1" applyFill="1" applyAlignment="1">
      <alignment horizontal="center" vertical="center"/>
    </xf>
    <xf numFmtId="0" fontId="37" fillId="49" borderId="11" xfId="0" applyFont="1" applyFill="1" applyBorder="1" applyAlignment="1">
      <alignment horizontal="center" vertical="center"/>
    </xf>
    <xf numFmtId="0" fontId="37" fillId="49" borderId="156" xfId="0" applyFont="1" applyFill="1" applyBorder="1" applyAlignment="1">
      <alignment horizontal="center" vertical="center"/>
    </xf>
    <xf numFmtId="0" fontId="37" fillId="49" borderId="154" xfId="0" applyFont="1" applyFill="1" applyBorder="1" applyAlignment="1">
      <alignment horizontal="center" vertical="center"/>
    </xf>
    <xf numFmtId="0" fontId="37" fillId="49" borderId="155" xfId="0" applyFont="1" applyFill="1" applyBorder="1" applyAlignment="1">
      <alignment horizontal="center" vertical="center"/>
    </xf>
    <xf numFmtId="0" fontId="9" fillId="0" borderId="0" xfId="5" applyFont="1" applyAlignment="1">
      <alignment horizontal="center"/>
    </xf>
    <xf numFmtId="0" fontId="9" fillId="25" borderId="17" xfId="5" applyFont="1" applyFill="1" applyBorder="1" applyAlignment="1">
      <alignment horizontal="center"/>
    </xf>
    <xf numFmtId="0" fontId="9" fillId="25" borderId="76" xfId="5" applyFont="1" applyFill="1" applyBorder="1" applyAlignment="1">
      <alignment horizontal="center"/>
    </xf>
    <xf numFmtId="0" fontId="9" fillId="25" borderId="21" xfId="5" applyFont="1" applyFill="1" applyBorder="1" applyAlignment="1">
      <alignment horizontal="center"/>
    </xf>
    <xf numFmtId="0" fontId="9" fillId="25" borderId="42" xfId="5" applyFont="1" applyFill="1" applyBorder="1" applyAlignment="1">
      <alignment horizontal="center"/>
    </xf>
    <xf numFmtId="0" fontId="0" fillId="0" borderId="77" xfId="0" applyBorder="1" applyAlignment="1">
      <alignment horizontal="left" vertical="center" wrapText="1"/>
    </xf>
    <xf numFmtId="0" fontId="0" fillId="0" borderId="94" xfId="0" applyBorder="1" applyAlignment="1">
      <alignment horizontal="left" vertical="center" wrapText="1"/>
    </xf>
    <xf numFmtId="0" fontId="0" fillId="0" borderId="79" xfId="0" applyBorder="1" applyAlignment="1">
      <alignment horizontal="left" vertical="center" wrapText="1"/>
    </xf>
    <xf numFmtId="0" fontId="7" fillId="34" borderId="172" xfId="5" applyFill="1" applyBorder="1" applyAlignment="1" applyProtection="1">
      <alignment horizontal="center" vertical="center"/>
      <protection hidden="1"/>
    </xf>
    <xf numFmtId="0" fontId="7" fillId="35" borderId="174" xfId="5" applyFill="1" applyBorder="1" applyAlignment="1" applyProtection="1">
      <alignment horizontal="center" vertical="center"/>
      <protection hidden="1"/>
    </xf>
    <xf numFmtId="0" fontId="7" fillId="35" borderId="176" xfId="5" applyFill="1" applyBorder="1" applyAlignment="1" applyProtection="1">
      <alignment horizontal="center" vertical="center"/>
      <protection hidden="1"/>
    </xf>
    <xf numFmtId="0" fontId="7" fillId="35" borderId="175" xfId="5" applyFill="1" applyBorder="1" applyAlignment="1" applyProtection="1">
      <alignment horizontal="center" vertical="center"/>
      <protection hidden="1"/>
    </xf>
    <xf numFmtId="0" fontId="7" fillId="35" borderId="169" xfId="5" applyFill="1" applyBorder="1" applyAlignment="1" applyProtection="1">
      <alignment horizontal="center" vertical="center"/>
      <protection hidden="1"/>
    </xf>
    <xf numFmtId="0" fontId="7" fillId="35" borderId="170" xfId="5" applyFill="1" applyBorder="1" applyAlignment="1" applyProtection="1">
      <alignment horizontal="center" vertical="center"/>
      <protection hidden="1"/>
    </xf>
    <xf numFmtId="0" fontId="7" fillId="35" borderId="171" xfId="5" applyFill="1" applyBorder="1" applyAlignment="1" applyProtection="1">
      <alignment horizontal="center" vertical="center"/>
      <protection hidden="1"/>
    </xf>
    <xf numFmtId="0" fontId="49" fillId="27" borderId="169" xfId="5" applyFont="1" applyFill="1" applyBorder="1" applyAlignment="1" applyProtection="1">
      <alignment horizontal="center" vertical="center"/>
      <protection hidden="1"/>
    </xf>
    <xf numFmtId="0" fontId="49" fillId="27" borderId="170" xfId="5" applyFont="1" applyFill="1" applyBorder="1" applyAlignment="1" applyProtection="1">
      <alignment horizontal="center" vertical="center"/>
      <protection hidden="1"/>
    </xf>
    <xf numFmtId="0" fontId="49" fillId="27" borderId="171" xfId="5" applyFont="1" applyFill="1" applyBorder="1" applyAlignment="1" applyProtection="1">
      <alignment horizontal="center" vertical="center"/>
      <protection hidden="1"/>
    </xf>
    <xf numFmtId="14" fontId="7" fillId="34" borderId="172" xfId="5" applyNumberFormat="1" applyFill="1" applyBorder="1" applyAlignment="1" applyProtection="1">
      <alignment horizontal="center" vertical="center"/>
      <protection hidden="1"/>
    </xf>
    <xf numFmtId="0" fontId="7" fillId="34" borderId="174" xfId="5" applyFill="1" applyBorder="1" applyAlignment="1" applyProtection="1">
      <alignment horizontal="center" vertical="center"/>
      <protection hidden="1"/>
    </xf>
    <xf numFmtId="0" fontId="7" fillId="34" borderId="175" xfId="5" applyFill="1" applyBorder="1" applyAlignment="1" applyProtection="1">
      <alignment horizontal="center" vertical="center"/>
      <protection hidden="1"/>
    </xf>
    <xf numFmtId="0" fontId="7" fillId="35" borderId="156" xfId="5" applyFill="1" applyBorder="1" applyAlignment="1" applyProtection="1">
      <alignment horizontal="center" vertical="center"/>
      <protection hidden="1"/>
    </xf>
    <xf numFmtId="0" fontId="7" fillId="35" borderId="155" xfId="5" applyFill="1" applyBorder="1" applyAlignment="1" applyProtection="1">
      <alignment horizontal="center" vertical="center"/>
      <protection hidden="1"/>
    </xf>
    <xf numFmtId="0" fontId="7" fillId="9" borderId="172" xfId="5" applyFill="1" applyBorder="1" applyAlignment="1" applyProtection="1">
      <alignment horizontal="center" vertical="center"/>
      <protection hidden="1"/>
    </xf>
    <xf numFmtId="0" fontId="7" fillId="27" borderId="133" xfId="5" applyFill="1" applyBorder="1" applyAlignment="1" applyProtection="1">
      <alignment horizontal="center" vertical="center"/>
      <protection hidden="1"/>
    </xf>
    <xf numFmtId="0" fontId="7" fillId="27" borderId="11" xfId="5" applyFill="1" applyBorder="1" applyAlignment="1" applyProtection="1">
      <alignment horizontal="center" vertical="center"/>
      <protection hidden="1"/>
    </xf>
    <xf numFmtId="0" fontId="7" fillId="9" borderId="169" xfId="5" applyFill="1" applyBorder="1" applyAlignment="1" applyProtection="1">
      <alignment horizontal="center" vertical="center" wrapText="1"/>
      <protection hidden="1"/>
    </xf>
    <xf numFmtId="0" fontId="7" fillId="9" borderId="171" xfId="5" applyFill="1" applyBorder="1" applyAlignment="1" applyProtection="1">
      <alignment horizontal="center" vertical="center" wrapText="1"/>
      <protection hidden="1"/>
    </xf>
    <xf numFmtId="0" fontId="7" fillId="9" borderId="156" xfId="5" applyFill="1" applyBorder="1" applyAlignment="1" applyProtection="1">
      <alignment horizontal="center" vertical="center" wrapText="1"/>
      <protection hidden="1"/>
    </xf>
    <xf numFmtId="0" fontId="7" fillId="9" borderId="155" xfId="5" applyFill="1" applyBorder="1" applyAlignment="1" applyProtection="1">
      <alignment horizontal="center" vertical="center" wrapText="1"/>
      <protection hidden="1"/>
    </xf>
    <xf numFmtId="0" fontId="7" fillId="35" borderId="172" xfId="5" applyFill="1" applyBorder="1" applyAlignment="1" applyProtection="1">
      <alignment horizontal="center" vertical="center"/>
      <protection hidden="1"/>
    </xf>
    <xf numFmtId="0" fontId="7" fillId="35" borderId="172" xfId="5" applyFill="1" applyBorder="1" applyAlignment="1" applyProtection="1">
      <alignment horizontal="center" vertical="center" wrapText="1"/>
      <protection hidden="1"/>
    </xf>
    <xf numFmtId="0" fontId="7" fillId="35" borderId="173" xfId="5" applyFill="1" applyBorder="1" applyAlignment="1" applyProtection="1">
      <alignment horizontal="center" vertical="center" wrapText="1"/>
      <protection hidden="1"/>
    </xf>
    <xf numFmtId="0" fontId="7" fillId="0" borderId="172" xfId="5" applyBorder="1" applyAlignment="1" applyProtection="1">
      <alignment horizontal="center" vertical="center"/>
      <protection locked="0"/>
    </xf>
    <xf numFmtId="175" fontId="7" fillId="0" borderId="172" xfId="5" applyNumberFormat="1" applyBorder="1" applyAlignment="1" applyProtection="1">
      <alignment horizontal="center" vertical="center"/>
      <protection locked="0"/>
    </xf>
    <xf numFmtId="0" fontId="10" fillId="34" borderId="172" xfId="5" applyFont="1" applyFill="1" applyBorder="1" applyAlignment="1" applyProtection="1">
      <alignment horizontal="center"/>
      <protection hidden="1"/>
    </xf>
    <xf numFmtId="0" fontId="8" fillId="27" borderId="0" xfId="5" applyFont="1" applyFill="1" applyAlignment="1" applyProtection="1">
      <alignment horizontal="left"/>
      <protection hidden="1"/>
    </xf>
    <xf numFmtId="14" fontId="10" fillId="34" borderId="174" xfId="5" applyNumberFormat="1" applyFont="1" applyFill="1" applyBorder="1" applyAlignment="1" applyProtection="1">
      <alignment horizontal="left"/>
      <protection hidden="1"/>
    </xf>
    <xf numFmtId="14" fontId="10" fillId="34" borderId="176" xfId="5" applyNumberFormat="1" applyFont="1" applyFill="1" applyBorder="1" applyAlignment="1" applyProtection="1">
      <alignment horizontal="left"/>
      <protection hidden="1"/>
    </xf>
    <xf numFmtId="14" fontId="10" fillId="34" borderId="175" xfId="5" applyNumberFormat="1" applyFont="1" applyFill="1" applyBorder="1" applyAlignment="1" applyProtection="1">
      <alignment horizontal="left"/>
      <protection hidden="1"/>
    </xf>
    <xf numFmtId="0" fontId="10" fillId="34" borderId="174" xfId="5" applyFont="1" applyFill="1" applyBorder="1" applyAlignment="1" applyProtection="1">
      <alignment horizontal="left"/>
      <protection hidden="1"/>
    </xf>
    <xf numFmtId="0" fontId="10" fillId="34" borderId="176" xfId="5" applyFont="1" applyFill="1" applyBorder="1" applyAlignment="1" applyProtection="1">
      <alignment horizontal="left"/>
      <protection hidden="1"/>
    </xf>
    <xf numFmtId="0" fontId="10" fillId="34" borderId="175" xfId="5" applyFont="1" applyFill="1" applyBorder="1" applyAlignment="1" applyProtection="1">
      <alignment horizontal="left"/>
      <protection hidden="1"/>
    </xf>
    <xf numFmtId="0" fontId="10" fillId="15" borderId="156" xfId="5" applyFont="1" applyFill="1" applyBorder="1" applyAlignment="1" applyProtection="1">
      <alignment horizontal="left"/>
      <protection hidden="1"/>
    </xf>
    <xf numFmtId="0" fontId="10" fillId="15" borderId="154" xfId="5" applyFont="1" applyFill="1" applyBorder="1" applyAlignment="1" applyProtection="1">
      <alignment horizontal="left"/>
      <protection hidden="1"/>
    </xf>
    <xf numFmtId="0" fontId="10" fillId="34" borderId="133" xfId="5" applyFont="1" applyFill="1" applyBorder="1" applyAlignment="1" applyProtection="1">
      <alignment horizontal="left"/>
      <protection hidden="1"/>
    </xf>
    <xf numFmtId="0" fontId="10" fillId="34" borderId="0" xfId="5" applyFont="1" applyFill="1" applyAlignment="1" applyProtection="1">
      <alignment horizontal="left"/>
      <protection hidden="1"/>
    </xf>
    <xf numFmtId="0" fontId="10" fillId="34" borderId="174" xfId="5" applyFont="1" applyFill="1" applyBorder="1" applyAlignment="1" applyProtection="1">
      <alignment horizontal="right"/>
      <protection hidden="1"/>
    </xf>
    <xf numFmtId="0" fontId="10" fillId="34" borderId="176" xfId="5" applyFont="1" applyFill="1" applyBorder="1" applyAlignment="1" applyProtection="1">
      <alignment horizontal="right"/>
      <protection hidden="1"/>
    </xf>
    <xf numFmtId="0" fontId="86" fillId="34" borderId="133" xfId="5" applyFont="1" applyFill="1" applyBorder="1" applyAlignment="1" applyProtection="1">
      <alignment horizontal="left"/>
      <protection hidden="1"/>
    </xf>
    <xf numFmtId="0" fontId="86" fillId="34" borderId="0" xfId="5" applyFont="1" applyFill="1" applyAlignment="1" applyProtection="1">
      <alignment horizontal="left"/>
      <protection hidden="1"/>
    </xf>
    <xf numFmtId="0" fontId="86" fillId="15" borderId="133" xfId="5" applyFont="1" applyFill="1" applyBorder="1" applyAlignment="1" applyProtection="1">
      <alignment horizontal="left"/>
      <protection hidden="1"/>
    </xf>
    <xf numFmtId="0" fontId="86" fillId="15" borderId="0" xfId="5" applyFont="1" applyFill="1" applyAlignment="1" applyProtection="1">
      <alignment horizontal="left"/>
      <protection hidden="1"/>
    </xf>
    <xf numFmtId="0" fontId="10" fillId="15" borderId="133" xfId="5" applyFont="1" applyFill="1" applyBorder="1" applyAlignment="1" applyProtection="1">
      <alignment horizontal="left"/>
      <protection hidden="1"/>
    </xf>
    <xf numFmtId="0" fontId="10" fillId="15" borderId="0" xfId="5" applyFont="1" applyFill="1" applyAlignment="1" applyProtection="1">
      <alignment horizontal="left"/>
      <protection hidden="1"/>
    </xf>
    <xf numFmtId="0" fontId="86" fillId="15" borderId="0" xfId="5" applyFont="1" applyFill="1" applyAlignment="1" applyProtection="1">
      <alignment horizontal="center" wrapText="1"/>
      <protection hidden="1"/>
    </xf>
    <xf numFmtId="0" fontId="86" fillId="15" borderId="11" xfId="5" applyFont="1" applyFill="1" applyBorder="1" applyAlignment="1" applyProtection="1">
      <alignment horizontal="center" wrapText="1"/>
      <protection hidden="1"/>
    </xf>
    <xf numFmtId="0" fontId="86" fillId="34" borderId="0" xfId="5" applyFont="1" applyFill="1" applyAlignment="1" applyProtection="1">
      <alignment horizontal="center" wrapText="1"/>
      <protection hidden="1"/>
    </xf>
    <xf numFmtId="0" fontId="10" fillId="34" borderId="156" xfId="5" applyFont="1" applyFill="1" applyBorder="1" applyAlignment="1" applyProtection="1">
      <alignment horizontal="left"/>
      <protection hidden="1"/>
    </xf>
    <xf numFmtId="0" fontId="10" fillId="34" borderId="154" xfId="5" applyFont="1" applyFill="1" applyBorder="1" applyAlignment="1" applyProtection="1">
      <alignment horizontal="left"/>
      <protection hidden="1"/>
    </xf>
    <xf numFmtId="0" fontId="86" fillId="34" borderId="11" xfId="5" applyFont="1" applyFill="1" applyBorder="1" applyAlignment="1" applyProtection="1">
      <alignment horizontal="center" wrapText="1"/>
      <protection hidden="1"/>
    </xf>
    <xf numFmtId="0" fontId="8" fillId="35" borderId="174" xfId="5" applyFont="1" applyFill="1" applyBorder="1" applyAlignment="1" applyProtection="1">
      <alignment horizontal="center"/>
      <protection hidden="1"/>
    </xf>
    <xf numFmtId="0" fontId="8" fillId="35" borderId="176" xfId="5" applyFont="1" applyFill="1" applyBorder="1" applyAlignment="1" applyProtection="1">
      <alignment horizontal="center"/>
      <protection hidden="1"/>
    </xf>
    <xf numFmtId="0" fontId="8" fillId="35" borderId="175" xfId="5" applyFont="1" applyFill="1" applyBorder="1" applyAlignment="1" applyProtection="1">
      <alignment horizontal="center"/>
      <protection hidden="1"/>
    </xf>
    <xf numFmtId="0" fontId="10" fillId="34" borderId="172" xfId="5" applyFont="1" applyFill="1" applyBorder="1" applyAlignment="1" applyProtection="1">
      <alignment horizontal="left"/>
      <protection hidden="1"/>
    </xf>
    <xf numFmtId="0" fontId="151" fillId="0" borderId="140" xfId="0" applyFont="1" applyBorder="1" applyAlignment="1">
      <alignment horizontal="center"/>
    </xf>
    <xf numFmtId="0" fontId="151" fillId="0" borderId="141" xfId="0" applyFont="1" applyBorder="1" applyAlignment="1">
      <alignment horizontal="center"/>
    </xf>
    <xf numFmtId="0" fontId="151" fillId="0" borderId="142" xfId="0" applyFont="1" applyBorder="1" applyAlignment="1">
      <alignment horizontal="center"/>
    </xf>
    <xf numFmtId="0" fontId="147" fillId="17" borderId="0" xfId="0" applyFont="1" applyFill="1" applyAlignment="1">
      <alignment horizontal="left" wrapText="1"/>
    </xf>
    <xf numFmtId="0" fontId="148" fillId="8" borderId="0" xfId="4" applyFont="1" applyFill="1" applyAlignment="1">
      <alignment horizontal="center"/>
    </xf>
    <xf numFmtId="0" fontId="43" fillId="0" borderId="0" xfId="5" applyFont="1" applyAlignment="1">
      <alignment horizontal="left"/>
    </xf>
    <xf numFmtId="0" fontId="43" fillId="0" borderId="25" xfId="5" applyFont="1" applyBorder="1" applyAlignment="1">
      <alignment horizontal="left"/>
    </xf>
    <xf numFmtId="0" fontId="9" fillId="25" borderId="18" xfId="5" applyFont="1" applyFill="1" applyBorder="1" applyAlignment="1">
      <alignment horizontal="center"/>
    </xf>
    <xf numFmtId="0" fontId="9" fillId="25" borderId="82" xfId="5" applyFont="1" applyFill="1" applyBorder="1" applyAlignment="1">
      <alignment horizontal="center"/>
    </xf>
    <xf numFmtId="0" fontId="9" fillId="25" borderId="22" xfId="5" applyFont="1" applyFill="1" applyBorder="1" applyAlignment="1">
      <alignment horizontal="center"/>
    </xf>
    <xf numFmtId="0" fontId="9" fillId="25" borderId="83" xfId="5" applyFont="1" applyFill="1" applyBorder="1" applyAlignment="1">
      <alignment horizontal="center"/>
    </xf>
    <xf numFmtId="0" fontId="9" fillId="0" borderId="16" xfId="5" applyFont="1" applyBorder="1" applyAlignment="1">
      <alignment horizontal="center"/>
    </xf>
    <xf numFmtId="0" fontId="9" fillId="0" borderId="23" xfId="5" applyFont="1" applyBorder="1" applyAlignment="1">
      <alignment horizontal="center"/>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9" xfId="0" applyFont="1" applyBorder="1" applyAlignment="1">
      <alignment horizontal="center" vertical="center" wrapText="1"/>
    </xf>
    <xf numFmtId="0" fontId="17" fillId="51" borderId="182" xfId="0" applyFont="1" applyFill="1" applyBorder="1" applyAlignment="1">
      <alignment horizontal="center" vertical="center" wrapText="1"/>
    </xf>
    <xf numFmtId="0" fontId="17" fillId="51" borderId="183" xfId="0" applyFont="1" applyFill="1" applyBorder="1" applyAlignment="1">
      <alignment horizontal="center" vertical="center" wrapText="1"/>
    </xf>
    <xf numFmtId="0" fontId="17" fillId="51" borderId="184" xfId="0" applyFont="1" applyFill="1" applyBorder="1" applyAlignment="1">
      <alignment horizontal="center" vertical="center" wrapText="1"/>
    </xf>
    <xf numFmtId="0" fontId="17" fillId="51" borderId="133" xfId="0" applyFont="1" applyFill="1" applyBorder="1" applyAlignment="1">
      <alignment horizontal="center" vertical="center" wrapText="1"/>
    </xf>
    <xf numFmtId="0" fontId="17" fillId="51" borderId="0" xfId="0" applyFont="1" applyFill="1" applyBorder="1" applyAlignment="1">
      <alignment horizontal="center" vertical="center" wrapText="1"/>
    </xf>
    <xf numFmtId="0" fontId="17" fillId="51" borderId="11" xfId="0" applyFont="1" applyFill="1" applyBorder="1" applyAlignment="1">
      <alignment horizontal="center" vertical="center" wrapText="1"/>
    </xf>
    <xf numFmtId="0" fontId="17" fillId="51" borderId="156" xfId="0" applyFont="1" applyFill="1" applyBorder="1" applyAlignment="1">
      <alignment horizontal="center" vertical="center" wrapText="1"/>
    </xf>
    <xf numFmtId="0" fontId="17" fillId="51" borderId="154" xfId="0" applyFont="1" applyFill="1" applyBorder="1" applyAlignment="1">
      <alignment horizontal="center" vertical="center" wrapText="1"/>
    </xf>
    <xf numFmtId="0" fontId="17" fillId="51" borderId="155" xfId="0" applyFont="1" applyFill="1" applyBorder="1" applyAlignment="1">
      <alignment horizontal="center" vertical="center" wrapText="1"/>
    </xf>
    <xf numFmtId="0" fontId="9" fillId="25" borderId="84" xfId="5" applyFont="1" applyFill="1" applyBorder="1" applyAlignment="1">
      <alignment horizontal="center"/>
    </xf>
    <xf numFmtId="0" fontId="9" fillId="25" borderId="86" xfId="5" applyFont="1" applyFill="1" applyBorder="1" applyAlignment="1">
      <alignment horizontal="center"/>
    </xf>
    <xf numFmtId="0" fontId="9" fillId="25" borderId="87" xfId="5" applyFont="1" applyFill="1" applyBorder="1" applyAlignment="1">
      <alignment horizontal="center"/>
    </xf>
    <xf numFmtId="0" fontId="9" fillId="25" borderId="85" xfId="5" applyFont="1" applyFill="1" applyBorder="1" applyAlignment="1">
      <alignment horizontal="center"/>
    </xf>
    <xf numFmtId="3" fontId="13" fillId="7" borderId="0" xfId="5" applyNumberFormat="1" applyFont="1" applyFill="1" applyAlignment="1">
      <alignment horizontal="center"/>
    </xf>
    <xf numFmtId="0" fontId="0" fillId="17" borderId="135" xfId="0" applyFill="1" applyBorder="1" applyAlignment="1">
      <alignment horizontal="left" vertical="top" wrapText="1"/>
    </xf>
    <xf numFmtId="0" fontId="0" fillId="17" borderId="150" xfId="0" applyFill="1" applyBorder="1" applyAlignment="1">
      <alignment horizontal="left" vertical="top" wrapText="1"/>
    </xf>
    <xf numFmtId="0" fontId="0" fillId="17" borderId="148" xfId="0" applyFill="1" applyBorder="1" applyAlignment="1">
      <alignment horizontal="left" vertical="top" wrapText="1"/>
    </xf>
    <xf numFmtId="0" fontId="0" fillId="17" borderId="151" xfId="0" applyFill="1" applyBorder="1" applyAlignment="1">
      <alignment horizontal="left" vertical="top" wrapText="1"/>
    </xf>
    <xf numFmtId="0" fontId="37" fillId="17" borderId="24" xfId="0" applyFont="1" applyFill="1" applyBorder="1" applyAlignment="1">
      <alignment horizontal="center" vertical="center"/>
    </xf>
    <xf numFmtId="0" fontId="37" fillId="17" borderId="0" xfId="0" applyFont="1" applyFill="1" applyAlignment="1">
      <alignment horizontal="center" vertical="center"/>
    </xf>
    <xf numFmtId="0" fontId="37" fillId="17" borderId="25" xfId="0" applyFont="1" applyFill="1" applyBorder="1" applyAlignment="1">
      <alignment horizontal="center" vertical="center"/>
    </xf>
    <xf numFmtId="0" fontId="37" fillId="17" borderId="134" xfId="0" applyFont="1" applyFill="1" applyBorder="1" applyAlignment="1">
      <alignment horizontal="center" vertical="center"/>
    </xf>
    <xf numFmtId="0" fontId="37" fillId="17" borderId="111" xfId="0" applyFont="1" applyFill="1" applyBorder="1" applyAlignment="1">
      <alignment horizontal="center" vertical="center"/>
    </xf>
    <xf numFmtId="0" fontId="37" fillId="17" borderId="98" xfId="0" applyFont="1" applyFill="1" applyBorder="1" applyAlignment="1">
      <alignment horizontal="center" vertical="center"/>
    </xf>
    <xf numFmtId="0" fontId="139" fillId="26" borderId="15" xfId="5" applyFont="1" applyFill="1" applyBorder="1" applyAlignment="1">
      <alignment horizontal="center" vertical="center"/>
    </xf>
    <xf numFmtId="0" fontId="139" fillId="26" borderId="16" xfId="5" applyFont="1" applyFill="1" applyBorder="1" applyAlignment="1">
      <alignment horizontal="center" vertical="center"/>
    </xf>
    <xf numFmtId="0" fontId="139" fillId="26" borderId="23" xfId="5" applyFont="1" applyFill="1" applyBorder="1" applyAlignment="1">
      <alignment horizontal="center" vertical="center"/>
    </xf>
    <xf numFmtId="0" fontId="139" fillId="26" borderId="19" xfId="5" applyFont="1" applyFill="1" applyBorder="1" applyAlignment="1">
      <alignment horizontal="center" vertical="center"/>
    </xf>
    <xf numFmtId="0" fontId="139" fillId="26" borderId="20" xfId="5" applyFont="1" applyFill="1" applyBorder="1" applyAlignment="1">
      <alignment horizontal="center" vertical="center"/>
    </xf>
    <xf numFmtId="0" fontId="139" fillId="26" borderId="26" xfId="5" applyFont="1" applyFill="1" applyBorder="1" applyAlignment="1">
      <alignment horizontal="center" vertical="center"/>
    </xf>
    <xf numFmtId="0" fontId="4" fillId="17" borderId="138" xfId="0" applyFont="1" applyFill="1" applyBorder="1" applyAlignment="1">
      <alignment horizontal="center" vertical="center" textRotation="90"/>
    </xf>
    <xf numFmtId="0" fontId="4" fillId="17" borderId="143" xfId="0" applyFont="1" applyFill="1" applyBorder="1" applyAlignment="1">
      <alignment horizontal="center" vertical="center" textRotation="90"/>
    </xf>
    <xf numFmtId="0" fontId="4" fillId="17" borderId="109" xfId="0" applyFont="1" applyFill="1" applyBorder="1" applyAlignment="1">
      <alignment horizontal="center" vertical="center" textRotation="90"/>
    </xf>
    <xf numFmtId="0" fontId="0" fillId="17" borderId="147" xfId="0" applyFill="1" applyBorder="1" applyAlignment="1">
      <alignment horizontal="left" vertical="top" wrapText="1"/>
    </xf>
    <xf numFmtId="0" fontId="0" fillId="17" borderId="149" xfId="0" applyFill="1" applyBorder="1" applyAlignment="1">
      <alignment horizontal="left" vertical="top" wrapText="1"/>
    </xf>
    <xf numFmtId="0" fontId="4" fillId="17" borderId="134" xfId="0" applyFont="1" applyFill="1" applyBorder="1" applyAlignment="1">
      <alignment horizontal="center"/>
    </xf>
    <xf numFmtId="0" fontId="4" fillId="17" borderId="111" xfId="0" applyFont="1" applyFill="1" applyBorder="1" applyAlignment="1">
      <alignment horizontal="center"/>
    </xf>
    <xf numFmtId="0" fontId="4" fillId="17" borderId="112" xfId="0" applyFont="1" applyFill="1" applyBorder="1" applyAlignment="1">
      <alignment horizontal="center"/>
    </xf>
    <xf numFmtId="0" fontId="4" fillId="17" borderId="110" xfId="0" applyFont="1" applyFill="1" applyBorder="1" applyAlignment="1">
      <alignment horizontal="center"/>
    </xf>
    <xf numFmtId="0" fontId="4" fillId="17" borderId="98" xfId="0" applyFont="1" applyFill="1" applyBorder="1" applyAlignment="1">
      <alignment horizontal="center"/>
    </xf>
    <xf numFmtId="0" fontId="0" fillId="17" borderId="146" xfId="0" applyFill="1" applyBorder="1" applyAlignment="1">
      <alignment horizontal="left" vertical="top" wrapText="1"/>
    </xf>
    <xf numFmtId="0" fontId="0" fillId="17" borderId="141" xfId="0" applyFill="1" applyBorder="1" applyAlignment="1">
      <alignment horizontal="left" vertical="top" wrapText="1"/>
    </xf>
    <xf numFmtId="0" fontId="0" fillId="17" borderId="142" xfId="0" applyFill="1" applyBorder="1" applyAlignment="1">
      <alignment horizontal="left" vertical="top" wrapText="1"/>
    </xf>
    <xf numFmtId="0" fontId="0" fillId="17" borderId="24" xfId="0" applyFill="1" applyBorder="1" applyAlignment="1">
      <alignment horizontal="left" vertical="top" wrapText="1"/>
    </xf>
    <xf numFmtId="0" fontId="0" fillId="17" borderId="0" xfId="0" applyFill="1" applyAlignment="1">
      <alignment horizontal="left" vertical="top" wrapText="1"/>
    </xf>
    <xf numFmtId="0" fontId="0" fillId="17" borderId="11" xfId="0" applyFill="1" applyBorder="1" applyAlignment="1">
      <alignment horizontal="left" vertical="top" wrapText="1"/>
    </xf>
    <xf numFmtId="0" fontId="0" fillId="17" borderId="19" xfId="0" applyFill="1" applyBorder="1" applyAlignment="1">
      <alignment horizontal="left" vertical="top" wrapText="1"/>
    </xf>
    <xf numFmtId="0" fontId="0" fillId="17" borderId="20" xfId="0" applyFill="1" applyBorder="1" applyAlignment="1">
      <alignment horizontal="left" vertical="top" wrapText="1"/>
    </xf>
    <xf numFmtId="0" fontId="0" fillId="17" borderId="93" xfId="0" applyFill="1" applyBorder="1" applyAlignment="1">
      <alignment horizontal="left" vertical="top" wrapText="1"/>
    </xf>
    <xf numFmtId="0" fontId="4" fillId="17" borderId="144" xfId="0" applyFont="1" applyFill="1" applyBorder="1" applyAlignment="1">
      <alignment horizontal="center" vertical="center"/>
    </xf>
    <xf numFmtId="0" fontId="4" fillId="17" borderId="139" xfId="0" applyFont="1" applyFill="1" applyBorder="1" applyAlignment="1">
      <alignment horizontal="center" vertical="center"/>
    </xf>
    <xf numFmtId="0" fontId="4" fillId="17" borderId="137" xfId="0" applyFont="1" applyFill="1" applyBorder="1" applyAlignment="1">
      <alignment horizontal="center" vertical="center"/>
    </xf>
    <xf numFmtId="0" fontId="4" fillId="17" borderId="136" xfId="0" applyFont="1" applyFill="1" applyBorder="1" applyAlignment="1">
      <alignment horizontal="center" vertical="center"/>
    </xf>
    <xf numFmtId="0" fontId="4" fillId="17" borderId="136" xfId="0" applyFont="1" applyFill="1" applyBorder="1" applyAlignment="1">
      <alignment horizontal="center" vertical="center" wrapText="1"/>
    </xf>
    <xf numFmtId="0" fontId="4" fillId="17" borderId="139" xfId="0" applyFont="1" applyFill="1" applyBorder="1" applyAlignment="1">
      <alignment horizontal="center" vertical="center" wrapText="1"/>
    </xf>
    <xf numFmtId="0" fontId="4" fillId="17" borderId="145" xfId="0" applyFont="1" applyFill="1" applyBorder="1" applyAlignment="1">
      <alignment horizontal="center" vertical="center" wrapText="1"/>
    </xf>
    <xf numFmtId="0" fontId="0" fillId="17" borderId="137" xfId="0" applyFill="1" applyBorder="1" applyAlignment="1">
      <alignment horizontal="left" vertical="top" wrapText="1"/>
    </xf>
    <xf numFmtId="0" fontId="0" fillId="17" borderId="152" xfId="0" applyFill="1" applyBorder="1" applyAlignment="1">
      <alignment horizontal="left" vertical="top" wrapText="1"/>
    </xf>
    <xf numFmtId="0" fontId="4" fillId="17" borderId="140" xfId="0" applyFont="1" applyFill="1" applyBorder="1" applyAlignment="1">
      <alignment horizontal="center" vertical="center" textRotation="90"/>
    </xf>
    <xf numFmtId="0" fontId="4" fillId="17" borderId="133" xfId="0" applyFont="1" applyFill="1" applyBorder="1" applyAlignment="1">
      <alignment horizontal="center" vertical="center" textRotation="90"/>
    </xf>
    <xf numFmtId="0" fontId="4" fillId="17" borderId="110" xfId="0" applyFont="1" applyFill="1" applyBorder="1" applyAlignment="1">
      <alignment horizontal="center" vertical="center" textRotation="90"/>
    </xf>
    <xf numFmtId="0" fontId="141" fillId="17" borderId="136" xfId="0" applyFont="1" applyFill="1" applyBorder="1" applyAlignment="1">
      <alignment horizontal="center" vertical="center" wrapText="1"/>
    </xf>
    <xf numFmtId="0" fontId="141" fillId="17" borderId="139" xfId="0" applyFont="1" applyFill="1" applyBorder="1" applyAlignment="1">
      <alignment horizontal="center" vertical="center" wrapText="1"/>
    </xf>
    <xf numFmtId="0" fontId="141" fillId="17" borderId="145" xfId="0" applyFont="1" applyFill="1" applyBorder="1" applyAlignment="1">
      <alignment horizontal="center" vertical="center" wrapText="1"/>
    </xf>
    <xf numFmtId="0" fontId="49" fillId="0" borderId="15" xfId="5" applyFont="1" applyBorder="1" applyAlignment="1">
      <alignment horizontal="left" wrapText="1"/>
    </xf>
    <xf numFmtId="0" fontId="49" fillId="0" borderId="23" xfId="5" applyFont="1" applyBorder="1" applyAlignment="1">
      <alignment horizontal="left" wrapText="1"/>
    </xf>
    <xf numFmtId="0" fontId="49" fillId="0" borderId="74" xfId="5" applyFont="1" applyBorder="1" applyAlignment="1">
      <alignment horizontal="left" wrapText="1"/>
    </xf>
    <xf numFmtId="0" fontId="49" fillId="0" borderId="87" xfId="5" applyFont="1" applyBorder="1" applyAlignment="1">
      <alignment horizontal="left" wrapText="1"/>
    </xf>
    <xf numFmtId="0" fontId="130" fillId="0" borderId="27" xfId="5" applyFont="1" applyBorder="1" applyAlignment="1">
      <alignment horizontal="center" vertical="center" wrapText="1"/>
    </xf>
    <xf numFmtId="0" fontId="130" fillId="0" borderId="35" xfId="5" applyFont="1" applyBorder="1" applyAlignment="1">
      <alignment horizontal="center" vertical="center" wrapText="1"/>
    </xf>
    <xf numFmtId="0" fontId="131" fillId="0" borderId="74" xfId="5" applyFont="1" applyBorder="1" applyAlignment="1">
      <alignment horizontal="left" vertical="center" wrapText="1"/>
    </xf>
    <xf numFmtId="0" fontId="131" fillId="0" borderId="85" xfId="5" applyFont="1" applyBorder="1" applyAlignment="1">
      <alignment horizontal="left" vertical="center" wrapText="1"/>
    </xf>
    <xf numFmtId="0" fontId="131" fillId="0" borderId="87" xfId="5" applyFont="1" applyBorder="1" applyAlignment="1">
      <alignment horizontal="left" vertical="center" wrapText="1"/>
    </xf>
    <xf numFmtId="0" fontId="10" fillId="0" borderId="74" xfId="5" applyFont="1" applyBorder="1" applyAlignment="1">
      <alignment horizontal="left" wrapText="1"/>
    </xf>
    <xf numFmtId="0" fontId="10" fillId="0" borderId="85" xfId="5" applyFont="1" applyBorder="1" applyAlignment="1">
      <alignment horizontal="left" wrapText="1"/>
    </xf>
    <xf numFmtId="0" fontId="10" fillId="0" borderId="87" xfId="5" applyFont="1" applyBorder="1" applyAlignment="1">
      <alignment horizontal="left" wrapText="1"/>
    </xf>
    <xf numFmtId="0" fontId="10" fillId="0" borderId="74" xfId="5" applyFont="1" applyBorder="1" applyAlignment="1">
      <alignment horizontal="left"/>
    </xf>
    <xf numFmtId="0" fontId="10" fillId="0" borderId="85" xfId="5" applyFont="1" applyBorder="1" applyAlignment="1">
      <alignment horizontal="left"/>
    </xf>
    <xf numFmtId="0" fontId="10" fillId="0" borderId="87" xfId="5" applyFont="1" applyBorder="1" applyAlignment="1">
      <alignment horizontal="left"/>
    </xf>
    <xf numFmtId="3" fontId="93" fillId="12" borderId="76" xfId="5" applyNumberFormat="1" applyFont="1" applyFill="1" applyBorder="1" applyAlignment="1">
      <alignment horizontal="left" vertical="center" wrapText="1"/>
    </xf>
    <xf numFmtId="3" fontId="93" fillId="12" borderId="34" xfId="5" applyNumberFormat="1" applyFont="1" applyFill="1" applyBorder="1" applyAlignment="1">
      <alignment horizontal="left" vertical="center" wrapText="1"/>
    </xf>
    <xf numFmtId="3" fontId="93" fillId="12" borderId="42" xfId="5" applyNumberFormat="1" applyFont="1" applyFill="1" applyBorder="1" applyAlignment="1">
      <alignment horizontal="left" vertical="center" wrapText="1"/>
    </xf>
    <xf numFmtId="3" fontId="94" fillId="12" borderId="103" xfId="5" applyNumberFormat="1" applyFont="1" applyFill="1" applyBorder="1" applyAlignment="1">
      <alignment horizontal="center" vertical="center" wrapText="1"/>
    </xf>
    <xf numFmtId="3" fontId="94" fillId="12" borderId="45" xfId="5" applyNumberFormat="1" applyFont="1" applyFill="1" applyBorder="1" applyAlignment="1">
      <alignment horizontal="center" vertical="center" wrapText="1"/>
    </xf>
    <xf numFmtId="170" fontId="92" fillId="12" borderId="75" xfId="5" applyNumberFormat="1" applyFont="1" applyFill="1" applyBorder="1" applyAlignment="1">
      <alignment horizontal="center" vertical="center" wrapText="1"/>
    </xf>
    <xf numFmtId="170" fontId="92" fillId="12" borderId="32" xfId="5" applyNumberFormat="1" applyFont="1" applyFill="1" applyBorder="1" applyAlignment="1">
      <alignment horizontal="center" vertical="center" wrapText="1"/>
    </xf>
    <xf numFmtId="170" fontId="92" fillId="12" borderId="41" xfId="5" applyNumberFormat="1" applyFont="1" applyFill="1" applyBorder="1" applyAlignment="1">
      <alignment horizontal="center" vertical="center" wrapText="1"/>
    </xf>
    <xf numFmtId="3" fontId="93" fillId="12" borderId="17" xfId="5" applyNumberFormat="1" applyFont="1" applyFill="1" applyBorder="1" applyAlignment="1">
      <alignment horizontal="center" vertical="center"/>
    </xf>
    <xf numFmtId="3" fontId="93" fillId="12" borderId="90" xfId="5" applyNumberFormat="1" applyFont="1" applyFill="1" applyBorder="1" applyAlignment="1">
      <alignment horizontal="center" vertical="center"/>
    </xf>
    <xf numFmtId="3" fontId="93" fillId="12" borderId="21" xfId="5" applyNumberFormat="1" applyFont="1" applyFill="1" applyBorder="1" applyAlignment="1">
      <alignment horizontal="center" vertical="center"/>
    </xf>
    <xf numFmtId="3" fontId="93" fillId="12" borderId="17" xfId="5" applyNumberFormat="1" applyFont="1" applyFill="1" applyBorder="1" applyAlignment="1">
      <alignment horizontal="center" vertical="center" wrapText="1"/>
    </xf>
    <xf numFmtId="3" fontId="93" fillId="12" borderId="90" xfId="5" applyNumberFormat="1" applyFont="1" applyFill="1" applyBorder="1" applyAlignment="1">
      <alignment horizontal="center" vertical="center" wrapText="1"/>
    </xf>
    <xf numFmtId="3" fontId="93" fillId="12" borderId="21" xfId="5" applyNumberFormat="1" applyFont="1" applyFill="1" applyBorder="1" applyAlignment="1">
      <alignment horizontal="center" vertical="center" wrapText="1"/>
    </xf>
    <xf numFmtId="3" fontId="93" fillId="12" borderId="104" xfId="5" applyNumberFormat="1" applyFont="1" applyFill="1" applyBorder="1" applyAlignment="1">
      <alignment horizontal="center" vertical="center"/>
    </xf>
    <xf numFmtId="3" fontId="93" fillId="12" borderId="105" xfId="5" applyNumberFormat="1" applyFont="1" applyFill="1" applyBorder="1" applyAlignment="1">
      <alignment horizontal="center" vertical="center"/>
    </xf>
    <xf numFmtId="3" fontId="93" fillId="12" borderId="7" xfId="5" applyNumberFormat="1" applyFont="1" applyFill="1" applyBorder="1" applyAlignment="1">
      <alignment horizontal="center" vertical="center"/>
    </xf>
    <xf numFmtId="3" fontId="93" fillId="12" borderId="9" xfId="5" applyNumberFormat="1" applyFont="1" applyFill="1" applyBorder="1" applyAlignment="1">
      <alignment horizontal="center" vertical="center"/>
    </xf>
    <xf numFmtId="3" fontId="94" fillId="12" borderId="33" xfId="5" applyNumberFormat="1" applyFont="1" applyFill="1" applyBorder="1" applyAlignment="1">
      <alignment horizontal="center" vertical="center" wrapText="1"/>
    </xf>
    <xf numFmtId="3" fontId="94" fillId="12" borderId="35" xfId="5" applyNumberFormat="1" applyFont="1" applyFill="1" applyBorder="1" applyAlignment="1">
      <alignment horizontal="center" vertical="center" wrapText="1"/>
    </xf>
    <xf numFmtId="3" fontId="93" fillId="12" borderId="103" xfId="5" applyNumberFormat="1" applyFont="1" applyFill="1" applyBorder="1" applyAlignment="1">
      <alignment horizontal="center" vertical="center" wrapText="1"/>
    </xf>
    <xf numFmtId="3" fontId="93" fillId="12" borderId="35" xfId="5" applyNumberFormat="1" applyFont="1" applyFill="1" applyBorder="1" applyAlignment="1">
      <alignment horizontal="center" vertical="center" wrapText="1"/>
    </xf>
    <xf numFmtId="3" fontId="93" fillId="12" borderId="28" xfId="5" applyNumberFormat="1" applyFont="1" applyFill="1" applyBorder="1" applyAlignment="1">
      <alignment horizontal="center" vertical="center" wrapText="1"/>
    </xf>
    <xf numFmtId="0" fontId="9" fillId="26" borderId="21" xfId="5" applyFont="1" applyFill="1" applyBorder="1" applyAlignment="1">
      <alignment horizontal="center"/>
    </xf>
    <xf numFmtId="0" fontId="9" fillId="0" borderId="0" xfId="5" applyFont="1" applyAlignment="1">
      <alignment horizontal="left"/>
    </xf>
    <xf numFmtId="0" fontId="41" fillId="0" borderId="0" xfId="5" applyFont="1" applyAlignment="1">
      <alignment horizontal="left"/>
    </xf>
    <xf numFmtId="0" fontId="9" fillId="26" borderId="17" xfId="5" applyFont="1" applyFill="1" applyBorder="1" applyAlignment="1">
      <alignment horizontal="center"/>
    </xf>
    <xf numFmtId="0" fontId="138" fillId="8" borderId="0" xfId="4" applyFont="1" applyFill="1" applyAlignment="1">
      <alignment horizontal="center"/>
    </xf>
    <xf numFmtId="0" fontId="7" fillId="36" borderId="172" xfId="5" applyFill="1" applyBorder="1" applyAlignment="1">
      <alignment horizontal="center"/>
    </xf>
    <xf numFmtId="0" fontId="7" fillId="36" borderId="174" xfId="5" applyFill="1" applyBorder="1" applyAlignment="1" applyProtection="1">
      <alignment horizontal="center"/>
      <protection locked="0"/>
    </xf>
    <xf numFmtId="0" fontId="7" fillId="36" borderId="176" xfId="5" applyFill="1" applyBorder="1" applyAlignment="1" applyProtection="1">
      <alignment horizontal="center"/>
      <protection locked="0"/>
    </xf>
    <xf numFmtId="0" fontId="7" fillId="36" borderId="175" xfId="5" applyFill="1" applyBorder="1" applyAlignment="1" applyProtection="1">
      <alignment horizontal="center"/>
      <protection locked="0"/>
    </xf>
    <xf numFmtId="0" fontId="90" fillId="36" borderId="172" xfId="15" applyFill="1" applyBorder="1" applyAlignment="1" applyProtection="1">
      <alignment horizontal="center"/>
    </xf>
  </cellXfs>
  <cellStyles count="21">
    <cellStyle name="20% - Accent1" xfId="18" builtinId="30"/>
    <cellStyle name="20% - Accent3" xfId="20" builtinId="38"/>
    <cellStyle name="40% - Accent2" xfId="9" builtinId="35"/>
    <cellStyle name="40% - Accent4" xfId="10" builtinId="43"/>
    <cellStyle name="40% - Accent5" xfId="11" builtinId="47"/>
    <cellStyle name="40% - Accent6" xfId="12" builtinId="51"/>
    <cellStyle name="Accent1" xfId="17" builtinId="29"/>
    <cellStyle name="Accent2" xfId="19" builtinId="33"/>
    <cellStyle name="Bad" xfId="8" builtinId="27"/>
    <cellStyle name="Check Cell" xfId="16" builtinId="23"/>
    <cellStyle name="Comma 2" xfId="6" xr:uid="{00000000-0005-0000-0000-000006000000}"/>
    <cellStyle name="Good" xfId="2" builtinId="26"/>
    <cellStyle name="Hyperlink" xfId="4" builtinId="8"/>
    <cellStyle name="Hyperlink 2" xfId="14" xr:uid="{00000000-0005-0000-0000-000009000000}"/>
    <cellStyle name="Input" xfId="3" builtinId="20"/>
    <cellStyle name="Normal" xfId="0" builtinId="0"/>
    <cellStyle name="Normal 2" xfId="5" xr:uid="{00000000-0005-0000-0000-00000C000000}"/>
    <cellStyle name="Normal_3_Factor_DOE unprotected" xfId="13" xr:uid="{00000000-0005-0000-0000-00000D000000}"/>
    <cellStyle name="Normal_GR&amp;R" xfId="15" xr:uid="{00000000-0005-0000-0000-00000E000000}"/>
    <cellStyle name="Percent" xfId="1" builtinId="5"/>
    <cellStyle name="Percent 2" xfId="7" xr:uid="{00000000-0005-0000-0000-000010000000}"/>
  </cellStyles>
  <dxfs count="8">
    <dxf>
      <font>
        <color rgb="FF9C0006"/>
      </font>
      <fill>
        <patternFill>
          <bgColor rgb="FFFFC7CE"/>
        </patternFill>
      </fill>
    </dxf>
    <dxf>
      <font>
        <color rgb="FF9C0006"/>
      </font>
      <fill>
        <patternFill>
          <bgColor rgb="FFFFC7CE"/>
        </patternFill>
      </fill>
    </dxf>
    <dxf>
      <font>
        <b/>
        <i val="0"/>
        <condense val="0"/>
        <extend val="0"/>
        <color indexed="10"/>
      </font>
    </dxf>
    <dxf>
      <fill>
        <patternFill>
          <bgColor indexed="22"/>
        </patternFill>
      </fill>
    </dxf>
    <dxf>
      <fill>
        <patternFill>
          <bgColor indexed="34"/>
        </patternFill>
      </fill>
    </dxf>
    <dxf>
      <fill>
        <patternFill>
          <bgColor indexed="11"/>
        </patternFill>
      </fill>
    </dxf>
    <dxf>
      <fill>
        <patternFill>
          <bgColor indexed="40"/>
        </patternFill>
      </fill>
    </dxf>
    <dxf>
      <fill>
        <patternFill>
          <bgColor indexed="11"/>
        </patternFill>
      </fill>
    </dxf>
  </dxfs>
  <tableStyles count="0" defaultTableStyle="TableStyleMedium9" defaultPivotStyle="PivotStyleLight16"/>
  <colors>
    <mruColors>
      <color rgb="FF339933"/>
      <color rgb="FFC866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CA"/>
              <a:t>Repeatability by Individual</a:t>
            </a:r>
          </a:p>
        </c:rich>
      </c:tx>
      <c:layout>
        <c:manualLayout>
          <c:xMode val="edge"/>
          <c:yMode val="edge"/>
          <c:x val="1.7605633802816899E-2"/>
          <c:y val="1.81160061283052E-2"/>
        </c:manualLayout>
      </c:layout>
      <c:overlay val="0"/>
      <c:spPr>
        <a:noFill/>
        <a:ln w="25400">
          <a:noFill/>
        </a:ln>
      </c:spPr>
    </c:title>
    <c:autoTitleDeleted val="0"/>
    <c:plotArea>
      <c:layout>
        <c:manualLayout>
          <c:layoutTarget val="inner"/>
          <c:xMode val="edge"/>
          <c:yMode val="edge"/>
          <c:x val="0.242957746478873"/>
          <c:y val="0.159420853929086"/>
          <c:w val="0.71830985915492995"/>
          <c:h val="0.72826344635786899"/>
        </c:manualLayout>
      </c:layout>
      <c:stockChart>
        <c:ser>
          <c:idx val="0"/>
          <c:order val="0"/>
          <c:tx>
            <c:strRef>
              <c:f>'att Statistical Report'!$A$15</c:f>
              <c:strCache>
                <c:ptCount val="1"/>
                <c:pt idx="0">
                  <c:v>95% UCL</c:v>
                </c:pt>
              </c:strCache>
            </c:strRef>
          </c:tx>
          <c:spPr>
            <a:ln w="19050">
              <a:noFill/>
            </a:ln>
          </c:spPr>
          <c:marker>
            <c:symbol val="square"/>
            <c:size val="5"/>
            <c:spPr>
              <a:solidFill>
                <a:srgbClr val="FF0000"/>
              </a:solidFill>
              <a:ln>
                <a:solidFill>
                  <a:srgbClr val="FF0000"/>
                </a:solidFill>
                <a:prstDash val="solid"/>
              </a:ln>
            </c:spPr>
          </c:marker>
          <c:cat>
            <c:strRef>
              <c:f>'att Statistical Report'!$B$9:$D$9</c:f>
              <c:strCache>
                <c:ptCount val="3"/>
                <c:pt idx="0">
                  <c:v>Individual 1</c:v>
                </c:pt>
                <c:pt idx="1">
                  <c:v>Individual 2</c:v>
                </c:pt>
                <c:pt idx="2">
                  <c:v>Individual 3</c:v>
                </c:pt>
              </c:strCache>
            </c:strRef>
          </c:cat>
          <c:val>
            <c:numRef>
              <c:f>'att Statistical Report'!$B$15:$D$15</c:f>
              <c:numCache>
                <c:formatCode>0.0%</c:formatCode>
                <c:ptCount val="3"/>
                <c:pt idx="0">
                  <c:v>1</c:v>
                </c:pt>
                <c:pt idx="1">
                  <c:v>1</c:v>
                </c:pt>
                <c:pt idx="2">
                  <c:v>1</c:v>
                </c:pt>
              </c:numCache>
            </c:numRef>
          </c:val>
          <c:smooth val="0"/>
          <c:extLst>
            <c:ext xmlns:c16="http://schemas.microsoft.com/office/drawing/2014/chart" uri="{C3380CC4-5D6E-409C-BE32-E72D297353CC}">
              <c16:uniqueId val="{00000000-7F69-4DAB-8546-A2EBFB99D462}"/>
            </c:ext>
          </c:extLst>
        </c:ser>
        <c:ser>
          <c:idx val="1"/>
          <c:order val="1"/>
          <c:tx>
            <c:strRef>
              <c:f>'att Statistical Report'!$A$16</c:f>
              <c:strCache>
                <c:ptCount val="1"/>
                <c:pt idx="0">
                  <c:v>Calculated Score</c:v>
                </c:pt>
              </c:strCache>
            </c:strRef>
          </c:tx>
          <c:spPr>
            <a:ln w="19050">
              <a:noFill/>
            </a:ln>
          </c:spPr>
          <c:marker>
            <c:symbol val="triangle"/>
            <c:size val="5"/>
            <c:spPr>
              <a:solidFill>
                <a:srgbClr val="00FF00"/>
              </a:solidFill>
              <a:ln>
                <a:solidFill>
                  <a:srgbClr val="00FF00"/>
                </a:solidFill>
                <a:prstDash val="solid"/>
              </a:ln>
            </c:spPr>
          </c:marker>
          <c:cat>
            <c:strRef>
              <c:f>'att Statistical Report'!$B$9:$D$9</c:f>
              <c:strCache>
                <c:ptCount val="3"/>
                <c:pt idx="0">
                  <c:v>Individual 1</c:v>
                </c:pt>
                <c:pt idx="1">
                  <c:v>Individual 2</c:v>
                </c:pt>
                <c:pt idx="2">
                  <c:v>Individual 3</c:v>
                </c:pt>
              </c:strCache>
            </c:strRef>
          </c:cat>
          <c:val>
            <c:numRef>
              <c:f>'att Statistical Report'!$B$16:$D$16</c:f>
              <c:numCache>
                <c:formatCode>0.0%</c:formatCode>
                <c:ptCount val="3"/>
                <c:pt idx="0">
                  <c:v>1</c:v>
                </c:pt>
                <c:pt idx="1">
                  <c:v>1</c:v>
                </c:pt>
                <c:pt idx="2">
                  <c:v>1</c:v>
                </c:pt>
              </c:numCache>
            </c:numRef>
          </c:val>
          <c:smooth val="0"/>
          <c:extLst>
            <c:ext xmlns:c16="http://schemas.microsoft.com/office/drawing/2014/chart" uri="{C3380CC4-5D6E-409C-BE32-E72D297353CC}">
              <c16:uniqueId val="{00000001-7F69-4DAB-8546-A2EBFB99D462}"/>
            </c:ext>
          </c:extLst>
        </c:ser>
        <c:ser>
          <c:idx val="2"/>
          <c:order val="2"/>
          <c:tx>
            <c:strRef>
              <c:f>'att Statistical Report'!$A$17</c:f>
              <c:strCache>
                <c:ptCount val="1"/>
                <c:pt idx="0">
                  <c:v>95% LCL</c:v>
                </c:pt>
              </c:strCache>
            </c:strRef>
          </c:tx>
          <c:spPr>
            <a:ln w="19050">
              <a:noFill/>
            </a:ln>
          </c:spPr>
          <c:marker>
            <c:symbol val="square"/>
            <c:size val="5"/>
            <c:spPr>
              <a:solidFill>
                <a:srgbClr val="FF0000"/>
              </a:solidFill>
              <a:ln>
                <a:solidFill>
                  <a:srgbClr val="FF0000"/>
                </a:solidFill>
                <a:prstDash val="solid"/>
              </a:ln>
            </c:spPr>
          </c:marker>
          <c:cat>
            <c:strRef>
              <c:f>'att Statistical Report'!$B$9:$D$9</c:f>
              <c:strCache>
                <c:ptCount val="3"/>
                <c:pt idx="0">
                  <c:v>Individual 1</c:v>
                </c:pt>
                <c:pt idx="1">
                  <c:v>Individual 2</c:v>
                </c:pt>
                <c:pt idx="2">
                  <c:v>Individual 3</c:v>
                </c:pt>
              </c:strCache>
            </c:strRef>
          </c:cat>
          <c:val>
            <c:numRef>
              <c:f>'att Statistical Report'!$B$17:$D$17</c:f>
              <c:numCache>
                <c:formatCode>0.0%</c:formatCode>
                <c:ptCount val="3"/>
                <c:pt idx="0">
                  <c:v>0.69150289218123917</c:v>
                </c:pt>
                <c:pt idx="1">
                  <c:v>0.69150289218123917</c:v>
                </c:pt>
                <c:pt idx="2">
                  <c:v>0.69150289218123917</c:v>
                </c:pt>
              </c:numCache>
            </c:numRef>
          </c:val>
          <c:smooth val="0"/>
          <c:extLst>
            <c:ext xmlns:c16="http://schemas.microsoft.com/office/drawing/2014/chart" uri="{C3380CC4-5D6E-409C-BE32-E72D297353CC}">
              <c16:uniqueId val="{00000002-7F69-4DAB-8546-A2EBFB99D462}"/>
            </c:ext>
          </c:extLst>
        </c:ser>
        <c:dLbls>
          <c:showLegendKey val="0"/>
          <c:showVal val="0"/>
          <c:showCatName val="0"/>
          <c:showSerName val="0"/>
          <c:showPercent val="0"/>
          <c:showBubbleSize val="0"/>
        </c:dLbls>
        <c:hiLowLines>
          <c:spPr>
            <a:ln w="3175">
              <a:solidFill>
                <a:srgbClr val="000000"/>
              </a:solidFill>
              <a:prstDash val="solid"/>
            </a:ln>
          </c:spPr>
        </c:hiLowLines>
        <c:axId val="269877544"/>
        <c:axId val="269877936"/>
      </c:stockChart>
      <c:catAx>
        <c:axId val="2698775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9877936"/>
        <c:crosses val="autoZero"/>
        <c:auto val="0"/>
        <c:lblAlgn val="ctr"/>
        <c:lblOffset val="100"/>
        <c:tickLblSkip val="1"/>
        <c:tickMarkSkip val="1"/>
        <c:noMultiLvlLbl val="0"/>
      </c:catAx>
      <c:valAx>
        <c:axId val="269877936"/>
        <c:scaling>
          <c:orientation val="minMax"/>
          <c:max val="1.100000000000000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CA"/>
                  <a:t>Repeatability</a:t>
                </a:r>
              </a:p>
            </c:rich>
          </c:tx>
          <c:layout>
            <c:manualLayout>
              <c:xMode val="edge"/>
              <c:yMode val="edge"/>
              <c:x val="1.7605633802816899E-2"/>
              <c:y val="0.38405932992007003"/>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9877544"/>
        <c:crosses val="autoZero"/>
        <c:crossBetween val="between"/>
        <c:majorUnit val="0.1"/>
      </c:valAx>
      <c:spPr>
        <a:noFill/>
        <a:ln w="12700">
          <a:solidFill>
            <a:srgbClr val="808080"/>
          </a:solidFill>
          <a:prstDash val="solid"/>
        </a:ln>
      </c:spPr>
    </c:plotArea>
    <c:legend>
      <c:legendPos val="r"/>
      <c:layout>
        <c:manualLayout>
          <c:xMode val="edge"/>
          <c:yMode val="edge"/>
          <c:x val="0.63380281690140905"/>
          <c:y val="1.81160061283052E-2"/>
          <c:w val="0.352112676056338"/>
          <c:h val="0.137681646575119"/>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Operator</a:t>
            </a:r>
          </a:p>
        </c:rich>
      </c:tx>
      <c:layout>
        <c:manualLayout>
          <c:xMode val="edge"/>
          <c:yMode val="edge"/>
          <c:x val="0.44157289443039605"/>
          <c:y val="1.7752059507249607E-2"/>
        </c:manualLayout>
      </c:layout>
      <c:overlay val="0"/>
      <c:spPr>
        <a:noFill/>
        <a:ln w="25400">
          <a:noFill/>
        </a:ln>
      </c:spPr>
    </c:title>
    <c:autoTitleDeleted val="0"/>
    <c:plotArea>
      <c:layout>
        <c:manualLayout>
          <c:layoutTarget val="inner"/>
          <c:xMode val="edge"/>
          <c:yMode val="edge"/>
          <c:x val="6.8184049875281733E-2"/>
          <c:y val="0.10651235704349764"/>
          <c:w val="0.9107440947626918"/>
          <c:h val="0.75742120564264992"/>
        </c:manualLayout>
      </c:layout>
      <c:lineChart>
        <c:grouping val="standard"/>
        <c:varyColors val="0"/>
        <c:ser>
          <c:idx val="0"/>
          <c:order val="0"/>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(2)'!$AS$72:$AS$73</c:f>
              <c:numCache>
                <c:formatCode>General</c:formatCode>
                <c:ptCount val="2"/>
                <c:pt idx="0">
                  <c:v>0.52100000000000002</c:v>
                </c:pt>
                <c:pt idx="1">
                  <c:v>0.51100000000000001</c:v>
                </c:pt>
              </c:numCache>
            </c:numRef>
          </c:val>
          <c:smooth val="0"/>
          <c:extLst>
            <c:ext xmlns:c16="http://schemas.microsoft.com/office/drawing/2014/chart" uri="{C3380CC4-5D6E-409C-BE32-E72D297353CC}">
              <c16:uniqueId val="{00000000-3DB6-4FF8-8990-648A31BEE3CE}"/>
            </c:ext>
          </c:extLst>
        </c:ser>
        <c:ser>
          <c:idx val="1"/>
          <c:order val="1"/>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(2)'!$AT$72:$AT$73</c:f>
              <c:numCache>
                <c:formatCode>General</c:formatCode>
                <c:ptCount val="2"/>
                <c:pt idx="0">
                  <c:v>0.52100000000000002</c:v>
                </c:pt>
                <c:pt idx="1">
                  <c:v>0.51300000000000001</c:v>
                </c:pt>
              </c:numCache>
            </c:numRef>
          </c:val>
          <c:smooth val="0"/>
          <c:extLst>
            <c:ext xmlns:c16="http://schemas.microsoft.com/office/drawing/2014/chart" uri="{C3380CC4-5D6E-409C-BE32-E72D297353CC}">
              <c16:uniqueId val="{00000001-3DB6-4FF8-8990-648A31BEE3CE}"/>
            </c:ext>
          </c:extLst>
        </c:ser>
        <c:ser>
          <c:idx val="2"/>
          <c:order val="2"/>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(2)'!$AU$72:$AU$73</c:f>
              <c:numCache>
                <c:formatCode>General</c:formatCode>
                <c:ptCount val="2"/>
                <c:pt idx="0">
                  <c:v>#N/A</c:v>
                </c:pt>
                <c:pt idx="1">
                  <c:v>#N/A</c:v>
                </c:pt>
              </c:numCache>
            </c:numRef>
          </c:val>
          <c:smooth val="0"/>
          <c:extLst>
            <c:ext xmlns:c16="http://schemas.microsoft.com/office/drawing/2014/chart" uri="{C3380CC4-5D6E-409C-BE32-E72D297353CC}">
              <c16:uniqueId val="{00000002-3DB6-4FF8-8990-648A31BEE3CE}"/>
            </c:ext>
          </c:extLst>
        </c:ser>
        <c:ser>
          <c:idx val="3"/>
          <c:order val="3"/>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(2)'!$AV$72:$AV$73</c:f>
              <c:numCache>
                <c:formatCode>General</c:formatCode>
                <c:ptCount val="2"/>
                <c:pt idx="0">
                  <c:v>0.52200000000000002</c:v>
                </c:pt>
                <c:pt idx="1">
                  <c:v>0.52100000000000002</c:v>
                </c:pt>
              </c:numCache>
            </c:numRef>
          </c:val>
          <c:smooth val="0"/>
          <c:extLst>
            <c:ext xmlns:c16="http://schemas.microsoft.com/office/drawing/2014/chart" uri="{C3380CC4-5D6E-409C-BE32-E72D297353CC}">
              <c16:uniqueId val="{00000003-3DB6-4FF8-8990-648A31BEE3CE}"/>
            </c:ext>
          </c:extLst>
        </c:ser>
        <c:ser>
          <c:idx val="4"/>
          <c:order val="4"/>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(2)'!$AW$72:$AW$73</c:f>
              <c:numCache>
                <c:formatCode>General</c:formatCode>
                <c:ptCount val="2"/>
                <c:pt idx="0">
                  <c:v>0.54</c:v>
                </c:pt>
                <c:pt idx="1">
                  <c:v>0.52200000000000002</c:v>
                </c:pt>
              </c:numCache>
            </c:numRef>
          </c:val>
          <c:smooth val="0"/>
          <c:extLst>
            <c:ext xmlns:c16="http://schemas.microsoft.com/office/drawing/2014/chart" uri="{C3380CC4-5D6E-409C-BE32-E72D297353CC}">
              <c16:uniqueId val="{00000004-3DB6-4FF8-8990-648A31BEE3CE}"/>
            </c:ext>
          </c:extLst>
        </c:ser>
        <c:ser>
          <c:idx val="5"/>
          <c:order val="5"/>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(2)'!$AX$72:$AX$73</c:f>
              <c:numCache>
                <c:formatCode>General</c:formatCode>
                <c:ptCount val="2"/>
                <c:pt idx="0">
                  <c:v>#N/A</c:v>
                </c:pt>
                <c:pt idx="1">
                  <c:v>#N/A</c:v>
                </c:pt>
              </c:numCache>
            </c:numRef>
          </c:val>
          <c:smooth val="0"/>
          <c:extLst>
            <c:ext xmlns:c16="http://schemas.microsoft.com/office/drawing/2014/chart" uri="{C3380CC4-5D6E-409C-BE32-E72D297353CC}">
              <c16:uniqueId val="{00000005-3DB6-4FF8-8990-648A31BEE3CE}"/>
            </c:ext>
          </c:extLst>
        </c:ser>
        <c:ser>
          <c:idx val="6"/>
          <c:order val="6"/>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(2)'!$AY$72:$AY$73</c:f>
              <c:numCache>
                <c:formatCode>General</c:formatCode>
                <c:ptCount val="2"/>
                <c:pt idx="0">
                  <c:v>0.52300000000000002</c:v>
                </c:pt>
                <c:pt idx="1">
                  <c:v>0.52200000000000002</c:v>
                </c:pt>
              </c:numCache>
            </c:numRef>
          </c:val>
          <c:smooth val="0"/>
          <c:extLst>
            <c:ext xmlns:c16="http://schemas.microsoft.com/office/drawing/2014/chart" uri="{C3380CC4-5D6E-409C-BE32-E72D297353CC}">
              <c16:uniqueId val="{00000006-3DB6-4FF8-8990-648A31BEE3CE}"/>
            </c:ext>
          </c:extLst>
        </c:ser>
        <c:ser>
          <c:idx val="7"/>
          <c:order val="7"/>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(2)'!$AZ$72:$AZ$73</c:f>
              <c:numCache>
                <c:formatCode>General</c:formatCode>
                <c:ptCount val="2"/>
                <c:pt idx="0">
                  <c:v>0.52400000000000002</c:v>
                </c:pt>
                <c:pt idx="1">
                  <c:v>0.52200000000000002</c:v>
                </c:pt>
              </c:numCache>
            </c:numRef>
          </c:val>
          <c:smooth val="0"/>
          <c:extLst>
            <c:ext xmlns:c16="http://schemas.microsoft.com/office/drawing/2014/chart" uri="{C3380CC4-5D6E-409C-BE32-E72D297353CC}">
              <c16:uniqueId val="{00000007-3DB6-4FF8-8990-648A31BEE3CE}"/>
            </c:ext>
          </c:extLst>
        </c:ser>
        <c:ser>
          <c:idx val="8"/>
          <c:order val="8"/>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(2)'!$BA$72:$BA$73</c:f>
              <c:numCache>
                <c:formatCode>General</c:formatCode>
                <c:ptCount val="2"/>
                <c:pt idx="0">
                  <c:v>#N/A</c:v>
                </c:pt>
                <c:pt idx="1">
                  <c:v>#N/A</c:v>
                </c:pt>
              </c:numCache>
            </c:numRef>
          </c:val>
          <c:smooth val="0"/>
          <c:extLst>
            <c:ext xmlns:c16="http://schemas.microsoft.com/office/drawing/2014/chart" uri="{C3380CC4-5D6E-409C-BE32-E72D297353CC}">
              <c16:uniqueId val="{00000008-3DB6-4FF8-8990-648A31BEE3CE}"/>
            </c:ext>
          </c:extLst>
        </c:ser>
        <c:ser>
          <c:idx val="9"/>
          <c:order val="9"/>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(2)'!$BB$72:$BB$73</c:f>
              <c:numCache>
                <c:formatCode>General</c:formatCode>
                <c:ptCount val="2"/>
                <c:pt idx="0">
                  <c:v>0.52100000000000002</c:v>
                </c:pt>
                <c:pt idx="1">
                  <c:v>0.52400000000000002</c:v>
                </c:pt>
              </c:numCache>
            </c:numRef>
          </c:val>
          <c:smooth val="0"/>
          <c:extLst>
            <c:ext xmlns:c16="http://schemas.microsoft.com/office/drawing/2014/chart" uri="{C3380CC4-5D6E-409C-BE32-E72D297353CC}">
              <c16:uniqueId val="{00000009-3DB6-4FF8-8990-648A31BEE3CE}"/>
            </c:ext>
          </c:extLst>
        </c:ser>
        <c:ser>
          <c:idx val="10"/>
          <c:order val="10"/>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(2)'!$BC$72:$BC$73</c:f>
              <c:numCache>
                <c:formatCode>General</c:formatCode>
                <c:ptCount val="2"/>
                <c:pt idx="0">
                  <c:v>0.52200000000000002</c:v>
                </c:pt>
                <c:pt idx="1">
                  <c:v>0.52300000000000002</c:v>
                </c:pt>
              </c:numCache>
            </c:numRef>
          </c:val>
          <c:smooth val="0"/>
          <c:extLst>
            <c:ext xmlns:c16="http://schemas.microsoft.com/office/drawing/2014/chart" uri="{C3380CC4-5D6E-409C-BE32-E72D297353CC}">
              <c16:uniqueId val="{0000000A-3DB6-4FF8-8990-648A31BEE3CE}"/>
            </c:ext>
          </c:extLst>
        </c:ser>
        <c:ser>
          <c:idx val="11"/>
          <c:order val="11"/>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(2)'!$BD$72:$BD$73</c:f>
              <c:numCache>
                <c:formatCode>General</c:formatCode>
                <c:ptCount val="2"/>
                <c:pt idx="0">
                  <c:v>#N/A</c:v>
                </c:pt>
                <c:pt idx="1">
                  <c:v>#N/A</c:v>
                </c:pt>
              </c:numCache>
            </c:numRef>
          </c:val>
          <c:smooth val="0"/>
          <c:extLst>
            <c:ext xmlns:c16="http://schemas.microsoft.com/office/drawing/2014/chart" uri="{C3380CC4-5D6E-409C-BE32-E72D297353CC}">
              <c16:uniqueId val="{0000000B-3DB6-4FF8-8990-648A31BEE3CE}"/>
            </c:ext>
          </c:extLst>
        </c:ser>
        <c:ser>
          <c:idx val="12"/>
          <c:order val="12"/>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(2)'!$BE$72:$BE$73</c:f>
              <c:numCache>
                <c:formatCode>General</c:formatCode>
                <c:ptCount val="2"/>
                <c:pt idx="0">
                  <c:v>0.52500000000000002</c:v>
                </c:pt>
                <c:pt idx="1">
                  <c:v>0.52100000000000002</c:v>
                </c:pt>
              </c:numCache>
            </c:numRef>
          </c:val>
          <c:smooth val="0"/>
          <c:extLst>
            <c:ext xmlns:c16="http://schemas.microsoft.com/office/drawing/2014/chart" uri="{C3380CC4-5D6E-409C-BE32-E72D297353CC}">
              <c16:uniqueId val="{0000000C-3DB6-4FF8-8990-648A31BEE3CE}"/>
            </c:ext>
          </c:extLst>
        </c:ser>
        <c:ser>
          <c:idx val="13"/>
          <c:order val="13"/>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(2)'!$BF$72:$BF$73</c:f>
              <c:numCache>
                <c:formatCode>General</c:formatCode>
                <c:ptCount val="2"/>
                <c:pt idx="0">
                  <c:v>0.52400000000000002</c:v>
                </c:pt>
                <c:pt idx="1">
                  <c:v>0.52100000000000002</c:v>
                </c:pt>
              </c:numCache>
            </c:numRef>
          </c:val>
          <c:smooth val="0"/>
          <c:extLst>
            <c:ext xmlns:c16="http://schemas.microsoft.com/office/drawing/2014/chart" uri="{C3380CC4-5D6E-409C-BE32-E72D297353CC}">
              <c16:uniqueId val="{0000000D-3DB6-4FF8-8990-648A31BEE3CE}"/>
            </c:ext>
          </c:extLst>
        </c:ser>
        <c:ser>
          <c:idx val="14"/>
          <c:order val="14"/>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(2)'!$BG$72:$BG$73</c:f>
              <c:numCache>
                <c:formatCode>General</c:formatCode>
                <c:ptCount val="2"/>
                <c:pt idx="0">
                  <c:v>#N/A</c:v>
                </c:pt>
                <c:pt idx="1">
                  <c:v>#N/A</c:v>
                </c:pt>
              </c:numCache>
            </c:numRef>
          </c:val>
          <c:smooth val="0"/>
          <c:extLst>
            <c:ext xmlns:c16="http://schemas.microsoft.com/office/drawing/2014/chart" uri="{C3380CC4-5D6E-409C-BE32-E72D297353CC}">
              <c16:uniqueId val="{0000000E-3DB6-4FF8-8990-648A31BEE3CE}"/>
            </c:ext>
          </c:extLst>
        </c:ser>
        <c:ser>
          <c:idx val="15"/>
          <c:order val="15"/>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(2)'!$BH$72:$BH$73</c:f>
              <c:numCache>
                <c:formatCode>General</c:formatCode>
                <c:ptCount val="2"/>
                <c:pt idx="0">
                  <c:v>#N/A</c:v>
                </c:pt>
                <c:pt idx="1">
                  <c:v>#N/A</c:v>
                </c:pt>
              </c:numCache>
            </c:numRef>
          </c:val>
          <c:smooth val="0"/>
          <c:extLst>
            <c:ext xmlns:c16="http://schemas.microsoft.com/office/drawing/2014/chart" uri="{C3380CC4-5D6E-409C-BE32-E72D297353CC}">
              <c16:uniqueId val="{0000000F-3DB6-4FF8-8990-648A31BEE3CE}"/>
            </c:ext>
          </c:extLst>
        </c:ser>
        <c:ser>
          <c:idx val="16"/>
          <c:order val="16"/>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(2)'!$BI$72:$BI$73</c:f>
              <c:numCache>
                <c:formatCode>General</c:formatCode>
                <c:ptCount val="2"/>
                <c:pt idx="0">
                  <c:v>#N/A</c:v>
                </c:pt>
                <c:pt idx="1">
                  <c:v>#N/A</c:v>
                </c:pt>
              </c:numCache>
            </c:numRef>
          </c:val>
          <c:smooth val="0"/>
          <c:extLst>
            <c:ext xmlns:c16="http://schemas.microsoft.com/office/drawing/2014/chart" uri="{C3380CC4-5D6E-409C-BE32-E72D297353CC}">
              <c16:uniqueId val="{00000010-3DB6-4FF8-8990-648A31BEE3CE}"/>
            </c:ext>
          </c:extLst>
        </c:ser>
        <c:ser>
          <c:idx val="17"/>
          <c:order val="17"/>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(2)'!$BJ$72:$BJ$73</c:f>
              <c:numCache>
                <c:formatCode>General</c:formatCode>
                <c:ptCount val="2"/>
                <c:pt idx="0">
                  <c:v>#N/A</c:v>
                </c:pt>
                <c:pt idx="1">
                  <c:v>#N/A</c:v>
                </c:pt>
              </c:numCache>
            </c:numRef>
          </c:val>
          <c:smooth val="0"/>
          <c:extLst>
            <c:ext xmlns:c16="http://schemas.microsoft.com/office/drawing/2014/chart" uri="{C3380CC4-5D6E-409C-BE32-E72D297353CC}">
              <c16:uniqueId val="{00000011-3DB6-4FF8-8990-648A31BEE3CE}"/>
            </c:ext>
          </c:extLst>
        </c:ser>
        <c:ser>
          <c:idx val="18"/>
          <c:order val="18"/>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(2)'!$BK$72:$BK$73</c:f>
              <c:numCache>
                <c:formatCode>General</c:formatCode>
                <c:ptCount val="2"/>
                <c:pt idx="0">
                  <c:v>#N/A</c:v>
                </c:pt>
                <c:pt idx="1">
                  <c:v>#N/A</c:v>
                </c:pt>
              </c:numCache>
            </c:numRef>
          </c:val>
          <c:smooth val="0"/>
          <c:extLst>
            <c:ext xmlns:c16="http://schemas.microsoft.com/office/drawing/2014/chart" uri="{C3380CC4-5D6E-409C-BE32-E72D297353CC}">
              <c16:uniqueId val="{00000012-3DB6-4FF8-8990-648A31BEE3CE}"/>
            </c:ext>
          </c:extLst>
        </c:ser>
        <c:ser>
          <c:idx val="19"/>
          <c:order val="19"/>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(2)'!$BL$72:$BL$73</c:f>
              <c:numCache>
                <c:formatCode>General</c:formatCode>
                <c:ptCount val="2"/>
                <c:pt idx="0">
                  <c:v>#N/A</c:v>
                </c:pt>
                <c:pt idx="1">
                  <c:v>#N/A</c:v>
                </c:pt>
              </c:numCache>
            </c:numRef>
          </c:val>
          <c:smooth val="0"/>
          <c:extLst>
            <c:ext xmlns:c16="http://schemas.microsoft.com/office/drawing/2014/chart" uri="{C3380CC4-5D6E-409C-BE32-E72D297353CC}">
              <c16:uniqueId val="{00000013-3DB6-4FF8-8990-648A31BEE3CE}"/>
            </c:ext>
          </c:extLst>
        </c:ser>
        <c:ser>
          <c:idx val="20"/>
          <c:order val="20"/>
          <c:spPr>
            <a:ln w="19050">
              <a:noFill/>
            </a:ln>
          </c:spPr>
          <c:marker>
            <c:symbol val="diamond"/>
            <c:size val="5"/>
            <c:spPr>
              <a:solidFill>
                <a:srgbClr val="000080"/>
              </a:solidFill>
              <a:ln>
                <a:solidFill>
                  <a:srgbClr val="333399"/>
                </a:solidFill>
                <a:prstDash val="solid"/>
              </a:ln>
            </c:spPr>
          </c:marker>
          <c:cat>
            <c:strRef>
              <c:f>'GRR Calculations (2)'!$AR$72:$AR$73</c:f>
              <c:strCache>
                <c:ptCount val="2"/>
                <c:pt idx="0">
                  <c:v>Op A</c:v>
                </c:pt>
                <c:pt idx="1">
                  <c:v>Op B</c:v>
                </c:pt>
              </c:strCache>
            </c:strRef>
          </c:cat>
          <c:val>
            <c:numRef>
              <c:f>'GRR Calculations (2)'!$BM$72:$BM$73</c:f>
              <c:numCache>
                <c:formatCode>General</c:formatCode>
                <c:ptCount val="2"/>
                <c:pt idx="0">
                  <c:v>#N/A</c:v>
                </c:pt>
                <c:pt idx="1">
                  <c:v>#N/A</c:v>
                </c:pt>
              </c:numCache>
            </c:numRef>
          </c:val>
          <c:smooth val="0"/>
          <c:extLst>
            <c:ext xmlns:c16="http://schemas.microsoft.com/office/drawing/2014/chart" uri="{C3380CC4-5D6E-409C-BE32-E72D297353CC}">
              <c16:uniqueId val="{00000014-3DB6-4FF8-8990-648A31BEE3CE}"/>
            </c:ext>
          </c:extLst>
        </c:ser>
        <c:ser>
          <c:idx val="21"/>
          <c:order val="21"/>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(2)'!$BN$72:$BN$73</c:f>
              <c:numCache>
                <c:formatCode>General</c:formatCode>
                <c:ptCount val="2"/>
                <c:pt idx="0">
                  <c:v>#N/A</c:v>
                </c:pt>
                <c:pt idx="1">
                  <c:v>#N/A</c:v>
                </c:pt>
              </c:numCache>
            </c:numRef>
          </c:val>
          <c:smooth val="0"/>
          <c:extLst>
            <c:ext xmlns:c16="http://schemas.microsoft.com/office/drawing/2014/chart" uri="{C3380CC4-5D6E-409C-BE32-E72D297353CC}">
              <c16:uniqueId val="{00000015-3DB6-4FF8-8990-648A31BEE3CE}"/>
            </c:ext>
          </c:extLst>
        </c:ser>
        <c:ser>
          <c:idx val="22"/>
          <c:order val="22"/>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(2)'!$BO$72:$BO$73</c:f>
              <c:numCache>
                <c:formatCode>General</c:formatCode>
                <c:ptCount val="2"/>
                <c:pt idx="0">
                  <c:v>#N/A</c:v>
                </c:pt>
                <c:pt idx="1">
                  <c:v>#N/A</c:v>
                </c:pt>
              </c:numCache>
            </c:numRef>
          </c:val>
          <c:smooth val="0"/>
          <c:extLst>
            <c:ext xmlns:c16="http://schemas.microsoft.com/office/drawing/2014/chart" uri="{C3380CC4-5D6E-409C-BE32-E72D297353CC}">
              <c16:uniqueId val="{00000016-3DB6-4FF8-8990-648A31BEE3CE}"/>
            </c:ext>
          </c:extLst>
        </c:ser>
        <c:ser>
          <c:idx val="23"/>
          <c:order val="23"/>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(2)'!$BP$72:$BP$73</c:f>
              <c:numCache>
                <c:formatCode>General</c:formatCode>
                <c:ptCount val="2"/>
                <c:pt idx="0">
                  <c:v>#N/A</c:v>
                </c:pt>
                <c:pt idx="1">
                  <c:v>#N/A</c:v>
                </c:pt>
              </c:numCache>
            </c:numRef>
          </c:val>
          <c:smooth val="0"/>
          <c:extLst>
            <c:ext xmlns:c16="http://schemas.microsoft.com/office/drawing/2014/chart" uri="{C3380CC4-5D6E-409C-BE32-E72D297353CC}">
              <c16:uniqueId val="{00000017-3DB6-4FF8-8990-648A31BEE3CE}"/>
            </c:ext>
          </c:extLst>
        </c:ser>
        <c:ser>
          <c:idx val="24"/>
          <c:order val="24"/>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(2)'!$BQ$72:$BQ$73</c:f>
              <c:numCache>
                <c:formatCode>General</c:formatCode>
                <c:ptCount val="2"/>
                <c:pt idx="0">
                  <c:v>#N/A</c:v>
                </c:pt>
                <c:pt idx="1">
                  <c:v>#N/A</c:v>
                </c:pt>
              </c:numCache>
            </c:numRef>
          </c:val>
          <c:smooth val="0"/>
          <c:extLst>
            <c:ext xmlns:c16="http://schemas.microsoft.com/office/drawing/2014/chart" uri="{C3380CC4-5D6E-409C-BE32-E72D297353CC}">
              <c16:uniqueId val="{00000018-3DB6-4FF8-8990-648A31BEE3CE}"/>
            </c:ext>
          </c:extLst>
        </c:ser>
        <c:ser>
          <c:idx val="25"/>
          <c:order val="25"/>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(2)'!$BR$72:$BR$73</c:f>
              <c:numCache>
                <c:formatCode>General</c:formatCode>
                <c:ptCount val="2"/>
                <c:pt idx="0">
                  <c:v>#N/A</c:v>
                </c:pt>
                <c:pt idx="1">
                  <c:v>#N/A</c:v>
                </c:pt>
              </c:numCache>
            </c:numRef>
          </c:val>
          <c:smooth val="0"/>
          <c:extLst>
            <c:ext xmlns:c16="http://schemas.microsoft.com/office/drawing/2014/chart" uri="{C3380CC4-5D6E-409C-BE32-E72D297353CC}">
              <c16:uniqueId val="{00000019-3DB6-4FF8-8990-648A31BEE3CE}"/>
            </c:ext>
          </c:extLst>
        </c:ser>
        <c:ser>
          <c:idx val="26"/>
          <c:order val="26"/>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(2)'!$BS$72:$BS$73</c:f>
              <c:numCache>
                <c:formatCode>General</c:formatCode>
                <c:ptCount val="2"/>
                <c:pt idx="0">
                  <c:v>#N/A</c:v>
                </c:pt>
                <c:pt idx="1">
                  <c:v>#N/A</c:v>
                </c:pt>
              </c:numCache>
            </c:numRef>
          </c:val>
          <c:smooth val="0"/>
          <c:extLst>
            <c:ext xmlns:c16="http://schemas.microsoft.com/office/drawing/2014/chart" uri="{C3380CC4-5D6E-409C-BE32-E72D297353CC}">
              <c16:uniqueId val="{0000001A-3DB6-4FF8-8990-648A31BEE3CE}"/>
            </c:ext>
          </c:extLst>
        </c:ser>
        <c:ser>
          <c:idx val="27"/>
          <c:order val="27"/>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(2)'!$BT$72:$BT$73</c:f>
              <c:numCache>
                <c:formatCode>General</c:formatCode>
                <c:ptCount val="2"/>
                <c:pt idx="0">
                  <c:v>#N/A</c:v>
                </c:pt>
                <c:pt idx="1">
                  <c:v>#N/A</c:v>
                </c:pt>
              </c:numCache>
            </c:numRef>
          </c:val>
          <c:smooth val="0"/>
          <c:extLst>
            <c:ext xmlns:c16="http://schemas.microsoft.com/office/drawing/2014/chart" uri="{C3380CC4-5D6E-409C-BE32-E72D297353CC}">
              <c16:uniqueId val="{0000001B-3DB6-4FF8-8990-648A31BEE3CE}"/>
            </c:ext>
          </c:extLst>
        </c:ser>
        <c:ser>
          <c:idx val="28"/>
          <c:order val="28"/>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(2)'!$BU$72:$BU$73</c:f>
              <c:numCache>
                <c:formatCode>General</c:formatCode>
                <c:ptCount val="2"/>
                <c:pt idx="0">
                  <c:v>#N/A</c:v>
                </c:pt>
                <c:pt idx="1">
                  <c:v>#N/A</c:v>
                </c:pt>
              </c:numCache>
            </c:numRef>
          </c:val>
          <c:smooth val="0"/>
          <c:extLst>
            <c:ext xmlns:c16="http://schemas.microsoft.com/office/drawing/2014/chart" uri="{C3380CC4-5D6E-409C-BE32-E72D297353CC}">
              <c16:uniqueId val="{0000001C-3DB6-4FF8-8990-648A31BEE3CE}"/>
            </c:ext>
          </c:extLst>
        </c:ser>
        <c:ser>
          <c:idx val="29"/>
          <c:order val="29"/>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(2)'!$BV$72:$BV$73</c:f>
              <c:numCache>
                <c:formatCode>General</c:formatCode>
                <c:ptCount val="2"/>
                <c:pt idx="0">
                  <c:v>#N/A</c:v>
                </c:pt>
                <c:pt idx="1">
                  <c:v>#N/A</c:v>
                </c:pt>
              </c:numCache>
            </c:numRef>
          </c:val>
          <c:smooth val="0"/>
          <c:extLst>
            <c:ext xmlns:c16="http://schemas.microsoft.com/office/drawing/2014/chart" uri="{C3380CC4-5D6E-409C-BE32-E72D297353CC}">
              <c16:uniqueId val="{0000001D-3DB6-4FF8-8990-648A31BEE3CE}"/>
            </c:ext>
          </c:extLst>
        </c:ser>
        <c:ser>
          <c:idx val="30"/>
          <c:order val="30"/>
          <c:spPr>
            <a:ln w="12700">
              <a:solidFill>
                <a:srgbClr val="000080"/>
              </a:solidFill>
              <a:prstDash val="solid"/>
            </a:ln>
          </c:spPr>
          <c:marker>
            <c:symbol val="none"/>
          </c:marker>
          <c:val>
            <c:numRef>
              <c:f>'GRR Calculations (2)'!$BW$72:$BW$73</c:f>
              <c:numCache>
                <c:formatCode>General</c:formatCode>
                <c:ptCount val="2"/>
                <c:pt idx="0">
                  <c:v>#N/A</c:v>
                </c:pt>
                <c:pt idx="1">
                  <c:v>#N/A</c:v>
                </c:pt>
              </c:numCache>
            </c:numRef>
          </c:val>
          <c:smooth val="0"/>
          <c:extLst>
            <c:ext xmlns:c16="http://schemas.microsoft.com/office/drawing/2014/chart" uri="{C3380CC4-5D6E-409C-BE32-E72D297353CC}">
              <c16:uniqueId val="{0000001E-3DB6-4FF8-8990-648A31BEE3CE}"/>
            </c:ext>
          </c:extLst>
        </c:ser>
        <c:dLbls>
          <c:showLegendKey val="0"/>
          <c:showVal val="0"/>
          <c:showCatName val="0"/>
          <c:showSerName val="0"/>
          <c:showPercent val="0"/>
          <c:showBubbleSize val="0"/>
        </c:dLbls>
        <c:marker val="1"/>
        <c:smooth val="0"/>
        <c:axId val="366311640"/>
        <c:axId val="366315560"/>
      </c:lineChart>
      <c:catAx>
        <c:axId val="366311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315560"/>
        <c:crosses val="autoZero"/>
        <c:auto val="1"/>
        <c:lblAlgn val="ctr"/>
        <c:lblOffset val="100"/>
        <c:tickLblSkip val="1"/>
        <c:tickMarkSkip val="1"/>
        <c:noMultiLvlLbl val="0"/>
      </c:catAx>
      <c:valAx>
        <c:axId val="3663155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31164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CCFFCC"/>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n-US"/>
              <a:t>Components of Variation, Xbar/Range</a:t>
            </a:r>
          </a:p>
        </c:rich>
      </c:tx>
      <c:layout>
        <c:manualLayout>
          <c:xMode val="edge"/>
          <c:yMode val="edge"/>
          <c:x val="0.22078644721519805"/>
          <c:y val="2.5907593298855936E-2"/>
        </c:manualLayout>
      </c:layout>
      <c:overlay val="0"/>
      <c:spPr>
        <a:noFill/>
        <a:ln w="25400">
          <a:noFill/>
        </a:ln>
      </c:spPr>
    </c:title>
    <c:autoTitleDeleted val="0"/>
    <c:plotArea>
      <c:layout>
        <c:manualLayout>
          <c:layoutTarget val="inner"/>
          <c:xMode val="edge"/>
          <c:yMode val="edge"/>
          <c:x val="8.1171487946763973E-2"/>
          <c:y val="0.13471948515405094"/>
          <c:w val="0.69645136658323492"/>
          <c:h val="0.64768983247139877"/>
        </c:manualLayout>
      </c:layout>
      <c:barChart>
        <c:barDir val="col"/>
        <c:grouping val="clustered"/>
        <c:varyColors val="0"/>
        <c:ser>
          <c:idx val="0"/>
          <c:order val="0"/>
          <c:tx>
            <c:strRef>
              <c:f>'GRR Calculations (2)'!$R$12</c:f>
              <c:strCache>
                <c:ptCount val="1"/>
                <c:pt idx="0">
                  <c:v>% Contribution</c:v>
                </c:pt>
              </c:strCache>
            </c:strRef>
          </c:tx>
          <c:spPr>
            <a:solidFill>
              <a:srgbClr val="9999FF"/>
            </a:solidFill>
            <a:ln w="12700">
              <a:solidFill>
                <a:srgbClr val="000000"/>
              </a:solidFill>
              <a:prstDash val="solid"/>
            </a:ln>
          </c:spPr>
          <c:invertIfNegative val="0"/>
          <c:cat>
            <c:strRef>
              <c:f>'GRR Calculations (2)'!$S$11:$V$11</c:f>
              <c:strCache>
                <c:ptCount val="4"/>
                <c:pt idx="0">
                  <c:v>Gage R&amp;R</c:v>
                </c:pt>
                <c:pt idx="1">
                  <c:v>Repeat</c:v>
                </c:pt>
                <c:pt idx="2">
                  <c:v>Reprod</c:v>
                </c:pt>
                <c:pt idx="3">
                  <c:v>Part-Part</c:v>
                </c:pt>
              </c:strCache>
            </c:strRef>
          </c:cat>
          <c:val>
            <c:numRef>
              <c:f>'GRR Calculations (2)'!$S$12:$V$12</c:f>
              <c:numCache>
                <c:formatCode>0.00%</c:formatCode>
                <c:ptCount val="4"/>
                <c:pt idx="0">
                  <c:v>0.46947873799725653</c:v>
                </c:pt>
                <c:pt idx="1">
                  <c:v>0.16598079561042522</c:v>
                </c:pt>
                <c:pt idx="2">
                  <c:v>0.30864197530864196</c:v>
                </c:pt>
                <c:pt idx="3">
                  <c:v>0.52160493827160481</c:v>
                </c:pt>
              </c:numCache>
            </c:numRef>
          </c:val>
          <c:extLst>
            <c:ext xmlns:c16="http://schemas.microsoft.com/office/drawing/2014/chart" uri="{C3380CC4-5D6E-409C-BE32-E72D297353CC}">
              <c16:uniqueId val="{00000000-FEDF-4644-8797-CC7C1258C833}"/>
            </c:ext>
          </c:extLst>
        </c:ser>
        <c:ser>
          <c:idx val="1"/>
          <c:order val="1"/>
          <c:tx>
            <c:strRef>
              <c:f>'GRR Calculations (2)'!$R$13</c:f>
              <c:strCache>
                <c:ptCount val="1"/>
                <c:pt idx="0">
                  <c:v>% Study Variation</c:v>
                </c:pt>
              </c:strCache>
            </c:strRef>
          </c:tx>
          <c:spPr>
            <a:solidFill>
              <a:srgbClr val="993366"/>
            </a:solidFill>
            <a:ln w="12700">
              <a:solidFill>
                <a:srgbClr val="000000"/>
              </a:solidFill>
              <a:prstDash val="solid"/>
            </a:ln>
          </c:spPr>
          <c:invertIfNegative val="0"/>
          <c:cat>
            <c:strRef>
              <c:f>'GRR Calculations (2)'!$S$11:$V$11</c:f>
              <c:strCache>
                <c:ptCount val="4"/>
                <c:pt idx="0">
                  <c:v>Gage R&amp;R</c:v>
                </c:pt>
                <c:pt idx="1">
                  <c:v>Repeat</c:v>
                </c:pt>
                <c:pt idx="2">
                  <c:v>Reprod</c:v>
                </c:pt>
                <c:pt idx="3">
                  <c:v>Part-Part</c:v>
                </c:pt>
              </c:strCache>
            </c:strRef>
          </c:cat>
          <c:val>
            <c:numRef>
              <c:f>'GRR Calculations (2)'!$S$13:$V$13</c:f>
              <c:numCache>
                <c:formatCode>0.00%</c:formatCode>
                <c:ptCount val="4"/>
                <c:pt idx="0">
                  <c:v>0.68518518518518512</c:v>
                </c:pt>
                <c:pt idx="1">
                  <c:v>0.40740740740740738</c:v>
                </c:pt>
                <c:pt idx="2">
                  <c:v>0.55555555555555558</c:v>
                </c:pt>
                <c:pt idx="3">
                  <c:v>0.72222222222222221</c:v>
                </c:pt>
              </c:numCache>
            </c:numRef>
          </c:val>
          <c:extLst>
            <c:ext xmlns:c16="http://schemas.microsoft.com/office/drawing/2014/chart" uri="{C3380CC4-5D6E-409C-BE32-E72D297353CC}">
              <c16:uniqueId val="{00000001-FEDF-4644-8797-CC7C1258C833}"/>
            </c:ext>
          </c:extLst>
        </c:ser>
        <c:ser>
          <c:idx val="2"/>
          <c:order val="2"/>
          <c:tx>
            <c:strRef>
              <c:f>'GRR Calculations (2)'!$R$14</c:f>
              <c:strCache>
                <c:ptCount val="1"/>
                <c:pt idx="0">
                  <c:v>% Tol (5.15 SD)</c:v>
                </c:pt>
              </c:strCache>
            </c:strRef>
          </c:tx>
          <c:spPr>
            <a:solidFill>
              <a:srgbClr val="FFFFCC"/>
            </a:solidFill>
            <a:ln w="12700">
              <a:solidFill>
                <a:srgbClr val="000000"/>
              </a:solidFill>
              <a:prstDash val="solid"/>
            </a:ln>
          </c:spPr>
          <c:invertIfNegative val="0"/>
          <c:cat>
            <c:strRef>
              <c:f>'GRR Calculations (2)'!$S$11:$V$11</c:f>
              <c:strCache>
                <c:ptCount val="4"/>
                <c:pt idx="0">
                  <c:v>Gage R&amp;R</c:v>
                </c:pt>
                <c:pt idx="1">
                  <c:v>Repeat</c:v>
                </c:pt>
                <c:pt idx="2">
                  <c:v>Reprod</c:v>
                </c:pt>
                <c:pt idx="3">
                  <c:v>Part-Part</c:v>
                </c:pt>
              </c:strCache>
            </c:strRef>
          </c:cat>
          <c:val>
            <c:numRef>
              <c:f>'GRR Calculations (2)'!$S$14:$V$14</c:f>
              <c:numCache>
                <c:formatCode>0.00%</c:formatCode>
                <c:ptCount val="4"/>
                <c:pt idx="0">
                  <c:v>0.47637499999999966</c:v>
                </c:pt>
                <c:pt idx="1">
                  <c:v>0.28324999999999978</c:v>
                </c:pt>
                <c:pt idx="2">
                  <c:v>0.3862499999999997</c:v>
                </c:pt>
                <c:pt idx="3">
                  <c:v>0.5021249999999996</c:v>
                </c:pt>
              </c:numCache>
            </c:numRef>
          </c:val>
          <c:extLst>
            <c:ext xmlns:c16="http://schemas.microsoft.com/office/drawing/2014/chart" uri="{C3380CC4-5D6E-409C-BE32-E72D297353CC}">
              <c16:uniqueId val="{00000002-FEDF-4644-8797-CC7C1258C833}"/>
            </c:ext>
          </c:extLst>
        </c:ser>
        <c:ser>
          <c:idx val="3"/>
          <c:order val="3"/>
          <c:tx>
            <c:strRef>
              <c:f>'GRR Calculations (2)'!$R$15</c:f>
              <c:strCache>
                <c:ptCount val="1"/>
                <c:pt idx="0">
                  <c:v>% Tol (6.0 SD)</c:v>
                </c:pt>
              </c:strCache>
            </c:strRef>
          </c:tx>
          <c:spPr>
            <a:solidFill>
              <a:srgbClr val="CCFFFF"/>
            </a:solidFill>
            <a:ln w="12700">
              <a:solidFill>
                <a:srgbClr val="000000"/>
              </a:solidFill>
              <a:prstDash val="solid"/>
            </a:ln>
          </c:spPr>
          <c:invertIfNegative val="0"/>
          <c:val>
            <c:numRef>
              <c:f>'GRR Calculations (2)'!$S$15:$V$15</c:f>
              <c:numCache>
                <c:formatCode>0.00%</c:formatCode>
                <c:ptCount val="4"/>
                <c:pt idx="0">
                  <c:v>0.55499999999999949</c:v>
                </c:pt>
                <c:pt idx="1">
                  <c:v>0.32999999999999968</c:v>
                </c:pt>
                <c:pt idx="2">
                  <c:v>0.44999999999999968</c:v>
                </c:pt>
                <c:pt idx="3">
                  <c:v>0.58499999999999941</c:v>
                </c:pt>
              </c:numCache>
            </c:numRef>
          </c:val>
          <c:extLst>
            <c:ext xmlns:c16="http://schemas.microsoft.com/office/drawing/2014/chart" uri="{C3380CC4-5D6E-409C-BE32-E72D297353CC}">
              <c16:uniqueId val="{00000003-FEDF-4644-8797-CC7C1258C833}"/>
            </c:ext>
          </c:extLst>
        </c:ser>
        <c:dLbls>
          <c:showLegendKey val="0"/>
          <c:showVal val="0"/>
          <c:showCatName val="0"/>
          <c:showSerName val="0"/>
          <c:showPercent val="0"/>
          <c:showBubbleSize val="0"/>
        </c:dLbls>
        <c:gapWidth val="150"/>
        <c:axId val="366310072"/>
        <c:axId val="366313208"/>
      </c:barChart>
      <c:catAx>
        <c:axId val="366310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66313208"/>
        <c:crosses val="autoZero"/>
        <c:auto val="1"/>
        <c:lblAlgn val="ctr"/>
        <c:lblOffset val="100"/>
        <c:tickLblSkip val="1"/>
        <c:tickMarkSkip val="1"/>
        <c:noMultiLvlLbl val="0"/>
      </c:catAx>
      <c:valAx>
        <c:axId val="3663132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366310072"/>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CCFFCC"/>
    </a:solidFill>
    <a:ln w="6350">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Histogram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8420236169093304E-2"/>
          <c:y val="0.14226946749856301"/>
          <c:w val="0.890196850393701"/>
          <c:h val="0.720887649460484"/>
        </c:manualLayout>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'Hist 10 bars'!$V$2:$V$13</c:f>
              <c:strCache>
                <c:ptCount val="11"/>
                <c:pt idx="1">
                  <c:v>92.8</c:v>
                </c:pt>
                <c:pt idx="2">
                  <c:v>94.2</c:v>
                </c:pt>
                <c:pt idx="3">
                  <c:v>95.6</c:v>
                </c:pt>
                <c:pt idx="4">
                  <c:v>97.0</c:v>
                </c:pt>
                <c:pt idx="5">
                  <c:v>98.5</c:v>
                </c:pt>
                <c:pt idx="6">
                  <c:v>99.9</c:v>
                </c:pt>
                <c:pt idx="7">
                  <c:v>101.3</c:v>
                </c:pt>
                <c:pt idx="8">
                  <c:v>102.7</c:v>
                </c:pt>
                <c:pt idx="9">
                  <c:v>104.1</c:v>
                </c:pt>
                <c:pt idx="10">
                  <c:v>105.5</c:v>
                </c:pt>
              </c:strCache>
            </c:strRef>
          </c:cat>
          <c:val>
            <c:numRef>
              <c:f>'Hist 10 bars'!$W$2:$W$13</c:f>
              <c:numCache>
                <c:formatCode>General</c:formatCode>
                <c:ptCount val="12"/>
                <c:pt idx="1">
                  <c:v>0</c:v>
                </c:pt>
                <c:pt idx="2">
                  <c:v>1</c:v>
                </c:pt>
                <c:pt idx="3">
                  <c:v>3</c:v>
                </c:pt>
                <c:pt idx="4">
                  <c:v>14</c:v>
                </c:pt>
                <c:pt idx="5">
                  <c:v>49</c:v>
                </c:pt>
                <c:pt idx="6">
                  <c:v>100</c:v>
                </c:pt>
                <c:pt idx="7">
                  <c:v>141</c:v>
                </c:pt>
                <c:pt idx="8">
                  <c:v>118</c:v>
                </c:pt>
                <c:pt idx="9">
                  <c:v>51</c:v>
                </c:pt>
                <c:pt idx="10">
                  <c:v>19</c:v>
                </c:pt>
              </c:numCache>
            </c:numRef>
          </c:val>
          <c:extLst>
            <c:ext xmlns:c16="http://schemas.microsoft.com/office/drawing/2014/chart" uri="{C3380CC4-5D6E-409C-BE32-E72D297353CC}">
              <c16:uniqueId val="{00000000-DF9B-4307-A780-4E0C58195E06}"/>
            </c:ext>
          </c:extLst>
        </c:ser>
        <c:dLbls>
          <c:showLegendKey val="0"/>
          <c:showVal val="0"/>
          <c:showCatName val="0"/>
          <c:showSerName val="0"/>
          <c:showPercent val="0"/>
          <c:showBubbleSize val="0"/>
        </c:dLbls>
        <c:gapWidth val="30"/>
        <c:overlap val="-27"/>
        <c:axId val="324563608"/>
        <c:axId val="324564000"/>
      </c:barChart>
      <c:barChart>
        <c:barDir val="col"/>
        <c:grouping val="clustered"/>
        <c:varyColors val="0"/>
        <c:ser>
          <c:idx val="1"/>
          <c:order val="1"/>
          <c:tx>
            <c:strRef>
              <c:f>'Hist 10 bars'!$X$1</c:f>
              <c:strCache>
                <c:ptCount val="1"/>
                <c:pt idx="0">
                  <c:v>LSL</c:v>
                </c:pt>
              </c:strCache>
            </c:strRef>
          </c:tx>
          <c:spPr>
            <a:solidFill>
              <a:schemeClr val="accent6"/>
            </a:solidFill>
            <a:ln>
              <a:noFill/>
            </a:ln>
            <a:effectLst>
              <a:outerShdw blurRad="40000" dist="23000" dir="5400000" rotWithShape="0">
                <a:srgbClr val="000000">
                  <a:alpha val="35000"/>
                </a:srgbClr>
              </a:outerShdw>
            </a:effectLst>
          </c:spPr>
          <c:invertIfNegative val="0"/>
          <c:cat>
            <c:strRef>
              <c:f>'Hist 10 bars'!$V$2:$V$13</c:f>
              <c:strCache>
                <c:ptCount val="11"/>
                <c:pt idx="1">
                  <c:v>92.8</c:v>
                </c:pt>
                <c:pt idx="2">
                  <c:v>94.2</c:v>
                </c:pt>
                <c:pt idx="3">
                  <c:v>95.6</c:v>
                </c:pt>
                <c:pt idx="4">
                  <c:v>97.0</c:v>
                </c:pt>
                <c:pt idx="5">
                  <c:v>98.5</c:v>
                </c:pt>
                <c:pt idx="6">
                  <c:v>99.9</c:v>
                </c:pt>
                <c:pt idx="7">
                  <c:v>101.3</c:v>
                </c:pt>
                <c:pt idx="8">
                  <c:v>102.7</c:v>
                </c:pt>
                <c:pt idx="9">
                  <c:v>104.1</c:v>
                </c:pt>
                <c:pt idx="10">
                  <c:v>105.5</c:v>
                </c:pt>
              </c:strCache>
            </c:strRef>
          </c:cat>
          <c:val>
            <c:numRef>
              <c:f>'Hist 10 bars'!$X$2:$X$13</c:f>
              <c:numCache>
                <c:formatCode>General</c:formatCode>
                <c:ptCount val="12"/>
                <c:pt idx="0">
                  <c:v>0</c:v>
                </c:pt>
                <c:pt idx="1">
                  <c:v>0</c:v>
                </c:pt>
                <c:pt idx="2">
                  <c:v>0</c:v>
                </c:pt>
                <c:pt idx="3">
                  <c:v>141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1D7-4A3F-A7C2-8432383A88E4}"/>
            </c:ext>
          </c:extLst>
        </c:ser>
        <c:ser>
          <c:idx val="2"/>
          <c:order val="2"/>
          <c:tx>
            <c:v>USL</c:v>
          </c:tx>
          <c:spPr>
            <a:solidFill>
              <a:schemeClr val="accent6"/>
            </a:solidFill>
            <a:ln>
              <a:noFill/>
            </a:ln>
            <a:effectLst>
              <a:outerShdw blurRad="40000" dist="23000" dir="5400000" rotWithShape="0">
                <a:srgbClr val="000000">
                  <a:alpha val="35000"/>
                </a:srgbClr>
              </a:outerShdw>
            </a:effectLst>
          </c:spPr>
          <c:invertIfNegative val="0"/>
          <c:cat>
            <c:strRef>
              <c:f>'Hist 10 bars'!$V$2:$V$13</c:f>
              <c:strCache>
                <c:ptCount val="11"/>
                <c:pt idx="1">
                  <c:v>92.8</c:v>
                </c:pt>
                <c:pt idx="2">
                  <c:v>94.2</c:v>
                </c:pt>
                <c:pt idx="3">
                  <c:v>95.6</c:v>
                </c:pt>
                <c:pt idx="4">
                  <c:v>97.0</c:v>
                </c:pt>
                <c:pt idx="5">
                  <c:v>98.5</c:v>
                </c:pt>
                <c:pt idx="6">
                  <c:v>99.9</c:v>
                </c:pt>
                <c:pt idx="7">
                  <c:v>101.3</c:v>
                </c:pt>
                <c:pt idx="8">
                  <c:v>102.7</c:v>
                </c:pt>
                <c:pt idx="9">
                  <c:v>104.1</c:v>
                </c:pt>
                <c:pt idx="10">
                  <c:v>105.5</c:v>
                </c:pt>
              </c:strCache>
            </c:strRef>
          </c:cat>
          <c:val>
            <c:numRef>
              <c:f>'Hist 10 bars'!$Y$2:$Y$13</c:f>
              <c:numCache>
                <c:formatCode>General</c:formatCode>
                <c:ptCount val="12"/>
                <c:pt idx="1">
                  <c:v>0</c:v>
                </c:pt>
                <c:pt idx="2">
                  <c:v>0</c:v>
                </c:pt>
                <c:pt idx="3">
                  <c:v>0</c:v>
                </c:pt>
                <c:pt idx="4">
                  <c:v>0</c:v>
                </c:pt>
                <c:pt idx="5">
                  <c:v>0</c:v>
                </c:pt>
                <c:pt idx="6">
                  <c:v>0</c:v>
                </c:pt>
                <c:pt idx="7">
                  <c:v>0</c:v>
                </c:pt>
                <c:pt idx="8">
                  <c:v>0</c:v>
                </c:pt>
                <c:pt idx="9">
                  <c:v>0</c:v>
                </c:pt>
                <c:pt idx="10">
                  <c:v>141</c:v>
                </c:pt>
                <c:pt idx="11">
                  <c:v>0</c:v>
                </c:pt>
              </c:numCache>
            </c:numRef>
          </c:val>
          <c:extLst>
            <c:ext xmlns:c16="http://schemas.microsoft.com/office/drawing/2014/chart" uri="{C3380CC4-5D6E-409C-BE32-E72D297353CC}">
              <c16:uniqueId val="{00000001-E1D7-4A3F-A7C2-8432383A88E4}"/>
            </c:ext>
          </c:extLst>
        </c:ser>
        <c:dLbls>
          <c:showLegendKey val="0"/>
          <c:showVal val="0"/>
          <c:showCatName val="0"/>
          <c:showSerName val="0"/>
          <c:showPercent val="0"/>
          <c:showBubbleSize val="0"/>
        </c:dLbls>
        <c:gapWidth val="500"/>
        <c:axId val="324564784"/>
        <c:axId val="324564392"/>
      </c:barChart>
      <c:catAx>
        <c:axId val="32456360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24564000"/>
        <c:crosses val="autoZero"/>
        <c:auto val="1"/>
        <c:lblAlgn val="ctr"/>
        <c:lblOffset val="100"/>
        <c:noMultiLvlLbl val="0"/>
      </c:catAx>
      <c:valAx>
        <c:axId val="32456400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24563608"/>
        <c:crosses val="autoZero"/>
        <c:crossBetween val="between"/>
      </c:valAx>
      <c:valAx>
        <c:axId val="324564392"/>
        <c:scaling>
          <c:orientation val="minMax"/>
        </c:scaling>
        <c:delete val="1"/>
        <c:axPos val="r"/>
        <c:numFmt formatCode="General" sourceLinked="1"/>
        <c:majorTickMark val="none"/>
        <c:minorTickMark val="none"/>
        <c:tickLblPos val="nextTo"/>
        <c:crossAx val="324564784"/>
        <c:crosses val="max"/>
        <c:crossBetween val="between"/>
      </c:valAx>
      <c:catAx>
        <c:axId val="324564784"/>
        <c:scaling>
          <c:orientation val="minMax"/>
        </c:scaling>
        <c:delete val="1"/>
        <c:axPos val="b"/>
        <c:numFmt formatCode="General" sourceLinked="1"/>
        <c:majorTickMark val="none"/>
        <c:minorTickMark val="none"/>
        <c:tickLblPos val="nextTo"/>
        <c:crossAx val="324564392"/>
        <c:crosses val="autoZero"/>
        <c:auto val="1"/>
        <c:lblAlgn val="ctr"/>
        <c:lblOffset val="100"/>
        <c:noMultiLvlLbl val="0"/>
      </c:catAx>
      <c:spPr>
        <a:noFill/>
        <a:ln>
          <a:noFill/>
        </a:ln>
        <a:effectLst/>
      </c:spPr>
    </c:plotArea>
    <c:plotVisOnly val="0"/>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CA"/>
              <a:t>Individuals (X) Chart</a:t>
            </a:r>
          </a:p>
        </c:rich>
      </c:tx>
      <c:layout>
        <c:manualLayout>
          <c:xMode val="edge"/>
          <c:yMode val="edge"/>
          <c:x val="0.34671163721915599"/>
          <c:y val="3.0732931471934701E-2"/>
        </c:manualLayout>
      </c:layout>
      <c:overlay val="0"/>
      <c:spPr>
        <a:noFill/>
        <a:ln w="25400">
          <a:noFill/>
        </a:ln>
      </c:spPr>
    </c:title>
    <c:autoTitleDeleted val="0"/>
    <c:plotArea>
      <c:layout>
        <c:manualLayout>
          <c:layoutTarget val="inner"/>
          <c:xMode val="edge"/>
          <c:yMode val="edge"/>
          <c:x val="0.110368013134072"/>
          <c:y val="0.19858201874173201"/>
          <c:w val="0.86176236517815996"/>
          <c:h val="0.63120713100050596"/>
        </c:manualLayout>
      </c:layout>
      <c:lineChart>
        <c:grouping val="standard"/>
        <c:varyColors val="0"/>
        <c:ser>
          <c:idx val="0"/>
          <c:order val="0"/>
          <c:tx>
            <c:v>Individuals</c:v>
          </c:tx>
          <c:spPr>
            <a:ln w="25400">
              <a:solidFill>
                <a:srgbClr val="000000"/>
              </a:solidFill>
              <a:prstDash val="solid"/>
            </a:ln>
          </c:spPr>
          <c:marker>
            <c:symbol val="diamond"/>
            <c:size val="7"/>
            <c:spPr>
              <a:solidFill>
                <a:srgbClr val="000000"/>
              </a:solidFill>
              <a:ln>
                <a:solidFill>
                  <a:srgbClr val="000000"/>
                </a:solidFill>
                <a:prstDash val="solid"/>
              </a:ln>
            </c:spPr>
          </c:marker>
          <c:val>
            <c:numRef>
              <c:f>'IMR Data and calculations'!$B$14:$B$88</c:f>
              <c:numCache>
                <c:formatCode>General</c:formatCode>
                <c:ptCount val="75"/>
                <c:pt idx="0">
                  <c:v>3.4</c:v>
                </c:pt>
                <c:pt idx="1">
                  <c:v>3.6</c:v>
                </c:pt>
                <c:pt idx="2">
                  <c:v>3.2</c:v>
                </c:pt>
                <c:pt idx="3">
                  <c:v>3.7</c:v>
                </c:pt>
                <c:pt idx="4">
                  <c:v>3.6</c:v>
                </c:pt>
                <c:pt idx="5">
                  <c:v>3.2</c:v>
                </c:pt>
                <c:pt idx="6">
                  <c:v>3.7</c:v>
                </c:pt>
                <c:pt idx="7">
                  <c:v>3.6</c:v>
                </c:pt>
                <c:pt idx="8">
                  <c:v>3.2</c:v>
                </c:pt>
                <c:pt idx="9">
                  <c:v>3.7</c:v>
                </c:pt>
                <c:pt idx="10">
                  <c:v>3.8</c:v>
                </c:pt>
                <c:pt idx="11">
                  <c:v>3.9</c:v>
                </c:pt>
                <c:pt idx="12">
                  <c:v>4.2</c:v>
                </c:pt>
                <c:pt idx="13">
                  <c:v>2.2000000000000002</c:v>
                </c:pt>
                <c:pt idx="14">
                  <c:v>2.6</c:v>
                </c:pt>
              </c:numCache>
            </c:numRef>
          </c:val>
          <c:smooth val="0"/>
          <c:extLst>
            <c:ext xmlns:c16="http://schemas.microsoft.com/office/drawing/2014/chart" uri="{C3380CC4-5D6E-409C-BE32-E72D297353CC}">
              <c16:uniqueId val="{00000000-BFF7-466A-AF0C-871C07FBB3BB}"/>
            </c:ext>
          </c:extLst>
        </c:ser>
        <c:ser>
          <c:idx val="1"/>
          <c:order val="1"/>
          <c:tx>
            <c:v>Upper control limit</c:v>
          </c:tx>
          <c:spPr>
            <a:ln w="22225">
              <a:solidFill>
                <a:srgbClr val="993300"/>
              </a:solidFill>
              <a:prstDash val="solid"/>
            </a:ln>
          </c:spPr>
          <c:marker>
            <c:symbol val="none"/>
          </c:marker>
          <c:val>
            <c:numRef>
              <c:f>'IMR Data and calculations'!$E$14:$E$88</c:f>
              <c:numCache>
                <c:formatCode>General</c:formatCode>
                <c:ptCount val="75"/>
                <c:pt idx="0">
                  <c:v>6.9330496453900707</c:v>
                </c:pt>
                <c:pt idx="1">
                  <c:v>6.9330496453900707</c:v>
                </c:pt>
                <c:pt idx="2">
                  <c:v>6.9330496453900707</c:v>
                </c:pt>
                <c:pt idx="3">
                  <c:v>6.9330496453900707</c:v>
                </c:pt>
                <c:pt idx="4">
                  <c:v>6.9330496453900707</c:v>
                </c:pt>
                <c:pt idx="5">
                  <c:v>6.9330496453900707</c:v>
                </c:pt>
                <c:pt idx="6">
                  <c:v>6.9330496453900707</c:v>
                </c:pt>
                <c:pt idx="7">
                  <c:v>6.9330496453900707</c:v>
                </c:pt>
                <c:pt idx="8">
                  <c:v>6.9330496453900707</c:v>
                </c:pt>
                <c:pt idx="9">
                  <c:v>6.9330496453900707</c:v>
                </c:pt>
                <c:pt idx="10">
                  <c:v>6.9330496453900707</c:v>
                </c:pt>
                <c:pt idx="11">
                  <c:v>6.9330496453900707</c:v>
                </c:pt>
                <c:pt idx="12">
                  <c:v>6.9330496453900707</c:v>
                </c:pt>
                <c:pt idx="13">
                  <c:v>6.9330496453900707</c:v>
                </c:pt>
                <c:pt idx="14">
                  <c:v>6.9330496453900707</c:v>
                </c:pt>
                <c:pt idx="15">
                  <c:v>6.9330496453900707</c:v>
                </c:pt>
                <c:pt idx="16">
                  <c:v>6.9330496453900707</c:v>
                </c:pt>
                <c:pt idx="17">
                  <c:v>6.9330496453900707</c:v>
                </c:pt>
                <c:pt idx="18">
                  <c:v>6.9330496453900707</c:v>
                </c:pt>
                <c:pt idx="19">
                  <c:v>6.9330496453900707</c:v>
                </c:pt>
                <c:pt idx="20">
                  <c:v>6.9330496453900707</c:v>
                </c:pt>
                <c:pt idx="21">
                  <c:v>6.9330496453900707</c:v>
                </c:pt>
                <c:pt idx="22">
                  <c:v>6.9330496453900707</c:v>
                </c:pt>
                <c:pt idx="23">
                  <c:v>6.9330496453900707</c:v>
                </c:pt>
                <c:pt idx="24">
                  <c:v>6.9330496453900707</c:v>
                </c:pt>
                <c:pt idx="25">
                  <c:v>6.9330496453900707</c:v>
                </c:pt>
                <c:pt idx="26">
                  <c:v>6.9330496453900707</c:v>
                </c:pt>
                <c:pt idx="27">
                  <c:v>6.9330496453900707</c:v>
                </c:pt>
                <c:pt idx="28">
                  <c:v>6.9330496453900707</c:v>
                </c:pt>
                <c:pt idx="29">
                  <c:v>6.9330496453900707</c:v>
                </c:pt>
                <c:pt idx="30">
                  <c:v>6.9330496453900707</c:v>
                </c:pt>
                <c:pt idx="31">
                  <c:v>6.9330496453900707</c:v>
                </c:pt>
                <c:pt idx="32">
                  <c:v>6.9330496453900707</c:v>
                </c:pt>
                <c:pt idx="33">
                  <c:v>6.9330496453900707</c:v>
                </c:pt>
                <c:pt idx="34">
                  <c:v>6.9330496453900707</c:v>
                </c:pt>
                <c:pt idx="35">
                  <c:v>6.9330496453900707</c:v>
                </c:pt>
                <c:pt idx="36">
                  <c:v>6.9330496453900707</c:v>
                </c:pt>
                <c:pt idx="37">
                  <c:v>6.9330496453900707</c:v>
                </c:pt>
                <c:pt idx="38">
                  <c:v>6.9330496453900707</c:v>
                </c:pt>
                <c:pt idx="39">
                  <c:v>6.9330496453900707</c:v>
                </c:pt>
                <c:pt idx="40">
                  <c:v>6.9330496453900707</c:v>
                </c:pt>
                <c:pt idx="41">
                  <c:v>6.9330496453900707</c:v>
                </c:pt>
                <c:pt idx="42">
                  <c:v>6.9330496453900707</c:v>
                </c:pt>
                <c:pt idx="43">
                  <c:v>6.9330496453900707</c:v>
                </c:pt>
                <c:pt idx="44">
                  <c:v>6.9330496453900707</c:v>
                </c:pt>
                <c:pt idx="45">
                  <c:v>6.9330496453900707</c:v>
                </c:pt>
                <c:pt idx="46">
                  <c:v>6.9330496453900707</c:v>
                </c:pt>
                <c:pt idx="47">
                  <c:v>6.9330496453900707</c:v>
                </c:pt>
                <c:pt idx="48">
                  <c:v>6.9330496453900707</c:v>
                </c:pt>
                <c:pt idx="49">
                  <c:v>6.9330496453900707</c:v>
                </c:pt>
                <c:pt idx="50">
                  <c:v>6.9330496453900707</c:v>
                </c:pt>
                <c:pt idx="51">
                  <c:v>6.9330496453900707</c:v>
                </c:pt>
                <c:pt idx="52">
                  <c:v>6.9330496453900707</c:v>
                </c:pt>
                <c:pt idx="53">
                  <c:v>6.9330496453900707</c:v>
                </c:pt>
                <c:pt idx="54">
                  <c:v>6.9330496453900707</c:v>
                </c:pt>
                <c:pt idx="55">
                  <c:v>6.9330496453900707</c:v>
                </c:pt>
                <c:pt idx="56">
                  <c:v>6.9330496453900707</c:v>
                </c:pt>
                <c:pt idx="57">
                  <c:v>6.9330496453900707</c:v>
                </c:pt>
                <c:pt idx="58">
                  <c:v>6.9330496453900707</c:v>
                </c:pt>
                <c:pt idx="59">
                  <c:v>6.9330496453900707</c:v>
                </c:pt>
                <c:pt idx="60">
                  <c:v>6.9330496453900707</c:v>
                </c:pt>
                <c:pt idx="61">
                  <c:v>6.9330496453900707</c:v>
                </c:pt>
                <c:pt idx="62">
                  <c:v>6.9330496453900707</c:v>
                </c:pt>
                <c:pt idx="63">
                  <c:v>6.9330496453900707</c:v>
                </c:pt>
                <c:pt idx="64">
                  <c:v>6.9330496453900707</c:v>
                </c:pt>
                <c:pt idx="65">
                  <c:v>6.9330496453900707</c:v>
                </c:pt>
                <c:pt idx="66">
                  <c:v>6.9330496453900707</c:v>
                </c:pt>
                <c:pt idx="67">
                  <c:v>6.9330496453900707</c:v>
                </c:pt>
                <c:pt idx="68">
                  <c:v>6.9330496453900707</c:v>
                </c:pt>
                <c:pt idx="69">
                  <c:v>6.9330496453900707</c:v>
                </c:pt>
                <c:pt idx="70">
                  <c:v>6.9330496453900707</c:v>
                </c:pt>
                <c:pt idx="71">
                  <c:v>6.9330496453900707</c:v>
                </c:pt>
                <c:pt idx="72">
                  <c:v>6.9330496453900707</c:v>
                </c:pt>
                <c:pt idx="73">
                  <c:v>6.9330496453900707</c:v>
                </c:pt>
                <c:pt idx="74">
                  <c:v>6.9330496453900707</c:v>
                </c:pt>
              </c:numCache>
            </c:numRef>
          </c:val>
          <c:smooth val="0"/>
          <c:extLst>
            <c:ext xmlns:c16="http://schemas.microsoft.com/office/drawing/2014/chart" uri="{C3380CC4-5D6E-409C-BE32-E72D297353CC}">
              <c16:uniqueId val="{00000001-BFF7-466A-AF0C-871C07FBB3BB}"/>
            </c:ext>
          </c:extLst>
        </c:ser>
        <c:ser>
          <c:idx val="2"/>
          <c:order val="2"/>
          <c:tx>
            <c:v>Center line</c:v>
          </c:tx>
          <c:spPr>
            <a:ln w="38100">
              <a:solidFill>
                <a:srgbClr val="333399"/>
              </a:solidFill>
              <a:prstDash val="solid"/>
            </a:ln>
          </c:spPr>
          <c:marker>
            <c:symbol val="none"/>
          </c:marker>
          <c:val>
            <c:numRef>
              <c:f>'IMR Data and calculations'!$D$14:$D$88</c:f>
              <c:numCache>
                <c:formatCode>General</c:formatCode>
                <c:ptCount val="75"/>
                <c:pt idx="0">
                  <c:v>5.16</c:v>
                </c:pt>
                <c:pt idx="1">
                  <c:v>5.16</c:v>
                </c:pt>
                <c:pt idx="2">
                  <c:v>5.16</c:v>
                </c:pt>
                <c:pt idx="3">
                  <c:v>5.16</c:v>
                </c:pt>
                <c:pt idx="4">
                  <c:v>5.16</c:v>
                </c:pt>
                <c:pt idx="5">
                  <c:v>5.16</c:v>
                </c:pt>
                <c:pt idx="6">
                  <c:v>5.16</c:v>
                </c:pt>
                <c:pt idx="7">
                  <c:v>5.16</c:v>
                </c:pt>
                <c:pt idx="8">
                  <c:v>5.16</c:v>
                </c:pt>
                <c:pt idx="9">
                  <c:v>5.16</c:v>
                </c:pt>
                <c:pt idx="10">
                  <c:v>5.16</c:v>
                </c:pt>
                <c:pt idx="11">
                  <c:v>5.16</c:v>
                </c:pt>
                <c:pt idx="12">
                  <c:v>5.16</c:v>
                </c:pt>
                <c:pt idx="13">
                  <c:v>5.16</c:v>
                </c:pt>
                <c:pt idx="14">
                  <c:v>5.16</c:v>
                </c:pt>
                <c:pt idx="15">
                  <c:v>5.16</c:v>
                </c:pt>
                <c:pt idx="16">
                  <c:v>5.16</c:v>
                </c:pt>
                <c:pt idx="17">
                  <c:v>5.16</c:v>
                </c:pt>
                <c:pt idx="18">
                  <c:v>5.16</c:v>
                </c:pt>
                <c:pt idx="19">
                  <c:v>5.16</c:v>
                </c:pt>
                <c:pt idx="20">
                  <c:v>5.16</c:v>
                </c:pt>
                <c:pt idx="21">
                  <c:v>5.16</c:v>
                </c:pt>
                <c:pt idx="22">
                  <c:v>5.16</c:v>
                </c:pt>
                <c:pt idx="23">
                  <c:v>5.16</c:v>
                </c:pt>
                <c:pt idx="24">
                  <c:v>5.16</c:v>
                </c:pt>
                <c:pt idx="25">
                  <c:v>5.16</c:v>
                </c:pt>
                <c:pt idx="26">
                  <c:v>5.16</c:v>
                </c:pt>
                <c:pt idx="27">
                  <c:v>5.16</c:v>
                </c:pt>
                <c:pt idx="28">
                  <c:v>5.16</c:v>
                </c:pt>
                <c:pt idx="29">
                  <c:v>5.16</c:v>
                </c:pt>
                <c:pt idx="30">
                  <c:v>5.16</c:v>
                </c:pt>
                <c:pt idx="31">
                  <c:v>5.16</c:v>
                </c:pt>
                <c:pt idx="32">
                  <c:v>5.16</c:v>
                </c:pt>
                <c:pt idx="33">
                  <c:v>5.16</c:v>
                </c:pt>
                <c:pt idx="34">
                  <c:v>5.16</c:v>
                </c:pt>
                <c:pt idx="35">
                  <c:v>5.16</c:v>
                </c:pt>
                <c:pt idx="36">
                  <c:v>5.16</c:v>
                </c:pt>
                <c:pt idx="37">
                  <c:v>5.16</c:v>
                </c:pt>
                <c:pt idx="38">
                  <c:v>5.16</c:v>
                </c:pt>
                <c:pt idx="39">
                  <c:v>5.16</c:v>
                </c:pt>
                <c:pt idx="40">
                  <c:v>5.16</c:v>
                </c:pt>
                <c:pt idx="41">
                  <c:v>5.16</c:v>
                </c:pt>
                <c:pt idx="42">
                  <c:v>5.16</c:v>
                </c:pt>
                <c:pt idx="43">
                  <c:v>5.16</c:v>
                </c:pt>
                <c:pt idx="44">
                  <c:v>5.16</c:v>
                </c:pt>
                <c:pt idx="45">
                  <c:v>5.16</c:v>
                </c:pt>
                <c:pt idx="46">
                  <c:v>5.16</c:v>
                </c:pt>
                <c:pt idx="47">
                  <c:v>5.16</c:v>
                </c:pt>
                <c:pt idx="48">
                  <c:v>5.16</c:v>
                </c:pt>
                <c:pt idx="49">
                  <c:v>5.16</c:v>
                </c:pt>
                <c:pt idx="50">
                  <c:v>5.16</c:v>
                </c:pt>
                <c:pt idx="51">
                  <c:v>5.16</c:v>
                </c:pt>
                <c:pt idx="52">
                  <c:v>5.16</c:v>
                </c:pt>
                <c:pt idx="53">
                  <c:v>5.16</c:v>
                </c:pt>
                <c:pt idx="54">
                  <c:v>5.16</c:v>
                </c:pt>
                <c:pt idx="55">
                  <c:v>5.16</c:v>
                </c:pt>
                <c:pt idx="56">
                  <c:v>5.16</c:v>
                </c:pt>
                <c:pt idx="57">
                  <c:v>5.16</c:v>
                </c:pt>
                <c:pt idx="58">
                  <c:v>5.16</c:v>
                </c:pt>
                <c:pt idx="59">
                  <c:v>5.16</c:v>
                </c:pt>
                <c:pt idx="60">
                  <c:v>5.16</c:v>
                </c:pt>
                <c:pt idx="61">
                  <c:v>5.16</c:v>
                </c:pt>
                <c:pt idx="62">
                  <c:v>5.16</c:v>
                </c:pt>
                <c:pt idx="63">
                  <c:v>5.16</c:v>
                </c:pt>
                <c:pt idx="64">
                  <c:v>5.16</c:v>
                </c:pt>
                <c:pt idx="65">
                  <c:v>5.16</c:v>
                </c:pt>
                <c:pt idx="66">
                  <c:v>5.16</c:v>
                </c:pt>
                <c:pt idx="67">
                  <c:v>5.16</c:v>
                </c:pt>
                <c:pt idx="68">
                  <c:v>5.16</c:v>
                </c:pt>
                <c:pt idx="69">
                  <c:v>5.16</c:v>
                </c:pt>
                <c:pt idx="70">
                  <c:v>5.16</c:v>
                </c:pt>
                <c:pt idx="71">
                  <c:v>5.16</c:v>
                </c:pt>
                <c:pt idx="72">
                  <c:v>5.16</c:v>
                </c:pt>
                <c:pt idx="73">
                  <c:v>5.16</c:v>
                </c:pt>
                <c:pt idx="74">
                  <c:v>5.16</c:v>
                </c:pt>
              </c:numCache>
            </c:numRef>
          </c:val>
          <c:smooth val="0"/>
          <c:extLst>
            <c:ext xmlns:c16="http://schemas.microsoft.com/office/drawing/2014/chart" uri="{C3380CC4-5D6E-409C-BE32-E72D297353CC}">
              <c16:uniqueId val="{00000002-BFF7-466A-AF0C-871C07FBB3BB}"/>
            </c:ext>
          </c:extLst>
        </c:ser>
        <c:ser>
          <c:idx val="3"/>
          <c:order val="3"/>
          <c:tx>
            <c:v>Lower control limit</c:v>
          </c:tx>
          <c:spPr>
            <a:ln w="28575">
              <a:solidFill>
                <a:srgbClr val="008000"/>
              </a:solidFill>
              <a:prstDash val="solid"/>
            </a:ln>
          </c:spPr>
          <c:marker>
            <c:symbol val="none"/>
          </c:marker>
          <c:val>
            <c:numRef>
              <c:f>'IMR Data and calculations'!$C$14:$C$88</c:f>
              <c:numCache>
                <c:formatCode>General</c:formatCode>
                <c:ptCount val="75"/>
                <c:pt idx="0">
                  <c:v>3.3869503546099291</c:v>
                </c:pt>
                <c:pt idx="1">
                  <c:v>3.3869503546099291</c:v>
                </c:pt>
                <c:pt idx="2">
                  <c:v>3.3869503546099291</c:v>
                </c:pt>
                <c:pt idx="3">
                  <c:v>3.3869503546099291</c:v>
                </c:pt>
                <c:pt idx="4">
                  <c:v>3.3869503546099291</c:v>
                </c:pt>
                <c:pt idx="5">
                  <c:v>3.3869503546099291</c:v>
                </c:pt>
                <c:pt idx="6">
                  <c:v>3.3869503546099291</c:v>
                </c:pt>
                <c:pt idx="7">
                  <c:v>3.3869503546099291</c:v>
                </c:pt>
                <c:pt idx="8">
                  <c:v>3.3869503546099291</c:v>
                </c:pt>
                <c:pt idx="9">
                  <c:v>3.3869503546099291</c:v>
                </c:pt>
                <c:pt idx="10">
                  <c:v>3.3869503546099291</c:v>
                </c:pt>
                <c:pt idx="11">
                  <c:v>3.3869503546099291</c:v>
                </c:pt>
                <c:pt idx="12">
                  <c:v>3.3869503546099291</c:v>
                </c:pt>
                <c:pt idx="13">
                  <c:v>3.3869503546099291</c:v>
                </c:pt>
                <c:pt idx="14">
                  <c:v>3.3869503546099291</c:v>
                </c:pt>
                <c:pt idx="15">
                  <c:v>3.3869503546099291</c:v>
                </c:pt>
                <c:pt idx="16">
                  <c:v>3.3869503546099291</c:v>
                </c:pt>
                <c:pt idx="17">
                  <c:v>3.3869503546099291</c:v>
                </c:pt>
                <c:pt idx="18">
                  <c:v>3.3869503546099291</c:v>
                </c:pt>
                <c:pt idx="19">
                  <c:v>3.3869503546099291</c:v>
                </c:pt>
                <c:pt idx="20">
                  <c:v>3.3869503546099291</c:v>
                </c:pt>
                <c:pt idx="21">
                  <c:v>3.3869503546099291</c:v>
                </c:pt>
                <c:pt idx="22">
                  <c:v>3.3869503546099291</c:v>
                </c:pt>
                <c:pt idx="23">
                  <c:v>3.3869503546099291</c:v>
                </c:pt>
                <c:pt idx="24">
                  <c:v>3.3869503546099291</c:v>
                </c:pt>
                <c:pt idx="25">
                  <c:v>3.3869503546099291</c:v>
                </c:pt>
                <c:pt idx="26">
                  <c:v>3.3869503546099291</c:v>
                </c:pt>
                <c:pt idx="27">
                  <c:v>3.3869503546099291</c:v>
                </c:pt>
                <c:pt idx="28">
                  <c:v>3.3869503546099291</c:v>
                </c:pt>
                <c:pt idx="29">
                  <c:v>3.3869503546099291</c:v>
                </c:pt>
                <c:pt idx="30">
                  <c:v>3.3869503546099291</c:v>
                </c:pt>
                <c:pt idx="31">
                  <c:v>3.3869503546099291</c:v>
                </c:pt>
                <c:pt idx="32">
                  <c:v>3.3869503546099291</c:v>
                </c:pt>
                <c:pt idx="33">
                  <c:v>3.3869503546099291</c:v>
                </c:pt>
                <c:pt idx="34">
                  <c:v>3.3869503546099291</c:v>
                </c:pt>
                <c:pt idx="35">
                  <c:v>3.3869503546099291</c:v>
                </c:pt>
                <c:pt idx="36">
                  <c:v>3.3869503546099291</c:v>
                </c:pt>
                <c:pt idx="37">
                  <c:v>3.3869503546099291</c:v>
                </c:pt>
                <c:pt idx="38">
                  <c:v>3.3869503546099291</c:v>
                </c:pt>
                <c:pt idx="39">
                  <c:v>3.3869503546099291</c:v>
                </c:pt>
                <c:pt idx="40">
                  <c:v>3.3869503546099291</c:v>
                </c:pt>
                <c:pt idx="41">
                  <c:v>3.3869503546099291</c:v>
                </c:pt>
                <c:pt idx="42">
                  <c:v>3.3869503546099291</c:v>
                </c:pt>
                <c:pt idx="43">
                  <c:v>3.3869503546099291</c:v>
                </c:pt>
                <c:pt idx="44">
                  <c:v>3.3869503546099291</c:v>
                </c:pt>
                <c:pt idx="45">
                  <c:v>3.3869503546099291</c:v>
                </c:pt>
                <c:pt idx="46">
                  <c:v>3.3869503546099291</c:v>
                </c:pt>
                <c:pt idx="47">
                  <c:v>3.3869503546099291</c:v>
                </c:pt>
                <c:pt idx="48">
                  <c:v>3.3869503546099291</c:v>
                </c:pt>
                <c:pt idx="49">
                  <c:v>3.3869503546099291</c:v>
                </c:pt>
                <c:pt idx="50">
                  <c:v>3.3869503546099291</c:v>
                </c:pt>
                <c:pt idx="51">
                  <c:v>3.3869503546099291</c:v>
                </c:pt>
                <c:pt idx="52">
                  <c:v>3.3869503546099291</c:v>
                </c:pt>
                <c:pt idx="53">
                  <c:v>3.3869503546099291</c:v>
                </c:pt>
                <c:pt idx="54">
                  <c:v>3.3869503546099291</c:v>
                </c:pt>
                <c:pt idx="55">
                  <c:v>3.3869503546099291</c:v>
                </c:pt>
                <c:pt idx="56">
                  <c:v>3.3869503546099291</c:v>
                </c:pt>
                <c:pt idx="57">
                  <c:v>3.3869503546099291</c:v>
                </c:pt>
                <c:pt idx="58">
                  <c:v>3.3869503546099291</c:v>
                </c:pt>
                <c:pt idx="59">
                  <c:v>3.3869503546099291</c:v>
                </c:pt>
                <c:pt idx="60">
                  <c:v>3.3869503546099291</c:v>
                </c:pt>
                <c:pt idx="61">
                  <c:v>3.3869503546099291</c:v>
                </c:pt>
                <c:pt idx="62">
                  <c:v>3.3869503546099291</c:v>
                </c:pt>
                <c:pt idx="63">
                  <c:v>3.3869503546099291</c:v>
                </c:pt>
                <c:pt idx="64">
                  <c:v>3.3869503546099291</c:v>
                </c:pt>
                <c:pt idx="65">
                  <c:v>3.3869503546099291</c:v>
                </c:pt>
                <c:pt idx="66">
                  <c:v>3.3869503546099291</c:v>
                </c:pt>
                <c:pt idx="67">
                  <c:v>3.3869503546099291</c:v>
                </c:pt>
                <c:pt idx="68">
                  <c:v>3.3869503546099291</c:v>
                </c:pt>
                <c:pt idx="69">
                  <c:v>3.3869503546099291</c:v>
                </c:pt>
                <c:pt idx="70">
                  <c:v>3.3869503546099291</c:v>
                </c:pt>
                <c:pt idx="71">
                  <c:v>3.3869503546099291</c:v>
                </c:pt>
                <c:pt idx="72">
                  <c:v>3.3869503546099291</c:v>
                </c:pt>
                <c:pt idx="73">
                  <c:v>3.3869503546099291</c:v>
                </c:pt>
                <c:pt idx="74">
                  <c:v>3.3869503546099291</c:v>
                </c:pt>
              </c:numCache>
            </c:numRef>
          </c:val>
          <c:smooth val="0"/>
          <c:extLst>
            <c:ext xmlns:c16="http://schemas.microsoft.com/office/drawing/2014/chart" uri="{C3380CC4-5D6E-409C-BE32-E72D297353CC}">
              <c16:uniqueId val="{00000003-BFF7-466A-AF0C-871C07FBB3BB}"/>
            </c:ext>
          </c:extLst>
        </c:ser>
        <c:dLbls>
          <c:showLegendKey val="0"/>
          <c:showVal val="0"/>
          <c:showCatName val="0"/>
          <c:showSerName val="0"/>
          <c:showPercent val="0"/>
          <c:showBubbleSize val="0"/>
        </c:dLbls>
        <c:marker val="1"/>
        <c:smooth val="0"/>
        <c:axId val="323083176"/>
        <c:axId val="323083568"/>
      </c:lineChart>
      <c:catAx>
        <c:axId val="323083176"/>
        <c:scaling>
          <c:orientation val="minMax"/>
        </c:scaling>
        <c:delete val="0"/>
        <c:axPos val="b"/>
        <c:majorGridlines>
          <c:spPr>
            <a:ln w="3175">
              <a:solidFill>
                <a:schemeClr val="bg1">
                  <a:lumMod val="65000"/>
                </a:schemeClr>
              </a:solidFill>
              <a:prstDash val="solid"/>
            </a:ln>
          </c:spPr>
        </c:majorGridlines>
        <c:title>
          <c:tx>
            <c:rich>
              <a:bodyPr/>
              <a:lstStyle/>
              <a:p>
                <a:pPr>
                  <a:defRPr sz="1600" b="1" i="0" u="none" strike="noStrike" baseline="0">
                    <a:solidFill>
                      <a:srgbClr val="000000"/>
                    </a:solidFill>
                    <a:latin typeface="Arial"/>
                    <a:ea typeface="Arial"/>
                    <a:cs typeface="Arial"/>
                  </a:defRPr>
                </a:pPr>
                <a:r>
                  <a:rPr lang="en-CA"/>
                  <a:t>Observation number</a:t>
                </a:r>
              </a:p>
            </c:rich>
          </c:tx>
          <c:layout>
            <c:manualLayout>
              <c:xMode val="edge"/>
              <c:yMode val="edge"/>
              <c:x val="0.42140514105736698"/>
              <c:y val="0.90307537094454404"/>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3083568"/>
        <c:crosses val="autoZero"/>
        <c:auto val="1"/>
        <c:lblAlgn val="ctr"/>
        <c:lblOffset val="100"/>
        <c:tickLblSkip val="3"/>
        <c:tickMarkSkip val="1"/>
        <c:noMultiLvlLbl val="0"/>
      </c:catAx>
      <c:valAx>
        <c:axId val="323083568"/>
        <c:scaling>
          <c:orientation val="minMax"/>
        </c:scaling>
        <c:delete val="0"/>
        <c:axPos val="l"/>
        <c:majorGridlines>
          <c:spPr>
            <a:ln w="3175">
              <a:solidFill>
                <a:srgbClr val="000000"/>
              </a:solidFill>
              <a:prstDash val="solid"/>
            </a:ln>
          </c:spPr>
        </c:majorGridlines>
        <c:title>
          <c:tx>
            <c:rich>
              <a:bodyPr/>
              <a:lstStyle/>
              <a:p>
                <a:pPr>
                  <a:defRPr sz="2100" b="1" i="0" u="none" strike="noStrike" baseline="0">
                    <a:solidFill>
                      <a:srgbClr val="000000"/>
                    </a:solidFill>
                    <a:latin typeface="Arial"/>
                    <a:ea typeface="Arial"/>
                    <a:cs typeface="Arial"/>
                  </a:defRPr>
                </a:pPr>
                <a:r>
                  <a:rPr lang="en-CA"/>
                  <a:t>Value</a:t>
                </a:r>
              </a:p>
            </c:rich>
          </c:tx>
          <c:layout>
            <c:manualLayout>
              <c:xMode val="edge"/>
              <c:yMode val="edge"/>
              <c:x val="1.2263112570452501E-2"/>
              <c:y val="0.4137125390452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3083176"/>
        <c:crosses val="autoZero"/>
        <c:crossBetween val="between"/>
      </c:valAx>
      <c:spPr>
        <a:solidFill>
          <a:srgbClr val="FFFFFF"/>
        </a:solidFill>
        <a:ln w="12700">
          <a:solidFill>
            <a:srgbClr val="000000"/>
          </a:solidFill>
          <a:prstDash val="solid"/>
        </a:ln>
      </c:spPr>
    </c:plotArea>
    <c:legend>
      <c:legendPos val="r"/>
      <c:layout>
        <c:manualLayout>
          <c:xMode val="edge"/>
          <c:yMode val="edge"/>
          <c:x val="0.79487266024841996"/>
          <c:y val="2.8368859820247401E-2"/>
          <c:w val="0.15496114975389899"/>
          <c:h val="0.13475208414617501"/>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CC"/>
    </a:solidFill>
    <a:ln w="3175">
      <a:solidFill>
        <a:srgbClr val="000000"/>
      </a:solidFill>
      <a:prstDash val="solid"/>
    </a:ln>
  </c:spPr>
  <c:txPr>
    <a:bodyPr/>
    <a:lstStyle/>
    <a:p>
      <a:pPr>
        <a:defRPr sz="22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975" b="1" i="0" u="none" strike="noStrike" baseline="0">
                <a:solidFill>
                  <a:srgbClr val="000000"/>
                </a:solidFill>
                <a:latin typeface="Arial"/>
                <a:ea typeface="Arial"/>
                <a:cs typeface="Arial"/>
              </a:defRPr>
            </a:pPr>
            <a:r>
              <a:rPr lang="en-CA"/>
              <a:t>Moving Range Chart</a:t>
            </a:r>
          </a:p>
        </c:rich>
      </c:tx>
      <c:layout>
        <c:manualLayout>
          <c:xMode val="edge"/>
          <c:yMode val="edge"/>
          <c:x val="0.35412045981111401"/>
          <c:y val="3.05882352941176E-2"/>
        </c:manualLayout>
      </c:layout>
      <c:overlay val="0"/>
      <c:spPr>
        <a:noFill/>
        <a:ln w="25400">
          <a:noFill/>
        </a:ln>
      </c:spPr>
    </c:title>
    <c:autoTitleDeleted val="0"/>
    <c:plotArea>
      <c:layout>
        <c:manualLayout>
          <c:layoutTarget val="inner"/>
          <c:xMode val="edge"/>
          <c:yMode val="edge"/>
          <c:x val="0.112472221512335"/>
          <c:y val="0.19294117647058801"/>
          <c:w val="0.85189355897956798"/>
          <c:h val="0.64705882352941202"/>
        </c:manualLayout>
      </c:layout>
      <c:lineChart>
        <c:grouping val="standard"/>
        <c:varyColors val="0"/>
        <c:ser>
          <c:idx val="1"/>
          <c:order val="0"/>
          <c:tx>
            <c:v>Moving ranges</c:v>
          </c:tx>
          <c:spPr>
            <a:ln w="25400">
              <a:solidFill>
                <a:srgbClr val="000000"/>
              </a:solidFill>
              <a:prstDash val="solid"/>
            </a:ln>
          </c:spPr>
          <c:marker>
            <c:symbol val="diamond"/>
            <c:size val="7"/>
            <c:spPr>
              <a:solidFill>
                <a:srgbClr val="000000"/>
              </a:solidFill>
              <a:ln>
                <a:solidFill>
                  <a:srgbClr val="000000"/>
                </a:solidFill>
                <a:prstDash val="solid"/>
              </a:ln>
            </c:spPr>
          </c:marker>
          <c:val>
            <c:numRef>
              <c:f>'IMR Data and calculations'!$F$15:$F$88</c:f>
              <c:numCache>
                <c:formatCode>General</c:formatCode>
                <c:ptCount val="74"/>
                <c:pt idx="0">
                  <c:v>0.20000000000000018</c:v>
                </c:pt>
                <c:pt idx="1">
                  <c:v>0.39999999999999991</c:v>
                </c:pt>
                <c:pt idx="2">
                  <c:v>0.5</c:v>
                </c:pt>
                <c:pt idx="3">
                  <c:v>0.10000000000000009</c:v>
                </c:pt>
                <c:pt idx="4">
                  <c:v>0.39999999999999991</c:v>
                </c:pt>
                <c:pt idx="5">
                  <c:v>0.5</c:v>
                </c:pt>
                <c:pt idx="6">
                  <c:v>0.10000000000000009</c:v>
                </c:pt>
                <c:pt idx="7">
                  <c:v>0.39999999999999991</c:v>
                </c:pt>
                <c:pt idx="8">
                  <c:v>0.5</c:v>
                </c:pt>
                <c:pt idx="9">
                  <c:v>9.9999999999999645E-2</c:v>
                </c:pt>
                <c:pt idx="10">
                  <c:v>0.10000000000000009</c:v>
                </c:pt>
                <c:pt idx="11">
                  <c:v>0.30000000000000027</c:v>
                </c:pt>
                <c:pt idx="12">
                  <c:v>2</c:v>
                </c:pt>
                <c:pt idx="13">
                  <c:v>0.39999999999999991</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numCache>
            </c:numRef>
          </c:val>
          <c:smooth val="0"/>
          <c:extLst>
            <c:ext xmlns:c16="http://schemas.microsoft.com/office/drawing/2014/chart" uri="{C3380CC4-5D6E-409C-BE32-E72D297353CC}">
              <c16:uniqueId val="{00000000-C55A-4A97-AA60-9525E4ECD5B2}"/>
            </c:ext>
          </c:extLst>
        </c:ser>
        <c:ser>
          <c:idx val="0"/>
          <c:order val="1"/>
          <c:tx>
            <c:v>Lower control limit</c:v>
          </c:tx>
          <c:spPr>
            <a:ln w="38100">
              <a:solidFill>
                <a:srgbClr val="008000"/>
              </a:solidFill>
              <a:prstDash val="solid"/>
            </a:ln>
          </c:spPr>
          <c:marker>
            <c:symbol val="none"/>
          </c:marker>
          <c:val>
            <c:numRef>
              <c:f>'IMR Data and calculations'!$G$15:$G$88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numCache>
            </c:numRef>
          </c:val>
          <c:smooth val="0"/>
          <c:extLst>
            <c:ext xmlns:c16="http://schemas.microsoft.com/office/drawing/2014/chart" uri="{C3380CC4-5D6E-409C-BE32-E72D297353CC}">
              <c16:uniqueId val="{00000001-C55A-4A97-AA60-9525E4ECD5B2}"/>
            </c:ext>
          </c:extLst>
        </c:ser>
        <c:ser>
          <c:idx val="2"/>
          <c:order val="2"/>
          <c:tx>
            <c:v>Center line</c:v>
          </c:tx>
          <c:spPr>
            <a:ln w="38100">
              <a:solidFill>
                <a:srgbClr val="333399"/>
              </a:solidFill>
              <a:prstDash val="solid"/>
            </a:ln>
          </c:spPr>
          <c:marker>
            <c:symbol val="none"/>
          </c:marker>
          <c:val>
            <c:numRef>
              <c:f>'IMR Data and calculations'!$H$15:$H$88</c:f>
              <c:numCache>
                <c:formatCode>General</c:formatCode>
                <c:ptCount val="74"/>
                <c:pt idx="0">
                  <c:v>0.66666666666666663</c:v>
                </c:pt>
                <c:pt idx="1">
                  <c:v>0.66666666666666663</c:v>
                </c:pt>
                <c:pt idx="2">
                  <c:v>0.66666666666666663</c:v>
                </c:pt>
                <c:pt idx="3">
                  <c:v>0.66666666666666663</c:v>
                </c:pt>
                <c:pt idx="4">
                  <c:v>0.66666666666666663</c:v>
                </c:pt>
                <c:pt idx="5">
                  <c:v>0.66666666666666663</c:v>
                </c:pt>
                <c:pt idx="6">
                  <c:v>0.66666666666666663</c:v>
                </c:pt>
                <c:pt idx="7">
                  <c:v>0.66666666666666663</c:v>
                </c:pt>
                <c:pt idx="8">
                  <c:v>0.66666666666666663</c:v>
                </c:pt>
                <c:pt idx="9">
                  <c:v>0.66666666666666663</c:v>
                </c:pt>
                <c:pt idx="10">
                  <c:v>0.66666666666666663</c:v>
                </c:pt>
                <c:pt idx="11">
                  <c:v>0.66666666666666663</c:v>
                </c:pt>
                <c:pt idx="12">
                  <c:v>0.66666666666666663</c:v>
                </c:pt>
                <c:pt idx="13">
                  <c:v>0.66666666666666663</c:v>
                </c:pt>
                <c:pt idx="14">
                  <c:v>0.66666666666666663</c:v>
                </c:pt>
                <c:pt idx="15">
                  <c:v>0.66666666666666663</c:v>
                </c:pt>
                <c:pt idx="16">
                  <c:v>0.66666666666666663</c:v>
                </c:pt>
                <c:pt idx="17">
                  <c:v>0.66666666666666663</c:v>
                </c:pt>
                <c:pt idx="18">
                  <c:v>0.66666666666666663</c:v>
                </c:pt>
                <c:pt idx="19">
                  <c:v>0.66666666666666663</c:v>
                </c:pt>
                <c:pt idx="20">
                  <c:v>0.66666666666666663</c:v>
                </c:pt>
                <c:pt idx="21">
                  <c:v>0.66666666666666663</c:v>
                </c:pt>
                <c:pt idx="22">
                  <c:v>0.66666666666666663</c:v>
                </c:pt>
                <c:pt idx="23">
                  <c:v>0.66666666666666663</c:v>
                </c:pt>
                <c:pt idx="24">
                  <c:v>0.66666666666666663</c:v>
                </c:pt>
                <c:pt idx="25">
                  <c:v>0.66666666666666663</c:v>
                </c:pt>
                <c:pt idx="26">
                  <c:v>0.66666666666666663</c:v>
                </c:pt>
                <c:pt idx="27">
                  <c:v>0.66666666666666663</c:v>
                </c:pt>
                <c:pt idx="28">
                  <c:v>0.66666666666666663</c:v>
                </c:pt>
                <c:pt idx="29">
                  <c:v>0.66666666666666663</c:v>
                </c:pt>
                <c:pt idx="30">
                  <c:v>0.66666666666666663</c:v>
                </c:pt>
                <c:pt idx="31">
                  <c:v>0.66666666666666663</c:v>
                </c:pt>
                <c:pt idx="32">
                  <c:v>0.66666666666666663</c:v>
                </c:pt>
                <c:pt idx="33">
                  <c:v>0.66666666666666663</c:v>
                </c:pt>
                <c:pt idx="34">
                  <c:v>0.66666666666666663</c:v>
                </c:pt>
                <c:pt idx="35">
                  <c:v>0.66666666666666663</c:v>
                </c:pt>
                <c:pt idx="36">
                  <c:v>0.66666666666666663</c:v>
                </c:pt>
                <c:pt idx="37">
                  <c:v>0.66666666666666663</c:v>
                </c:pt>
                <c:pt idx="38">
                  <c:v>0.66666666666666663</c:v>
                </c:pt>
                <c:pt idx="39">
                  <c:v>0.66666666666666663</c:v>
                </c:pt>
                <c:pt idx="40">
                  <c:v>0.66666666666666663</c:v>
                </c:pt>
                <c:pt idx="41">
                  <c:v>0.66666666666666663</c:v>
                </c:pt>
                <c:pt idx="42">
                  <c:v>0.66666666666666663</c:v>
                </c:pt>
                <c:pt idx="43">
                  <c:v>0.66666666666666663</c:v>
                </c:pt>
                <c:pt idx="44">
                  <c:v>0.66666666666666663</c:v>
                </c:pt>
                <c:pt idx="45">
                  <c:v>0.66666666666666663</c:v>
                </c:pt>
                <c:pt idx="46">
                  <c:v>0.66666666666666663</c:v>
                </c:pt>
                <c:pt idx="47">
                  <c:v>0.66666666666666663</c:v>
                </c:pt>
                <c:pt idx="48">
                  <c:v>0.66666666666666663</c:v>
                </c:pt>
                <c:pt idx="49">
                  <c:v>0.66666666666666663</c:v>
                </c:pt>
                <c:pt idx="50">
                  <c:v>0.66666666666666663</c:v>
                </c:pt>
                <c:pt idx="51">
                  <c:v>0.66666666666666663</c:v>
                </c:pt>
                <c:pt idx="52">
                  <c:v>0.66666666666666663</c:v>
                </c:pt>
                <c:pt idx="53">
                  <c:v>0.66666666666666663</c:v>
                </c:pt>
                <c:pt idx="54">
                  <c:v>0.66666666666666663</c:v>
                </c:pt>
                <c:pt idx="55">
                  <c:v>0.66666666666666663</c:v>
                </c:pt>
                <c:pt idx="56">
                  <c:v>0.66666666666666663</c:v>
                </c:pt>
                <c:pt idx="57">
                  <c:v>0.66666666666666663</c:v>
                </c:pt>
                <c:pt idx="58">
                  <c:v>0.66666666666666663</c:v>
                </c:pt>
                <c:pt idx="59">
                  <c:v>0.66666666666666663</c:v>
                </c:pt>
                <c:pt idx="60">
                  <c:v>0.66666666666666663</c:v>
                </c:pt>
                <c:pt idx="61">
                  <c:v>0.66666666666666663</c:v>
                </c:pt>
                <c:pt idx="62">
                  <c:v>0.66666666666666663</c:v>
                </c:pt>
                <c:pt idx="63">
                  <c:v>0.66666666666666663</c:v>
                </c:pt>
                <c:pt idx="64">
                  <c:v>0.66666666666666663</c:v>
                </c:pt>
                <c:pt idx="65">
                  <c:v>0.66666666666666663</c:v>
                </c:pt>
                <c:pt idx="66">
                  <c:v>0.66666666666666663</c:v>
                </c:pt>
                <c:pt idx="67">
                  <c:v>0.66666666666666663</c:v>
                </c:pt>
                <c:pt idx="68">
                  <c:v>0.66666666666666663</c:v>
                </c:pt>
                <c:pt idx="69">
                  <c:v>0.66666666666666663</c:v>
                </c:pt>
                <c:pt idx="70">
                  <c:v>0.66666666666666663</c:v>
                </c:pt>
                <c:pt idx="71">
                  <c:v>0.66666666666666663</c:v>
                </c:pt>
                <c:pt idx="72">
                  <c:v>0.66666666666666663</c:v>
                </c:pt>
                <c:pt idx="73">
                  <c:v>0.66666666666666663</c:v>
                </c:pt>
              </c:numCache>
            </c:numRef>
          </c:val>
          <c:smooth val="0"/>
          <c:extLst>
            <c:ext xmlns:c16="http://schemas.microsoft.com/office/drawing/2014/chart" uri="{C3380CC4-5D6E-409C-BE32-E72D297353CC}">
              <c16:uniqueId val="{00000002-C55A-4A97-AA60-9525E4ECD5B2}"/>
            </c:ext>
          </c:extLst>
        </c:ser>
        <c:ser>
          <c:idx val="3"/>
          <c:order val="3"/>
          <c:tx>
            <c:v>Upper control limit</c:v>
          </c:tx>
          <c:spPr>
            <a:ln w="22225">
              <a:solidFill>
                <a:srgbClr val="993300"/>
              </a:solidFill>
              <a:prstDash val="solid"/>
            </a:ln>
          </c:spPr>
          <c:marker>
            <c:symbol val="none"/>
          </c:marker>
          <c:val>
            <c:numRef>
              <c:f>'IMR Data and calculations'!$I$15:$I$88</c:f>
              <c:numCache>
                <c:formatCode>General</c:formatCode>
                <c:ptCount val="74"/>
                <c:pt idx="0">
                  <c:v>2.1779999999999999</c:v>
                </c:pt>
                <c:pt idx="1">
                  <c:v>2.1779999999999999</c:v>
                </c:pt>
                <c:pt idx="2">
                  <c:v>2.1779999999999999</c:v>
                </c:pt>
                <c:pt idx="3">
                  <c:v>2.1779999999999999</c:v>
                </c:pt>
                <c:pt idx="4">
                  <c:v>2.1779999999999999</c:v>
                </c:pt>
                <c:pt idx="5">
                  <c:v>2.1779999999999999</c:v>
                </c:pt>
                <c:pt idx="6">
                  <c:v>2.1779999999999999</c:v>
                </c:pt>
                <c:pt idx="7">
                  <c:v>2.1779999999999999</c:v>
                </c:pt>
                <c:pt idx="8">
                  <c:v>2.1779999999999999</c:v>
                </c:pt>
                <c:pt idx="9">
                  <c:v>2.1779999999999999</c:v>
                </c:pt>
                <c:pt idx="10">
                  <c:v>2.1779999999999999</c:v>
                </c:pt>
                <c:pt idx="11">
                  <c:v>2.1779999999999999</c:v>
                </c:pt>
                <c:pt idx="12">
                  <c:v>2.1779999999999999</c:v>
                </c:pt>
                <c:pt idx="13">
                  <c:v>2.1779999999999999</c:v>
                </c:pt>
                <c:pt idx="14">
                  <c:v>2.1779999999999999</c:v>
                </c:pt>
                <c:pt idx="15">
                  <c:v>2.1779999999999999</c:v>
                </c:pt>
                <c:pt idx="16">
                  <c:v>2.1779999999999999</c:v>
                </c:pt>
                <c:pt idx="17">
                  <c:v>2.1779999999999999</c:v>
                </c:pt>
                <c:pt idx="18">
                  <c:v>2.1779999999999999</c:v>
                </c:pt>
                <c:pt idx="19">
                  <c:v>2.1779999999999999</c:v>
                </c:pt>
                <c:pt idx="20">
                  <c:v>2.1779999999999999</c:v>
                </c:pt>
                <c:pt idx="21">
                  <c:v>2.1779999999999999</c:v>
                </c:pt>
                <c:pt idx="22">
                  <c:v>2.1779999999999999</c:v>
                </c:pt>
                <c:pt idx="23">
                  <c:v>2.1779999999999999</c:v>
                </c:pt>
                <c:pt idx="24">
                  <c:v>2.1779999999999999</c:v>
                </c:pt>
                <c:pt idx="25">
                  <c:v>2.1779999999999999</c:v>
                </c:pt>
                <c:pt idx="26">
                  <c:v>2.1779999999999999</c:v>
                </c:pt>
                <c:pt idx="27">
                  <c:v>2.1779999999999999</c:v>
                </c:pt>
                <c:pt idx="28">
                  <c:v>2.1779999999999999</c:v>
                </c:pt>
                <c:pt idx="29">
                  <c:v>2.1779999999999999</c:v>
                </c:pt>
                <c:pt idx="30">
                  <c:v>2.1779999999999999</c:v>
                </c:pt>
                <c:pt idx="31">
                  <c:v>2.1779999999999999</c:v>
                </c:pt>
                <c:pt idx="32">
                  <c:v>2.1779999999999999</c:v>
                </c:pt>
                <c:pt idx="33">
                  <c:v>2.1779999999999999</c:v>
                </c:pt>
                <c:pt idx="34">
                  <c:v>2.1779999999999999</c:v>
                </c:pt>
                <c:pt idx="35">
                  <c:v>2.1779999999999999</c:v>
                </c:pt>
                <c:pt idx="36">
                  <c:v>2.1779999999999999</c:v>
                </c:pt>
                <c:pt idx="37">
                  <c:v>2.1779999999999999</c:v>
                </c:pt>
                <c:pt idx="38">
                  <c:v>2.1779999999999999</c:v>
                </c:pt>
                <c:pt idx="39">
                  <c:v>2.1779999999999999</c:v>
                </c:pt>
                <c:pt idx="40">
                  <c:v>2.1779999999999999</c:v>
                </c:pt>
                <c:pt idx="41">
                  <c:v>2.1779999999999999</c:v>
                </c:pt>
                <c:pt idx="42">
                  <c:v>2.1779999999999999</c:v>
                </c:pt>
                <c:pt idx="43">
                  <c:v>2.1779999999999999</c:v>
                </c:pt>
                <c:pt idx="44">
                  <c:v>2.1779999999999999</c:v>
                </c:pt>
                <c:pt idx="45">
                  <c:v>2.1779999999999999</c:v>
                </c:pt>
                <c:pt idx="46">
                  <c:v>2.1779999999999999</c:v>
                </c:pt>
                <c:pt idx="47">
                  <c:v>2.1779999999999999</c:v>
                </c:pt>
                <c:pt idx="48">
                  <c:v>2.1779999999999999</c:v>
                </c:pt>
                <c:pt idx="49">
                  <c:v>2.1779999999999999</c:v>
                </c:pt>
                <c:pt idx="50">
                  <c:v>2.1779999999999999</c:v>
                </c:pt>
                <c:pt idx="51">
                  <c:v>2.1779999999999999</c:v>
                </c:pt>
                <c:pt idx="52">
                  <c:v>2.1779999999999999</c:v>
                </c:pt>
                <c:pt idx="53">
                  <c:v>2.1779999999999999</c:v>
                </c:pt>
                <c:pt idx="54">
                  <c:v>2.1779999999999999</c:v>
                </c:pt>
                <c:pt idx="55">
                  <c:v>2.1779999999999999</c:v>
                </c:pt>
                <c:pt idx="56">
                  <c:v>2.1779999999999999</c:v>
                </c:pt>
                <c:pt idx="57">
                  <c:v>2.1779999999999999</c:v>
                </c:pt>
                <c:pt idx="58">
                  <c:v>2.1779999999999999</c:v>
                </c:pt>
                <c:pt idx="59">
                  <c:v>2.1779999999999999</c:v>
                </c:pt>
                <c:pt idx="60">
                  <c:v>2.1779999999999999</c:v>
                </c:pt>
                <c:pt idx="61">
                  <c:v>2.1779999999999999</c:v>
                </c:pt>
                <c:pt idx="62">
                  <c:v>2.1779999999999999</c:v>
                </c:pt>
                <c:pt idx="63">
                  <c:v>2.1779999999999999</c:v>
                </c:pt>
                <c:pt idx="64">
                  <c:v>2.1779999999999999</c:v>
                </c:pt>
                <c:pt idx="65">
                  <c:v>2.1779999999999999</c:v>
                </c:pt>
                <c:pt idx="66">
                  <c:v>2.1779999999999999</c:v>
                </c:pt>
                <c:pt idx="67">
                  <c:v>2.1779999999999999</c:v>
                </c:pt>
                <c:pt idx="68">
                  <c:v>2.1779999999999999</c:v>
                </c:pt>
                <c:pt idx="69">
                  <c:v>2.1779999999999999</c:v>
                </c:pt>
                <c:pt idx="70">
                  <c:v>2.1779999999999999</c:v>
                </c:pt>
                <c:pt idx="71">
                  <c:v>2.1779999999999999</c:v>
                </c:pt>
                <c:pt idx="72">
                  <c:v>2.1779999999999999</c:v>
                </c:pt>
                <c:pt idx="73">
                  <c:v>2.1779999999999999</c:v>
                </c:pt>
              </c:numCache>
            </c:numRef>
          </c:val>
          <c:smooth val="0"/>
          <c:extLst>
            <c:ext xmlns:c16="http://schemas.microsoft.com/office/drawing/2014/chart" uri="{C3380CC4-5D6E-409C-BE32-E72D297353CC}">
              <c16:uniqueId val="{00000003-C55A-4A97-AA60-9525E4ECD5B2}"/>
            </c:ext>
          </c:extLst>
        </c:ser>
        <c:dLbls>
          <c:showLegendKey val="0"/>
          <c:showVal val="0"/>
          <c:showCatName val="0"/>
          <c:showSerName val="0"/>
          <c:showPercent val="0"/>
          <c:showBubbleSize val="0"/>
        </c:dLbls>
        <c:marker val="1"/>
        <c:smooth val="0"/>
        <c:axId val="347722928"/>
        <c:axId val="178239152"/>
      </c:lineChart>
      <c:catAx>
        <c:axId val="347722928"/>
        <c:scaling>
          <c:orientation val="minMax"/>
        </c:scaling>
        <c:delete val="0"/>
        <c:axPos val="b"/>
        <c:majorGridlines>
          <c:spPr>
            <a:ln w="3175">
              <a:solidFill>
                <a:schemeClr val="bg1">
                  <a:lumMod val="65000"/>
                </a:schemeClr>
              </a:solidFill>
              <a:prstDash val="solid"/>
            </a:ln>
          </c:spPr>
        </c:majorGridlines>
        <c:title>
          <c:tx>
            <c:rich>
              <a:bodyPr/>
              <a:lstStyle/>
              <a:p>
                <a:pPr>
                  <a:defRPr sz="1600" b="1" i="0" u="none" strike="noStrike" baseline="0">
                    <a:solidFill>
                      <a:srgbClr val="000000"/>
                    </a:solidFill>
                    <a:latin typeface="Arial"/>
                    <a:ea typeface="Arial"/>
                    <a:cs typeface="Arial"/>
                  </a:defRPr>
                </a:pPr>
                <a:r>
                  <a:rPr lang="en-CA"/>
                  <a:t>Observation number</a:t>
                </a:r>
              </a:p>
            </c:rich>
          </c:tx>
          <c:layout>
            <c:manualLayout>
              <c:xMode val="edge"/>
              <c:yMode val="edge"/>
              <c:x val="0.41870846820433699"/>
              <c:y val="0.90352941176470603"/>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78239152"/>
        <c:crosses val="autoZero"/>
        <c:auto val="1"/>
        <c:lblAlgn val="ctr"/>
        <c:lblOffset val="100"/>
        <c:tickLblSkip val="3"/>
        <c:tickMarkSkip val="1"/>
        <c:noMultiLvlLbl val="0"/>
      </c:catAx>
      <c:valAx>
        <c:axId val="178239152"/>
        <c:scaling>
          <c:orientation val="minMax"/>
        </c:scaling>
        <c:delete val="0"/>
        <c:axPos val="l"/>
        <c:majorGridlines>
          <c:spPr>
            <a:ln w="3175">
              <a:solidFill>
                <a:srgbClr val="000000"/>
              </a:solidFill>
              <a:prstDash val="solid"/>
            </a:ln>
          </c:spPr>
        </c:majorGridlines>
        <c:title>
          <c:tx>
            <c:rich>
              <a:bodyPr/>
              <a:lstStyle/>
              <a:p>
                <a:pPr>
                  <a:defRPr sz="2100" b="1" i="0" u="none" strike="noStrike" baseline="0">
                    <a:solidFill>
                      <a:srgbClr val="000000"/>
                    </a:solidFill>
                    <a:latin typeface="Arial"/>
                    <a:ea typeface="Arial"/>
                    <a:cs typeface="Arial"/>
                  </a:defRPr>
                </a:pPr>
                <a:r>
                  <a:rPr lang="en-CA"/>
                  <a:t>Moving ranges</a:t>
                </a:r>
              </a:p>
            </c:rich>
          </c:tx>
          <c:layout>
            <c:manualLayout>
              <c:xMode val="edge"/>
              <c:yMode val="edge"/>
              <c:x val="1.44766225708946E-2"/>
              <c:y val="0.272941176470588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47722928"/>
        <c:crosses val="autoZero"/>
        <c:crossBetween val="between"/>
      </c:valAx>
      <c:spPr>
        <a:solidFill>
          <a:srgbClr val="FFFFFF"/>
        </a:solidFill>
        <a:ln w="12700">
          <a:solidFill>
            <a:srgbClr val="000000"/>
          </a:solidFill>
          <a:prstDash val="solid"/>
        </a:ln>
      </c:spPr>
    </c:plotArea>
    <c:legend>
      <c:legendPos val="r"/>
      <c:layout>
        <c:manualLayout>
          <c:xMode val="edge"/>
          <c:yMode val="edge"/>
          <c:x val="0.75389796003812704"/>
          <c:y val="2.3529411764705899E-2"/>
          <c:w val="0.164810780037877"/>
          <c:h val="0.1411764705882349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CC"/>
    </a:solidFill>
    <a:ln w="3175">
      <a:solidFill>
        <a:srgbClr val="000000"/>
      </a:solidFill>
      <a:prstDash val="solid"/>
    </a:ln>
  </c:spPr>
  <c:txPr>
    <a:bodyPr/>
    <a:lstStyle/>
    <a:p>
      <a:pPr>
        <a:defRPr sz="22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CA"/>
              <a:t>Number nonconforming (np) chart</a:t>
            </a:r>
          </a:p>
        </c:rich>
      </c:tx>
      <c:layout>
        <c:manualLayout>
          <c:xMode val="edge"/>
          <c:yMode val="edge"/>
          <c:x val="5.6626506024096399E-2"/>
          <c:y val="3.0660412667227899E-2"/>
        </c:manualLayout>
      </c:layout>
      <c:overlay val="0"/>
      <c:spPr>
        <a:noFill/>
        <a:ln w="25400">
          <a:noFill/>
        </a:ln>
      </c:spPr>
    </c:title>
    <c:autoTitleDeleted val="0"/>
    <c:plotArea>
      <c:layout>
        <c:manualLayout>
          <c:layoutTarget val="inner"/>
          <c:xMode val="edge"/>
          <c:yMode val="edge"/>
          <c:x val="0.11204819277108399"/>
          <c:y val="0.28066070056923997"/>
          <c:w val="0.86265060240963898"/>
          <c:h val="0.54009496159963"/>
        </c:manualLayout>
      </c:layout>
      <c:lineChart>
        <c:grouping val="standard"/>
        <c:varyColors val="0"/>
        <c:ser>
          <c:idx val="0"/>
          <c:order val="0"/>
          <c:tx>
            <c:v>Number nonconforming</c:v>
          </c:tx>
          <c:spPr>
            <a:ln w="25400">
              <a:solidFill>
                <a:srgbClr val="000000"/>
              </a:solidFill>
              <a:prstDash val="solid"/>
            </a:ln>
          </c:spPr>
          <c:marker>
            <c:symbol val="diamond"/>
            <c:size val="7"/>
            <c:spPr>
              <a:solidFill>
                <a:srgbClr val="000000"/>
              </a:solidFill>
              <a:ln>
                <a:solidFill>
                  <a:srgbClr val="000000"/>
                </a:solidFill>
                <a:prstDash val="solid"/>
              </a:ln>
            </c:spPr>
          </c:marker>
          <c:val>
            <c:numRef>
              <c:f>'np Data and calculations'!$B$13:$B$62</c:f>
              <c:numCache>
                <c:formatCode>General</c:formatCode>
                <c:ptCount val="50"/>
                <c:pt idx="0">
                  <c:v>1</c:v>
                </c:pt>
                <c:pt idx="1">
                  <c:v>1</c:v>
                </c:pt>
                <c:pt idx="2">
                  <c:v>1</c:v>
                </c:pt>
                <c:pt idx="3">
                  <c:v>3</c:v>
                </c:pt>
                <c:pt idx="4">
                  <c:v>2</c:v>
                </c:pt>
                <c:pt idx="5">
                  <c:v>2</c:v>
                </c:pt>
                <c:pt idx="6">
                  <c:v>1</c:v>
                </c:pt>
                <c:pt idx="7">
                  <c:v>1</c:v>
                </c:pt>
              </c:numCache>
            </c:numRef>
          </c:val>
          <c:smooth val="0"/>
          <c:extLst>
            <c:ext xmlns:c16="http://schemas.microsoft.com/office/drawing/2014/chart" uri="{C3380CC4-5D6E-409C-BE32-E72D297353CC}">
              <c16:uniqueId val="{00000000-D96E-4A22-BB5E-704D626D30F3}"/>
            </c:ext>
          </c:extLst>
        </c:ser>
        <c:ser>
          <c:idx val="1"/>
          <c:order val="1"/>
          <c:tx>
            <c:v>Lower control limit</c:v>
          </c:tx>
          <c:spPr>
            <a:ln w="38100">
              <a:solidFill>
                <a:srgbClr val="008000"/>
              </a:solidFill>
              <a:prstDash val="solid"/>
            </a:ln>
          </c:spPr>
          <c:marker>
            <c:symbol val="none"/>
          </c:marker>
          <c:val>
            <c:numRef>
              <c:f>'np Data and calculations'!$C$13:$C$62</c:f>
              <c:numCache>
                <c:formatCode>General</c:formatCode>
                <c:ptCount val="50"/>
                <c:pt idx="0">
                  <c:v>0</c:v>
                </c:pt>
                <c:pt idx="1">
                  <c:v>0</c:v>
                </c:pt>
                <c:pt idx="2">
                  <c:v>0</c:v>
                </c:pt>
                <c:pt idx="3">
                  <c:v>0</c:v>
                </c:pt>
                <c:pt idx="4">
                  <c:v>0</c:v>
                </c:pt>
                <c:pt idx="5">
                  <c:v>0</c:v>
                </c:pt>
                <c:pt idx="6">
                  <c:v>0</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1-D96E-4A22-BB5E-704D626D30F3}"/>
            </c:ext>
          </c:extLst>
        </c:ser>
        <c:ser>
          <c:idx val="2"/>
          <c:order val="2"/>
          <c:tx>
            <c:v>Upper control limit</c:v>
          </c:tx>
          <c:spPr>
            <a:ln w="22225">
              <a:solidFill>
                <a:srgbClr val="993300"/>
              </a:solidFill>
              <a:prstDash val="solid"/>
            </a:ln>
          </c:spPr>
          <c:marker>
            <c:symbol val="none"/>
          </c:marker>
          <c:val>
            <c:numRef>
              <c:f>'np Data and calculations'!$E$13:$E$62</c:f>
              <c:numCache>
                <c:formatCode>General</c:formatCode>
                <c:ptCount val="50"/>
                <c:pt idx="0">
                  <c:v>4.404737509655563</c:v>
                </c:pt>
                <c:pt idx="1">
                  <c:v>4.404737509655563</c:v>
                </c:pt>
                <c:pt idx="2">
                  <c:v>4.404737509655563</c:v>
                </c:pt>
                <c:pt idx="3">
                  <c:v>4.404737509655563</c:v>
                </c:pt>
                <c:pt idx="4">
                  <c:v>4.404737509655563</c:v>
                </c:pt>
                <c:pt idx="5">
                  <c:v>4.404737509655563</c:v>
                </c:pt>
                <c:pt idx="6">
                  <c:v>4.404737509655563</c:v>
                </c:pt>
                <c:pt idx="7">
                  <c:v>4.404737509655563</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2-D96E-4A22-BB5E-704D626D30F3}"/>
            </c:ext>
          </c:extLst>
        </c:ser>
        <c:ser>
          <c:idx val="3"/>
          <c:order val="3"/>
          <c:tx>
            <c:v>Center line</c:v>
          </c:tx>
          <c:spPr>
            <a:ln w="38100">
              <a:solidFill>
                <a:srgbClr val="333399"/>
              </a:solidFill>
              <a:prstDash val="solid"/>
            </a:ln>
          </c:spPr>
          <c:marker>
            <c:symbol val="none"/>
          </c:marker>
          <c:val>
            <c:numRef>
              <c:f>'np Data and calculations'!$D$13:$D$62</c:f>
              <c:numCache>
                <c:formatCode>General</c:formatCode>
                <c:ptCount val="50"/>
                <c:pt idx="0">
                  <c:v>1.5</c:v>
                </c:pt>
                <c:pt idx="1">
                  <c:v>1.5</c:v>
                </c:pt>
                <c:pt idx="2">
                  <c:v>1.5</c:v>
                </c:pt>
                <c:pt idx="3">
                  <c:v>1.5</c:v>
                </c:pt>
                <c:pt idx="4">
                  <c:v>1.5</c:v>
                </c:pt>
                <c:pt idx="5">
                  <c:v>1.5</c:v>
                </c:pt>
                <c:pt idx="6">
                  <c:v>1.5</c:v>
                </c:pt>
                <c:pt idx="7">
                  <c:v>1.5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3-D96E-4A22-BB5E-704D626D30F3}"/>
            </c:ext>
          </c:extLst>
        </c:ser>
        <c:dLbls>
          <c:showLegendKey val="0"/>
          <c:showVal val="0"/>
          <c:showCatName val="0"/>
          <c:showSerName val="0"/>
          <c:showPercent val="0"/>
          <c:showBubbleSize val="0"/>
        </c:dLbls>
        <c:marker val="1"/>
        <c:smooth val="0"/>
        <c:axId val="323085136"/>
        <c:axId val="323085528"/>
      </c:lineChart>
      <c:catAx>
        <c:axId val="323085136"/>
        <c:scaling>
          <c:orientation val="minMax"/>
        </c:scaling>
        <c:delete val="0"/>
        <c:axPos val="b"/>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en-CA"/>
                  <a:t>Sample number</a:t>
                </a:r>
              </a:p>
            </c:rich>
          </c:tx>
          <c:layout>
            <c:manualLayout>
              <c:xMode val="edge"/>
              <c:yMode val="edge"/>
              <c:x val="0.444578313253012"/>
              <c:y val="0.903302927042174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3085528"/>
        <c:crosses val="autoZero"/>
        <c:auto val="1"/>
        <c:lblAlgn val="ctr"/>
        <c:lblOffset val="100"/>
        <c:tickLblSkip val="2"/>
        <c:tickMarkSkip val="1"/>
        <c:noMultiLvlLbl val="0"/>
      </c:catAx>
      <c:valAx>
        <c:axId val="323085528"/>
        <c:scaling>
          <c:orientation val="minMax"/>
        </c:scaling>
        <c:delete val="0"/>
        <c:axPos val="l"/>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en-CA"/>
                  <a:t>Number nonconforming</a:t>
                </a:r>
              </a:p>
            </c:rich>
          </c:tx>
          <c:layout>
            <c:manualLayout>
              <c:xMode val="edge"/>
              <c:yMode val="edge"/>
              <c:x val="2.16867469879518E-2"/>
              <c:y val="0.198113435695934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3085136"/>
        <c:crosses val="autoZero"/>
        <c:crossBetween val="between"/>
      </c:valAx>
      <c:spPr>
        <a:solidFill>
          <a:srgbClr val="FFFFFF"/>
        </a:solidFill>
        <a:ln w="12700">
          <a:solidFill>
            <a:srgbClr val="000000"/>
          </a:solidFill>
          <a:prstDash val="solid"/>
        </a:ln>
      </c:spPr>
    </c:plotArea>
    <c:legend>
      <c:legendPos val="r"/>
      <c:layout>
        <c:manualLayout>
          <c:xMode val="edge"/>
          <c:yMode val="edge"/>
          <c:x val="0.72048192771084296"/>
          <c:y val="5.6603838770266798E-2"/>
          <c:w val="0.207228915662651"/>
          <c:h val="0.15330206333613899"/>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CC"/>
    </a:solidFill>
    <a:ln w="3175">
      <a:solidFill>
        <a:srgbClr val="000000"/>
      </a:solidFill>
      <a:prstDash val="solid"/>
    </a:ln>
  </c:spPr>
  <c:txPr>
    <a:bodyPr/>
    <a:lstStyle/>
    <a:p>
      <a:pPr>
        <a:defRPr sz="2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CA"/>
              <a:t>Attribute (p) Chart</a:t>
            </a:r>
          </a:p>
        </c:rich>
      </c:tx>
      <c:layout>
        <c:manualLayout>
          <c:xMode val="edge"/>
          <c:yMode val="edge"/>
          <c:x val="0.281774910276752"/>
          <c:y val="3.0444999685532801E-2"/>
        </c:manualLayout>
      </c:layout>
      <c:overlay val="0"/>
      <c:spPr>
        <a:noFill/>
        <a:ln w="25400">
          <a:noFill/>
        </a:ln>
      </c:spPr>
    </c:title>
    <c:autoTitleDeleted val="0"/>
    <c:plotArea>
      <c:layout>
        <c:manualLayout>
          <c:layoutTarget val="inner"/>
          <c:xMode val="edge"/>
          <c:yMode val="edge"/>
          <c:x val="0.131894638852948"/>
          <c:y val="0.25058576664246202"/>
          <c:w val="0.78297453791795202"/>
          <c:h val="0.524590763812257"/>
        </c:manualLayout>
      </c:layout>
      <c:lineChart>
        <c:grouping val="standard"/>
        <c:varyColors val="0"/>
        <c:ser>
          <c:idx val="1"/>
          <c:order val="0"/>
          <c:tx>
            <c:v>Fraction nonconforming</c:v>
          </c:tx>
          <c:spPr>
            <a:ln w="25400">
              <a:solidFill>
                <a:srgbClr val="000000"/>
              </a:solidFill>
              <a:prstDash val="solid"/>
            </a:ln>
          </c:spPr>
          <c:marker>
            <c:symbol val="diamond"/>
            <c:size val="7"/>
            <c:spPr>
              <a:solidFill>
                <a:srgbClr val="000000"/>
              </a:solidFill>
              <a:ln>
                <a:solidFill>
                  <a:srgbClr val="000000"/>
                </a:solidFill>
                <a:prstDash val="solid"/>
              </a:ln>
            </c:spPr>
          </c:marker>
          <c:val>
            <c:numRef>
              <c:f>'p Data and calculations'!$D$10:$D$34</c:f>
              <c:numCache>
                <c:formatCode>0.0000</c:formatCode>
                <c:ptCount val="25"/>
                <c:pt idx="0">
                  <c:v>0.2</c:v>
                </c:pt>
                <c:pt idx="1">
                  <c:v>0.5</c:v>
                </c:pt>
                <c:pt idx="2">
                  <c:v>0.4</c:v>
                </c:pt>
                <c:pt idx="3">
                  <c:v>0.125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85F5-4189-83BE-5745833626B4}"/>
            </c:ext>
          </c:extLst>
        </c:ser>
        <c:ser>
          <c:idx val="2"/>
          <c:order val="1"/>
          <c:tx>
            <c:v>Lower control limit</c:v>
          </c:tx>
          <c:spPr>
            <a:ln w="38100">
              <a:solidFill>
                <a:srgbClr val="008000"/>
              </a:solidFill>
              <a:prstDash val="solid"/>
            </a:ln>
          </c:spPr>
          <c:marker>
            <c:symbol val="none"/>
          </c:marker>
          <c:val>
            <c:numRef>
              <c:f>'p Data and calculations'!$F$10:$F$59</c:f>
              <c:numCache>
                <c:formatCode>General</c:formatCode>
                <c:ptCount val="50"/>
                <c:pt idx="0">
                  <c:v>0</c:v>
                </c:pt>
                <c:pt idx="1">
                  <c:v>0</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1-85F5-4189-83BE-5745833626B4}"/>
            </c:ext>
          </c:extLst>
        </c:ser>
        <c:ser>
          <c:idx val="3"/>
          <c:order val="2"/>
          <c:tx>
            <c:v>Center line</c:v>
          </c:tx>
          <c:spPr>
            <a:ln w="38100">
              <a:solidFill>
                <a:srgbClr val="333399"/>
              </a:solidFill>
              <a:prstDash val="solid"/>
            </a:ln>
          </c:spPr>
          <c:marker>
            <c:symbol val="none"/>
          </c:marker>
          <c:val>
            <c:numRef>
              <c:f>'p Data and calculations'!$G$10:$G$59</c:f>
              <c:numCache>
                <c:formatCode>General</c:formatCode>
                <c:ptCount val="50"/>
                <c:pt idx="0">
                  <c:v>0.31428571428571428</c:v>
                </c:pt>
                <c:pt idx="1">
                  <c:v>0.31428571428571428</c:v>
                </c:pt>
                <c:pt idx="2">
                  <c:v>0.31428571428571428</c:v>
                </c:pt>
                <c:pt idx="3">
                  <c:v>0.31428571428571428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2-85F5-4189-83BE-5745833626B4}"/>
            </c:ext>
          </c:extLst>
        </c:ser>
        <c:ser>
          <c:idx val="0"/>
          <c:order val="3"/>
          <c:tx>
            <c:v>Upper control limit</c:v>
          </c:tx>
          <c:spPr>
            <a:ln w="28575">
              <a:solidFill>
                <a:srgbClr val="993300"/>
              </a:solidFill>
              <a:prstDash val="solid"/>
            </a:ln>
          </c:spPr>
          <c:marker>
            <c:symbol val="none"/>
          </c:marker>
          <c:val>
            <c:numRef>
              <c:f>'p Data and calculations'!$H$10:$H$59</c:f>
              <c:numCache>
                <c:formatCode>General</c:formatCode>
                <c:ptCount val="50"/>
                <c:pt idx="0">
                  <c:v>0.75469368841137585</c:v>
                </c:pt>
                <c:pt idx="1">
                  <c:v>0.71632135084200821</c:v>
                </c:pt>
                <c:pt idx="2">
                  <c:v>0.937116644271484</c:v>
                </c:pt>
                <c:pt idx="3">
                  <c:v>0.80667679827468819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3-85F5-4189-83BE-5745833626B4}"/>
            </c:ext>
          </c:extLst>
        </c:ser>
        <c:dLbls>
          <c:showLegendKey val="0"/>
          <c:showVal val="0"/>
          <c:showCatName val="0"/>
          <c:showSerName val="0"/>
          <c:showPercent val="0"/>
          <c:showBubbleSize val="0"/>
        </c:dLbls>
        <c:marker val="1"/>
        <c:smooth val="0"/>
        <c:axId val="323086312"/>
        <c:axId val="323086704"/>
      </c:lineChart>
      <c:catAx>
        <c:axId val="323086312"/>
        <c:scaling>
          <c:orientation val="minMax"/>
        </c:scaling>
        <c:delete val="0"/>
        <c:axPos val="b"/>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en-CA"/>
                  <a:t>Sample number</a:t>
                </a:r>
              </a:p>
            </c:rich>
          </c:tx>
          <c:layout>
            <c:manualLayout>
              <c:xMode val="edge"/>
              <c:yMode val="edge"/>
              <c:x val="0.42446092867221302"/>
              <c:y val="0.859485760353117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3086704"/>
        <c:crosses val="autoZero"/>
        <c:auto val="1"/>
        <c:lblAlgn val="ctr"/>
        <c:lblOffset val="100"/>
        <c:tickLblSkip val="2"/>
        <c:tickMarkSkip val="1"/>
        <c:noMultiLvlLbl val="0"/>
      </c:catAx>
      <c:valAx>
        <c:axId val="323086704"/>
        <c:scaling>
          <c:orientation val="minMax"/>
        </c:scaling>
        <c:delete val="0"/>
        <c:axPos val="l"/>
        <c:majorGridlines>
          <c:spPr>
            <a:ln w="3175">
              <a:solidFill>
                <a:srgbClr val="000000"/>
              </a:solidFill>
              <a:prstDash val="solid"/>
            </a:ln>
          </c:spPr>
        </c:majorGridlines>
        <c:title>
          <c:tx>
            <c:rich>
              <a:bodyPr/>
              <a:lstStyle/>
              <a:p>
                <a:pPr>
                  <a:defRPr sz="1600" b="1" i="0" u="none" strike="noStrike" baseline="0">
                    <a:solidFill>
                      <a:srgbClr val="000000"/>
                    </a:solidFill>
                    <a:latin typeface="Arial"/>
                    <a:ea typeface="Arial"/>
                    <a:cs typeface="Arial"/>
                  </a:defRPr>
                </a:pPr>
                <a:r>
                  <a:rPr lang="en-CA"/>
                  <a:t>Fraction nonconforming</a:t>
                </a:r>
              </a:p>
            </c:rich>
          </c:tx>
          <c:layout>
            <c:manualLayout>
              <c:xMode val="edge"/>
              <c:yMode val="edge"/>
              <c:x val="9.5923373711234595E-3"/>
              <c:y val="0.220140766956929"/>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3086312"/>
        <c:crosses val="autoZero"/>
        <c:crossBetween val="between"/>
      </c:valAx>
      <c:spPr>
        <a:solidFill>
          <a:srgbClr val="FFFFFF"/>
        </a:solidFill>
        <a:ln w="12700">
          <a:solidFill>
            <a:srgbClr val="000000"/>
          </a:solidFill>
          <a:prstDash val="solid"/>
        </a:ln>
      </c:spPr>
    </c:plotArea>
    <c:legend>
      <c:legendPos val="r"/>
      <c:layout>
        <c:manualLayout>
          <c:xMode val="edge"/>
          <c:yMode val="edge"/>
          <c:x val="0.70143967026340304"/>
          <c:y val="5.8548076318332302E-2"/>
          <c:w val="0.233813223421134"/>
          <c:h val="0.1358315370585309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CC"/>
    </a:solidFill>
    <a:ln w="3175">
      <a:solidFill>
        <a:srgbClr val="000000"/>
      </a:solidFill>
      <a:prstDash val="solid"/>
    </a:ln>
  </c:spPr>
  <c:txPr>
    <a:bodyPr/>
    <a:lstStyle/>
    <a:p>
      <a:pPr>
        <a:defRPr sz="2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CA"/>
              <a:t>Attribute (p) Chart 
(approximate control limits)</a:t>
            </a:r>
          </a:p>
        </c:rich>
      </c:tx>
      <c:layout>
        <c:manualLayout>
          <c:xMode val="edge"/>
          <c:yMode val="edge"/>
          <c:x val="0.174850401648111"/>
          <c:y val="2.33644859813084E-2"/>
        </c:manualLayout>
      </c:layout>
      <c:overlay val="0"/>
      <c:spPr>
        <a:noFill/>
        <a:ln w="25400">
          <a:noFill/>
        </a:ln>
      </c:spPr>
    </c:title>
    <c:autoTitleDeleted val="0"/>
    <c:plotArea>
      <c:layout>
        <c:manualLayout>
          <c:layoutTarget val="inner"/>
          <c:xMode val="edge"/>
          <c:yMode val="edge"/>
          <c:x val="9.1018017296276899E-2"/>
          <c:y val="0.24532710280373801"/>
          <c:w val="0.82275497213871396"/>
          <c:h val="0.58411214953270996"/>
        </c:manualLayout>
      </c:layout>
      <c:lineChart>
        <c:grouping val="standard"/>
        <c:varyColors val="0"/>
        <c:ser>
          <c:idx val="1"/>
          <c:order val="0"/>
          <c:tx>
            <c:v>Fraction nonconforming</c:v>
          </c:tx>
          <c:spPr>
            <a:ln w="25400">
              <a:solidFill>
                <a:srgbClr val="000000"/>
              </a:solidFill>
              <a:prstDash val="solid"/>
            </a:ln>
          </c:spPr>
          <c:marker>
            <c:symbol val="diamond"/>
            <c:size val="7"/>
            <c:spPr>
              <a:solidFill>
                <a:srgbClr val="000000"/>
              </a:solidFill>
              <a:ln>
                <a:solidFill>
                  <a:srgbClr val="000000"/>
                </a:solidFill>
                <a:prstDash val="solid"/>
              </a:ln>
            </c:spPr>
          </c:marker>
          <c:val>
            <c:numRef>
              <c:f>'p Data and calculations'!$D$10:$D$34</c:f>
              <c:numCache>
                <c:formatCode>0.0000</c:formatCode>
                <c:ptCount val="25"/>
                <c:pt idx="0">
                  <c:v>0.2</c:v>
                </c:pt>
                <c:pt idx="1">
                  <c:v>0.5</c:v>
                </c:pt>
                <c:pt idx="2">
                  <c:v>0.4</c:v>
                </c:pt>
                <c:pt idx="3">
                  <c:v>0.125</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mooth val="0"/>
          <c:extLst>
            <c:ext xmlns:c16="http://schemas.microsoft.com/office/drawing/2014/chart" uri="{C3380CC4-5D6E-409C-BE32-E72D297353CC}">
              <c16:uniqueId val="{00000000-ADEB-4CF6-87B6-41029FB5BE7C}"/>
            </c:ext>
          </c:extLst>
        </c:ser>
        <c:ser>
          <c:idx val="2"/>
          <c:order val="1"/>
          <c:tx>
            <c:v>Lower control limit</c:v>
          </c:tx>
          <c:spPr>
            <a:ln w="38100">
              <a:solidFill>
                <a:srgbClr val="008000"/>
              </a:solidFill>
              <a:prstDash val="solid"/>
            </a:ln>
          </c:spPr>
          <c:marker>
            <c:symbol val="none"/>
          </c:marker>
          <c:val>
            <c:numRef>
              <c:f>'p Data and calculations'!$J$10:$J$59</c:f>
              <c:numCache>
                <c:formatCode>General</c:formatCode>
                <c:ptCount val="50"/>
                <c:pt idx="0">
                  <c:v>0</c:v>
                </c:pt>
                <c:pt idx="1">
                  <c:v>0</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1-ADEB-4CF6-87B6-41029FB5BE7C}"/>
            </c:ext>
          </c:extLst>
        </c:ser>
        <c:ser>
          <c:idx val="3"/>
          <c:order val="2"/>
          <c:tx>
            <c:v>Center line</c:v>
          </c:tx>
          <c:spPr>
            <a:ln w="38100">
              <a:solidFill>
                <a:srgbClr val="333399"/>
              </a:solidFill>
              <a:prstDash val="solid"/>
            </a:ln>
          </c:spPr>
          <c:marker>
            <c:symbol val="none"/>
          </c:marker>
          <c:val>
            <c:numRef>
              <c:f>'p Data and calculations'!$K$10:$K$59</c:f>
              <c:numCache>
                <c:formatCode>General</c:formatCode>
                <c:ptCount val="50"/>
                <c:pt idx="0">
                  <c:v>0.31428571428571428</c:v>
                </c:pt>
                <c:pt idx="1">
                  <c:v>0.31428571428571428</c:v>
                </c:pt>
                <c:pt idx="2">
                  <c:v>0.31428571428571428</c:v>
                </c:pt>
                <c:pt idx="3">
                  <c:v>0.31428571428571428</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2-ADEB-4CF6-87B6-41029FB5BE7C}"/>
            </c:ext>
          </c:extLst>
        </c:ser>
        <c:ser>
          <c:idx val="0"/>
          <c:order val="3"/>
          <c:tx>
            <c:v>Upper control limit</c:v>
          </c:tx>
          <c:spPr>
            <a:ln w="25400">
              <a:solidFill>
                <a:srgbClr val="993300"/>
              </a:solidFill>
              <a:prstDash val="solid"/>
            </a:ln>
          </c:spPr>
          <c:marker>
            <c:symbol val="none"/>
          </c:marker>
          <c:val>
            <c:numRef>
              <c:f>'p Data and calculations'!$L$10:$L$59</c:f>
              <c:numCache>
                <c:formatCode>General</c:formatCode>
                <c:ptCount val="50"/>
                <c:pt idx="0">
                  <c:v>0.78510164273755101</c:v>
                </c:pt>
                <c:pt idx="1">
                  <c:v>0.78510164273755101</c:v>
                </c:pt>
                <c:pt idx="2">
                  <c:v>0.78510164273755101</c:v>
                </c:pt>
                <c:pt idx="3">
                  <c:v>0.78510164273755101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3-ADEB-4CF6-87B6-41029FB5BE7C}"/>
            </c:ext>
          </c:extLst>
        </c:ser>
        <c:dLbls>
          <c:showLegendKey val="0"/>
          <c:showVal val="0"/>
          <c:showCatName val="0"/>
          <c:showSerName val="0"/>
          <c:showPercent val="0"/>
          <c:showBubbleSize val="0"/>
        </c:dLbls>
        <c:marker val="1"/>
        <c:smooth val="0"/>
        <c:axId val="323087488"/>
        <c:axId val="323087880"/>
      </c:lineChart>
      <c:catAx>
        <c:axId val="323087488"/>
        <c:scaling>
          <c:orientation val="minMax"/>
        </c:scaling>
        <c:delete val="0"/>
        <c:axPos val="b"/>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CA"/>
                  <a:t>Sample number</a:t>
                </a:r>
              </a:p>
            </c:rich>
          </c:tx>
          <c:layout>
            <c:manualLayout>
              <c:xMode val="edge"/>
              <c:yMode val="edge"/>
              <c:x val="0.43832360961101802"/>
              <c:y val="0.892523364485981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3087880"/>
        <c:crosses val="autoZero"/>
        <c:auto val="1"/>
        <c:lblAlgn val="ctr"/>
        <c:lblOffset val="100"/>
        <c:tickLblSkip val="2"/>
        <c:tickMarkSkip val="1"/>
        <c:noMultiLvlLbl val="0"/>
      </c:catAx>
      <c:valAx>
        <c:axId val="323087880"/>
        <c:scaling>
          <c:orientation val="minMax"/>
        </c:scaling>
        <c:delete val="0"/>
        <c:axPos val="l"/>
        <c:majorGridlines>
          <c:spPr>
            <a:ln w="3175">
              <a:solidFill>
                <a:srgbClr val="000000"/>
              </a:solidFill>
              <a:prstDash val="solid"/>
            </a:ln>
          </c:spPr>
        </c:majorGridlines>
        <c:title>
          <c:tx>
            <c:rich>
              <a:bodyPr/>
              <a:lstStyle/>
              <a:p>
                <a:pPr>
                  <a:defRPr sz="950" b="1" i="0" u="none" strike="noStrike" baseline="0">
                    <a:solidFill>
                      <a:srgbClr val="000000"/>
                    </a:solidFill>
                    <a:latin typeface="Arial"/>
                    <a:ea typeface="Arial"/>
                    <a:cs typeface="Arial"/>
                  </a:defRPr>
                </a:pPr>
                <a:r>
                  <a:rPr lang="en-CA"/>
                  <a:t>Fraction nonconforming</a:t>
                </a:r>
              </a:p>
            </c:rich>
          </c:tx>
          <c:layout>
            <c:manualLayout>
              <c:xMode val="edge"/>
              <c:yMode val="edge"/>
              <c:x val="1.1976054907404899E-2"/>
              <c:y val="0.355140186915888"/>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3087488"/>
        <c:crosses val="autoZero"/>
        <c:crossBetween val="between"/>
      </c:valAx>
      <c:spPr>
        <a:solidFill>
          <a:srgbClr val="FFFFFF"/>
        </a:solidFill>
        <a:ln w="12700">
          <a:solidFill>
            <a:srgbClr val="000000"/>
          </a:solidFill>
          <a:prstDash val="solid"/>
        </a:ln>
      </c:spPr>
    </c:plotArea>
    <c:legend>
      <c:legendPos val="r"/>
      <c:layout>
        <c:manualLayout>
          <c:xMode val="edge"/>
          <c:yMode val="edge"/>
          <c:x val="0.69461118462948201"/>
          <c:y val="5.60747663551402E-2"/>
          <c:w val="0.233533070694395"/>
          <c:h val="0.1355140186915889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CC"/>
    </a:solidFill>
    <a:ln w="3175">
      <a:solidFill>
        <a:srgbClr val="000000"/>
      </a:solidFill>
      <a:prstDash val="solid"/>
    </a:ln>
  </c:spPr>
  <c:txPr>
    <a:bodyPr/>
    <a:lstStyle/>
    <a:p>
      <a:pPr>
        <a:defRPr sz="2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ser>
          <c:idx val="0"/>
          <c:order val="0"/>
          <c:tx>
            <c:strRef>
              <c:f>Pareto!$B$2</c:f>
              <c:strCache>
                <c:ptCount val="1"/>
                <c:pt idx="0">
                  <c:v># occurrence</c:v>
                </c:pt>
              </c:strCache>
            </c:strRef>
          </c:tx>
          <c:spPr>
            <a:solidFill>
              <a:schemeClr val="accent1"/>
            </a:solidFill>
            <a:ln>
              <a:noFill/>
            </a:ln>
            <a:effectLst/>
          </c:spPr>
          <c:invertIfNegative val="0"/>
          <c:cat>
            <c:strRef>
              <c:f>Pareto!$A$3:$A$19</c:f>
              <c:strCache>
                <c:ptCount val="17"/>
                <c:pt idx="0">
                  <c:v>A</c:v>
                </c:pt>
                <c:pt idx="1">
                  <c:v>B</c:v>
                </c:pt>
                <c:pt idx="2">
                  <c:v>C</c:v>
                </c:pt>
                <c:pt idx="3">
                  <c:v>D</c:v>
                </c:pt>
                <c:pt idx="4">
                  <c:v>E</c:v>
                </c:pt>
                <c:pt idx="5">
                  <c:v>F</c:v>
                </c:pt>
                <c:pt idx="6">
                  <c:v>G</c:v>
                </c:pt>
                <c:pt idx="7">
                  <c:v>H</c:v>
                </c:pt>
                <c:pt idx="8">
                  <c:v>I</c:v>
                </c:pt>
                <c:pt idx="9">
                  <c:v>J</c:v>
                </c:pt>
                <c:pt idx="10">
                  <c:v>G</c:v>
                </c:pt>
                <c:pt idx="11">
                  <c:v>H</c:v>
                </c:pt>
                <c:pt idx="12">
                  <c:v>I</c:v>
                </c:pt>
                <c:pt idx="13">
                  <c:v>J</c:v>
                </c:pt>
                <c:pt idx="14">
                  <c:v>G</c:v>
                </c:pt>
                <c:pt idx="15">
                  <c:v>H</c:v>
                </c:pt>
                <c:pt idx="16">
                  <c:v>I</c:v>
                </c:pt>
              </c:strCache>
            </c:strRef>
          </c:cat>
          <c:val>
            <c:numRef>
              <c:f>Pareto!$B$3:$B$19</c:f>
              <c:numCache>
                <c:formatCode>General</c:formatCode>
                <c:ptCount val="17"/>
                <c:pt idx="0">
                  <c:v>90</c:v>
                </c:pt>
                <c:pt idx="1">
                  <c:v>87</c:v>
                </c:pt>
                <c:pt idx="2">
                  <c:v>45</c:v>
                </c:pt>
                <c:pt idx="3">
                  <c:v>33</c:v>
                </c:pt>
                <c:pt idx="4">
                  <c:v>23</c:v>
                </c:pt>
                <c:pt idx="5">
                  <c:v>18</c:v>
                </c:pt>
                <c:pt idx="6">
                  <c:v>14</c:v>
                </c:pt>
                <c:pt idx="7">
                  <c:v>13</c:v>
                </c:pt>
                <c:pt idx="8">
                  <c:v>5</c:v>
                </c:pt>
                <c:pt idx="9">
                  <c:v>4</c:v>
                </c:pt>
                <c:pt idx="10">
                  <c:v>3</c:v>
                </c:pt>
                <c:pt idx="11">
                  <c:v>3</c:v>
                </c:pt>
                <c:pt idx="12">
                  <c:v>2</c:v>
                </c:pt>
                <c:pt idx="13">
                  <c:v>2</c:v>
                </c:pt>
                <c:pt idx="14">
                  <c:v>1</c:v>
                </c:pt>
                <c:pt idx="15">
                  <c:v>1</c:v>
                </c:pt>
                <c:pt idx="16">
                  <c:v>1</c:v>
                </c:pt>
              </c:numCache>
            </c:numRef>
          </c:val>
          <c:extLst>
            <c:ext xmlns:c16="http://schemas.microsoft.com/office/drawing/2014/chart" uri="{C3380CC4-5D6E-409C-BE32-E72D297353CC}">
              <c16:uniqueId val="{00000000-5FA2-41C0-8B99-A2813073B4C9}"/>
            </c:ext>
          </c:extLst>
        </c:ser>
        <c:dLbls>
          <c:showLegendKey val="0"/>
          <c:showVal val="0"/>
          <c:showCatName val="0"/>
          <c:showSerName val="0"/>
          <c:showPercent val="0"/>
          <c:showBubbleSize val="0"/>
        </c:dLbls>
        <c:gapWidth val="219"/>
        <c:overlap val="-27"/>
        <c:axId val="327803368"/>
        <c:axId val="327803760"/>
        <c:extLst>
          <c:ext xmlns:c15="http://schemas.microsoft.com/office/drawing/2012/chart" uri="{02D57815-91ED-43cb-92C2-25804820EDAC}">
            <c15:filteredBarSeries>
              <c15:ser>
                <c:idx val="1"/>
                <c:order val="1"/>
                <c:tx>
                  <c:v>% of all defect</c:v>
                </c:tx>
                <c:spPr>
                  <a:solidFill>
                    <a:schemeClr val="accent2"/>
                  </a:solidFill>
                  <a:ln>
                    <a:noFill/>
                  </a:ln>
                  <a:effectLst/>
                </c:spPr>
                <c:invertIfNegative val="0"/>
                <c:cat>
                  <c:strLit>
                    <c:ptCount val="11"/>
                    <c:pt idx="0">
                      <c:v>A</c:v>
                    </c:pt>
                    <c:pt idx="1">
                      <c:v>B</c:v>
                    </c:pt>
                    <c:pt idx="2">
                      <c:v>C</c:v>
                    </c:pt>
                    <c:pt idx="3">
                      <c:v>D</c:v>
                    </c:pt>
                    <c:pt idx="4">
                      <c:v>E</c:v>
                    </c:pt>
                    <c:pt idx="5">
                      <c:v>F</c:v>
                    </c:pt>
                    <c:pt idx="6">
                      <c:v>G</c:v>
                    </c:pt>
                    <c:pt idx="7">
                      <c:v>H</c:v>
                    </c:pt>
                    <c:pt idx="8">
                      <c:v>I</c:v>
                    </c:pt>
                    <c:pt idx="9">
                      <c:v>J</c:v>
                    </c:pt>
                    <c:pt idx="10">
                      <c:v>K</c:v>
                    </c:pt>
                  </c:strLit>
                </c:cat>
                <c:val>
                  <c:numLit>
                    <c:formatCode>General</c:formatCode>
                    <c:ptCount val="11"/>
                    <c:pt idx="0">
                      <c:v>0.28753993610223599</c:v>
                    </c:pt>
                    <c:pt idx="1">
                      <c:v>0.21405750798722001</c:v>
                    </c:pt>
                    <c:pt idx="2">
                      <c:v>0.143769968051118</c:v>
                    </c:pt>
                    <c:pt idx="3">
                      <c:v>0.105431309904153</c:v>
                    </c:pt>
                    <c:pt idx="4">
                      <c:v>7.3482428115015999E-2</c:v>
                    </c:pt>
                    <c:pt idx="5">
                      <c:v>5.7507987220447303E-2</c:v>
                    </c:pt>
                    <c:pt idx="6">
                      <c:v>4.4728434504792303E-2</c:v>
                    </c:pt>
                    <c:pt idx="7">
                      <c:v>4.1533546325878599E-2</c:v>
                    </c:pt>
                    <c:pt idx="8">
                      <c:v>1.59744408945687E-2</c:v>
                    </c:pt>
                    <c:pt idx="9">
                      <c:v>1.2779552715655E-2</c:v>
                    </c:pt>
                    <c:pt idx="10">
                      <c:v>3.1948881789137401E-3</c:v>
                    </c:pt>
                  </c:numLit>
                </c:val>
                <c:extLst>
                  <c:ext xmlns:c16="http://schemas.microsoft.com/office/drawing/2014/chart" uri="{C3380CC4-5D6E-409C-BE32-E72D297353CC}">
                    <c16:uniqueId val="{00000002-5FA2-41C0-8B99-A2813073B4C9}"/>
                  </c:ext>
                </c:extLst>
              </c15:ser>
            </c15:filteredBarSeries>
          </c:ext>
        </c:extLst>
      </c:barChart>
      <c:lineChart>
        <c:grouping val="standard"/>
        <c:varyColors val="0"/>
        <c:ser>
          <c:idx val="2"/>
          <c:order val="2"/>
          <c:tx>
            <c:strRef>
              <c:f>Pareto!$D$2</c:f>
              <c:strCache>
                <c:ptCount val="1"/>
                <c:pt idx="0">
                  <c:v>cumulative %</c:v>
                </c:pt>
              </c:strCache>
            </c:strRef>
          </c:tx>
          <c:spPr>
            <a:ln w="28575" cap="rnd">
              <a:solidFill>
                <a:schemeClr val="accent3"/>
              </a:solidFill>
              <a:round/>
            </a:ln>
            <a:effectLst/>
          </c:spPr>
          <c:marker>
            <c:symbol val="none"/>
          </c:marker>
          <c:cat>
            <c:strRef>
              <c:f>Pareto!$A$3:$A$19</c:f>
              <c:strCache>
                <c:ptCount val="17"/>
                <c:pt idx="0">
                  <c:v>A</c:v>
                </c:pt>
                <c:pt idx="1">
                  <c:v>B</c:v>
                </c:pt>
                <c:pt idx="2">
                  <c:v>C</c:v>
                </c:pt>
                <c:pt idx="3">
                  <c:v>D</c:v>
                </c:pt>
                <c:pt idx="4">
                  <c:v>E</c:v>
                </c:pt>
                <c:pt idx="5">
                  <c:v>F</c:v>
                </c:pt>
                <c:pt idx="6">
                  <c:v>G</c:v>
                </c:pt>
                <c:pt idx="7">
                  <c:v>H</c:v>
                </c:pt>
                <c:pt idx="8">
                  <c:v>I</c:v>
                </c:pt>
                <c:pt idx="9">
                  <c:v>J</c:v>
                </c:pt>
                <c:pt idx="10">
                  <c:v>G</c:v>
                </c:pt>
                <c:pt idx="11">
                  <c:v>H</c:v>
                </c:pt>
                <c:pt idx="12">
                  <c:v>I</c:v>
                </c:pt>
                <c:pt idx="13">
                  <c:v>J</c:v>
                </c:pt>
                <c:pt idx="14">
                  <c:v>G</c:v>
                </c:pt>
                <c:pt idx="15">
                  <c:v>H</c:v>
                </c:pt>
                <c:pt idx="16">
                  <c:v>I</c:v>
                </c:pt>
              </c:strCache>
            </c:strRef>
          </c:cat>
          <c:val>
            <c:numRef>
              <c:f>Pareto!$D$3:$D$19</c:f>
              <c:numCache>
                <c:formatCode>0%</c:formatCode>
                <c:ptCount val="17"/>
                <c:pt idx="0">
                  <c:v>0.2608695652173913</c:v>
                </c:pt>
                <c:pt idx="1">
                  <c:v>0.51304347826086949</c:v>
                </c:pt>
                <c:pt idx="2">
                  <c:v>0.64347826086956517</c:v>
                </c:pt>
                <c:pt idx="3">
                  <c:v>0.73913043478260865</c:v>
                </c:pt>
                <c:pt idx="4">
                  <c:v>0.8057971014492753</c:v>
                </c:pt>
                <c:pt idx="5">
                  <c:v>0.85797101449275359</c:v>
                </c:pt>
                <c:pt idx="6">
                  <c:v>0.89855072463768115</c:v>
                </c:pt>
                <c:pt idx="7">
                  <c:v>0.93623188405797098</c:v>
                </c:pt>
                <c:pt idx="8">
                  <c:v>0.95072463768115933</c:v>
                </c:pt>
                <c:pt idx="9">
                  <c:v>0.96231884057971007</c:v>
                </c:pt>
                <c:pt idx="10">
                  <c:v>0.97101449275362306</c:v>
                </c:pt>
                <c:pt idx="11">
                  <c:v>0.97971014492753605</c:v>
                </c:pt>
                <c:pt idx="12">
                  <c:v>0.98550724637681142</c:v>
                </c:pt>
                <c:pt idx="13">
                  <c:v>0.99130434782608678</c:v>
                </c:pt>
                <c:pt idx="14">
                  <c:v>0.99420289855072441</c:v>
                </c:pt>
                <c:pt idx="15">
                  <c:v>0.99710144927536204</c:v>
                </c:pt>
                <c:pt idx="16">
                  <c:v>0.99999999999999967</c:v>
                </c:pt>
              </c:numCache>
            </c:numRef>
          </c:val>
          <c:smooth val="0"/>
          <c:extLst>
            <c:ext xmlns:c16="http://schemas.microsoft.com/office/drawing/2014/chart" uri="{C3380CC4-5D6E-409C-BE32-E72D297353CC}">
              <c16:uniqueId val="{00000001-5FA2-41C0-8B99-A2813073B4C9}"/>
            </c:ext>
          </c:extLst>
        </c:ser>
        <c:dLbls>
          <c:showLegendKey val="0"/>
          <c:showVal val="0"/>
          <c:showCatName val="0"/>
          <c:showSerName val="0"/>
          <c:showPercent val="0"/>
          <c:showBubbleSize val="0"/>
        </c:dLbls>
        <c:marker val="1"/>
        <c:smooth val="0"/>
        <c:axId val="327804152"/>
        <c:axId val="327804544"/>
      </c:lineChart>
      <c:catAx>
        <c:axId val="327803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vert="horz"/>
          <a:lstStyle/>
          <a:p>
            <a:pPr>
              <a:defRPr sz="900" b="0" i="0" u="none" strike="noStrike" baseline="0">
                <a:solidFill>
                  <a:srgbClr val="333333"/>
                </a:solidFill>
                <a:latin typeface="Calibri"/>
                <a:ea typeface="Calibri"/>
                <a:cs typeface="Calibri"/>
              </a:defRPr>
            </a:pPr>
            <a:endParaRPr lang="en-US"/>
          </a:p>
        </c:txPr>
        <c:crossAx val="327803760"/>
        <c:crosses val="autoZero"/>
        <c:auto val="1"/>
        <c:lblAlgn val="ctr"/>
        <c:lblOffset val="100"/>
        <c:noMultiLvlLbl val="0"/>
      </c:catAx>
      <c:valAx>
        <c:axId val="327803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vert="horz"/>
          <a:lstStyle/>
          <a:p>
            <a:pPr>
              <a:defRPr sz="900" b="0" i="0" u="none" strike="noStrike" baseline="0">
                <a:solidFill>
                  <a:srgbClr val="333333"/>
                </a:solidFill>
                <a:latin typeface="Calibri"/>
                <a:ea typeface="Calibri"/>
                <a:cs typeface="Calibri"/>
              </a:defRPr>
            </a:pPr>
            <a:endParaRPr lang="en-US"/>
          </a:p>
        </c:txPr>
        <c:crossAx val="327803368"/>
        <c:crosses val="autoZero"/>
        <c:crossBetween val="between"/>
      </c:valAx>
      <c:catAx>
        <c:axId val="327804152"/>
        <c:scaling>
          <c:orientation val="minMax"/>
        </c:scaling>
        <c:delete val="1"/>
        <c:axPos val="b"/>
        <c:numFmt formatCode="General" sourceLinked="1"/>
        <c:majorTickMark val="out"/>
        <c:minorTickMark val="none"/>
        <c:tickLblPos val="nextTo"/>
        <c:crossAx val="327804544"/>
        <c:crosses val="autoZero"/>
        <c:auto val="1"/>
        <c:lblAlgn val="ctr"/>
        <c:lblOffset val="100"/>
        <c:noMultiLvlLbl val="0"/>
      </c:catAx>
      <c:valAx>
        <c:axId val="327804544"/>
        <c:scaling>
          <c:orientation val="minMax"/>
        </c:scaling>
        <c:delete val="0"/>
        <c:axPos val="r"/>
        <c:numFmt formatCode="0%" sourceLinked="1"/>
        <c:majorTickMark val="none"/>
        <c:minorTickMark val="none"/>
        <c:tickLblPos val="nextTo"/>
        <c:spPr>
          <a:noFill/>
          <a:ln>
            <a:noFill/>
          </a:ln>
          <a:effectLst/>
        </c:spPr>
        <c:txPr>
          <a:bodyPr rot="0" vert="horz"/>
          <a:lstStyle/>
          <a:p>
            <a:pPr>
              <a:defRPr sz="900" b="0" i="0" u="none" strike="noStrike" baseline="0">
                <a:solidFill>
                  <a:srgbClr val="333333"/>
                </a:solidFill>
                <a:latin typeface="Calibri"/>
                <a:ea typeface="Calibri"/>
                <a:cs typeface="Calibri"/>
              </a:defRPr>
            </a:pPr>
            <a:endParaRPr lang="en-US"/>
          </a:p>
        </c:txPr>
        <c:crossAx val="327804152"/>
        <c:crosses val="max"/>
        <c:crossBetween val="between"/>
      </c:valAx>
      <c:spPr>
        <a:noFill/>
        <a:ln w="25400">
          <a:noFill/>
        </a:ln>
      </c:spPr>
    </c:plotArea>
    <c:legend>
      <c:legendPos val="b"/>
      <c:overlay val="0"/>
      <c:spPr>
        <a:noFill/>
        <a:ln>
          <a:noFill/>
        </a:ln>
        <a:effectLst/>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n-US"/>
        </a:p>
      </c:txPr>
    </c:title>
    <c:autoTitleDeleted val="0"/>
    <c:plotArea>
      <c:layout/>
      <c:pieChart>
        <c:varyColors val="1"/>
        <c:ser>
          <c:idx val="0"/>
          <c:order val="0"/>
          <c:tx>
            <c:strRef>
              <c:f>'Pie Chart'!$C$3</c:f>
              <c:strCache>
                <c:ptCount val="1"/>
                <c:pt idx="0">
                  <c:v># occurrence</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B0A0-4AB8-AA4B-EBB6D5AEEE0F}"/>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3-B0A0-4AB8-AA4B-EBB6D5AEEE0F}"/>
              </c:ext>
            </c:extLst>
          </c:dPt>
          <c:dPt>
            <c:idx val="2"/>
            <c:bubble3D val="0"/>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5-B0A0-4AB8-AA4B-EBB6D5AEEE0F}"/>
              </c:ext>
            </c:extLst>
          </c:dPt>
          <c:dPt>
            <c:idx val="3"/>
            <c:bubble3D val="0"/>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7-B0A0-4AB8-AA4B-EBB6D5AEEE0F}"/>
              </c:ext>
            </c:extLst>
          </c:dPt>
          <c:dPt>
            <c:idx val="4"/>
            <c:bubble3D val="0"/>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9-B0A0-4AB8-AA4B-EBB6D5AEEE0F}"/>
              </c:ext>
            </c:extLst>
          </c:dPt>
          <c:dPt>
            <c:idx val="5"/>
            <c:bubble3D val="0"/>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B-B0A0-4AB8-AA4B-EBB6D5AEEE0F}"/>
              </c:ext>
            </c:extLst>
          </c:dPt>
          <c:dPt>
            <c:idx val="6"/>
            <c:bubble3D val="0"/>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D-B0A0-4AB8-AA4B-EBB6D5AEEE0F}"/>
              </c:ext>
            </c:extLst>
          </c:dPt>
          <c:dPt>
            <c:idx val="7"/>
            <c:bubble3D val="0"/>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F-B0A0-4AB8-AA4B-EBB6D5AEEE0F}"/>
              </c:ext>
            </c:extLst>
          </c:dPt>
          <c:dPt>
            <c:idx val="8"/>
            <c:bubble3D val="0"/>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1-B0A0-4AB8-AA4B-EBB6D5AEEE0F}"/>
              </c:ext>
            </c:extLst>
          </c:dPt>
          <c:dPt>
            <c:idx val="9"/>
            <c:bubble3D val="0"/>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3-B0A0-4AB8-AA4B-EBB6D5AEEE0F}"/>
              </c:ext>
            </c:extLst>
          </c:dPt>
          <c:dPt>
            <c:idx val="10"/>
            <c:bubble3D val="0"/>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5-B0A0-4AB8-AA4B-EBB6D5AEEE0F}"/>
              </c:ext>
            </c:extLst>
          </c:dPt>
          <c:dPt>
            <c:idx val="11"/>
            <c:bubble3D val="0"/>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7-B0A0-4AB8-AA4B-EBB6D5AEEE0F}"/>
              </c:ext>
            </c:extLst>
          </c:dPt>
          <c:dPt>
            <c:idx val="12"/>
            <c:bubble3D val="0"/>
            <c:spPr>
              <a:gradFill rotWithShape="1">
                <a:gsLst>
                  <a:gs pos="0">
                    <a:schemeClr val="accent1">
                      <a:lumMod val="80000"/>
                      <a:lumOff val="20000"/>
                      <a:tint val="50000"/>
                      <a:satMod val="300000"/>
                    </a:schemeClr>
                  </a:gs>
                  <a:gs pos="35000">
                    <a:schemeClr val="accent1">
                      <a:lumMod val="80000"/>
                      <a:lumOff val="20000"/>
                      <a:tint val="37000"/>
                      <a:satMod val="300000"/>
                    </a:schemeClr>
                  </a:gs>
                  <a:gs pos="100000">
                    <a:schemeClr val="accent1">
                      <a:lumMod val="80000"/>
                      <a:lumOff val="20000"/>
                      <a:tint val="15000"/>
                      <a:satMod val="350000"/>
                    </a:schemeClr>
                  </a:gs>
                </a:gsLst>
                <a:lin ang="16200000" scaled="1"/>
              </a:gradFill>
              <a:ln w="9525" cap="flat" cmpd="sng" algn="ctr">
                <a:solidFill>
                  <a:schemeClr val="accent1">
                    <a:lumMod val="80000"/>
                    <a:lumOff val="20000"/>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9-B0A0-4AB8-AA4B-EBB6D5AEEE0F}"/>
              </c:ext>
            </c:extLst>
          </c:dPt>
          <c:dPt>
            <c:idx val="13"/>
            <c:bubble3D val="0"/>
            <c:spPr>
              <a:gradFill rotWithShape="1">
                <a:gsLst>
                  <a:gs pos="0">
                    <a:schemeClr val="accent2">
                      <a:lumMod val="80000"/>
                      <a:lumOff val="20000"/>
                      <a:tint val="50000"/>
                      <a:satMod val="300000"/>
                    </a:schemeClr>
                  </a:gs>
                  <a:gs pos="35000">
                    <a:schemeClr val="accent2">
                      <a:lumMod val="80000"/>
                      <a:lumOff val="20000"/>
                      <a:tint val="37000"/>
                      <a:satMod val="300000"/>
                    </a:schemeClr>
                  </a:gs>
                  <a:gs pos="100000">
                    <a:schemeClr val="accent2">
                      <a:lumMod val="80000"/>
                      <a:lumOff val="20000"/>
                      <a:tint val="15000"/>
                      <a:satMod val="350000"/>
                    </a:schemeClr>
                  </a:gs>
                </a:gsLst>
                <a:lin ang="16200000" scaled="1"/>
              </a:gradFill>
              <a:ln w="9525" cap="flat" cmpd="sng" algn="ctr">
                <a:solidFill>
                  <a:schemeClr val="accent2">
                    <a:lumMod val="80000"/>
                    <a:lumOff val="20000"/>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B-B0A0-4AB8-AA4B-EBB6D5AEEE0F}"/>
              </c:ext>
            </c:extLst>
          </c:dPt>
          <c:dPt>
            <c:idx val="14"/>
            <c:bubble3D val="0"/>
            <c:spPr>
              <a:gradFill rotWithShape="1">
                <a:gsLst>
                  <a:gs pos="0">
                    <a:schemeClr val="accent3">
                      <a:lumMod val="80000"/>
                      <a:lumOff val="20000"/>
                      <a:tint val="50000"/>
                      <a:satMod val="300000"/>
                    </a:schemeClr>
                  </a:gs>
                  <a:gs pos="35000">
                    <a:schemeClr val="accent3">
                      <a:lumMod val="80000"/>
                      <a:lumOff val="20000"/>
                      <a:tint val="37000"/>
                      <a:satMod val="300000"/>
                    </a:schemeClr>
                  </a:gs>
                  <a:gs pos="100000">
                    <a:schemeClr val="accent3">
                      <a:lumMod val="80000"/>
                      <a:lumOff val="20000"/>
                      <a:tint val="15000"/>
                      <a:satMod val="350000"/>
                    </a:schemeClr>
                  </a:gs>
                </a:gsLst>
                <a:lin ang="16200000" scaled="1"/>
              </a:gradFill>
              <a:ln w="9525" cap="flat" cmpd="sng" algn="ctr">
                <a:solidFill>
                  <a:schemeClr val="accent3">
                    <a:lumMod val="80000"/>
                    <a:lumOff val="20000"/>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D-B0A0-4AB8-AA4B-EBB6D5AEEE0F}"/>
              </c:ext>
            </c:extLst>
          </c:dPt>
          <c:dPt>
            <c:idx val="15"/>
            <c:bubble3D val="0"/>
            <c:spPr>
              <a:gradFill rotWithShape="1">
                <a:gsLst>
                  <a:gs pos="0">
                    <a:schemeClr val="accent4">
                      <a:lumMod val="80000"/>
                      <a:lumOff val="20000"/>
                      <a:tint val="50000"/>
                      <a:satMod val="300000"/>
                    </a:schemeClr>
                  </a:gs>
                  <a:gs pos="35000">
                    <a:schemeClr val="accent4">
                      <a:lumMod val="80000"/>
                      <a:lumOff val="20000"/>
                      <a:tint val="37000"/>
                      <a:satMod val="300000"/>
                    </a:schemeClr>
                  </a:gs>
                  <a:gs pos="100000">
                    <a:schemeClr val="accent4">
                      <a:lumMod val="80000"/>
                      <a:lumOff val="20000"/>
                      <a:tint val="15000"/>
                      <a:satMod val="350000"/>
                    </a:schemeClr>
                  </a:gs>
                </a:gsLst>
                <a:lin ang="16200000" scaled="1"/>
              </a:gradFill>
              <a:ln w="9525" cap="flat" cmpd="sng" algn="ctr">
                <a:solidFill>
                  <a:schemeClr val="accent4">
                    <a:lumMod val="80000"/>
                    <a:lumOff val="20000"/>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1F-B0A0-4AB8-AA4B-EBB6D5AEEE0F}"/>
              </c:ext>
            </c:extLst>
          </c:dPt>
          <c:dPt>
            <c:idx val="16"/>
            <c:bubble3D val="0"/>
            <c:spPr>
              <a:gradFill rotWithShape="1">
                <a:gsLst>
                  <a:gs pos="0">
                    <a:schemeClr val="accent5">
                      <a:lumMod val="80000"/>
                      <a:lumOff val="20000"/>
                      <a:tint val="50000"/>
                      <a:satMod val="300000"/>
                    </a:schemeClr>
                  </a:gs>
                  <a:gs pos="35000">
                    <a:schemeClr val="accent5">
                      <a:lumMod val="80000"/>
                      <a:lumOff val="20000"/>
                      <a:tint val="37000"/>
                      <a:satMod val="300000"/>
                    </a:schemeClr>
                  </a:gs>
                  <a:gs pos="100000">
                    <a:schemeClr val="accent5">
                      <a:lumMod val="80000"/>
                      <a:lumOff val="20000"/>
                      <a:tint val="15000"/>
                      <a:satMod val="350000"/>
                    </a:schemeClr>
                  </a:gs>
                </a:gsLst>
                <a:lin ang="16200000" scaled="1"/>
              </a:gradFill>
              <a:ln w="9525" cap="flat" cmpd="sng" algn="ctr">
                <a:solidFill>
                  <a:schemeClr val="accent5">
                    <a:lumMod val="80000"/>
                    <a:lumOff val="20000"/>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21-B0A0-4AB8-AA4B-EBB6D5AEEE0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'Pie Chart'!$B$4:$B$20</c:f>
              <c:strCache>
                <c:ptCount val="17"/>
                <c:pt idx="0">
                  <c:v>A</c:v>
                </c:pt>
                <c:pt idx="1">
                  <c:v>B</c:v>
                </c:pt>
                <c:pt idx="2">
                  <c:v>C</c:v>
                </c:pt>
                <c:pt idx="3">
                  <c:v>D</c:v>
                </c:pt>
                <c:pt idx="4">
                  <c:v>E</c:v>
                </c:pt>
                <c:pt idx="5">
                  <c:v>F</c:v>
                </c:pt>
                <c:pt idx="6">
                  <c:v>G</c:v>
                </c:pt>
                <c:pt idx="7">
                  <c:v>H</c:v>
                </c:pt>
                <c:pt idx="8">
                  <c:v>I</c:v>
                </c:pt>
                <c:pt idx="9">
                  <c:v>J</c:v>
                </c:pt>
                <c:pt idx="10">
                  <c:v>G</c:v>
                </c:pt>
                <c:pt idx="11">
                  <c:v>H</c:v>
                </c:pt>
                <c:pt idx="12">
                  <c:v>I</c:v>
                </c:pt>
                <c:pt idx="13">
                  <c:v>J</c:v>
                </c:pt>
                <c:pt idx="14">
                  <c:v>G</c:v>
                </c:pt>
                <c:pt idx="15">
                  <c:v>H</c:v>
                </c:pt>
                <c:pt idx="16">
                  <c:v>I</c:v>
                </c:pt>
              </c:strCache>
            </c:strRef>
          </c:cat>
          <c:val>
            <c:numRef>
              <c:f>'Pie Chart'!$C$4:$C$20</c:f>
              <c:numCache>
                <c:formatCode>General</c:formatCode>
                <c:ptCount val="17"/>
                <c:pt idx="0">
                  <c:v>90</c:v>
                </c:pt>
                <c:pt idx="1">
                  <c:v>87</c:v>
                </c:pt>
                <c:pt idx="2">
                  <c:v>45</c:v>
                </c:pt>
                <c:pt idx="3">
                  <c:v>33</c:v>
                </c:pt>
                <c:pt idx="4">
                  <c:v>23</c:v>
                </c:pt>
                <c:pt idx="5">
                  <c:v>18</c:v>
                </c:pt>
                <c:pt idx="6">
                  <c:v>14</c:v>
                </c:pt>
                <c:pt idx="7">
                  <c:v>13</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0-2917-4700-97BA-1372CCFC186F}"/>
            </c:ext>
          </c:extLst>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CA"/>
              <a:t>Accuracy by Individual</a:t>
            </a:r>
          </a:p>
        </c:rich>
      </c:tx>
      <c:layout>
        <c:manualLayout>
          <c:xMode val="edge"/>
          <c:yMode val="edge"/>
          <c:x val="1.6077170418006399E-2"/>
          <c:y val="1.81160061283052E-2"/>
        </c:manualLayout>
      </c:layout>
      <c:overlay val="0"/>
      <c:spPr>
        <a:noFill/>
        <a:ln w="25400">
          <a:noFill/>
        </a:ln>
      </c:spPr>
    </c:title>
    <c:autoTitleDeleted val="0"/>
    <c:plotArea>
      <c:layout>
        <c:manualLayout>
          <c:layoutTarget val="inner"/>
          <c:xMode val="edge"/>
          <c:yMode val="edge"/>
          <c:x val="0.25080385852089998"/>
          <c:y val="0.15579765270342499"/>
          <c:w val="0.707395498392283"/>
          <c:h val="0.73188664758352995"/>
        </c:manualLayout>
      </c:layout>
      <c:stockChart>
        <c:ser>
          <c:idx val="0"/>
          <c:order val="0"/>
          <c:tx>
            <c:strRef>
              <c:f>'att Statistical Report'!$A$15</c:f>
              <c:strCache>
                <c:ptCount val="1"/>
                <c:pt idx="0">
                  <c:v>95% UCL</c:v>
                </c:pt>
              </c:strCache>
            </c:strRef>
          </c:tx>
          <c:spPr>
            <a:ln w="19050">
              <a:noFill/>
            </a:ln>
          </c:spPr>
          <c:marker>
            <c:symbol val="square"/>
            <c:size val="5"/>
            <c:spPr>
              <a:solidFill>
                <a:srgbClr val="FF0000"/>
              </a:solidFill>
              <a:ln>
                <a:solidFill>
                  <a:srgbClr val="FF0000"/>
                </a:solidFill>
                <a:prstDash val="solid"/>
              </a:ln>
            </c:spPr>
          </c:marker>
          <c:cat>
            <c:strRef>
              <c:f>'att Statistical Report'!$E$9:$G$9</c:f>
              <c:strCache>
                <c:ptCount val="3"/>
                <c:pt idx="0">
                  <c:v>Individual 1</c:v>
                </c:pt>
                <c:pt idx="1">
                  <c:v>Individual 2</c:v>
                </c:pt>
                <c:pt idx="2">
                  <c:v>Individual 3</c:v>
                </c:pt>
              </c:strCache>
            </c:strRef>
          </c:cat>
          <c:val>
            <c:numRef>
              <c:f>'att Statistical Report'!$E$15:$G$15</c:f>
              <c:numCache>
                <c:formatCode>0.0%</c:formatCode>
                <c:ptCount val="3"/>
                <c:pt idx="0">
                  <c:v>0.93326048882226564</c:v>
                </c:pt>
                <c:pt idx="1">
                  <c:v>0.93326048882226564</c:v>
                </c:pt>
                <c:pt idx="2">
                  <c:v>0.93326048882226564</c:v>
                </c:pt>
              </c:numCache>
            </c:numRef>
          </c:val>
          <c:smooth val="0"/>
          <c:extLst>
            <c:ext xmlns:c16="http://schemas.microsoft.com/office/drawing/2014/chart" uri="{C3380CC4-5D6E-409C-BE32-E72D297353CC}">
              <c16:uniqueId val="{00000000-0C8D-4DC1-B865-647CEA00E7A8}"/>
            </c:ext>
          </c:extLst>
        </c:ser>
        <c:ser>
          <c:idx val="1"/>
          <c:order val="1"/>
          <c:tx>
            <c:strRef>
              <c:f>'att Statistical Report'!$A$16</c:f>
              <c:strCache>
                <c:ptCount val="1"/>
                <c:pt idx="0">
                  <c:v>Calculated Score</c:v>
                </c:pt>
              </c:strCache>
            </c:strRef>
          </c:tx>
          <c:spPr>
            <a:ln w="19050">
              <a:noFill/>
            </a:ln>
          </c:spPr>
          <c:marker>
            <c:symbol val="triangle"/>
            <c:size val="5"/>
            <c:spPr>
              <a:solidFill>
                <a:srgbClr val="00FF00"/>
              </a:solidFill>
              <a:ln>
                <a:solidFill>
                  <a:srgbClr val="00FF00"/>
                </a:solidFill>
                <a:prstDash val="solid"/>
              </a:ln>
            </c:spPr>
          </c:marker>
          <c:cat>
            <c:strRef>
              <c:f>'att Statistical Report'!$E$9:$G$9</c:f>
              <c:strCache>
                <c:ptCount val="3"/>
                <c:pt idx="0">
                  <c:v>Individual 1</c:v>
                </c:pt>
                <c:pt idx="1">
                  <c:v>Individual 2</c:v>
                </c:pt>
                <c:pt idx="2">
                  <c:v>Individual 3</c:v>
                </c:pt>
              </c:strCache>
            </c:strRef>
          </c:cat>
          <c:val>
            <c:numRef>
              <c:f>'att Statistical Report'!$E$16:$G$16</c:f>
              <c:numCache>
                <c:formatCode>0.0%</c:formatCode>
                <c:ptCount val="3"/>
                <c:pt idx="0">
                  <c:v>0.7</c:v>
                </c:pt>
                <c:pt idx="1">
                  <c:v>0.7</c:v>
                </c:pt>
                <c:pt idx="2">
                  <c:v>0.7</c:v>
                </c:pt>
              </c:numCache>
            </c:numRef>
          </c:val>
          <c:smooth val="0"/>
          <c:extLst>
            <c:ext xmlns:c16="http://schemas.microsoft.com/office/drawing/2014/chart" uri="{C3380CC4-5D6E-409C-BE32-E72D297353CC}">
              <c16:uniqueId val="{00000001-0C8D-4DC1-B865-647CEA00E7A8}"/>
            </c:ext>
          </c:extLst>
        </c:ser>
        <c:ser>
          <c:idx val="2"/>
          <c:order val="2"/>
          <c:tx>
            <c:strRef>
              <c:f>'att Statistical Report'!$A$17</c:f>
              <c:strCache>
                <c:ptCount val="1"/>
                <c:pt idx="0">
                  <c:v>95% LCL</c:v>
                </c:pt>
              </c:strCache>
            </c:strRef>
          </c:tx>
          <c:spPr>
            <a:ln w="19050">
              <a:noFill/>
            </a:ln>
          </c:spPr>
          <c:marker>
            <c:symbol val="square"/>
            <c:size val="5"/>
            <c:spPr>
              <a:solidFill>
                <a:srgbClr val="FF0000"/>
              </a:solidFill>
              <a:ln>
                <a:solidFill>
                  <a:srgbClr val="FF0000"/>
                </a:solidFill>
                <a:prstDash val="solid"/>
              </a:ln>
            </c:spPr>
          </c:marker>
          <c:cat>
            <c:strRef>
              <c:f>'att Statistical Report'!$E$9:$G$9</c:f>
              <c:strCache>
                <c:ptCount val="3"/>
                <c:pt idx="0">
                  <c:v>Individual 1</c:v>
                </c:pt>
                <c:pt idx="1">
                  <c:v>Individual 2</c:v>
                </c:pt>
                <c:pt idx="2">
                  <c:v>Individual 3</c:v>
                </c:pt>
              </c:strCache>
            </c:strRef>
          </c:cat>
          <c:val>
            <c:numRef>
              <c:f>'att Statistical Report'!$E$17:$G$17</c:f>
              <c:numCache>
                <c:formatCode>0.0%</c:formatCode>
                <c:ptCount val="3"/>
                <c:pt idx="0">
                  <c:v>0.3475471499400028</c:v>
                </c:pt>
                <c:pt idx="1">
                  <c:v>0.3475471499400028</c:v>
                </c:pt>
                <c:pt idx="2">
                  <c:v>0.3475471499400028</c:v>
                </c:pt>
              </c:numCache>
            </c:numRef>
          </c:val>
          <c:smooth val="0"/>
          <c:extLst>
            <c:ext xmlns:c16="http://schemas.microsoft.com/office/drawing/2014/chart" uri="{C3380CC4-5D6E-409C-BE32-E72D297353CC}">
              <c16:uniqueId val="{00000002-0C8D-4DC1-B865-647CEA00E7A8}"/>
            </c:ext>
          </c:extLst>
        </c:ser>
        <c:dLbls>
          <c:showLegendKey val="0"/>
          <c:showVal val="0"/>
          <c:showCatName val="0"/>
          <c:showSerName val="0"/>
          <c:showPercent val="0"/>
          <c:showBubbleSize val="0"/>
        </c:dLbls>
        <c:hiLowLines>
          <c:spPr>
            <a:ln w="3175">
              <a:solidFill>
                <a:srgbClr val="000000"/>
              </a:solidFill>
              <a:prstDash val="solid"/>
            </a:ln>
          </c:spPr>
        </c:hiLowLines>
        <c:axId val="269878720"/>
        <c:axId val="269879112"/>
      </c:stockChart>
      <c:catAx>
        <c:axId val="2698787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9879112"/>
        <c:crosses val="autoZero"/>
        <c:auto val="0"/>
        <c:lblAlgn val="ctr"/>
        <c:lblOffset val="100"/>
        <c:tickLblSkip val="1"/>
        <c:tickMarkSkip val="1"/>
        <c:noMultiLvlLbl val="0"/>
      </c:catAx>
      <c:valAx>
        <c:axId val="269879112"/>
        <c:scaling>
          <c:orientation val="minMax"/>
          <c:max val="1.100000000000000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CA"/>
                  <a:t>Accuracy</a:t>
                </a:r>
              </a:p>
            </c:rich>
          </c:tx>
          <c:layout>
            <c:manualLayout>
              <c:xMode val="edge"/>
              <c:yMode val="edge"/>
              <c:x val="2.2508038585209E-2"/>
              <c:y val="0.42029134217668002"/>
            </c:manualLayout>
          </c:layout>
          <c:overlay val="0"/>
          <c:spPr>
            <a:noFill/>
            <a:ln w="25400">
              <a:noFill/>
            </a:ln>
          </c:spPr>
        </c:title>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69878720"/>
        <c:crosses val="autoZero"/>
        <c:crossBetween val="between"/>
        <c:majorUnit val="0.1"/>
        <c:minorUnit val="0.04"/>
      </c:valAx>
      <c:spPr>
        <a:noFill/>
        <a:ln w="12700">
          <a:solidFill>
            <a:srgbClr val="808080"/>
          </a:solidFill>
          <a:prstDash val="solid"/>
        </a:ln>
      </c:spPr>
    </c:plotArea>
    <c:legend>
      <c:legendPos val="r"/>
      <c:layout>
        <c:manualLayout>
          <c:xMode val="edge"/>
          <c:yMode val="edge"/>
          <c:x val="0.62700964630225098"/>
          <c:y val="1.81160061283052E-2"/>
          <c:w val="0.34726688102893899"/>
          <c:h val="0.13405844534945799"/>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950" b="1" i="0" u="none" strike="noStrike" baseline="0">
                <a:solidFill>
                  <a:srgbClr val="000000"/>
                </a:solidFill>
                <a:latin typeface="Arial"/>
                <a:ea typeface="Arial"/>
                <a:cs typeface="Arial"/>
              </a:defRPr>
            </a:pPr>
            <a:r>
              <a:rPr lang="en-US"/>
              <a:t>X-bar Chart</a:t>
            </a:r>
          </a:p>
        </c:rich>
      </c:tx>
      <c:layout>
        <c:manualLayout>
          <c:xMode val="edge"/>
          <c:yMode val="edge"/>
          <c:x val="0.41741071428571402"/>
          <c:y val="3.0516501880918701E-2"/>
        </c:manualLayout>
      </c:layout>
      <c:overlay val="0"/>
      <c:spPr>
        <a:noFill/>
        <a:ln w="25400">
          <a:noFill/>
        </a:ln>
      </c:spPr>
    </c:title>
    <c:autoTitleDeleted val="0"/>
    <c:plotArea>
      <c:layout>
        <c:manualLayout>
          <c:layoutTarget val="inner"/>
          <c:xMode val="edge"/>
          <c:yMode val="edge"/>
          <c:x val="0.10825892857142901"/>
          <c:y val="0.237089745382522"/>
          <c:w val="0.87834821428571397"/>
          <c:h val="0.58920322862389196"/>
        </c:manualLayout>
      </c:layout>
      <c:lineChart>
        <c:grouping val="standard"/>
        <c:varyColors val="0"/>
        <c:ser>
          <c:idx val="0"/>
          <c:order val="0"/>
          <c:tx>
            <c:v>Averages</c:v>
          </c:tx>
          <c:spPr>
            <a:ln w="25400">
              <a:solidFill>
                <a:srgbClr val="000000"/>
              </a:solidFill>
              <a:prstDash val="solid"/>
            </a:ln>
          </c:spPr>
          <c:marker>
            <c:symbol val="diamond"/>
            <c:size val="7"/>
            <c:spPr>
              <a:solidFill>
                <a:srgbClr val="000000"/>
              </a:solidFill>
              <a:ln>
                <a:solidFill>
                  <a:srgbClr val="000000"/>
                </a:solidFill>
                <a:prstDash val="solid"/>
              </a:ln>
            </c:spPr>
          </c:marker>
          <c:val>
            <c:numRef>
              <c:f>'Xbar R chart data'!$B$23:$AY$23</c:f>
              <c:numCache>
                <c:formatCode>General</c:formatCode>
                <c:ptCount val="50"/>
                <c:pt idx="0">
                  <c:v>3.28</c:v>
                </c:pt>
                <c:pt idx="1">
                  <c:v>3.2399999999999998</c:v>
                </c:pt>
                <c:pt idx="2">
                  <c:v>3.6</c:v>
                </c:pt>
                <c:pt idx="3">
                  <c:v>3.54</c:v>
                </c:pt>
                <c:pt idx="4">
                  <c:v>3.5199999999999996</c:v>
                </c:pt>
                <c:pt idx="5">
                  <c:v>3.6</c:v>
                </c:pt>
                <c:pt idx="6">
                  <c:v>3.1799999999999997</c:v>
                </c:pt>
                <c:pt idx="7">
                  <c:v>3.16</c:v>
                </c:pt>
                <c:pt idx="8">
                  <c:v>3.7199999999999998</c:v>
                </c:pt>
                <c:pt idx="9">
                  <c:v>3.2399999999999998</c:v>
                </c:pt>
                <c:pt idx="10">
                  <c:v>3.5</c:v>
                </c:pt>
                <c:pt idx="11">
                  <c:v>3.4</c:v>
                </c:pt>
                <c:pt idx="12">
                  <c:v>3.46</c:v>
                </c:pt>
                <c:pt idx="13">
                  <c:v>3.2399999999999998</c:v>
                </c:pt>
                <c:pt idx="14">
                  <c:v>3.4</c:v>
                </c:pt>
                <c:pt idx="15">
                  <c:v>3.5400000000000005</c:v>
                </c:pt>
                <c:pt idx="16">
                  <c:v>3.16</c:v>
                </c:pt>
                <c:pt idx="17">
                  <c:v>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0-DFA3-4AFC-BCDD-94BDB7F2D285}"/>
            </c:ext>
          </c:extLst>
        </c:ser>
        <c:ser>
          <c:idx val="1"/>
          <c:order val="1"/>
          <c:tx>
            <c:v>Lower control limit</c:v>
          </c:tx>
          <c:spPr>
            <a:ln w="28575">
              <a:solidFill>
                <a:srgbClr val="008000"/>
              </a:solidFill>
              <a:prstDash val="solid"/>
            </a:ln>
          </c:spPr>
          <c:marker>
            <c:symbol val="none"/>
          </c:marker>
          <c:val>
            <c:numRef>
              <c:f>'Xbar R chart data'!$B$24:$AY$24</c:f>
              <c:numCache>
                <c:formatCode>General</c:formatCode>
                <c:ptCount val="50"/>
                <c:pt idx="0">
                  <c:v>2.5581777777777779</c:v>
                </c:pt>
                <c:pt idx="1">
                  <c:v>2.5581777777777779</c:v>
                </c:pt>
                <c:pt idx="2">
                  <c:v>2.5581777777777779</c:v>
                </c:pt>
                <c:pt idx="3">
                  <c:v>2.5581777777777779</c:v>
                </c:pt>
                <c:pt idx="4">
                  <c:v>2.5581777777777779</c:v>
                </c:pt>
                <c:pt idx="5">
                  <c:v>2.5581777777777779</c:v>
                </c:pt>
                <c:pt idx="6">
                  <c:v>2.5581777777777779</c:v>
                </c:pt>
                <c:pt idx="7">
                  <c:v>2.5581777777777779</c:v>
                </c:pt>
                <c:pt idx="8">
                  <c:v>2.5581777777777779</c:v>
                </c:pt>
                <c:pt idx="9">
                  <c:v>2.5581777777777779</c:v>
                </c:pt>
                <c:pt idx="10">
                  <c:v>2.5581777777777779</c:v>
                </c:pt>
                <c:pt idx="11">
                  <c:v>2.5581777777777779</c:v>
                </c:pt>
                <c:pt idx="12">
                  <c:v>2.5581777777777779</c:v>
                </c:pt>
                <c:pt idx="13">
                  <c:v>2.5581777777777779</c:v>
                </c:pt>
                <c:pt idx="14">
                  <c:v>2.5581777777777779</c:v>
                </c:pt>
                <c:pt idx="15">
                  <c:v>2.5581777777777779</c:v>
                </c:pt>
                <c:pt idx="16">
                  <c:v>2.5581777777777779</c:v>
                </c:pt>
                <c:pt idx="17">
                  <c:v>2.5581777777777779</c:v>
                </c:pt>
                <c:pt idx="18">
                  <c:v>2.5581777777777779</c:v>
                </c:pt>
                <c:pt idx="19">
                  <c:v>2.5581777777777779</c:v>
                </c:pt>
                <c:pt idx="20">
                  <c:v>2.5581777777777779</c:v>
                </c:pt>
                <c:pt idx="21">
                  <c:v>2.5581777777777779</c:v>
                </c:pt>
                <c:pt idx="22">
                  <c:v>2.5581777777777779</c:v>
                </c:pt>
                <c:pt idx="23">
                  <c:v>2.5581777777777779</c:v>
                </c:pt>
                <c:pt idx="24">
                  <c:v>2.5581777777777779</c:v>
                </c:pt>
                <c:pt idx="25">
                  <c:v>2.5581777777777779</c:v>
                </c:pt>
                <c:pt idx="26">
                  <c:v>2.5581777777777779</c:v>
                </c:pt>
                <c:pt idx="27">
                  <c:v>2.5581777777777779</c:v>
                </c:pt>
                <c:pt idx="28">
                  <c:v>2.5581777777777779</c:v>
                </c:pt>
                <c:pt idx="29">
                  <c:v>2.5581777777777779</c:v>
                </c:pt>
                <c:pt idx="30">
                  <c:v>2.5581777777777779</c:v>
                </c:pt>
                <c:pt idx="31">
                  <c:v>2.5581777777777779</c:v>
                </c:pt>
                <c:pt idx="32">
                  <c:v>2.5581777777777779</c:v>
                </c:pt>
                <c:pt idx="33">
                  <c:v>2.5581777777777779</c:v>
                </c:pt>
                <c:pt idx="34">
                  <c:v>2.5581777777777779</c:v>
                </c:pt>
                <c:pt idx="35">
                  <c:v>2.5581777777777779</c:v>
                </c:pt>
                <c:pt idx="36">
                  <c:v>2.5581777777777779</c:v>
                </c:pt>
                <c:pt idx="37">
                  <c:v>2.5581777777777779</c:v>
                </c:pt>
                <c:pt idx="38">
                  <c:v>2.5581777777777779</c:v>
                </c:pt>
                <c:pt idx="39">
                  <c:v>2.5581777777777779</c:v>
                </c:pt>
                <c:pt idx="40">
                  <c:v>2.5581777777777779</c:v>
                </c:pt>
                <c:pt idx="41">
                  <c:v>2.5581777777777779</c:v>
                </c:pt>
                <c:pt idx="42">
                  <c:v>2.5581777777777779</c:v>
                </c:pt>
                <c:pt idx="43">
                  <c:v>2.5581777777777779</c:v>
                </c:pt>
                <c:pt idx="44">
                  <c:v>2.5581777777777779</c:v>
                </c:pt>
                <c:pt idx="45">
                  <c:v>2.5581777777777779</c:v>
                </c:pt>
                <c:pt idx="46">
                  <c:v>2.5581777777777779</c:v>
                </c:pt>
                <c:pt idx="47">
                  <c:v>2.5581777777777779</c:v>
                </c:pt>
                <c:pt idx="48">
                  <c:v>2.5581777777777779</c:v>
                </c:pt>
                <c:pt idx="49">
                  <c:v>2.5581777777777779</c:v>
                </c:pt>
              </c:numCache>
            </c:numRef>
          </c:val>
          <c:smooth val="0"/>
          <c:extLst>
            <c:ext xmlns:c16="http://schemas.microsoft.com/office/drawing/2014/chart" uri="{C3380CC4-5D6E-409C-BE32-E72D297353CC}">
              <c16:uniqueId val="{00000001-DFA3-4AFC-BCDD-94BDB7F2D285}"/>
            </c:ext>
          </c:extLst>
        </c:ser>
        <c:ser>
          <c:idx val="2"/>
          <c:order val="2"/>
          <c:tx>
            <c:v>Upper control limit</c:v>
          </c:tx>
          <c:spPr>
            <a:ln w="22225">
              <a:solidFill>
                <a:srgbClr val="993300"/>
              </a:solidFill>
              <a:prstDash val="solid"/>
            </a:ln>
          </c:spPr>
          <c:marker>
            <c:symbol val="none"/>
          </c:marker>
          <c:val>
            <c:numRef>
              <c:f>'Xbar R chart data'!$B$26:$AY$26</c:f>
              <c:numCache>
                <c:formatCode>General</c:formatCode>
                <c:ptCount val="50"/>
                <c:pt idx="0">
                  <c:v>4.2507111111111113</c:v>
                </c:pt>
                <c:pt idx="1">
                  <c:v>4.2507111111111113</c:v>
                </c:pt>
                <c:pt idx="2">
                  <c:v>4.2507111111111113</c:v>
                </c:pt>
                <c:pt idx="3">
                  <c:v>4.2507111111111113</c:v>
                </c:pt>
                <c:pt idx="4">
                  <c:v>4.2507111111111113</c:v>
                </c:pt>
                <c:pt idx="5">
                  <c:v>4.2507111111111113</c:v>
                </c:pt>
                <c:pt idx="6">
                  <c:v>4.2507111111111113</c:v>
                </c:pt>
                <c:pt idx="7">
                  <c:v>4.2507111111111113</c:v>
                </c:pt>
                <c:pt idx="8">
                  <c:v>4.2507111111111113</c:v>
                </c:pt>
                <c:pt idx="9">
                  <c:v>4.2507111111111113</c:v>
                </c:pt>
                <c:pt idx="10">
                  <c:v>4.2507111111111113</c:v>
                </c:pt>
                <c:pt idx="11">
                  <c:v>4.2507111111111113</c:v>
                </c:pt>
                <c:pt idx="12">
                  <c:v>4.2507111111111113</c:v>
                </c:pt>
                <c:pt idx="13">
                  <c:v>4.2507111111111113</c:v>
                </c:pt>
                <c:pt idx="14">
                  <c:v>4.2507111111111113</c:v>
                </c:pt>
                <c:pt idx="15">
                  <c:v>4.2507111111111113</c:v>
                </c:pt>
                <c:pt idx="16">
                  <c:v>4.2507111111111113</c:v>
                </c:pt>
                <c:pt idx="17">
                  <c:v>4.2507111111111113</c:v>
                </c:pt>
                <c:pt idx="18">
                  <c:v>4.2507111111111113</c:v>
                </c:pt>
                <c:pt idx="19">
                  <c:v>4.2507111111111113</c:v>
                </c:pt>
                <c:pt idx="20">
                  <c:v>4.2507111111111113</c:v>
                </c:pt>
                <c:pt idx="21">
                  <c:v>4.2507111111111113</c:v>
                </c:pt>
                <c:pt idx="22">
                  <c:v>4.2507111111111113</c:v>
                </c:pt>
                <c:pt idx="23">
                  <c:v>4.2507111111111113</c:v>
                </c:pt>
                <c:pt idx="24">
                  <c:v>4.2507111111111113</c:v>
                </c:pt>
                <c:pt idx="25">
                  <c:v>4.2507111111111113</c:v>
                </c:pt>
                <c:pt idx="26">
                  <c:v>4.2507111111111113</c:v>
                </c:pt>
                <c:pt idx="27">
                  <c:v>4.2507111111111113</c:v>
                </c:pt>
                <c:pt idx="28">
                  <c:v>4.2507111111111113</c:v>
                </c:pt>
                <c:pt idx="29">
                  <c:v>4.2507111111111113</c:v>
                </c:pt>
                <c:pt idx="30">
                  <c:v>4.2507111111111113</c:v>
                </c:pt>
                <c:pt idx="31">
                  <c:v>4.2507111111111113</c:v>
                </c:pt>
                <c:pt idx="32">
                  <c:v>4.2507111111111113</c:v>
                </c:pt>
                <c:pt idx="33">
                  <c:v>4.2507111111111113</c:v>
                </c:pt>
                <c:pt idx="34">
                  <c:v>4.2507111111111113</c:v>
                </c:pt>
                <c:pt idx="35">
                  <c:v>4.2507111111111113</c:v>
                </c:pt>
                <c:pt idx="36">
                  <c:v>4.2507111111111113</c:v>
                </c:pt>
                <c:pt idx="37">
                  <c:v>4.2507111111111113</c:v>
                </c:pt>
                <c:pt idx="38">
                  <c:v>4.2507111111111113</c:v>
                </c:pt>
                <c:pt idx="39">
                  <c:v>4.2507111111111113</c:v>
                </c:pt>
                <c:pt idx="40">
                  <c:v>4.2507111111111113</c:v>
                </c:pt>
                <c:pt idx="41">
                  <c:v>4.2507111111111113</c:v>
                </c:pt>
                <c:pt idx="42">
                  <c:v>4.2507111111111113</c:v>
                </c:pt>
                <c:pt idx="43">
                  <c:v>4.2507111111111113</c:v>
                </c:pt>
                <c:pt idx="44">
                  <c:v>4.2507111111111113</c:v>
                </c:pt>
                <c:pt idx="45">
                  <c:v>4.2507111111111113</c:v>
                </c:pt>
                <c:pt idx="46">
                  <c:v>4.2507111111111113</c:v>
                </c:pt>
                <c:pt idx="47">
                  <c:v>4.2507111111111113</c:v>
                </c:pt>
                <c:pt idx="48">
                  <c:v>4.2507111111111113</c:v>
                </c:pt>
                <c:pt idx="49">
                  <c:v>4.2507111111111113</c:v>
                </c:pt>
              </c:numCache>
            </c:numRef>
          </c:val>
          <c:smooth val="0"/>
          <c:extLst>
            <c:ext xmlns:c16="http://schemas.microsoft.com/office/drawing/2014/chart" uri="{C3380CC4-5D6E-409C-BE32-E72D297353CC}">
              <c16:uniqueId val="{00000002-DFA3-4AFC-BCDD-94BDB7F2D285}"/>
            </c:ext>
          </c:extLst>
        </c:ser>
        <c:ser>
          <c:idx val="3"/>
          <c:order val="3"/>
          <c:tx>
            <c:v>Center line</c:v>
          </c:tx>
          <c:spPr>
            <a:ln w="38100">
              <a:solidFill>
                <a:srgbClr val="333399"/>
              </a:solidFill>
              <a:prstDash val="solid"/>
            </a:ln>
          </c:spPr>
          <c:marker>
            <c:symbol val="none"/>
          </c:marker>
          <c:val>
            <c:numRef>
              <c:f>'Xbar R chart data'!$B$25:$AY$25</c:f>
              <c:numCache>
                <c:formatCode>General</c:formatCode>
                <c:ptCount val="50"/>
                <c:pt idx="0">
                  <c:v>3.4044444444444446</c:v>
                </c:pt>
                <c:pt idx="1">
                  <c:v>3.4044444444444446</c:v>
                </c:pt>
                <c:pt idx="2">
                  <c:v>3.4044444444444446</c:v>
                </c:pt>
                <c:pt idx="3">
                  <c:v>3.4044444444444446</c:v>
                </c:pt>
                <c:pt idx="4">
                  <c:v>3.4044444444444446</c:v>
                </c:pt>
                <c:pt idx="5">
                  <c:v>3.4044444444444446</c:v>
                </c:pt>
                <c:pt idx="6">
                  <c:v>3.4044444444444446</c:v>
                </c:pt>
                <c:pt idx="7">
                  <c:v>3.4044444444444446</c:v>
                </c:pt>
                <c:pt idx="8">
                  <c:v>3.4044444444444446</c:v>
                </c:pt>
                <c:pt idx="9">
                  <c:v>3.4044444444444446</c:v>
                </c:pt>
                <c:pt idx="10">
                  <c:v>3.4044444444444446</c:v>
                </c:pt>
                <c:pt idx="11">
                  <c:v>3.4044444444444446</c:v>
                </c:pt>
                <c:pt idx="12">
                  <c:v>3.4044444444444446</c:v>
                </c:pt>
                <c:pt idx="13">
                  <c:v>3.4044444444444446</c:v>
                </c:pt>
                <c:pt idx="14">
                  <c:v>3.4044444444444446</c:v>
                </c:pt>
                <c:pt idx="15">
                  <c:v>3.4044444444444446</c:v>
                </c:pt>
                <c:pt idx="16">
                  <c:v>3.4044444444444446</c:v>
                </c:pt>
                <c:pt idx="17">
                  <c:v>3.4044444444444446</c:v>
                </c:pt>
                <c:pt idx="18">
                  <c:v>3.4044444444444446</c:v>
                </c:pt>
                <c:pt idx="19">
                  <c:v>3.4044444444444446</c:v>
                </c:pt>
                <c:pt idx="20">
                  <c:v>3.4044444444444446</c:v>
                </c:pt>
                <c:pt idx="21">
                  <c:v>3.4044444444444446</c:v>
                </c:pt>
                <c:pt idx="22">
                  <c:v>3.4044444444444446</c:v>
                </c:pt>
                <c:pt idx="23">
                  <c:v>3.4044444444444446</c:v>
                </c:pt>
                <c:pt idx="24">
                  <c:v>3.4044444444444446</c:v>
                </c:pt>
                <c:pt idx="25">
                  <c:v>3.4044444444444446</c:v>
                </c:pt>
                <c:pt idx="26">
                  <c:v>3.4044444444444446</c:v>
                </c:pt>
                <c:pt idx="27">
                  <c:v>3.4044444444444446</c:v>
                </c:pt>
                <c:pt idx="28">
                  <c:v>3.4044444444444446</c:v>
                </c:pt>
                <c:pt idx="29">
                  <c:v>3.4044444444444446</c:v>
                </c:pt>
                <c:pt idx="30">
                  <c:v>3.4044444444444446</c:v>
                </c:pt>
                <c:pt idx="31">
                  <c:v>3.4044444444444446</c:v>
                </c:pt>
                <c:pt idx="32">
                  <c:v>3.4044444444444446</c:v>
                </c:pt>
                <c:pt idx="33">
                  <c:v>3.4044444444444446</c:v>
                </c:pt>
                <c:pt idx="34">
                  <c:v>3.4044444444444446</c:v>
                </c:pt>
                <c:pt idx="35">
                  <c:v>3.4044444444444446</c:v>
                </c:pt>
                <c:pt idx="36">
                  <c:v>3.4044444444444446</c:v>
                </c:pt>
                <c:pt idx="37">
                  <c:v>3.4044444444444446</c:v>
                </c:pt>
                <c:pt idx="38">
                  <c:v>3.4044444444444446</c:v>
                </c:pt>
                <c:pt idx="39">
                  <c:v>3.4044444444444446</c:v>
                </c:pt>
                <c:pt idx="40">
                  <c:v>3.4044444444444446</c:v>
                </c:pt>
                <c:pt idx="41">
                  <c:v>3.4044444444444446</c:v>
                </c:pt>
                <c:pt idx="42">
                  <c:v>3.4044444444444446</c:v>
                </c:pt>
                <c:pt idx="43">
                  <c:v>3.4044444444444446</c:v>
                </c:pt>
                <c:pt idx="44">
                  <c:v>3.4044444444444446</c:v>
                </c:pt>
                <c:pt idx="45">
                  <c:v>3.4044444444444446</c:v>
                </c:pt>
                <c:pt idx="46">
                  <c:v>3.4044444444444446</c:v>
                </c:pt>
                <c:pt idx="47">
                  <c:v>3.4044444444444446</c:v>
                </c:pt>
                <c:pt idx="48">
                  <c:v>3.4044444444444446</c:v>
                </c:pt>
                <c:pt idx="49">
                  <c:v>3.4044444444444446</c:v>
                </c:pt>
              </c:numCache>
            </c:numRef>
          </c:val>
          <c:smooth val="0"/>
          <c:extLst>
            <c:ext xmlns:c16="http://schemas.microsoft.com/office/drawing/2014/chart" uri="{C3380CC4-5D6E-409C-BE32-E72D297353CC}">
              <c16:uniqueId val="{00000003-DFA3-4AFC-BCDD-94BDB7F2D285}"/>
            </c:ext>
          </c:extLst>
        </c:ser>
        <c:dLbls>
          <c:showLegendKey val="0"/>
          <c:showVal val="0"/>
          <c:showCatName val="0"/>
          <c:showSerName val="0"/>
          <c:showPercent val="0"/>
          <c:showBubbleSize val="0"/>
        </c:dLbls>
        <c:marker val="1"/>
        <c:smooth val="0"/>
        <c:axId val="327809640"/>
        <c:axId val="327810032"/>
      </c:lineChart>
      <c:catAx>
        <c:axId val="327809640"/>
        <c:scaling>
          <c:orientation val="minMax"/>
        </c:scaling>
        <c:delete val="0"/>
        <c:axPos val="b"/>
        <c:majorGridlines>
          <c:spPr>
            <a:ln w="3175">
              <a:solidFill>
                <a:schemeClr val="bg1">
                  <a:lumMod val="65000"/>
                </a:schemeClr>
              </a:solidFill>
              <a:prstDash val="solid"/>
            </a:ln>
          </c:spPr>
        </c:majorGridlines>
        <c:title>
          <c:tx>
            <c:rich>
              <a:bodyPr/>
              <a:lstStyle/>
              <a:p>
                <a:pPr>
                  <a:defRPr sz="1850" b="1" i="0" u="none" strike="noStrike" baseline="0">
                    <a:solidFill>
                      <a:srgbClr val="000000"/>
                    </a:solidFill>
                    <a:latin typeface="Arial"/>
                    <a:ea typeface="Arial"/>
                    <a:cs typeface="Arial"/>
                  </a:defRPr>
                </a:pPr>
                <a:r>
                  <a:rPr lang="en-US"/>
                  <a:t>Sample number</a:t>
                </a:r>
              </a:p>
            </c:rich>
          </c:tx>
          <c:layout>
            <c:manualLayout>
              <c:xMode val="edge"/>
              <c:yMode val="edge"/>
              <c:x val="0.43973214285714302"/>
              <c:y val="0.887325977768251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327810032"/>
        <c:crosses val="autoZero"/>
        <c:auto val="1"/>
        <c:lblAlgn val="ctr"/>
        <c:lblOffset val="100"/>
        <c:tickLblSkip val="2"/>
        <c:tickMarkSkip val="1"/>
        <c:noMultiLvlLbl val="0"/>
      </c:catAx>
      <c:valAx>
        <c:axId val="327810032"/>
        <c:scaling>
          <c:orientation val="minMax"/>
        </c:scaling>
        <c:delete val="0"/>
        <c:axPos val="l"/>
        <c:majorGridlines>
          <c:spPr>
            <a:ln w="3175">
              <a:solidFill>
                <a:schemeClr val="bg1">
                  <a:lumMod val="65000"/>
                </a:schemeClr>
              </a:solidFill>
              <a:prstDash val="solid"/>
            </a:ln>
          </c:spPr>
        </c:majorGridlines>
        <c:title>
          <c:tx>
            <c:rich>
              <a:bodyPr/>
              <a:lstStyle/>
              <a:p>
                <a:pPr>
                  <a:defRPr sz="1850" b="1" i="0" u="none" strike="noStrike" baseline="0">
                    <a:solidFill>
                      <a:srgbClr val="000000"/>
                    </a:solidFill>
                    <a:latin typeface="Arial"/>
                    <a:ea typeface="Arial"/>
                    <a:cs typeface="Arial"/>
                  </a:defRPr>
                </a:pPr>
                <a:r>
                  <a:rPr lang="en-US"/>
                  <a:t>Averages</a:t>
                </a:r>
              </a:p>
            </c:rich>
          </c:tx>
          <c:layout>
            <c:manualLayout>
              <c:xMode val="edge"/>
              <c:yMode val="edge"/>
              <c:x val="2.5669642857142901E-2"/>
              <c:y val="0.33568152069010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en-US"/>
          </a:p>
        </c:txPr>
        <c:crossAx val="327809640"/>
        <c:crosses val="autoZero"/>
        <c:crossBetween val="between"/>
      </c:valAx>
      <c:spPr>
        <a:solidFill>
          <a:srgbClr val="FFFFFF"/>
        </a:solidFill>
        <a:ln w="12700">
          <a:solidFill>
            <a:srgbClr val="000000"/>
          </a:solidFill>
          <a:prstDash val="solid"/>
        </a:ln>
      </c:spPr>
    </c:plotArea>
    <c:legend>
      <c:legendPos val="t"/>
      <c:layout>
        <c:manualLayout>
          <c:xMode val="edge"/>
          <c:yMode val="edge"/>
          <c:x val="0.70535714285714302"/>
          <c:y val="3.5211348324136998E-2"/>
          <c:w val="0.22879464285714299"/>
          <c:h val="0.1455402397397659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span"/>
    <c:showDLblsOverMax val="0"/>
  </c:chart>
  <c:spPr>
    <a:solidFill>
      <a:schemeClr val="accent6">
        <a:lumMod val="20000"/>
        <a:lumOff val="80000"/>
      </a:schemeClr>
    </a:solidFill>
    <a:ln w="3175">
      <a:solidFill>
        <a:srgbClr val="000000"/>
      </a:solidFill>
      <a:prstDash val="solid"/>
    </a:ln>
  </c:spPr>
  <c:txPr>
    <a:bodyPr/>
    <a:lstStyle/>
    <a:p>
      <a:pPr>
        <a:defRPr sz="22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75" b="1" i="0" u="none" strike="noStrike" baseline="0">
                <a:solidFill>
                  <a:srgbClr val="000000"/>
                </a:solidFill>
                <a:latin typeface="Arial"/>
                <a:ea typeface="Arial"/>
                <a:cs typeface="Arial"/>
              </a:defRPr>
            </a:pPr>
            <a:r>
              <a:rPr lang="en-US"/>
              <a:t>R-Chart</a:t>
            </a:r>
          </a:p>
        </c:rich>
      </c:tx>
      <c:layout>
        <c:manualLayout>
          <c:xMode val="edge"/>
          <c:yMode val="edge"/>
          <c:x val="0.45302062908608298"/>
          <c:y val="3.0732931471934701E-2"/>
        </c:manualLayout>
      </c:layout>
      <c:overlay val="0"/>
      <c:spPr>
        <a:noFill/>
        <a:ln w="25400">
          <a:noFill/>
        </a:ln>
      </c:spPr>
    </c:title>
    <c:autoTitleDeleted val="0"/>
    <c:plotArea>
      <c:layout>
        <c:manualLayout>
          <c:layoutTarget val="inner"/>
          <c:xMode val="edge"/>
          <c:yMode val="edge"/>
          <c:x val="8.9485556362683003E-2"/>
          <c:y val="0.28132452655078699"/>
          <c:w val="0.86353561889989106"/>
          <c:h val="0.56028498144988703"/>
        </c:manualLayout>
      </c:layout>
      <c:lineChart>
        <c:grouping val="standard"/>
        <c:varyColors val="0"/>
        <c:ser>
          <c:idx val="0"/>
          <c:order val="0"/>
          <c:tx>
            <c:v>Ranges</c:v>
          </c:tx>
          <c:spPr>
            <a:ln w="25400">
              <a:solidFill>
                <a:srgbClr val="000000"/>
              </a:solidFill>
              <a:prstDash val="solid"/>
            </a:ln>
          </c:spPr>
          <c:marker>
            <c:symbol val="diamond"/>
            <c:size val="7"/>
            <c:spPr>
              <a:solidFill>
                <a:srgbClr val="000000"/>
              </a:solidFill>
              <a:ln>
                <a:solidFill>
                  <a:srgbClr val="000000"/>
                </a:solidFill>
                <a:prstDash val="solid"/>
              </a:ln>
            </c:spPr>
          </c:marker>
          <c:val>
            <c:numRef>
              <c:f>'Xbar R chart data'!$B$28:$AY$28</c:f>
              <c:numCache>
                <c:formatCode>General</c:formatCode>
                <c:ptCount val="50"/>
                <c:pt idx="0">
                  <c:v>1.4</c:v>
                </c:pt>
                <c:pt idx="1">
                  <c:v>1.3000000000000003</c:v>
                </c:pt>
                <c:pt idx="2">
                  <c:v>1.4</c:v>
                </c:pt>
                <c:pt idx="3">
                  <c:v>2.1</c:v>
                </c:pt>
                <c:pt idx="4">
                  <c:v>0.59999999999999964</c:v>
                </c:pt>
                <c:pt idx="5">
                  <c:v>1.4</c:v>
                </c:pt>
                <c:pt idx="6">
                  <c:v>1.1000000000000001</c:v>
                </c:pt>
                <c:pt idx="7">
                  <c:v>1.4</c:v>
                </c:pt>
                <c:pt idx="8">
                  <c:v>1.4</c:v>
                </c:pt>
                <c:pt idx="9">
                  <c:v>1.4</c:v>
                </c:pt>
                <c:pt idx="10">
                  <c:v>2.1</c:v>
                </c:pt>
                <c:pt idx="11">
                  <c:v>0.5</c:v>
                </c:pt>
                <c:pt idx="12">
                  <c:v>0.59999999999999964</c:v>
                </c:pt>
                <c:pt idx="13">
                  <c:v>1.3000000000000003</c:v>
                </c:pt>
                <c:pt idx="14">
                  <c:v>0.5</c:v>
                </c:pt>
                <c:pt idx="15">
                  <c:v>2.1</c:v>
                </c:pt>
                <c:pt idx="16">
                  <c:v>1.4</c:v>
                </c:pt>
                <c:pt idx="17">
                  <c:v>4.4000000000000004</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0-7559-4608-A6F9-4A17547BCE0E}"/>
            </c:ext>
          </c:extLst>
        </c:ser>
        <c:ser>
          <c:idx val="1"/>
          <c:order val="1"/>
          <c:tx>
            <c:v>Lower control limit</c:v>
          </c:tx>
          <c:spPr>
            <a:ln w="38100">
              <a:solidFill>
                <a:srgbClr val="008000"/>
              </a:solidFill>
              <a:prstDash val="solid"/>
            </a:ln>
          </c:spPr>
          <c:marker>
            <c:symbol val="none"/>
          </c:marker>
          <c:val>
            <c:numRef>
              <c:f>'Xbar R chart data'!$B$29:$AY$29</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c:ext xmlns:c16="http://schemas.microsoft.com/office/drawing/2014/chart" uri="{C3380CC4-5D6E-409C-BE32-E72D297353CC}">
              <c16:uniqueId val="{00000001-7559-4608-A6F9-4A17547BCE0E}"/>
            </c:ext>
          </c:extLst>
        </c:ser>
        <c:ser>
          <c:idx val="2"/>
          <c:order val="2"/>
          <c:tx>
            <c:v>Upper control limit</c:v>
          </c:tx>
          <c:spPr>
            <a:ln w="22225">
              <a:solidFill>
                <a:srgbClr val="993300"/>
              </a:solidFill>
              <a:prstDash val="solid"/>
            </a:ln>
          </c:spPr>
          <c:marker>
            <c:symbol val="none"/>
          </c:marker>
          <c:val>
            <c:numRef>
              <c:f>'Xbar R chart data'!$B$31:$AY$31</c:f>
              <c:numCache>
                <c:formatCode>General</c:formatCode>
                <c:ptCount val="50"/>
                <c:pt idx="0">
                  <c:v>3.1005333333333338</c:v>
                </c:pt>
                <c:pt idx="1">
                  <c:v>3.1005333333333338</c:v>
                </c:pt>
                <c:pt idx="2">
                  <c:v>3.1005333333333338</c:v>
                </c:pt>
                <c:pt idx="3">
                  <c:v>3.1005333333333338</c:v>
                </c:pt>
                <c:pt idx="4">
                  <c:v>3.1005333333333338</c:v>
                </c:pt>
                <c:pt idx="5">
                  <c:v>3.1005333333333338</c:v>
                </c:pt>
                <c:pt idx="6">
                  <c:v>3.1005333333333338</c:v>
                </c:pt>
                <c:pt idx="7">
                  <c:v>3.1005333333333338</c:v>
                </c:pt>
                <c:pt idx="8">
                  <c:v>3.1005333333333338</c:v>
                </c:pt>
                <c:pt idx="9">
                  <c:v>3.1005333333333338</c:v>
                </c:pt>
                <c:pt idx="10">
                  <c:v>3.1005333333333338</c:v>
                </c:pt>
                <c:pt idx="11">
                  <c:v>3.1005333333333338</c:v>
                </c:pt>
                <c:pt idx="12">
                  <c:v>3.1005333333333338</c:v>
                </c:pt>
                <c:pt idx="13">
                  <c:v>3.1005333333333338</c:v>
                </c:pt>
                <c:pt idx="14">
                  <c:v>3.1005333333333338</c:v>
                </c:pt>
                <c:pt idx="15">
                  <c:v>3.1005333333333338</c:v>
                </c:pt>
                <c:pt idx="16">
                  <c:v>3.1005333333333338</c:v>
                </c:pt>
                <c:pt idx="17">
                  <c:v>3.1005333333333338</c:v>
                </c:pt>
                <c:pt idx="18">
                  <c:v>3.1005333333333338</c:v>
                </c:pt>
                <c:pt idx="19">
                  <c:v>3.1005333333333338</c:v>
                </c:pt>
                <c:pt idx="20">
                  <c:v>3.1005333333333338</c:v>
                </c:pt>
                <c:pt idx="21">
                  <c:v>3.1005333333333338</c:v>
                </c:pt>
                <c:pt idx="22">
                  <c:v>3.1005333333333338</c:v>
                </c:pt>
                <c:pt idx="23">
                  <c:v>3.1005333333333338</c:v>
                </c:pt>
                <c:pt idx="24">
                  <c:v>3.1005333333333338</c:v>
                </c:pt>
                <c:pt idx="25">
                  <c:v>3.1005333333333338</c:v>
                </c:pt>
                <c:pt idx="26">
                  <c:v>3.1005333333333338</c:v>
                </c:pt>
                <c:pt idx="27">
                  <c:v>3.1005333333333338</c:v>
                </c:pt>
                <c:pt idx="28">
                  <c:v>3.1005333333333338</c:v>
                </c:pt>
                <c:pt idx="29">
                  <c:v>3.1005333333333338</c:v>
                </c:pt>
                <c:pt idx="30">
                  <c:v>3.1005333333333338</c:v>
                </c:pt>
                <c:pt idx="31">
                  <c:v>3.1005333333333338</c:v>
                </c:pt>
                <c:pt idx="32">
                  <c:v>3.1005333333333338</c:v>
                </c:pt>
                <c:pt idx="33">
                  <c:v>3.1005333333333338</c:v>
                </c:pt>
                <c:pt idx="34">
                  <c:v>3.1005333333333338</c:v>
                </c:pt>
                <c:pt idx="35">
                  <c:v>3.1005333333333338</c:v>
                </c:pt>
                <c:pt idx="36">
                  <c:v>3.1005333333333338</c:v>
                </c:pt>
                <c:pt idx="37">
                  <c:v>3.1005333333333338</c:v>
                </c:pt>
                <c:pt idx="38">
                  <c:v>3.1005333333333338</c:v>
                </c:pt>
                <c:pt idx="39">
                  <c:v>3.1005333333333338</c:v>
                </c:pt>
                <c:pt idx="40">
                  <c:v>3.1005333333333338</c:v>
                </c:pt>
                <c:pt idx="41">
                  <c:v>3.1005333333333338</c:v>
                </c:pt>
                <c:pt idx="42">
                  <c:v>3.1005333333333338</c:v>
                </c:pt>
                <c:pt idx="43">
                  <c:v>3.1005333333333338</c:v>
                </c:pt>
                <c:pt idx="44">
                  <c:v>3.1005333333333338</c:v>
                </c:pt>
                <c:pt idx="45">
                  <c:v>3.1005333333333338</c:v>
                </c:pt>
                <c:pt idx="46">
                  <c:v>3.1005333333333338</c:v>
                </c:pt>
                <c:pt idx="47">
                  <c:v>3.1005333333333338</c:v>
                </c:pt>
                <c:pt idx="48">
                  <c:v>3.1005333333333338</c:v>
                </c:pt>
                <c:pt idx="49">
                  <c:v>3.1005333333333338</c:v>
                </c:pt>
              </c:numCache>
            </c:numRef>
          </c:val>
          <c:smooth val="0"/>
          <c:extLst>
            <c:ext xmlns:c16="http://schemas.microsoft.com/office/drawing/2014/chart" uri="{C3380CC4-5D6E-409C-BE32-E72D297353CC}">
              <c16:uniqueId val="{00000002-7559-4608-A6F9-4A17547BCE0E}"/>
            </c:ext>
          </c:extLst>
        </c:ser>
        <c:ser>
          <c:idx val="3"/>
          <c:order val="3"/>
          <c:tx>
            <c:v>Center line</c:v>
          </c:tx>
          <c:spPr>
            <a:ln w="38100">
              <a:solidFill>
                <a:srgbClr val="333399"/>
              </a:solidFill>
              <a:prstDash val="solid"/>
            </a:ln>
          </c:spPr>
          <c:marker>
            <c:symbol val="none"/>
          </c:marker>
          <c:val>
            <c:numRef>
              <c:f>'Xbar R chart data'!$B$30:$AY$30</c:f>
              <c:numCache>
                <c:formatCode>General</c:formatCode>
                <c:ptCount val="50"/>
                <c:pt idx="0">
                  <c:v>1.466666666666667</c:v>
                </c:pt>
                <c:pt idx="1">
                  <c:v>1.466666666666667</c:v>
                </c:pt>
                <c:pt idx="2">
                  <c:v>1.466666666666667</c:v>
                </c:pt>
                <c:pt idx="3">
                  <c:v>1.466666666666667</c:v>
                </c:pt>
                <c:pt idx="4">
                  <c:v>1.466666666666667</c:v>
                </c:pt>
                <c:pt idx="5">
                  <c:v>1.466666666666667</c:v>
                </c:pt>
                <c:pt idx="6">
                  <c:v>1.466666666666667</c:v>
                </c:pt>
                <c:pt idx="7">
                  <c:v>1.466666666666667</c:v>
                </c:pt>
                <c:pt idx="8">
                  <c:v>1.466666666666667</c:v>
                </c:pt>
                <c:pt idx="9">
                  <c:v>1.466666666666667</c:v>
                </c:pt>
                <c:pt idx="10">
                  <c:v>1.466666666666667</c:v>
                </c:pt>
                <c:pt idx="11">
                  <c:v>1.466666666666667</c:v>
                </c:pt>
                <c:pt idx="12">
                  <c:v>1.466666666666667</c:v>
                </c:pt>
                <c:pt idx="13">
                  <c:v>1.466666666666667</c:v>
                </c:pt>
                <c:pt idx="14">
                  <c:v>1.466666666666667</c:v>
                </c:pt>
                <c:pt idx="15">
                  <c:v>1.466666666666667</c:v>
                </c:pt>
                <c:pt idx="16">
                  <c:v>1.466666666666667</c:v>
                </c:pt>
                <c:pt idx="17">
                  <c:v>1.466666666666667</c:v>
                </c:pt>
                <c:pt idx="18">
                  <c:v>1.466666666666667</c:v>
                </c:pt>
                <c:pt idx="19">
                  <c:v>1.466666666666667</c:v>
                </c:pt>
                <c:pt idx="20">
                  <c:v>1.466666666666667</c:v>
                </c:pt>
                <c:pt idx="21">
                  <c:v>1.466666666666667</c:v>
                </c:pt>
                <c:pt idx="22">
                  <c:v>1.466666666666667</c:v>
                </c:pt>
                <c:pt idx="23">
                  <c:v>1.466666666666667</c:v>
                </c:pt>
                <c:pt idx="24">
                  <c:v>1.466666666666667</c:v>
                </c:pt>
                <c:pt idx="25">
                  <c:v>1.466666666666667</c:v>
                </c:pt>
                <c:pt idx="26">
                  <c:v>1.466666666666667</c:v>
                </c:pt>
                <c:pt idx="27">
                  <c:v>1.466666666666667</c:v>
                </c:pt>
                <c:pt idx="28">
                  <c:v>1.466666666666667</c:v>
                </c:pt>
                <c:pt idx="29">
                  <c:v>1.466666666666667</c:v>
                </c:pt>
                <c:pt idx="30">
                  <c:v>1.466666666666667</c:v>
                </c:pt>
                <c:pt idx="31">
                  <c:v>1.466666666666667</c:v>
                </c:pt>
                <c:pt idx="32">
                  <c:v>1.466666666666667</c:v>
                </c:pt>
                <c:pt idx="33">
                  <c:v>1.466666666666667</c:v>
                </c:pt>
                <c:pt idx="34">
                  <c:v>1.466666666666667</c:v>
                </c:pt>
                <c:pt idx="35">
                  <c:v>1.466666666666667</c:v>
                </c:pt>
                <c:pt idx="36">
                  <c:v>1.466666666666667</c:v>
                </c:pt>
                <c:pt idx="37">
                  <c:v>1.466666666666667</c:v>
                </c:pt>
                <c:pt idx="38">
                  <c:v>1.466666666666667</c:v>
                </c:pt>
                <c:pt idx="39">
                  <c:v>1.466666666666667</c:v>
                </c:pt>
                <c:pt idx="40">
                  <c:v>1.466666666666667</c:v>
                </c:pt>
                <c:pt idx="41">
                  <c:v>1.466666666666667</c:v>
                </c:pt>
                <c:pt idx="42">
                  <c:v>1.466666666666667</c:v>
                </c:pt>
                <c:pt idx="43">
                  <c:v>1.466666666666667</c:v>
                </c:pt>
                <c:pt idx="44">
                  <c:v>1.466666666666667</c:v>
                </c:pt>
                <c:pt idx="45">
                  <c:v>1.466666666666667</c:v>
                </c:pt>
                <c:pt idx="46">
                  <c:v>1.466666666666667</c:v>
                </c:pt>
                <c:pt idx="47">
                  <c:v>1.466666666666667</c:v>
                </c:pt>
                <c:pt idx="48">
                  <c:v>1.466666666666667</c:v>
                </c:pt>
                <c:pt idx="49">
                  <c:v>1.466666666666667</c:v>
                </c:pt>
              </c:numCache>
            </c:numRef>
          </c:val>
          <c:smooth val="0"/>
          <c:extLst>
            <c:ext xmlns:c16="http://schemas.microsoft.com/office/drawing/2014/chart" uri="{C3380CC4-5D6E-409C-BE32-E72D297353CC}">
              <c16:uniqueId val="{00000003-7559-4608-A6F9-4A17547BCE0E}"/>
            </c:ext>
          </c:extLst>
        </c:ser>
        <c:dLbls>
          <c:showLegendKey val="0"/>
          <c:showVal val="0"/>
          <c:showCatName val="0"/>
          <c:showSerName val="0"/>
          <c:showPercent val="0"/>
          <c:showBubbleSize val="0"/>
        </c:dLbls>
        <c:marker val="1"/>
        <c:smooth val="0"/>
        <c:axId val="327810816"/>
        <c:axId val="330068112"/>
      </c:lineChart>
      <c:catAx>
        <c:axId val="327810816"/>
        <c:scaling>
          <c:orientation val="minMax"/>
        </c:scaling>
        <c:delete val="0"/>
        <c:axPos val="b"/>
        <c:majorGridlines>
          <c:spPr>
            <a:ln w="3175">
              <a:solidFill>
                <a:schemeClr val="bg1">
                  <a:lumMod val="65000"/>
                </a:schemeClr>
              </a:solidFill>
              <a:prstDash val="solid"/>
            </a:ln>
          </c:spPr>
        </c:majorGridlines>
        <c:title>
          <c:tx>
            <c:rich>
              <a:bodyPr/>
              <a:lstStyle/>
              <a:p>
                <a:pPr>
                  <a:defRPr sz="1750" b="1" i="0" u="none" strike="noStrike" baseline="0">
                    <a:solidFill>
                      <a:srgbClr val="000000"/>
                    </a:solidFill>
                    <a:latin typeface="Arial"/>
                    <a:ea typeface="Arial"/>
                    <a:cs typeface="Arial"/>
                  </a:defRPr>
                </a:pPr>
                <a:r>
                  <a:rPr lang="en-US"/>
                  <a:t>Sample number</a:t>
                </a:r>
              </a:p>
            </c:rich>
          </c:tx>
          <c:layout>
            <c:manualLayout>
              <c:xMode val="edge"/>
              <c:yMode val="edge"/>
              <c:x val="0.42058211490461"/>
              <c:y val="0.898347227641169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30068112"/>
        <c:crosses val="autoZero"/>
        <c:auto val="1"/>
        <c:lblAlgn val="ctr"/>
        <c:lblOffset val="100"/>
        <c:tickLblSkip val="2"/>
        <c:tickMarkSkip val="1"/>
        <c:noMultiLvlLbl val="0"/>
      </c:catAx>
      <c:valAx>
        <c:axId val="330068112"/>
        <c:scaling>
          <c:orientation val="minMax"/>
        </c:scaling>
        <c:delete val="0"/>
        <c:axPos val="l"/>
        <c:majorGridlines>
          <c:spPr>
            <a:ln w="3175">
              <a:solidFill>
                <a:srgbClr val="000000"/>
              </a:solidFill>
              <a:prstDash val="solid"/>
            </a:ln>
          </c:spPr>
        </c:majorGridlines>
        <c:title>
          <c:tx>
            <c:rich>
              <a:bodyPr/>
              <a:lstStyle/>
              <a:p>
                <a:pPr>
                  <a:defRPr sz="1750" b="1" i="0" u="none" strike="noStrike" baseline="0">
                    <a:solidFill>
                      <a:srgbClr val="000000"/>
                    </a:solidFill>
                    <a:latin typeface="Arial"/>
                    <a:ea typeface="Arial"/>
                    <a:cs typeface="Arial"/>
                  </a:defRPr>
                </a:pPr>
                <a:r>
                  <a:rPr lang="en-US"/>
                  <a:t>Ranges</a:t>
                </a:r>
              </a:p>
            </c:rich>
          </c:tx>
          <c:layout>
            <c:manualLayout>
              <c:xMode val="edge"/>
              <c:yMode val="edge"/>
              <c:x val="1.2304263999868901E-2"/>
              <c:y val="0.451537685472272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27810816"/>
        <c:crosses val="autoZero"/>
        <c:crossBetween val="between"/>
      </c:valAx>
      <c:spPr>
        <a:solidFill>
          <a:srgbClr val="FFFFFF"/>
        </a:solidFill>
        <a:ln w="12700">
          <a:solidFill>
            <a:srgbClr val="000000"/>
          </a:solidFill>
          <a:prstDash val="solid"/>
        </a:ln>
      </c:spPr>
    </c:plotArea>
    <c:legend>
      <c:legendPos val="r"/>
      <c:layout>
        <c:manualLayout>
          <c:xMode val="edge"/>
          <c:yMode val="edge"/>
          <c:x val="0.72035872871959905"/>
          <c:y val="5.9101791292182203E-2"/>
          <c:w val="0.21923961308857301"/>
          <c:h val="0.1607568723147350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span"/>
    <c:showDLblsOverMax val="0"/>
  </c:chart>
  <c:spPr>
    <a:solidFill>
      <a:schemeClr val="accent6">
        <a:lumMod val="20000"/>
        <a:lumOff val="80000"/>
      </a:schemeClr>
    </a:solidFill>
    <a:ln w="3175">
      <a:solidFill>
        <a:srgbClr val="000000"/>
      </a:solidFill>
      <a:prstDash val="solid"/>
    </a:ln>
  </c:spPr>
  <c:txPr>
    <a:bodyPr/>
    <a:lstStyle/>
    <a:p>
      <a:pPr>
        <a:defRPr sz="2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CA"/>
              <a:t>Attribute (u) Chart</a:t>
            </a:r>
          </a:p>
        </c:rich>
      </c:tx>
      <c:layout>
        <c:manualLayout>
          <c:xMode val="edge"/>
          <c:yMode val="edge"/>
          <c:x val="0.32893157262905198"/>
          <c:y val="0.04"/>
        </c:manualLayout>
      </c:layout>
      <c:overlay val="0"/>
      <c:spPr>
        <a:noFill/>
        <a:ln w="25400">
          <a:noFill/>
        </a:ln>
      </c:spPr>
    </c:title>
    <c:autoTitleDeleted val="0"/>
    <c:plotArea>
      <c:layout>
        <c:manualLayout>
          <c:layoutTarget val="inner"/>
          <c:xMode val="edge"/>
          <c:yMode val="edge"/>
          <c:x val="0.139255702280912"/>
          <c:y val="0.28705882352941198"/>
          <c:w val="0.84033613445378197"/>
          <c:h val="0.53882352941176503"/>
        </c:manualLayout>
      </c:layout>
      <c:lineChart>
        <c:grouping val="standard"/>
        <c:varyColors val="0"/>
        <c:ser>
          <c:idx val="1"/>
          <c:order val="0"/>
          <c:tx>
            <c:v>Defects per unit</c:v>
          </c:tx>
          <c:spPr>
            <a:ln w="25400">
              <a:solidFill>
                <a:srgbClr val="000000"/>
              </a:solidFill>
              <a:prstDash val="solid"/>
            </a:ln>
          </c:spPr>
          <c:marker>
            <c:symbol val="diamond"/>
            <c:size val="7"/>
            <c:spPr>
              <a:solidFill>
                <a:srgbClr val="000000"/>
              </a:solidFill>
              <a:ln>
                <a:solidFill>
                  <a:srgbClr val="000000"/>
                </a:solidFill>
                <a:prstDash val="solid"/>
              </a:ln>
            </c:spPr>
          </c:marker>
          <c:val>
            <c:numRef>
              <c:f>'u Data and calculations'!$D$10:$D$59</c:f>
              <c:numCache>
                <c:formatCode>0.0000</c:formatCode>
                <c:ptCount val="50"/>
                <c:pt idx="0">
                  <c:v>0.2</c:v>
                </c:pt>
                <c:pt idx="1">
                  <c:v>0.25</c:v>
                </c:pt>
                <c:pt idx="2">
                  <c:v>0.54545454545454541</c:v>
                </c:pt>
                <c:pt idx="3">
                  <c:v>0.2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0-391E-4B69-A820-9CA9FBAB729A}"/>
            </c:ext>
          </c:extLst>
        </c:ser>
        <c:ser>
          <c:idx val="2"/>
          <c:order val="1"/>
          <c:tx>
            <c:v>Lower control limit</c:v>
          </c:tx>
          <c:spPr>
            <a:ln w="38100">
              <a:solidFill>
                <a:srgbClr val="008000"/>
              </a:solidFill>
              <a:prstDash val="solid"/>
            </a:ln>
          </c:spPr>
          <c:marker>
            <c:symbol val="none"/>
          </c:marker>
          <c:val>
            <c:numRef>
              <c:f>'u Data and calculations'!$F$10:$F$59</c:f>
              <c:numCache>
                <c:formatCode>General</c:formatCode>
                <c:ptCount val="50"/>
                <c:pt idx="0">
                  <c:v>0</c:v>
                </c:pt>
                <c:pt idx="1">
                  <c:v>0</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1-391E-4B69-A820-9CA9FBAB729A}"/>
            </c:ext>
          </c:extLst>
        </c:ser>
        <c:ser>
          <c:idx val="3"/>
          <c:order val="2"/>
          <c:tx>
            <c:v>Upper control limit</c:v>
          </c:tx>
          <c:spPr>
            <a:ln w="22225">
              <a:solidFill>
                <a:srgbClr val="993300"/>
              </a:solidFill>
              <a:prstDash val="solid"/>
            </a:ln>
          </c:spPr>
          <c:marker>
            <c:symbol val="none"/>
          </c:marker>
          <c:val>
            <c:numRef>
              <c:f>'u Data and calculations'!$H$10:$H$59</c:f>
              <c:numCache>
                <c:formatCode>General</c:formatCode>
                <c:ptCount val="50"/>
                <c:pt idx="0">
                  <c:v>0.82395094816331371</c:v>
                </c:pt>
                <c:pt idx="1">
                  <c:v>0.77850221463821556</c:v>
                </c:pt>
                <c:pt idx="2">
                  <c:v>0.79967585421011445</c:v>
                </c:pt>
                <c:pt idx="3">
                  <c:v>0.82395094816331371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2-391E-4B69-A820-9CA9FBAB729A}"/>
            </c:ext>
          </c:extLst>
        </c:ser>
        <c:ser>
          <c:idx val="0"/>
          <c:order val="3"/>
          <c:tx>
            <c:v>Center line</c:v>
          </c:tx>
          <c:spPr>
            <a:ln w="38100">
              <a:solidFill>
                <a:srgbClr val="333399"/>
              </a:solidFill>
              <a:prstDash val="solid"/>
            </a:ln>
          </c:spPr>
          <c:marker>
            <c:symbol val="none"/>
          </c:marker>
          <c:val>
            <c:numRef>
              <c:f>'u Data and calculations'!$G$10:$G$59</c:f>
              <c:numCache>
                <c:formatCode>General</c:formatCode>
                <c:ptCount val="50"/>
                <c:pt idx="0">
                  <c:v>0.30232558139534882</c:v>
                </c:pt>
                <c:pt idx="1">
                  <c:v>0.30232558139534882</c:v>
                </c:pt>
                <c:pt idx="2">
                  <c:v>0.30232558139534882</c:v>
                </c:pt>
                <c:pt idx="3">
                  <c:v>0.30232558139534882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3-391E-4B69-A820-9CA9FBAB729A}"/>
            </c:ext>
          </c:extLst>
        </c:ser>
        <c:dLbls>
          <c:showLegendKey val="0"/>
          <c:showVal val="0"/>
          <c:showCatName val="0"/>
          <c:showSerName val="0"/>
          <c:showPercent val="0"/>
          <c:showBubbleSize val="0"/>
        </c:dLbls>
        <c:marker val="1"/>
        <c:smooth val="0"/>
        <c:axId val="330070072"/>
        <c:axId val="330070464"/>
      </c:lineChart>
      <c:catAx>
        <c:axId val="330070072"/>
        <c:scaling>
          <c:orientation val="minMax"/>
        </c:scaling>
        <c:delete val="0"/>
        <c:axPos val="b"/>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CA"/>
                  <a:t>Sample number</a:t>
                </a:r>
              </a:p>
            </c:rich>
          </c:tx>
          <c:layout>
            <c:manualLayout>
              <c:xMode val="edge"/>
              <c:yMode val="edge"/>
              <c:x val="0.45138055222088802"/>
              <c:y val="0.8988235294117650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30070464"/>
        <c:crosses val="autoZero"/>
        <c:auto val="1"/>
        <c:lblAlgn val="ctr"/>
        <c:lblOffset val="100"/>
        <c:tickLblSkip val="2"/>
        <c:tickMarkSkip val="1"/>
        <c:noMultiLvlLbl val="0"/>
      </c:catAx>
      <c:valAx>
        <c:axId val="330070464"/>
        <c:scaling>
          <c:orientation val="minMax"/>
        </c:scaling>
        <c:delete val="0"/>
        <c:axPos val="l"/>
        <c:majorGridlines>
          <c:spPr>
            <a:ln w="3175">
              <a:solidFill>
                <a:srgbClr val="000000"/>
              </a:solidFill>
              <a:prstDash val="solid"/>
            </a:ln>
          </c:spPr>
        </c:majorGridlines>
        <c:title>
          <c:tx>
            <c:rich>
              <a:bodyPr/>
              <a:lstStyle/>
              <a:p>
                <a:pPr>
                  <a:defRPr sz="1725" b="1" i="0" u="none" strike="noStrike" baseline="0">
                    <a:solidFill>
                      <a:srgbClr val="000000"/>
                    </a:solidFill>
                    <a:latin typeface="Arial"/>
                    <a:ea typeface="Arial"/>
                    <a:cs typeface="Arial"/>
                  </a:defRPr>
                </a:pPr>
                <a:r>
                  <a:rPr lang="en-CA"/>
                  <a:t>Defects per unit</a:t>
                </a:r>
              </a:p>
            </c:rich>
          </c:tx>
          <c:layout>
            <c:manualLayout>
              <c:xMode val="edge"/>
              <c:yMode val="edge"/>
              <c:x val="1.4405762304922E-2"/>
              <c:y val="0.33647058823529402"/>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30070072"/>
        <c:crosses val="autoZero"/>
        <c:crossBetween val="between"/>
      </c:valAx>
      <c:spPr>
        <a:solidFill>
          <a:srgbClr val="FFFFFF"/>
        </a:solidFill>
        <a:ln w="12700">
          <a:solidFill>
            <a:srgbClr val="000000"/>
          </a:solidFill>
          <a:prstDash val="solid"/>
        </a:ln>
      </c:spPr>
    </c:plotArea>
    <c:legend>
      <c:legendPos val="r"/>
      <c:layout>
        <c:manualLayout>
          <c:xMode val="edge"/>
          <c:yMode val="edge"/>
          <c:x val="0.77791116446578601"/>
          <c:y val="6.1176470588235297E-2"/>
          <c:w val="0.15246098439375699"/>
          <c:h val="0.15529411764705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CC"/>
    </a:solidFill>
    <a:ln w="3175">
      <a:solidFill>
        <a:srgbClr val="000000"/>
      </a:solidFill>
      <a:prstDash val="solid"/>
    </a:ln>
  </c:spPr>
  <c:txPr>
    <a:bodyPr/>
    <a:lstStyle/>
    <a:p>
      <a:pPr>
        <a:defRPr sz="2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561928892147739E-2"/>
          <c:y val="0.11403557615292692"/>
          <c:w val="0.75585345998172615"/>
          <c:h val="0.76316116348497254"/>
        </c:manualLayout>
      </c:layout>
      <c:lineChart>
        <c:grouping val="standard"/>
        <c:varyColors val="0"/>
        <c:ser>
          <c:idx val="0"/>
          <c:order val="0"/>
          <c:tx>
            <c:strRef>
              <c:f>'GRR Calculations (2)'!$O$106</c:f>
              <c:strCache>
                <c:ptCount val="1"/>
                <c:pt idx="0">
                  <c:v>Op.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(2)'!$O$108:$O$117</c:f>
              <c:numCache>
                <c:formatCode>General</c:formatCode>
                <c:ptCount val="10"/>
                <c:pt idx="0">
                  <c:v>0.52100000000000002</c:v>
                </c:pt>
                <c:pt idx="1">
                  <c:v>0.53100000000000003</c:v>
                </c:pt>
                <c:pt idx="2">
                  <c:v>0.52350000000000008</c:v>
                </c:pt>
                <c:pt idx="3">
                  <c:v>0.52150000000000007</c:v>
                </c:pt>
                <c:pt idx="4">
                  <c:v>0.52449999999999997</c:v>
                </c:pt>
                <c:pt idx="5">
                  <c:v>#N/A</c:v>
                </c:pt>
                <c:pt idx="6">
                  <c:v>#N/A</c:v>
                </c:pt>
                <c:pt idx="7">
                  <c:v>#N/A</c:v>
                </c:pt>
                <c:pt idx="8">
                  <c:v>#N/A</c:v>
                </c:pt>
                <c:pt idx="9">
                  <c:v>#N/A</c:v>
                </c:pt>
              </c:numCache>
            </c:numRef>
          </c:val>
          <c:smooth val="0"/>
          <c:extLst>
            <c:ext xmlns:c16="http://schemas.microsoft.com/office/drawing/2014/chart" uri="{C3380CC4-5D6E-409C-BE32-E72D297353CC}">
              <c16:uniqueId val="{00000000-F3FA-4C4C-A232-5572ED7B5608}"/>
            </c:ext>
          </c:extLst>
        </c:ser>
        <c:ser>
          <c:idx val="1"/>
          <c:order val="1"/>
          <c:tx>
            <c:strRef>
              <c:f>'GRR Calculations (2)'!$P$106</c:f>
              <c:strCache>
                <c:ptCount val="1"/>
                <c:pt idx="0">
                  <c:v>Op. B</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(2)'!$P$108:$P$117</c:f>
              <c:numCache>
                <c:formatCode>General</c:formatCode>
                <c:ptCount val="10"/>
                <c:pt idx="0">
                  <c:v>#N/A</c:v>
                </c:pt>
                <c:pt idx="1">
                  <c:v>#N/A</c:v>
                </c:pt>
                <c:pt idx="2">
                  <c:v>#N/A</c:v>
                </c:pt>
                <c:pt idx="3">
                  <c:v>#N/A</c:v>
                </c:pt>
                <c:pt idx="4">
                  <c:v>#N/A</c:v>
                </c:pt>
                <c:pt idx="5">
                  <c:v>0.51200000000000001</c:v>
                </c:pt>
                <c:pt idx="6">
                  <c:v>0.52150000000000007</c:v>
                </c:pt>
                <c:pt idx="7">
                  <c:v>0.52200000000000002</c:v>
                </c:pt>
                <c:pt idx="8">
                  <c:v>0.52350000000000008</c:v>
                </c:pt>
                <c:pt idx="9">
                  <c:v>0.52100000000000002</c:v>
                </c:pt>
              </c:numCache>
            </c:numRef>
          </c:val>
          <c:smooth val="0"/>
          <c:extLst>
            <c:ext xmlns:c16="http://schemas.microsoft.com/office/drawing/2014/chart" uri="{C3380CC4-5D6E-409C-BE32-E72D297353CC}">
              <c16:uniqueId val="{00000001-F3FA-4C4C-A232-5572ED7B5608}"/>
            </c:ext>
          </c:extLst>
        </c:ser>
        <c:ser>
          <c:idx val="2"/>
          <c:order val="2"/>
          <c:tx>
            <c:strRef>
              <c:f>'GRR Calculations (2)'!$Q$106</c:f>
              <c:strCache>
                <c:ptCount val="1"/>
                <c:pt idx="0">
                  <c:v>Op. C</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val>
            <c:numRef>
              <c:f>'GRR Calculations (2)'!$Q$108:$Q$117</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2-F3FA-4C4C-A232-5572ED7B5608}"/>
            </c:ext>
          </c:extLst>
        </c:ser>
        <c:ser>
          <c:idx val="3"/>
          <c:order val="3"/>
          <c:tx>
            <c:strRef>
              <c:f>'GRR Calculations (2)'!$V$107</c:f>
              <c:strCache>
                <c:ptCount val="1"/>
                <c:pt idx="0">
                  <c:v>Average</c:v>
                </c:pt>
              </c:strCache>
            </c:strRef>
          </c:tx>
          <c:spPr>
            <a:ln w="25400">
              <a:solidFill>
                <a:srgbClr val="000000"/>
              </a:solidFill>
              <a:prstDash val="solid"/>
            </a:ln>
          </c:spPr>
          <c:marker>
            <c:symbol val="none"/>
          </c:marker>
          <c:val>
            <c:numRef>
              <c:f>'GRR Calculations (2)'!$V$108:$V$117</c:f>
              <c:numCache>
                <c:formatCode>General</c:formatCode>
                <c:ptCount val="10"/>
                <c:pt idx="0">
                  <c:v>0.52215000000000011</c:v>
                </c:pt>
                <c:pt idx="1">
                  <c:v>0.52215000000000011</c:v>
                </c:pt>
                <c:pt idx="2">
                  <c:v>0.52215000000000011</c:v>
                </c:pt>
                <c:pt idx="3">
                  <c:v>0.52215000000000011</c:v>
                </c:pt>
                <c:pt idx="4">
                  <c:v>0.52215000000000011</c:v>
                </c:pt>
                <c:pt idx="5">
                  <c:v>0.52215000000000011</c:v>
                </c:pt>
                <c:pt idx="6">
                  <c:v>0.52215000000000011</c:v>
                </c:pt>
                <c:pt idx="7">
                  <c:v>0.52215000000000011</c:v>
                </c:pt>
                <c:pt idx="8">
                  <c:v>0.52215000000000011</c:v>
                </c:pt>
                <c:pt idx="9">
                  <c:v>0.52215000000000011</c:v>
                </c:pt>
              </c:numCache>
            </c:numRef>
          </c:val>
          <c:smooth val="0"/>
          <c:extLst>
            <c:ext xmlns:c16="http://schemas.microsoft.com/office/drawing/2014/chart" uri="{C3380CC4-5D6E-409C-BE32-E72D297353CC}">
              <c16:uniqueId val="{00000003-F3FA-4C4C-A232-5572ED7B5608}"/>
            </c:ext>
          </c:extLst>
        </c:ser>
        <c:ser>
          <c:idx val="4"/>
          <c:order val="4"/>
          <c:tx>
            <c:strRef>
              <c:f>'GRR Calculations (2)'!$X$107</c:f>
              <c:strCache>
                <c:ptCount val="1"/>
                <c:pt idx="0">
                  <c:v>UCL X</c:v>
                </c:pt>
              </c:strCache>
            </c:strRef>
          </c:tx>
          <c:spPr>
            <a:ln w="12700">
              <a:solidFill>
                <a:srgbClr val="FF0000"/>
              </a:solidFill>
              <a:prstDash val="solid"/>
            </a:ln>
          </c:spPr>
          <c:marker>
            <c:symbol val="none"/>
          </c:marker>
          <c:val>
            <c:numRef>
              <c:f>'GRR Calculations (2)'!$X$108:$X$117</c:f>
              <c:numCache>
                <c:formatCode>General</c:formatCode>
                <c:ptCount val="10"/>
                <c:pt idx="0">
                  <c:v>0.52685000000000015</c:v>
                </c:pt>
                <c:pt idx="1">
                  <c:v>0.52685000000000015</c:v>
                </c:pt>
                <c:pt idx="2">
                  <c:v>0.52685000000000015</c:v>
                </c:pt>
                <c:pt idx="3">
                  <c:v>0.52685000000000015</c:v>
                </c:pt>
                <c:pt idx="4">
                  <c:v>0.52685000000000015</c:v>
                </c:pt>
                <c:pt idx="5">
                  <c:v>0.52685000000000015</c:v>
                </c:pt>
                <c:pt idx="6">
                  <c:v>0.52685000000000015</c:v>
                </c:pt>
                <c:pt idx="7">
                  <c:v>0.52685000000000015</c:v>
                </c:pt>
                <c:pt idx="8">
                  <c:v>0.52685000000000015</c:v>
                </c:pt>
                <c:pt idx="9">
                  <c:v>0.52685000000000015</c:v>
                </c:pt>
              </c:numCache>
            </c:numRef>
          </c:val>
          <c:smooth val="0"/>
          <c:extLst>
            <c:ext xmlns:c16="http://schemas.microsoft.com/office/drawing/2014/chart" uri="{C3380CC4-5D6E-409C-BE32-E72D297353CC}">
              <c16:uniqueId val="{00000004-F3FA-4C4C-A232-5572ED7B5608}"/>
            </c:ext>
          </c:extLst>
        </c:ser>
        <c:ser>
          <c:idx val="5"/>
          <c:order val="5"/>
          <c:tx>
            <c:strRef>
              <c:f>'GRR Calculations (2)'!$Y$107</c:f>
              <c:strCache>
                <c:ptCount val="1"/>
                <c:pt idx="0">
                  <c:v>LCL X</c:v>
                </c:pt>
              </c:strCache>
            </c:strRef>
          </c:tx>
          <c:spPr>
            <a:ln w="12700">
              <a:solidFill>
                <a:srgbClr val="FF0000"/>
              </a:solidFill>
              <a:prstDash val="solid"/>
            </a:ln>
          </c:spPr>
          <c:marker>
            <c:symbol val="none"/>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(2)'!$Y$108:$Y$117</c:f>
              <c:numCache>
                <c:formatCode>General</c:formatCode>
                <c:ptCount val="10"/>
                <c:pt idx="0">
                  <c:v>0.51745000000000008</c:v>
                </c:pt>
                <c:pt idx="1">
                  <c:v>0.51745000000000008</c:v>
                </c:pt>
                <c:pt idx="2">
                  <c:v>0.51745000000000008</c:v>
                </c:pt>
                <c:pt idx="3">
                  <c:v>0.51745000000000008</c:v>
                </c:pt>
                <c:pt idx="4">
                  <c:v>0.51745000000000008</c:v>
                </c:pt>
                <c:pt idx="5">
                  <c:v>0.51745000000000008</c:v>
                </c:pt>
                <c:pt idx="6">
                  <c:v>0.51745000000000008</c:v>
                </c:pt>
                <c:pt idx="7">
                  <c:v>0.51745000000000008</c:v>
                </c:pt>
                <c:pt idx="8">
                  <c:v>0.51745000000000008</c:v>
                </c:pt>
                <c:pt idx="9">
                  <c:v>0.51745000000000008</c:v>
                </c:pt>
              </c:numCache>
            </c:numRef>
          </c:val>
          <c:smooth val="0"/>
          <c:extLst>
            <c:ext xmlns:c16="http://schemas.microsoft.com/office/drawing/2014/chart" uri="{C3380CC4-5D6E-409C-BE32-E72D297353CC}">
              <c16:uniqueId val="{00000005-F3FA-4C4C-A232-5572ED7B5608}"/>
            </c:ext>
          </c:extLst>
        </c:ser>
        <c:dLbls>
          <c:showLegendKey val="0"/>
          <c:showVal val="0"/>
          <c:showCatName val="0"/>
          <c:showSerName val="0"/>
          <c:showPercent val="0"/>
          <c:showBubbleSize val="0"/>
        </c:dLbls>
        <c:marker val="1"/>
        <c:smooth val="0"/>
        <c:axId val="366315168"/>
        <c:axId val="366313600"/>
      </c:lineChart>
      <c:catAx>
        <c:axId val="366315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313600"/>
        <c:crosses val="autoZero"/>
        <c:auto val="1"/>
        <c:lblAlgn val="ctr"/>
        <c:lblOffset val="100"/>
        <c:tickLblSkip val="1"/>
        <c:tickMarkSkip val="1"/>
        <c:noMultiLvlLbl val="0"/>
      </c:catAx>
      <c:valAx>
        <c:axId val="36631360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315168"/>
        <c:crosses val="autoZero"/>
        <c:crossBetween val="between"/>
      </c:valAx>
      <c:spPr>
        <a:solidFill>
          <a:srgbClr val="C0C0C0"/>
        </a:solidFill>
        <a:ln w="3175">
          <a:solidFill>
            <a:srgbClr val="000000"/>
          </a:solidFill>
          <a:prstDash val="solid"/>
        </a:ln>
      </c:spPr>
    </c:plotArea>
    <c:legend>
      <c:legendPos val="r"/>
      <c:layout>
        <c:manualLayout>
          <c:xMode val="edge"/>
          <c:yMode val="edge"/>
          <c:x val="0.8428100527229867"/>
          <c:y val="0.21929918490947489"/>
          <c:w val="0.14381282645670015"/>
          <c:h val="0.5570199296700660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50897564552388E-2"/>
          <c:y val="0.11659218354160146"/>
          <c:w val="0.75083673347742264"/>
          <c:h val="0.75784919302040954"/>
        </c:manualLayout>
      </c:layout>
      <c:lineChart>
        <c:grouping val="standard"/>
        <c:varyColors val="0"/>
        <c:ser>
          <c:idx val="0"/>
          <c:order val="0"/>
          <c:tx>
            <c:strRef>
              <c:f>'GRR Calculations (2)'!$R$106</c:f>
              <c:strCache>
                <c:ptCount val="1"/>
                <c:pt idx="0">
                  <c:v>Op. 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(2)'!$R$108:$R$117</c:f>
              <c:numCache>
                <c:formatCode>General</c:formatCode>
                <c:ptCount val="10"/>
                <c:pt idx="0">
                  <c:v>0</c:v>
                </c:pt>
                <c:pt idx="1">
                  <c:v>1.8000000000000016E-2</c:v>
                </c:pt>
                <c:pt idx="2">
                  <c:v>1.0000000000000009E-3</c:v>
                </c:pt>
                <c:pt idx="3">
                  <c:v>1.0000000000000009E-3</c:v>
                </c:pt>
                <c:pt idx="4">
                  <c:v>1.0000000000000009E-3</c:v>
                </c:pt>
                <c:pt idx="5">
                  <c:v>#N/A</c:v>
                </c:pt>
                <c:pt idx="6">
                  <c:v>#N/A</c:v>
                </c:pt>
                <c:pt idx="7">
                  <c:v>#N/A</c:v>
                </c:pt>
                <c:pt idx="8">
                  <c:v>#N/A</c:v>
                </c:pt>
                <c:pt idx="9">
                  <c:v>#N/A</c:v>
                </c:pt>
              </c:numCache>
            </c:numRef>
          </c:val>
          <c:smooth val="0"/>
          <c:extLst>
            <c:ext xmlns:c16="http://schemas.microsoft.com/office/drawing/2014/chart" uri="{C3380CC4-5D6E-409C-BE32-E72D297353CC}">
              <c16:uniqueId val="{00000000-B33D-4A77-86D9-EFC4EA5FD411}"/>
            </c:ext>
          </c:extLst>
        </c:ser>
        <c:ser>
          <c:idx val="1"/>
          <c:order val="1"/>
          <c:tx>
            <c:strRef>
              <c:f>'GRR Calculations (2)'!$S$106</c:f>
              <c:strCache>
                <c:ptCount val="1"/>
                <c:pt idx="0">
                  <c:v>Op. B</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(2)'!$S$108:$S$117</c:f>
              <c:numCache>
                <c:formatCode>General</c:formatCode>
                <c:ptCount val="10"/>
                <c:pt idx="0">
                  <c:v>#N/A</c:v>
                </c:pt>
                <c:pt idx="1">
                  <c:v>#N/A</c:v>
                </c:pt>
                <c:pt idx="2">
                  <c:v>#N/A</c:v>
                </c:pt>
                <c:pt idx="3">
                  <c:v>#N/A</c:v>
                </c:pt>
                <c:pt idx="4">
                  <c:v>#N/A</c:v>
                </c:pt>
                <c:pt idx="5">
                  <c:v>2.0000000000000018E-3</c:v>
                </c:pt>
                <c:pt idx="6">
                  <c:v>1.0000000000000009E-3</c:v>
                </c:pt>
                <c:pt idx="7">
                  <c:v>0</c:v>
                </c:pt>
                <c:pt idx="8">
                  <c:v>1.0000000000000009E-3</c:v>
                </c:pt>
                <c:pt idx="9">
                  <c:v>0</c:v>
                </c:pt>
              </c:numCache>
            </c:numRef>
          </c:val>
          <c:smooth val="0"/>
          <c:extLst>
            <c:ext xmlns:c16="http://schemas.microsoft.com/office/drawing/2014/chart" uri="{C3380CC4-5D6E-409C-BE32-E72D297353CC}">
              <c16:uniqueId val="{00000001-B33D-4A77-86D9-EFC4EA5FD411}"/>
            </c:ext>
          </c:extLst>
        </c:ser>
        <c:ser>
          <c:idx val="2"/>
          <c:order val="2"/>
          <c:tx>
            <c:strRef>
              <c:f>'GRR Calculations (2)'!$T$106</c:f>
              <c:strCache>
                <c:ptCount val="1"/>
                <c:pt idx="0">
                  <c:v>Op. C</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(2)'!$T$108:$T$117</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2-B33D-4A77-86D9-EFC4EA5FD411}"/>
            </c:ext>
          </c:extLst>
        </c:ser>
        <c:ser>
          <c:idx val="3"/>
          <c:order val="3"/>
          <c:tx>
            <c:strRef>
              <c:f>'GRR Calculations (2)'!$W$107</c:f>
              <c:strCache>
                <c:ptCount val="1"/>
                <c:pt idx="0">
                  <c:v>Average</c:v>
                </c:pt>
              </c:strCache>
            </c:strRef>
          </c:tx>
          <c:spPr>
            <a:ln w="25400">
              <a:solidFill>
                <a:srgbClr val="000000"/>
              </a:solidFill>
              <a:prstDash val="solid"/>
            </a:ln>
          </c:spPr>
          <c:marker>
            <c:symbol val="none"/>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(2)'!$W$108:$W$117</c:f>
              <c:numCache>
                <c:formatCode>General</c:formatCode>
                <c:ptCount val="10"/>
                <c:pt idx="0">
                  <c:v>2.5000000000000022E-3</c:v>
                </c:pt>
                <c:pt idx="1">
                  <c:v>2.5000000000000022E-3</c:v>
                </c:pt>
                <c:pt idx="2">
                  <c:v>2.5000000000000022E-3</c:v>
                </c:pt>
                <c:pt idx="3">
                  <c:v>2.5000000000000022E-3</c:v>
                </c:pt>
                <c:pt idx="4">
                  <c:v>2.5000000000000022E-3</c:v>
                </c:pt>
                <c:pt idx="5">
                  <c:v>2.5000000000000022E-3</c:v>
                </c:pt>
                <c:pt idx="6">
                  <c:v>2.5000000000000022E-3</c:v>
                </c:pt>
                <c:pt idx="7">
                  <c:v>2.5000000000000022E-3</c:v>
                </c:pt>
                <c:pt idx="8">
                  <c:v>2.5000000000000022E-3</c:v>
                </c:pt>
                <c:pt idx="9">
                  <c:v>2.5000000000000022E-3</c:v>
                </c:pt>
              </c:numCache>
            </c:numRef>
          </c:val>
          <c:smooth val="0"/>
          <c:extLst>
            <c:ext xmlns:c16="http://schemas.microsoft.com/office/drawing/2014/chart" uri="{C3380CC4-5D6E-409C-BE32-E72D297353CC}">
              <c16:uniqueId val="{00000003-B33D-4A77-86D9-EFC4EA5FD411}"/>
            </c:ext>
          </c:extLst>
        </c:ser>
        <c:ser>
          <c:idx val="4"/>
          <c:order val="4"/>
          <c:tx>
            <c:strRef>
              <c:f>'GRR Calculations (2)'!$Z$107</c:f>
              <c:strCache>
                <c:ptCount val="1"/>
                <c:pt idx="0">
                  <c:v>UCL R</c:v>
                </c:pt>
              </c:strCache>
            </c:strRef>
          </c:tx>
          <c:spPr>
            <a:ln w="12700">
              <a:solidFill>
                <a:srgbClr val="FF0000"/>
              </a:solidFill>
              <a:prstDash val="solid"/>
            </a:ln>
          </c:spPr>
          <c:marker>
            <c:symbol val="none"/>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(2)'!$Z$108:$Z$117</c:f>
              <c:numCache>
                <c:formatCode>General</c:formatCode>
                <c:ptCount val="10"/>
                <c:pt idx="0">
                  <c:v>8.1750000000000069E-3</c:v>
                </c:pt>
                <c:pt idx="1">
                  <c:v>8.1750000000000069E-3</c:v>
                </c:pt>
                <c:pt idx="2">
                  <c:v>8.1750000000000069E-3</c:v>
                </c:pt>
                <c:pt idx="3">
                  <c:v>8.1750000000000069E-3</c:v>
                </c:pt>
                <c:pt idx="4">
                  <c:v>8.1750000000000069E-3</c:v>
                </c:pt>
                <c:pt idx="5">
                  <c:v>8.1750000000000069E-3</c:v>
                </c:pt>
                <c:pt idx="6">
                  <c:v>8.1750000000000069E-3</c:v>
                </c:pt>
                <c:pt idx="7">
                  <c:v>8.1750000000000069E-3</c:v>
                </c:pt>
                <c:pt idx="8">
                  <c:v>8.1750000000000069E-3</c:v>
                </c:pt>
                <c:pt idx="9">
                  <c:v>8.1750000000000069E-3</c:v>
                </c:pt>
              </c:numCache>
            </c:numRef>
          </c:val>
          <c:smooth val="0"/>
          <c:extLst>
            <c:ext xmlns:c16="http://schemas.microsoft.com/office/drawing/2014/chart" uri="{C3380CC4-5D6E-409C-BE32-E72D297353CC}">
              <c16:uniqueId val="{00000004-B33D-4A77-86D9-EFC4EA5FD411}"/>
            </c:ext>
          </c:extLst>
        </c:ser>
        <c:dLbls>
          <c:showLegendKey val="0"/>
          <c:showVal val="0"/>
          <c:showCatName val="0"/>
          <c:showSerName val="0"/>
          <c:showPercent val="0"/>
          <c:showBubbleSize val="0"/>
        </c:dLbls>
        <c:marker val="1"/>
        <c:smooth val="0"/>
        <c:axId val="366308504"/>
        <c:axId val="366313992"/>
      </c:lineChart>
      <c:catAx>
        <c:axId val="366308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313992"/>
        <c:crosses val="autoZero"/>
        <c:auto val="1"/>
        <c:lblAlgn val="ctr"/>
        <c:lblOffset val="100"/>
        <c:tickLblSkip val="1"/>
        <c:tickMarkSkip val="1"/>
        <c:noMultiLvlLbl val="0"/>
      </c:catAx>
      <c:valAx>
        <c:axId val="3663139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308504"/>
        <c:crosses val="autoZero"/>
        <c:crossBetween val="between"/>
      </c:valAx>
      <c:spPr>
        <a:solidFill>
          <a:srgbClr val="C0C0C0"/>
        </a:solidFill>
        <a:ln w="3175">
          <a:solidFill>
            <a:srgbClr val="000000"/>
          </a:solidFill>
          <a:prstDash val="solid"/>
        </a:ln>
      </c:spPr>
    </c:plotArea>
    <c:legend>
      <c:legendPos val="r"/>
      <c:layout>
        <c:manualLayout>
          <c:xMode val="edge"/>
          <c:yMode val="edge"/>
          <c:x val="0.84448229489108773"/>
          <c:y val="0.26009025559280324"/>
          <c:w val="0.14214058428859891"/>
          <c:h val="0.475337363669605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390851448569959E-2"/>
          <c:y val="0.10038628963993432"/>
          <c:w val="0.91228212264834196"/>
          <c:h val="0.72587009431952532"/>
        </c:manualLayout>
      </c:layout>
      <c:lineChart>
        <c:grouping val="standard"/>
        <c:varyColors val="0"/>
        <c:ser>
          <c:idx val="0"/>
          <c:order val="0"/>
          <c:spPr>
            <a:ln w="19050">
              <a:noFill/>
            </a:ln>
          </c:spPr>
          <c:marker>
            <c:symbol val="diamond"/>
            <c:size val="5"/>
            <c:spPr>
              <a:solidFill>
                <a:srgbClr val="000080"/>
              </a:solidFill>
              <a:ln>
                <a:solidFill>
                  <a:srgbClr val="000080"/>
                </a:solidFill>
                <a:prstDash val="solid"/>
              </a:ln>
            </c:spPr>
          </c:marker>
          <c:val>
            <c:numRef>
              <c:f>'GRR Calculations (2)'!$AF$74:$AF$78</c:f>
              <c:numCache>
                <c:formatCode>General</c:formatCode>
                <c:ptCount val="5"/>
                <c:pt idx="0">
                  <c:v>0.52100000000000002</c:v>
                </c:pt>
                <c:pt idx="1">
                  <c:v>0.52200000000000002</c:v>
                </c:pt>
                <c:pt idx="2">
                  <c:v>0.52300000000000002</c:v>
                </c:pt>
                <c:pt idx="3">
                  <c:v>0.52100000000000002</c:v>
                </c:pt>
                <c:pt idx="4">
                  <c:v>0.52500000000000002</c:v>
                </c:pt>
              </c:numCache>
            </c:numRef>
          </c:val>
          <c:smooth val="0"/>
          <c:extLst>
            <c:ext xmlns:c16="http://schemas.microsoft.com/office/drawing/2014/chart" uri="{C3380CC4-5D6E-409C-BE32-E72D297353CC}">
              <c16:uniqueId val="{00000000-F603-45D9-AA0C-57485DA40CAF}"/>
            </c:ext>
          </c:extLst>
        </c:ser>
        <c:ser>
          <c:idx val="1"/>
          <c:order val="1"/>
          <c:spPr>
            <a:ln w="19050">
              <a:noFill/>
            </a:ln>
          </c:spPr>
          <c:marker>
            <c:symbol val="diamond"/>
            <c:size val="5"/>
            <c:spPr>
              <a:solidFill>
                <a:srgbClr val="000080"/>
              </a:solidFill>
              <a:ln>
                <a:solidFill>
                  <a:srgbClr val="000080"/>
                </a:solidFill>
                <a:prstDash val="solid"/>
              </a:ln>
            </c:spPr>
          </c:marker>
          <c:val>
            <c:numRef>
              <c:f>'GRR Calculations (2)'!$AG$74:$AG$78</c:f>
              <c:numCache>
                <c:formatCode>General</c:formatCode>
                <c:ptCount val="5"/>
                <c:pt idx="0">
                  <c:v>0.52100000000000002</c:v>
                </c:pt>
                <c:pt idx="1">
                  <c:v>0.54</c:v>
                </c:pt>
                <c:pt idx="2">
                  <c:v>0.52400000000000002</c:v>
                </c:pt>
                <c:pt idx="3">
                  <c:v>0.52200000000000002</c:v>
                </c:pt>
                <c:pt idx="4">
                  <c:v>0.52400000000000002</c:v>
                </c:pt>
              </c:numCache>
            </c:numRef>
          </c:val>
          <c:smooth val="0"/>
          <c:extLst>
            <c:ext xmlns:c16="http://schemas.microsoft.com/office/drawing/2014/chart" uri="{C3380CC4-5D6E-409C-BE32-E72D297353CC}">
              <c16:uniqueId val="{00000001-F603-45D9-AA0C-57485DA40CAF}"/>
            </c:ext>
          </c:extLst>
        </c:ser>
        <c:ser>
          <c:idx val="2"/>
          <c:order val="2"/>
          <c:spPr>
            <a:ln w="19050">
              <a:noFill/>
            </a:ln>
          </c:spPr>
          <c:marker>
            <c:symbol val="diamond"/>
            <c:size val="5"/>
            <c:spPr>
              <a:solidFill>
                <a:srgbClr val="000080"/>
              </a:solidFill>
              <a:ln>
                <a:solidFill>
                  <a:srgbClr val="000080"/>
                </a:solidFill>
                <a:prstDash val="solid"/>
              </a:ln>
            </c:spPr>
          </c:marker>
          <c:val>
            <c:numRef>
              <c:f>'GRR Calculations (2)'!$AH$74:$AH$78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F603-45D9-AA0C-57485DA40CAF}"/>
            </c:ext>
          </c:extLst>
        </c:ser>
        <c:ser>
          <c:idx val="3"/>
          <c:order val="3"/>
          <c:spPr>
            <a:ln w="19050">
              <a:noFill/>
            </a:ln>
          </c:spPr>
          <c:marker>
            <c:symbol val="diamond"/>
            <c:size val="5"/>
            <c:spPr>
              <a:solidFill>
                <a:srgbClr val="000080"/>
              </a:solidFill>
              <a:ln>
                <a:solidFill>
                  <a:srgbClr val="000080"/>
                </a:solidFill>
                <a:prstDash val="solid"/>
              </a:ln>
            </c:spPr>
          </c:marker>
          <c:val>
            <c:numRef>
              <c:f>'GRR Calculations (2)'!$AI$74:$AI$78</c:f>
              <c:numCache>
                <c:formatCode>General</c:formatCode>
                <c:ptCount val="5"/>
                <c:pt idx="0">
                  <c:v>0.51100000000000001</c:v>
                </c:pt>
                <c:pt idx="1">
                  <c:v>0.52100000000000002</c:v>
                </c:pt>
                <c:pt idx="2">
                  <c:v>0.52200000000000002</c:v>
                </c:pt>
                <c:pt idx="3">
                  <c:v>0.52400000000000002</c:v>
                </c:pt>
                <c:pt idx="4">
                  <c:v>0.52100000000000002</c:v>
                </c:pt>
              </c:numCache>
            </c:numRef>
          </c:val>
          <c:smooth val="0"/>
          <c:extLst>
            <c:ext xmlns:c16="http://schemas.microsoft.com/office/drawing/2014/chart" uri="{C3380CC4-5D6E-409C-BE32-E72D297353CC}">
              <c16:uniqueId val="{00000003-F603-45D9-AA0C-57485DA40CAF}"/>
            </c:ext>
          </c:extLst>
        </c:ser>
        <c:ser>
          <c:idx val="4"/>
          <c:order val="4"/>
          <c:spPr>
            <a:ln w="19050">
              <a:noFill/>
            </a:ln>
          </c:spPr>
          <c:marker>
            <c:symbol val="diamond"/>
            <c:size val="5"/>
            <c:spPr>
              <a:solidFill>
                <a:srgbClr val="000080"/>
              </a:solidFill>
              <a:ln>
                <a:solidFill>
                  <a:srgbClr val="000080"/>
                </a:solidFill>
                <a:prstDash val="solid"/>
              </a:ln>
            </c:spPr>
          </c:marker>
          <c:val>
            <c:numRef>
              <c:f>'GRR Calculations (2)'!$AJ$74:$AJ$78</c:f>
              <c:numCache>
                <c:formatCode>General</c:formatCode>
                <c:ptCount val="5"/>
                <c:pt idx="0">
                  <c:v>0.51300000000000001</c:v>
                </c:pt>
                <c:pt idx="1">
                  <c:v>0.52200000000000002</c:v>
                </c:pt>
                <c:pt idx="2">
                  <c:v>0.52200000000000002</c:v>
                </c:pt>
                <c:pt idx="3">
                  <c:v>0.52300000000000002</c:v>
                </c:pt>
                <c:pt idx="4">
                  <c:v>0.52100000000000002</c:v>
                </c:pt>
              </c:numCache>
            </c:numRef>
          </c:val>
          <c:smooth val="0"/>
          <c:extLst>
            <c:ext xmlns:c16="http://schemas.microsoft.com/office/drawing/2014/chart" uri="{C3380CC4-5D6E-409C-BE32-E72D297353CC}">
              <c16:uniqueId val="{00000004-F603-45D9-AA0C-57485DA40CAF}"/>
            </c:ext>
          </c:extLst>
        </c:ser>
        <c:ser>
          <c:idx val="5"/>
          <c:order val="5"/>
          <c:spPr>
            <a:ln w="19050">
              <a:noFill/>
            </a:ln>
          </c:spPr>
          <c:marker>
            <c:symbol val="diamond"/>
            <c:size val="5"/>
            <c:spPr>
              <a:solidFill>
                <a:srgbClr val="000080"/>
              </a:solidFill>
              <a:ln>
                <a:solidFill>
                  <a:srgbClr val="000080"/>
                </a:solidFill>
                <a:prstDash val="solid"/>
              </a:ln>
            </c:spPr>
          </c:marker>
          <c:val>
            <c:numRef>
              <c:f>'GRR Calculations (2)'!$AK$74:$AK$78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F603-45D9-AA0C-57485DA40CAF}"/>
            </c:ext>
          </c:extLst>
        </c:ser>
        <c:ser>
          <c:idx val="6"/>
          <c:order val="6"/>
          <c:spPr>
            <a:ln w="19050">
              <a:noFill/>
            </a:ln>
          </c:spPr>
          <c:marker>
            <c:symbol val="diamond"/>
            <c:size val="5"/>
            <c:spPr>
              <a:solidFill>
                <a:srgbClr val="000080"/>
              </a:solidFill>
              <a:ln>
                <a:solidFill>
                  <a:srgbClr val="000080"/>
                </a:solidFill>
                <a:prstDash val="solid"/>
              </a:ln>
            </c:spPr>
          </c:marker>
          <c:val>
            <c:numRef>
              <c:f>'GRR Calculations (2)'!$AL$74:$AL$78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F603-45D9-AA0C-57485DA40CAF}"/>
            </c:ext>
          </c:extLst>
        </c:ser>
        <c:ser>
          <c:idx val="7"/>
          <c:order val="7"/>
          <c:spPr>
            <a:ln w="19050">
              <a:noFill/>
            </a:ln>
          </c:spPr>
          <c:marker>
            <c:symbol val="diamond"/>
            <c:size val="5"/>
            <c:spPr>
              <a:solidFill>
                <a:srgbClr val="333399"/>
              </a:solidFill>
              <a:ln>
                <a:solidFill>
                  <a:srgbClr val="333399"/>
                </a:solidFill>
                <a:prstDash val="solid"/>
              </a:ln>
            </c:spPr>
          </c:marker>
          <c:val>
            <c:numRef>
              <c:f>'GRR Calculations (2)'!$AM$74:$AM$78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F603-45D9-AA0C-57485DA40CAF}"/>
            </c:ext>
          </c:extLst>
        </c:ser>
        <c:ser>
          <c:idx val="8"/>
          <c:order val="8"/>
          <c:spPr>
            <a:ln w="19050">
              <a:noFill/>
            </a:ln>
          </c:spPr>
          <c:marker>
            <c:symbol val="diamond"/>
            <c:size val="5"/>
            <c:spPr>
              <a:solidFill>
                <a:srgbClr val="000080"/>
              </a:solidFill>
              <a:ln>
                <a:solidFill>
                  <a:srgbClr val="000080"/>
                </a:solidFill>
                <a:prstDash val="solid"/>
              </a:ln>
            </c:spPr>
          </c:marker>
          <c:val>
            <c:numRef>
              <c:f>'GRR Calculations (2)'!$AN$74:$AN$78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F603-45D9-AA0C-57485DA40CAF}"/>
            </c:ext>
          </c:extLst>
        </c:ser>
        <c:ser>
          <c:idx val="9"/>
          <c:order val="9"/>
          <c:spPr>
            <a:ln w="12700">
              <a:solidFill>
                <a:srgbClr val="000080"/>
              </a:solidFill>
              <a:prstDash val="solid"/>
            </a:ln>
          </c:spPr>
          <c:marker>
            <c:symbol val="none"/>
          </c:marker>
          <c:val>
            <c:numRef>
              <c:f>'GRR Calculations (2)'!$AO$74:$AO$78</c:f>
              <c:numCache>
                <c:formatCode>General</c:formatCode>
                <c:ptCount val="5"/>
                <c:pt idx="0">
                  <c:v>0.51649999999999996</c:v>
                </c:pt>
                <c:pt idx="1">
                  <c:v>0.52625000000000011</c:v>
                </c:pt>
                <c:pt idx="2">
                  <c:v>0.52275000000000005</c:v>
                </c:pt>
                <c:pt idx="3">
                  <c:v>0.52250000000000008</c:v>
                </c:pt>
                <c:pt idx="4">
                  <c:v>0.52274999999999994</c:v>
                </c:pt>
              </c:numCache>
            </c:numRef>
          </c:val>
          <c:smooth val="0"/>
          <c:extLst>
            <c:ext xmlns:c16="http://schemas.microsoft.com/office/drawing/2014/chart" uri="{C3380CC4-5D6E-409C-BE32-E72D297353CC}">
              <c16:uniqueId val="{00000009-F603-45D9-AA0C-57485DA40CAF}"/>
            </c:ext>
          </c:extLst>
        </c:ser>
        <c:dLbls>
          <c:showLegendKey val="0"/>
          <c:showVal val="0"/>
          <c:showCatName val="0"/>
          <c:showSerName val="0"/>
          <c:showPercent val="0"/>
          <c:showBubbleSize val="0"/>
        </c:dLbls>
        <c:marker val="1"/>
        <c:smooth val="0"/>
        <c:axId val="366308896"/>
        <c:axId val="439245472"/>
      </c:lineChart>
      <c:catAx>
        <c:axId val="366308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9245472"/>
        <c:crosses val="autoZero"/>
        <c:auto val="1"/>
        <c:lblAlgn val="ctr"/>
        <c:lblOffset val="100"/>
        <c:tickLblSkip val="1"/>
        <c:tickMarkSkip val="1"/>
        <c:noMultiLvlLbl val="0"/>
      </c:catAx>
      <c:valAx>
        <c:axId val="4392454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30889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82829888712254E-2"/>
          <c:y val="0.10526336598432356"/>
          <c:w val="0.79491255961844198"/>
          <c:h val="0.71255201589388262"/>
        </c:manualLayout>
      </c:layout>
      <c:lineChart>
        <c:grouping val="standard"/>
        <c:varyColors val="0"/>
        <c:ser>
          <c:idx val="0"/>
          <c:order val="0"/>
          <c:spPr>
            <a:ln w="19050">
              <a:noFill/>
            </a:ln>
          </c:spPr>
          <c:marker>
            <c:symbol val="diamond"/>
            <c:size val="5"/>
            <c:spPr>
              <a:solidFill>
                <a:srgbClr val="000080"/>
              </a:solidFill>
              <a:ln>
                <a:solidFill>
                  <a:srgbClr val="000080"/>
                </a:solidFill>
                <a:prstDash val="solid"/>
              </a:ln>
            </c:spPr>
          </c:marker>
          <c:val>
            <c:numRef>
              <c:f>'GRR Calculations (2)'!$AF$74:$AF$78</c:f>
              <c:numCache>
                <c:formatCode>General</c:formatCode>
                <c:ptCount val="5"/>
                <c:pt idx="0">
                  <c:v>0.52100000000000002</c:v>
                </c:pt>
                <c:pt idx="1">
                  <c:v>0.52200000000000002</c:v>
                </c:pt>
                <c:pt idx="2">
                  <c:v>0.52300000000000002</c:v>
                </c:pt>
                <c:pt idx="3">
                  <c:v>0.52100000000000002</c:v>
                </c:pt>
                <c:pt idx="4">
                  <c:v>0.52500000000000002</c:v>
                </c:pt>
              </c:numCache>
            </c:numRef>
          </c:val>
          <c:smooth val="0"/>
          <c:extLst>
            <c:ext xmlns:c16="http://schemas.microsoft.com/office/drawing/2014/chart" uri="{C3380CC4-5D6E-409C-BE32-E72D297353CC}">
              <c16:uniqueId val="{00000000-D633-48C7-AF1D-68770222670B}"/>
            </c:ext>
          </c:extLst>
        </c:ser>
        <c:ser>
          <c:idx val="1"/>
          <c:order val="1"/>
          <c:spPr>
            <a:ln w="19050">
              <a:noFill/>
            </a:ln>
          </c:spPr>
          <c:marker>
            <c:symbol val="diamond"/>
            <c:size val="5"/>
            <c:spPr>
              <a:solidFill>
                <a:srgbClr val="000080"/>
              </a:solidFill>
              <a:ln>
                <a:solidFill>
                  <a:srgbClr val="000080"/>
                </a:solidFill>
                <a:prstDash val="solid"/>
              </a:ln>
            </c:spPr>
          </c:marker>
          <c:val>
            <c:numRef>
              <c:f>'GRR Calculations (2)'!$AG$74:$AG$78</c:f>
              <c:numCache>
                <c:formatCode>General</c:formatCode>
                <c:ptCount val="5"/>
                <c:pt idx="0">
                  <c:v>0.52100000000000002</c:v>
                </c:pt>
                <c:pt idx="1">
                  <c:v>0.54</c:v>
                </c:pt>
                <c:pt idx="2">
                  <c:v>0.52400000000000002</c:v>
                </c:pt>
                <c:pt idx="3">
                  <c:v>0.52200000000000002</c:v>
                </c:pt>
                <c:pt idx="4">
                  <c:v>0.52400000000000002</c:v>
                </c:pt>
              </c:numCache>
            </c:numRef>
          </c:val>
          <c:smooth val="0"/>
          <c:extLst>
            <c:ext xmlns:c16="http://schemas.microsoft.com/office/drawing/2014/chart" uri="{C3380CC4-5D6E-409C-BE32-E72D297353CC}">
              <c16:uniqueId val="{00000001-D633-48C7-AF1D-68770222670B}"/>
            </c:ext>
          </c:extLst>
        </c:ser>
        <c:ser>
          <c:idx val="2"/>
          <c:order val="2"/>
          <c:spPr>
            <a:ln w="19050">
              <a:noFill/>
            </a:ln>
          </c:spPr>
          <c:marker>
            <c:symbol val="diamond"/>
            <c:size val="5"/>
            <c:spPr>
              <a:solidFill>
                <a:srgbClr val="000080"/>
              </a:solidFill>
              <a:ln>
                <a:solidFill>
                  <a:srgbClr val="000080"/>
                </a:solidFill>
                <a:prstDash val="solid"/>
              </a:ln>
            </c:spPr>
          </c:marker>
          <c:val>
            <c:numRef>
              <c:f>'GRR Calculations (2)'!$AH$74:$AH$78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D633-48C7-AF1D-68770222670B}"/>
            </c:ext>
          </c:extLst>
        </c:ser>
        <c:ser>
          <c:idx val="3"/>
          <c:order val="3"/>
          <c:tx>
            <c:strRef>
              <c:f>'GRR Calculations (2)'!$AO$73</c:f>
              <c:strCache>
                <c:ptCount val="1"/>
                <c:pt idx="0">
                  <c:v>Op A</c:v>
                </c:pt>
              </c:strCache>
            </c:strRef>
          </c:tx>
          <c:spPr>
            <a:ln w="12700">
              <a:solidFill>
                <a:srgbClr val="000080"/>
              </a:solidFill>
              <a:prstDash val="solid"/>
            </a:ln>
          </c:spPr>
          <c:marker>
            <c:symbol val="none"/>
          </c:marker>
          <c:val>
            <c:numRef>
              <c:f>'GRR Calculations (2)'!$AO$84:$AO$88</c:f>
              <c:numCache>
                <c:formatCode>General</c:formatCode>
                <c:ptCount val="5"/>
                <c:pt idx="0">
                  <c:v>0.52100000000000002</c:v>
                </c:pt>
                <c:pt idx="1">
                  <c:v>0.53100000000000003</c:v>
                </c:pt>
                <c:pt idx="2">
                  <c:v>0.52350000000000008</c:v>
                </c:pt>
                <c:pt idx="3">
                  <c:v>0.52150000000000007</c:v>
                </c:pt>
                <c:pt idx="4">
                  <c:v>0.52449999999999997</c:v>
                </c:pt>
              </c:numCache>
            </c:numRef>
          </c:val>
          <c:smooth val="0"/>
          <c:extLst>
            <c:ext xmlns:c16="http://schemas.microsoft.com/office/drawing/2014/chart" uri="{C3380CC4-5D6E-409C-BE32-E72D297353CC}">
              <c16:uniqueId val="{00000003-D633-48C7-AF1D-68770222670B}"/>
            </c:ext>
          </c:extLst>
        </c:ser>
        <c:ser>
          <c:idx val="4"/>
          <c:order val="4"/>
          <c:spPr>
            <a:ln w="19050">
              <a:noFill/>
            </a:ln>
          </c:spPr>
          <c:marker>
            <c:symbol val="square"/>
            <c:size val="5"/>
            <c:spPr>
              <a:solidFill>
                <a:srgbClr val="FF00FF"/>
              </a:solidFill>
              <a:ln>
                <a:solidFill>
                  <a:srgbClr val="FF00FF"/>
                </a:solidFill>
                <a:prstDash val="solid"/>
              </a:ln>
            </c:spPr>
          </c:marker>
          <c:val>
            <c:numRef>
              <c:f>'GRR Calculations (2)'!$AI$74:$AI$78</c:f>
              <c:numCache>
                <c:formatCode>General</c:formatCode>
                <c:ptCount val="5"/>
                <c:pt idx="0">
                  <c:v>0.51100000000000001</c:v>
                </c:pt>
                <c:pt idx="1">
                  <c:v>0.52100000000000002</c:v>
                </c:pt>
                <c:pt idx="2">
                  <c:v>0.52200000000000002</c:v>
                </c:pt>
                <c:pt idx="3">
                  <c:v>0.52400000000000002</c:v>
                </c:pt>
                <c:pt idx="4">
                  <c:v>0.52100000000000002</c:v>
                </c:pt>
              </c:numCache>
            </c:numRef>
          </c:val>
          <c:smooth val="0"/>
          <c:extLst>
            <c:ext xmlns:c16="http://schemas.microsoft.com/office/drawing/2014/chart" uri="{C3380CC4-5D6E-409C-BE32-E72D297353CC}">
              <c16:uniqueId val="{00000004-D633-48C7-AF1D-68770222670B}"/>
            </c:ext>
          </c:extLst>
        </c:ser>
        <c:ser>
          <c:idx val="5"/>
          <c:order val="5"/>
          <c:spPr>
            <a:ln w="19050">
              <a:noFill/>
            </a:ln>
          </c:spPr>
          <c:marker>
            <c:symbol val="square"/>
            <c:size val="5"/>
            <c:spPr>
              <a:solidFill>
                <a:srgbClr val="FF00FF"/>
              </a:solidFill>
              <a:ln>
                <a:solidFill>
                  <a:srgbClr val="FF00FF"/>
                </a:solidFill>
                <a:prstDash val="solid"/>
              </a:ln>
            </c:spPr>
          </c:marker>
          <c:val>
            <c:numRef>
              <c:f>'GRR Calculations (2)'!$AJ$74:$AJ$78</c:f>
              <c:numCache>
                <c:formatCode>General</c:formatCode>
                <c:ptCount val="5"/>
                <c:pt idx="0">
                  <c:v>0.51300000000000001</c:v>
                </c:pt>
                <c:pt idx="1">
                  <c:v>0.52200000000000002</c:v>
                </c:pt>
                <c:pt idx="2">
                  <c:v>0.52200000000000002</c:v>
                </c:pt>
                <c:pt idx="3">
                  <c:v>0.52300000000000002</c:v>
                </c:pt>
                <c:pt idx="4">
                  <c:v>0.52100000000000002</c:v>
                </c:pt>
              </c:numCache>
            </c:numRef>
          </c:val>
          <c:smooth val="0"/>
          <c:extLst>
            <c:ext xmlns:c16="http://schemas.microsoft.com/office/drawing/2014/chart" uri="{C3380CC4-5D6E-409C-BE32-E72D297353CC}">
              <c16:uniqueId val="{00000005-D633-48C7-AF1D-68770222670B}"/>
            </c:ext>
          </c:extLst>
        </c:ser>
        <c:ser>
          <c:idx val="6"/>
          <c:order val="6"/>
          <c:spPr>
            <a:ln w="19050">
              <a:noFill/>
            </a:ln>
          </c:spPr>
          <c:marker>
            <c:symbol val="square"/>
            <c:size val="5"/>
            <c:spPr>
              <a:solidFill>
                <a:srgbClr val="FF00FF"/>
              </a:solidFill>
              <a:ln>
                <a:solidFill>
                  <a:srgbClr val="FF00FF"/>
                </a:solidFill>
                <a:prstDash val="solid"/>
              </a:ln>
            </c:spPr>
          </c:marker>
          <c:val>
            <c:numRef>
              <c:f>'GRR Calculations (2)'!$AK$74:$AK$78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D633-48C7-AF1D-68770222670B}"/>
            </c:ext>
          </c:extLst>
        </c:ser>
        <c:ser>
          <c:idx val="7"/>
          <c:order val="7"/>
          <c:tx>
            <c:strRef>
              <c:f>'GRR Calculations (2)'!$AP$73</c:f>
              <c:strCache>
                <c:ptCount val="1"/>
                <c:pt idx="0">
                  <c:v>Op B</c:v>
                </c:pt>
              </c:strCache>
            </c:strRef>
          </c:tx>
          <c:spPr>
            <a:ln w="12700">
              <a:solidFill>
                <a:srgbClr val="FF00FF"/>
              </a:solidFill>
              <a:prstDash val="solid"/>
            </a:ln>
          </c:spPr>
          <c:marker>
            <c:symbol val="none"/>
          </c:marker>
          <c:val>
            <c:numRef>
              <c:f>'GRR Calculations (2)'!$AP$84:$AP$88</c:f>
              <c:numCache>
                <c:formatCode>General</c:formatCode>
                <c:ptCount val="5"/>
                <c:pt idx="0">
                  <c:v>0.51200000000000001</c:v>
                </c:pt>
                <c:pt idx="1">
                  <c:v>0.52150000000000007</c:v>
                </c:pt>
                <c:pt idx="2">
                  <c:v>0.52200000000000002</c:v>
                </c:pt>
                <c:pt idx="3">
                  <c:v>0.52350000000000008</c:v>
                </c:pt>
                <c:pt idx="4">
                  <c:v>0.52100000000000002</c:v>
                </c:pt>
              </c:numCache>
            </c:numRef>
          </c:val>
          <c:smooth val="0"/>
          <c:extLst>
            <c:ext xmlns:c16="http://schemas.microsoft.com/office/drawing/2014/chart" uri="{C3380CC4-5D6E-409C-BE32-E72D297353CC}">
              <c16:uniqueId val="{00000007-D633-48C7-AF1D-68770222670B}"/>
            </c:ext>
          </c:extLst>
        </c:ser>
        <c:ser>
          <c:idx val="8"/>
          <c:order val="8"/>
          <c:spPr>
            <a:ln w="19050">
              <a:noFill/>
            </a:ln>
          </c:spPr>
          <c:marker>
            <c:symbol val="triangle"/>
            <c:size val="5"/>
            <c:spPr>
              <a:solidFill>
                <a:srgbClr val="FFFF00"/>
              </a:solidFill>
              <a:ln>
                <a:solidFill>
                  <a:srgbClr val="FFFF00"/>
                </a:solidFill>
                <a:prstDash val="solid"/>
              </a:ln>
            </c:spPr>
          </c:marker>
          <c:val>
            <c:numRef>
              <c:f>'GRR Calculations (2)'!$AL$74:$AL$78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D633-48C7-AF1D-68770222670B}"/>
            </c:ext>
          </c:extLst>
        </c:ser>
        <c:ser>
          <c:idx val="9"/>
          <c:order val="9"/>
          <c:spPr>
            <a:ln w="19050">
              <a:noFill/>
            </a:ln>
          </c:spPr>
          <c:marker>
            <c:symbol val="triangle"/>
            <c:size val="5"/>
            <c:spPr>
              <a:solidFill>
                <a:srgbClr val="FFFF00"/>
              </a:solidFill>
              <a:ln>
                <a:solidFill>
                  <a:srgbClr val="FFFF00"/>
                </a:solidFill>
                <a:prstDash val="solid"/>
              </a:ln>
            </c:spPr>
          </c:marker>
          <c:val>
            <c:numRef>
              <c:f>'GRR Calculations (2)'!$AM$74:$AM$78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D633-48C7-AF1D-68770222670B}"/>
            </c:ext>
          </c:extLst>
        </c:ser>
        <c:ser>
          <c:idx val="10"/>
          <c:order val="10"/>
          <c:spPr>
            <a:ln w="19050">
              <a:noFill/>
            </a:ln>
          </c:spPr>
          <c:marker>
            <c:symbol val="triangle"/>
            <c:size val="5"/>
            <c:spPr>
              <a:solidFill>
                <a:srgbClr val="FFFF00"/>
              </a:solidFill>
              <a:ln>
                <a:solidFill>
                  <a:srgbClr val="FFFF00"/>
                </a:solidFill>
                <a:prstDash val="solid"/>
              </a:ln>
            </c:spPr>
          </c:marker>
          <c:val>
            <c:numRef>
              <c:f>'GRR Calculations (2)'!$AN$74:$AN$78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D633-48C7-AF1D-68770222670B}"/>
            </c:ext>
          </c:extLst>
        </c:ser>
        <c:ser>
          <c:idx val="11"/>
          <c:order val="11"/>
          <c:tx>
            <c:strRef>
              <c:f>'GRR Calculations (2)'!$AQ$73</c:f>
              <c:strCache>
                <c:ptCount val="1"/>
                <c:pt idx="0">
                  <c:v>Op C</c:v>
                </c:pt>
              </c:strCache>
            </c:strRef>
          </c:tx>
          <c:spPr>
            <a:ln w="12700">
              <a:solidFill>
                <a:srgbClr val="FFFF00"/>
              </a:solidFill>
              <a:prstDash val="solid"/>
            </a:ln>
          </c:spPr>
          <c:marker>
            <c:symbol val="none"/>
          </c:marker>
          <c:val>
            <c:numRef>
              <c:f>'GRR Calculations (2)'!$AQ$84:$AQ$88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D633-48C7-AF1D-68770222670B}"/>
            </c:ext>
          </c:extLst>
        </c:ser>
        <c:dLbls>
          <c:showLegendKey val="0"/>
          <c:showVal val="0"/>
          <c:showCatName val="0"/>
          <c:showSerName val="0"/>
          <c:showPercent val="0"/>
          <c:showBubbleSize val="0"/>
        </c:dLbls>
        <c:marker val="1"/>
        <c:smooth val="0"/>
        <c:axId val="439245864"/>
        <c:axId val="439247040"/>
      </c:lineChart>
      <c:catAx>
        <c:axId val="439245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9247040"/>
        <c:crosses val="autoZero"/>
        <c:auto val="1"/>
        <c:lblAlgn val="ctr"/>
        <c:lblOffset val="100"/>
        <c:tickLblSkip val="1"/>
        <c:tickMarkSkip val="1"/>
        <c:noMultiLvlLbl val="0"/>
      </c:catAx>
      <c:valAx>
        <c:axId val="4392470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9245864"/>
        <c:crosses val="autoZero"/>
        <c:crossBetween val="between"/>
      </c:valAx>
      <c:spPr>
        <a:solidFill>
          <a:srgbClr val="C0C0C0"/>
        </a:solidFill>
        <a:ln w="3175">
          <a:solidFill>
            <a:srgbClr val="000000"/>
          </a:solidFill>
          <a:prstDash val="solid"/>
        </a:ln>
      </c:spPr>
    </c:plotArea>
    <c:legend>
      <c:legendPos val="r"/>
      <c:legendEntry>
        <c:idx val="0"/>
        <c:delete val="1"/>
      </c:legendEntry>
      <c:legendEntry>
        <c:idx val="1"/>
        <c:delete val="1"/>
      </c:legendEntry>
      <c:legendEntry>
        <c:idx val="2"/>
        <c:delete val="1"/>
      </c:legendEntry>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ayout>
        <c:manualLayout>
          <c:xMode val="edge"/>
          <c:yMode val="edge"/>
          <c:x val="0.87758346581875979"/>
          <c:y val="0.33198446195055914"/>
          <c:w val="0.10969793322734499"/>
          <c:h val="0.2591098239614118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Operator</a:t>
            </a:r>
          </a:p>
        </c:rich>
      </c:tx>
      <c:layout>
        <c:manualLayout>
          <c:xMode val="edge"/>
          <c:yMode val="edge"/>
          <c:x val="0.4558062782697736"/>
          <c:y val="2.2522621597962401E-2"/>
        </c:manualLayout>
      </c:layout>
      <c:overlay val="0"/>
      <c:spPr>
        <a:noFill/>
        <a:ln w="25400">
          <a:noFill/>
        </a:ln>
      </c:spPr>
    </c:title>
    <c:autoTitleDeleted val="0"/>
    <c:plotArea>
      <c:layout>
        <c:manualLayout>
          <c:layoutTarget val="inner"/>
          <c:xMode val="edge"/>
          <c:yMode val="edge"/>
          <c:x val="7.1057252505934268E-2"/>
          <c:y val="0.25225336189717895"/>
          <c:w val="0.90468014166091926"/>
          <c:h val="0.5450474426706905"/>
        </c:manualLayout>
      </c:layout>
      <c:lineChart>
        <c:grouping val="standard"/>
        <c:varyColors val="0"/>
        <c:ser>
          <c:idx val="0"/>
          <c:order val="0"/>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(2)'!$AS$72:$AS$73</c:f>
              <c:numCache>
                <c:formatCode>General</c:formatCode>
                <c:ptCount val="2"/>
                <c:pt idx="0">
                  <c:v>0.52100000000000002</c:v>
                </c:pt>
                <c:pt idx="1">
                  <c:v>0.51100000000000001</c:v>
                </c:pt>
              </c:numCache>
            </c:numRef>
          </c:val>
          <c:smooth val="0"/>
          <c:extLst>
            <c:ext xmlns:c16="http://schemas.microsoft.com/office/drawing/2014/chart" uri="{C3380CC4-5D6E-409C-BE32-E72D297353CC}">
              <c16:uniqueId val="{00000000-A757-4D60-8ADF-27574B8E3861}"/>
            </c:ext>
          </c:extLst>
        </c:ser>
        <c:ser>
          <c:idx val="1"/>
          <c:order val="1"/>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(2)'!$AT$72:$AT$73</c:f>
              <c:numCache>
                <c:formatCode>General</c:formatCode>
                <c:ptCount val="2"/>
                <c:pt idx="0">
                  <c:v>0.52100000000000002</c:v>
                </c:pt>
                <c:pt idx="1">
                  <c:v>0.51300000000000001</c:v>
                </c:pt>
              </c:numCache>
            </c:numRef>
          </c:val>
          <c:smooth val="0"/>
          <c:extLst>
            <c:ext xmlns:c16="http://schemas.microsoft.com/office/drawing/2014/chart" uri="{C3380CC4-5D6E-409C-BE32-E72D297353CC}">
              <c16:uniqueId val="{00000001-A757-4D60-8ADF-27574B8E3861}"/>
            </c:ext>
          </c:extLst>
        </c:ser>
        <c:ser>
          <c:idx val="2"/>
          <c:order val="2"/>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(2)'!$AU$72:$AU$73</c:f>
              <c:numCache>
                <c:formatCode>General</c:formatCode>
                <c:ptCount val="2"/>
                <c:pt idx="0">
                  <c:v>#N/A</c:v>
                </c:pt>
                <c:pt idx="1">
                  <c:v>#N/A</c:v>
                </c:pt>
              </c:numCache>
            </c:numRef>
          </c:val>
          <c:smooth val="0"/>
          <c:extLst>
            <c:ext xmlns:c16="http://schemas.microsoft.com/office/drawing/2014/chart" uri="{C3380CC4-5D6E-409C-BE32-E72D297353CC}">
              <c16:uniqueId val="{00000002-A757-4D60-8ADF-27574B8E3861}"/>
            </c:ext>
          </c:extLst>
        </c:ser>
        <c:ser>
          <c:idx val="3"/>
          <c:order val="3"/>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(2)'!$AV$72:$AV$73</c:f>
              <c:numCache>
                <c:formatCode>General</c:formatCode>
                <c:ptCount val="2"/>
                <c:pt idx="0">
                  <c:v>0.52200000000000002</c:v>
                </c:pt>
                <c:pt idx="1">
                  <c:v>0.52100000000000002</c:v>
                </c:pt>
              </c:numCache>
            </c:numRef>
          </c:val>
          <c:smooth val="0"/>
          <c:extLst>
            <c:ext xmlns:c16="http://schemas.microsoft.com/office/drawing/2014/chart" uri="{C3380CC4-5D6E-409C-BE32-E72D297353CC}">
              <c16:uniqueId val="{00000003-A757-4D60-8ADF-27574B8E3861}"/>
            </c:ext>
          </c:extLst>
        </c:ser>
        <c:ser>
          <c:idx val="4"/>
          <c:order val="4"/>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(2)'!$AW$72:$AW$73</c:f>
              <c:numCache>
                <c:formatCode>General</c:formatCode>
                <c:ptCount val="2"/>
                <c:pt idx="0">
                  <c:v>0.54</c:v>
                </c:pt>
                <c:pt idx="1">
                  <c:v>0.52200000000000002</c:v>
                </c:pt>
              </c:numCache>
            </c:numRef>
          </c:val>
          <c:smooth val="0"/>
          <c:extLst>
            <c:ext xmlns:c16="http://schemas.microsoft.com/office/drawing/2014/chart" uri="{C3380CC4-5D6E-409C-BE32-E72D297353CC}">
              <c16:uniqueId val="{00000004-A757-4D60-8ADF-27574B8E3861}"/>
            </c:ext>
          </c:extLst>
        </c:ser>
        <c:ser>
          <c:idx val="5"/>
          <c:order val="5"/>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(2)'!$AX$72:$AX$73</c:f>
              <c:numCache>
                <c:formatCode>General</c:formatCode>
                <c:ptCount val="2"/>
                <c:pt idx="0">
                  <c:v>#N/A</c:v>
                </c:pt>
                <c:pt idx="1">
                  <c:v>#N/A</c:v>
                </c:pt>
              </c:numCache>
            </c:numRef>
          </c:val>
          <c:smooth val="0"/>
          <c:extLst>
            <c:ext xmlns:c16="http://schemas.microsoft.com/office/drawing/2014/chart" uri="{C3380CC4-5D6E-409C-BE32-E72D297353CC}">
              <c16:uniqueId val="{00000005-A757-4D60-8ADF-27574B8E3861}"/>
            </c:ext>
          </c:extLst>
        </c:ser>
        <c:ser>
          <c:idx val="6"/>
          <c:order val="6"/>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(2)'!$AY$72:$AY$73</c:f>
              <c:numCache>
                <c:formatCode>General</c:formatCode>
                <c:ptCount val="2"/>
                <c:pt idx="0">
                  <c:v>0.52300000000000002</c:v>
                </c:pt>
                <c:pt idx="1">
                  <c:v>0.52200000000000002</c:v>
                </c:pt>
              </c:numCache>
            </c:numRef>
          </c:val>
          <c:smooth val="0"/>
          <c:extLst>
            <c:ext xmlns:c16="http://schemas.microsoft.com/office/drawing/2014/chart" uri="{C3380CC4-5D6E-409C-BE32-E72D297353CC}">
              <c16:uniqueId val="{00000006-A757-4D60-8ADF-27574B8E3861}"/>
            </c:ext>
          </c:extLst>
        </c:ser>
        <c:ser>
          <c:idx val="7"/>
          <c:order val="7"/>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(2)'!$AZ$72:$AZ$73</c:f>
              <c:numCache>
                <c:formatCode>General</c:formatCode>
                <c:ptCount val="2"/>
                <c:pt idx="0">
                  <c:v>0.52400000000000002</c:v>
                </c:pt>
                <c:pt idx="1">
                  <c:v>0.52200000000000002</c:v>
                </c:pt>
              </c:numCache>
            </c:numRef>
          </c:val>
          <c:smooth val="0"/>
          <c:extLst>
            <c:ext xmlns:c16="http://schemas.microsoft.com/office/drawing/2014/chart" uri="{C3380CC4-5D6E-409C-BE32-E72D297353CC}">
              <c16:uniqueId val="{00000007-A757-4D60-8ADF-27574B8E3861}"/>
            </c:ext>
          </c:extLst>
        </c:ser>
        <c:ser>
          <c:idx val="8"/>
          <c:order val="8"/>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(2)'!$BA$72:$BA$73</c:f>
              <c:numCache>
                <c:formatCode>General</c:formatCode>
                <c:ptCount val="2"/>
                <c:pt idx="0">
                  <c:v>#N/A</c:v>
                </c:pt>
                <c:pt idx="1">
                  <c:v>#N/A</c:v>
                </c:pt>
              </c:numCache>
            </c:numRef>
          </c:val>
          <c:smooth val="0"/>
          <c:extLst>
            <c:ext xmlns:c16="http://schemas.microsoft.com/office/drawing/2014/chart" uri="{C3380CC4-5D6E-409C-BE32-E72D297353CC}">
              <c16:uniqueId val="{00000008-A757-4D60-8ADF-27574B8E3861}"/>
            </c:ext>
          </c:extLst>
        </c:ser>
        <c:ser>
          <c:idx val="9"/>
          <c:order val="9"/>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(2)'!$BB$72:$BB$73</c:f>
              <c:numCache>
                <c:formatCode>General</c:formatCode>
                <c:ptCount val="2"/>
                <c:pt idx="0">
                  <c:v>0.52100000000000002</c:v>
                </c:pt>
                <c:pt idx="1">
                  <c:v>0.52400000000000002</c:v>
                </c:pt>
              </c:numCache>
            </c:numRef>
          </c:val>
          <c:smooth val="0"/>
          <c:extLst>
            <c:ext xmlns:c16="http://schemas.microsoft.com/office/drawing/2014/chart" uri="{C3380CC4-5D6E-409C-BE32-E72D297353CC}">
              <c16:uniqueId val="{00000009-A757-4D60-8ADF-27574B8E3861}"/>
            </c:ext>
          </c:extLst>
        </c:ser>
        <c:ser>
          <c:idx val="10"/>
          <c:order val="10"/>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(2)'!$BC$72:$BC$73</c:f>
              <c:numCache>
                <c:formatCode>General</c:formatCode>
                <c:ptCount val="2"/>
                <c:pt idx="0">
                  <c:v>0.52200000000000002</c:v>
                </c:pt>
                <c:pt idx="1">
                  <c:v>0.52300000000000002</c:v>
                </c:pt>
              </c:numCache>
            </c:numRef>
          </c:val>
          <c:smooth val="0"/>
          <c:extLst>
            <c:ext xmlns:c16="http://schemas.microsoft.com/office/drawing/2014/chart" uri="{C3380CC4-5D6E-409C-BE32-E72D297353CC}">
              <c16:uniqueId val="{0000000A-A757-4D60-8ADF-27574B8E3861}"/>
            </c:ext>
          </c:extLst>
        </c:ser>
        <c:ser>
          <c:idx val="11"/>
          <c:order val="11"/>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(2)'!$BD$72:$BD$73</c:f>
              <c:numCache>
                <c:formatCode>General</c:formatCode>
                <c:ptCount val="2"/>
                <c:pt idx="0">
                  <c:v>#N/A</c:v>
                </c:pt>
                <c:pt idx="1">
                  <c:v>#N/A</c:v>
                </c:pt>
              </c:numCache>
            </c:numRef>
          </c:val>
          <c:smooth val="0"/>
          <c:extLst>
            <c:ext xmlns:c16="http://schemas.microsoft.com/office/drawing/2014/chart" uri="{C3380CC4-5D6E-409C-BE32-E72D297353CC}">
              <c16:uniqueId val="{0000000B-A757-4D60-8ADF-27574B8E3861}"/>
            </c:ext>
          </c:extLst>
        </c:ser>
        <c:ser>
          <c:idx val="12"/>
          <c:order val="12"/>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(2)'!$BE$72:$BE$73</c:f>
              <c:numCache>
                <c:formatCode>General</c:formatCode>
                <c:ptCount val="2"/>
                <c:pt idx="0">
                  <c:v>0.52500000000000002</c:v>
                </c:pt>
                <c:pt idx="1">
                  <c:v>0.52100000000000002</c:v>
                </c:pt>
              </c:numCache>
            </c:numRef>
          </c:val>
          <c:smooth val="0"/>
          <c:extLst>
            <c:ext xmlns:c16="http://schemas.microsoft.com/office/drawing/2014/chart" uri="{C3380CC4-5D6E-409C-BE32-E72D297353CC}">
              <c16:uniqueId val="{0000000C-A757-4D60-8ADF-27574B8E3861}"/>
            </c:ext>
          </c:extLst>
        </c:ser>
        <c:ser>
          <c:idx val="13"/>
          <c:order val="13"/>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(2)'!$BF$72:$BF$73</c:f>
              <c:numCache>
                <c:formatCode>General</c:formatCode>
                <c:ptCount val="2"/>
                <c:pt idx="0">
                  <c:v>0.52400000000000002</c:v>
                </c:pt>
                <c:pt idx="1">
                  <c:v>0.52100000000000002</c:v>
                </c:pt>
              </c:numCache>
            </c:numRef>
          </c:val>
          <c:smooth val="0"/>
          <c:extLst>
            <c:ext xmlns:c16="http://schemas.microsoft.com/office/drawing/2014/chart" uri="{C3380CC4-5D6E-409C-BE32-E72D297353CC}">
              <c16:uniqueId val="{0000000D-A757-4D60-8ADF-27574B8E3861}"/>
            </c:ext>
          </c:extLst>
        </c:ser>
        <c:ser>
          <c:idx val="14"/>
          <c:order val="14"/>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(2)'!$BG$72:$BG$73</c:f>
              <c:numCache>
                <c:formatCode>General</c:formatCode>
                <c:ptCount val="2"/>
                <c:pt idx="0">
                  <c:v>#N/A</c:v>
                </c:pt>
                <c:pt idx="1">
                  <c:v>#N/A</c:v>
                </c:pt>
              </c:numCache>
            </c:numRef>
          </c:val>
          <c:smooth val="0"/>
          <c:extLst>
            <c:ext xmlns:c16="http://schemas.microsoft.com/office/drawing/2014/chart" uri="{C3380CC4-5D6E-409C-BE32-E72D297353CC}">
              <c16:uniqueId val="{0000000E-A757-4D60-8ADF-27574B8E3861}"/>
            </c:ext>
          </c:extLst>
        </c:ser>
        <c:ser>
          <c:idx val="15"/>
          <c:order val="15"/>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(2)'!$BH$72:$BH$73</c:f>
              <c:numCache>
                <c:formatCode>General</c:formatCode>
                <c:ptCount val="2"/>
                <c:pt idx="0">
                  <c:v>#N/A</c:v>
                </c:pt>
                <c:pt idx="1">
                  <c:v>#N/A</c:v>
                </c:pt>
              </c:numCache>
            </c:numRef>
          </c:val>
          <c:smooth val="0"/>
          <c:extLst>
            <c:ext xmlns:c16="http://schemas.microsoft.com/office/drawing/2014/chart" uri="{C3380CC4-5D6E-409C-BE32-E72D297353CC}">
              <c16:uniqueId val="{0000000F-A757-4D60-8ADF-27574B8E3861}"/>
            </c:ext>
          </c:extLst>
        </c:ser>
        <c:ser>
          <c:idx val="16"/>
          <c:order val="16"/>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(2)'!$BI$72:$BI$73</c:f>
              <c:numCache>
                <c:formatCode>General</c:formatCode>
                <c:ptCount val="2"/>
                <c:pt idx="0">
                  <c:v>#N/A</c:v>
                </c:pt>
                <c:pt idx="1">
                  <c:v>#N/A</c:v>
                </c:pt>
              </c:numCache>
            </c:numRef>
          </c:val>
          <c:smooth val="0"/>
          <c:extLst>
            <c:ext xmlns:c16="http://schemas.microsoft.com/office/drawing/2014/chart" uri="{C3380CC4-5D6E-409C-BE32-E72D297353CC}">
              <c16:uniqueId val="{00000010-A757-4D60-8ADF-27574B8E3861}"/>
            </c:ext>
          </c:extLst>
        </c:ser>
        <c:ser>
          <c:idx val="17"/>
          <c:order val="17"/>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(2)'!$BJ$72:$BJ$73</c:f>
              <c:numCache>
                <c:formatCode>General</c:formatCode>
                <c:ptCount val="2"/>
                <c:pt idx="0">
                  <c:v>#N/A</c:v>
                </c:pt>
                <c:pt idx="1">
                  <c:v>#N/A</c:v>
                </c:pt>
              </c:numCache>
            </c:numRef>
          </c:val>
          <c:smooth val="0"/>
          <c:extLst>
            <c:ext xmlns:c16="http://schemas.microsoft.com/office/drawing/2014/chart" uri="{C3380CC4-5D6E-409C-BE32-E72D297353CC}">
              <c16:uniqueId val="{00000011-A757-4D60-8ADF-27574B8E3861}"/>
            </c:ext>
          </c:extLst>
        </c:ser>
        <c:ser>
          <c:idx val="18"/>
          <c:order val="18"/>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(2)'!$BK$72:$BK$73</c:f>
              <c:numCache>
                <c:formatCode>General</c:formatCode>
                <c:ptCount val="2"/>
                <c:pt idx="0">
                  <c:v>#N/A</c:v>
                </c:pt>
                <c:pt idx="1">
                  <c:v>#N/A</c:v>
                </c:pt>
              </c:numCache>
            </c:numRef>
          </c:val>
          <c:smooth val="0"/>
          <c:extLst>
            <c:ext xmlns:c16="http://schemas.microsoft.com/office/drawing/2014/chart" uri="{C3380CC4-5D6E-409C-BE32-E72D297353CC}">
              <c16:uniqueId val="{00000012-A757-4D60-8ADF-27574B8E3861}"/>
            </c:ext>
          </c:extLst>
        </c:ser>
        <c:ser>
          <c:idx val="19"/>
          <c:order val="19"/>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(2)'!$BL$72:$BL$73</c:f>
              <c:numCache>
                <c:formatCode>General</c:formatCode>
                <c:ptCount val="2"/>
                <c:pt idx="0">
                  <c:v>#N/A</c:v>
                </c:pt>
                <c:pt idx="1">
                  <c:v>#N/A</c:v>
                </c:pt>
              </c:numCache>
            </c:numRef>
          </c:val>
          <c:smooth val="0"/>
          <c:extLst>
            <c:ext xmlns:c16="http://schemas.microsoft.com/office/drawing/2014/chart" uri="{C3380CC4-5D6E-409C-BE32-E72D297353CC}">
              <c16:uniqueId val="{00000013-A757-4D60-8ADF-27574B8E3861}"/>
            </c:ext>
          </c:extLst>
        </c:ser>
        <c:ser>
          <c:idx val="20"/>
          <c:order val="20"/>
          <c:spPr>
            <a:ln w="19050">
              <a:noFill/>
            </a:ln>
          </c:spPr>
          <c:marker>
            <c:symbol val="diamond"/>
            <c:size val="5"/>
            <c:spPr>
              <a:solidFill>
                <a:srgbClr val="000080"/>
              </a:solidFill>
              <a:ln>
                <a:solidFill>
                  <a:srgbClr val="333399"/>
                </a:solidFill>
                <a:prstDash val="solid"/>
              </a:ln>
            </c:spPr>
          </c:marker>
          <c:cat>
            <c:strRef>
              <c:f>'GRR Calculations (2)'!$AR$72:$AR$73</c:f>
              <c:strCache>
                <c:ptCount val="2"/>
                <c:pt idx="0">
                  <c:v>Op A</c:v>
                </c:pt>
                <c:pt idx="1">
                  <c:v>Op B</c:v>
                </c:pt>
              </c:strCache>
            </c:strRef>
          </c:cat>
          <c:val>
            <c:numRef>
              <c:f>'GRR Calculations (2)'!$BM$72:$BM$73</c:f>
              <c:numCache>
                <c:formatCode>General</c:formatCode>
                <c:ptCount val="2"/>
                <c:pt idx="0">
                  <c:v>#N/A</c:v>
                </c:pt>
                <c:pt idx="1">
                  <c:v>#N/A</c:v>
                </c:pt>
              </c:numCache>
            </c:numRef>
          </c:val>
          <c:smooth val="0"/>
          <c:extLst>
            <c:ext xmlns:c16="http://schemas.microsoft.com/office/drawing/2014/chart" uri="{C3380CC4-5D6E-409C-BE32-E72D297353CC}">
              <c16:uniqueId val="{00000014-A757-4D60-8ADF-27574B8E3861}"/>
            </c:ext>
          </c:extLst>
        </c:ser>
        <c:ser>
          <c:idx val="21"/>
          <c:order val="21"/>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(2)'!$BN$72:$BN$73</c:f>
              <c:numCache>
                <c:formatCode>General</c:formatCode>
                <c:ptCount val="2"/>
                <c:pt idx="0">
                  <c:v>#N/A</c:v>
                </c:pt>
                <c:pt idx="1">
                  <c:v>#N/A</c:v>
                </c:pt>
              </c:numCache>
            </c:numRef>
          </c:val>
          <c:smooth val="0"/>
          <c:extLst>
            <c:ext xmlns:c16="http://schemas.microsoft.com/office/drawing/2014/chart" uri="{C3380CC4-5D6E-409C-BE32-E72D297353CC}">
              <c16:uniqueId val="{00000015-A757-4D60-8ADF-27574B8E3861}"/>
            </c:ext>
          </c:extLst>
        </c:ser>
        <c:ser>
          <c:idx val="22"/>
          <c:order val="22"/>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(2)'!$BO$72:$BO$73</c:f>
              <c:numCache>
                <c:formatCode>General</c:formatCode>
                <c:ptCount val="2"/>
                <c:pt idx="0">
                  <c:v>#N/A</c:v>
                </c:pt>
                <c:pt idx="1">
                  <c:v>#N/A</c:v>
                </c:pt>
              </c:numCache>
            </c:numRef>
          </c:val>
          <c:smooth val="0"/>
          <c:extLst>
            <c:ext xmlns:c16="http://schemas.microsoft.com/office/drawing/2014/chart" uri="{C3380CC4-5D6E-409C-BE32-E72D297353CC}">
              <c16:uniqueId val="{00000016-A757-4D60-8ADF-27574B8E3861}"/>
            </c:ext>
          </c:extLst>
        </c:ser>
        <c:ser>
          <c:idx val="23"/>
          <c:order val="23"/>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(2)'!$BP$72:$BP$73</c:f>
              <c:numCache>
                <c:formatCode>General</c:formatCode>
                <c:ptCount val="2"/>
                <c:pt idx="0">
                  <c:v>#N/A</c:v>
                </c:pt>
                <c:pt idx="1">
                  <c:v>#N/A</c:v>
                </c:pt>
              </c:numCache>
            </c:numRef>
          </c:val>
          <c:smooth val="0"/>
          <c:extLst>
            <c:ext xmlns:c16="http://schemas.microsoft.com/office/drawing/2014/chart" uri="{C3380CC4-5D6E-409C-BE32-E72D297353CC}">
              <c16:uniqueId val="{00000017-A757-4D60-8ADF-27574B8E3861}"/>
            </c:ext>
          </c:extLst>
        </c:ser>
        <c:ser>
          <c:idx val="24"/>
          <c:order val="24"/>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(2)'!$BQ$72:$BQ$73</c:f>
              <c:numCache>
                <c:formatCode>General</c:formatCode>
                <c:ptCount val="2"/>
                <c:pt idx="0">
                  <c:v>#N/A</c:v>
                </c:pt>
                <c:pt idx="1">
                  <c:v>#N/A</c:v>
                </c:pt>
              </c:numCache>
            </c:numRef>
          </c:val>
          <c:smooth val="0"/>
          <c:extLst>
            <c:ext xmlns:c16="http://schemas.microsoft.com/office/drawing/2014/chart" uri="{C3380CC4-5D6E-409C-BE32-E72D297353CC}">
              <c16:uniqueId val="{00000018-A757-4D60-8ADF-27574B8E3861}"/>
            </c:ext>
          </c:extLst>
        </c:ser>
        <c:ser>
          <c:idx val="25"/>
          <c:order val="25"/>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(2)'!$BR$72:$BR$73</c:f>
              <c:numCache>
                <c:formatCode>General</c:formatCode>
                <c:ptCount val="2"/>
                <c:pt idx="0">
                  <c:v>#N/A</c:v>
                </c:pt>
                <c:pt idx="1">
                  <c:v>#N/A</c:v>
                </c:pt>
              </c:numCache>
            </c:numRef>
          </c:val>
          <c:smooth val="0"/>
          <c:extLst>
            <c:ext xmlns:c16="http://schemas.microsoft.com/office/drawing/2014/chart" uri="{C3380CC4-5D6E-409C-BE32-E72D297353CC}">
              <c16:uniqueId val="{00000019-A757-4D60-8ADF-27574B8E3861}"/>
            </c:ext>
          </c:extLst>
        </c:ser>
        <c:ser>
          <c:idx val="26"/>
          <c:order val="26"/>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(2)'!$BS$72:$BS$73</c:f>
              <c:numCache>
                <c:formatCode>General</c:formatCode>
                <c:ptCount val="2"/>
                <c:pt idx="0">
                  <c:v>#N/A</c:v>
                </c:pt>
                <c:pt idx="1">
                  <c:v>#N/A</c:v>
                </c:pt>
              </c:numCache>
            </c:numRef>
          </c:val>
          <c:smooth val="0"/>
          <c:extLst>
            <c:ext xmlns:c16="http://schemas.microsoft.com/office/drawing/2014/chart" uri="{C3380CC4-5D6E-409C-BE32-E72D297353CC}">
              <c16:uniqueId val="{0000001A-A757-4D60-8ADF-27574B8E3861}"/>
            </c:ext>
          </c:extLst>
        </c:ser>
        <c:ser>
          <c:idx val="27"/>
          <c:order val="27"/>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(2)'!$BT$72:$BT$73</c:f>
              <c:numCache>
                <c:formatCode>General</c:formatCode>
                <c:ptCount val="2"/>
                <c:pt idx="0">
                  <c:v>#N/A</c:v>
                </c:pt>
                <c:pt idx="1">
                  <c:v>#N/A</c:v>
                </c:pt>
              </c:numCache>
            </c:numRef>
          </c:val>
          <c:smooth val="0"/>
          <c:extLst>
            <c:ext xmlns:c16="http://schemas.microsoft.com/office/drawing/2014/chart" uri="{C3380CC4-5D6E-409C-BE32-E72D297353CC}">
              <c16:uniqueId val="{0000001B-A757-4D60-8ADF-27574B8E3861}"/>
            </c:ext>
          </c:extLst>
        </c:ser>
        <c:ser>
          <c:idx val="28"/>
          <c:order val="28"/>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(2)'!$BU$72:$BU$73</c:f>
              <c:numCache>
                <c:formatCode>General</c:formatCode>
                <c:ptCount val="2"/>
                <c:pt idx="0">
                  <c:v>#N/A</c:v>
                </c:pt>
                <c:pt idx="1">
                  <c:v>#N/A</c:v>
                </c:pt>
              </c:numCache>
            </c:numRef>
          </c:val>
          <c:smooth val="0"/>
          <c:extLst>
            <c:ext xmlns:c16="http://schemas.microsoft.com/office/drawing/2014/chart" uri="{C3380CC4-5D6E-409C-BE32-E72D297353CC}">
              <c16:uniqueId val="{0000001C-A757-4D60-8ADF-27574B8E3861}"/>
            </c:ext>
          </c:extLst>
        </c:ser>
        <c:ser>
          <c:idx val="29"/>
          <c:order val="29"/>
          <c:spPr>
            <a:ln w="19050">
              <a:noFill/>
            </a:ln>
          </c:spPr>
          <c:marker>
            <c:symbol val="diamond"/>
            <c:size val="5"/>
            <c:spPr>
              <a:solidFill>
                <a:srgbClr val="000080"/>
              </a:solidFill>
              <a:ln>
                <a:solidFill>
                  <a:srgbClr val="000080"/>
                </a:solidFill>
                <a:prstDash val="solid"/>
              </a:ln>
            </c:spPr>
          </c:marker>
          <c:cat>
            <c:strRef>
              <c:f>'GRR Calculations (2)'!$AR$72:$AR$73</c:f>
              <c:strCache>
                <c:ptCount val="2"/>
                <c:pt idx="0">
                  <c:v>Op A</c:v>
                </c:pt>
                <c:pt idx="1">
                  <c:v>Op B</c:v>
                </c:pt>
              </c:strCache>
            </c:strRef>
          </c:cat>
          <c:val>
            <c:numRef>
              <c:f>'GRR Calculations (2)'!$BV$72:$BV$73</c:f>
              <c:numCache>
                <c:formatCode>General</c:formatCode>
                <c:ptCount val="2"/>
                <c:pt idx="0">
                  <c:v>#N/A</c:v>
                </c:pt>
                <c:pt idx="1">
                  <c:v>#N/A</c:v>
                </c:pt>
              </c:numCache>
            </c:numRef>
          </c:val>
          <c:smooth val="0"/>
          <c:extLst>
            <c:ext xmlns:c16="http://schemas.microsoft.com/office/drawing/2014/chart" uri="{C3380CC4-5D6E-409C-BE32-E72D297353CC}">
              <c16:uniqueId val="{0000001D-A757-4D60-8ADF-27574B8E3861}"/>
            </c:ext>
          </c:extLst>
        </c:ser>
        <c:ser>
          <c:idx val="30"/>
          <c:order val="30"/>
          <c:spPr>
            <a:ln w="12700">
              <a:solidFill>
                <a:srgbClr val="000080"/>
              </a:solidFill>
              <a:prstDash val="solid"/>
            </a:ln>
          </c:spPr>
          <c:marker>
            <c:symbol val="none"/>
          </c:marker>
          <c:val>
            <c:numRef>
              <c:f>'GRR Calculations (2)'!$BW$72:$BW$73</c:f>
              <c:numCache>
                <c:formatCode>General</c:formatCode>
                <c:ptCount val="2"/>
                <c:pt idx="0">
                  <c:v>#N/A</c:v>
                </c:pt>
                <c:pt idx="1">
                  <c:v>#N/A</c:v>
                </c:pt>
              </c:numCache>
            </c:numRef>
          </c:val>
          <c:smooth val="0"/>
          <c:extLst>
            <c:ext xmlns:c16="http://schemas.microsoft.com/office/drawing/2014/chart" uri="{C3380CC4-5D6E-409C-BE32-E72D297353CC}">
              <c16:uniqueId val="{0000001E-A757-4D60-8ADF-27574B8E3861}"/>
            </c:ext>
          </c:extLst>
        </c:ser>
        <c:dLbls>
          <c:showLegendKey val="0"/>
          <c:showVal val="0"/>
          <c:showCatName val="0"/>
          <c:showSerName val="0"/>
          <c:showPercent val="0"/>
          <c:showBubbleSize val="0"/>
        </c:dLbls>
        <c:marker val="1"/>
        <c:smooth val="0"/>
        <c:axId val="439245080"/>
        <c:axId val="439247432"/>
      </c:lineChart>
      <c:catAx>
        <c:axId val="439245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439247432"/>
        <c:crosses val="autoZero"/>
        <c:auto val="1"/>
        <c:lblAlgn val="ctr"/>
        <c:lblOffset val="100"/>
        <c:tickLblSkip val="1"/>
        <c:tickMarkSkip val="1"/>
        <c:noMultiLvlLbl val="0"/>
      </c:catAx>
      <c:valAx>
        <c:axId val="4392474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43924508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00000000000001"/>
          <c:y val="0.10441808020394157"/>
          <c:w val="0.59199999999999997"/>
          <c:h val="0.71486224139621524"/>
        </c:manualLayout>
      </c:layout>
      <c:barChart>
        <c:barDir val="col"/>
        <c:grouping val="clustered"/>
        <c:varyColors val="0"/>
        <c:ser>
          <c:idx val="0"/>
          <c:order val="0"/>
          <c:tx>
            <c:strRef>
              <c:f>'GRR Calculations (2)'!$R$12</c:f>
              <c:strCache>
                <c:ptCount val="1"/>
                <c:pt idx="0">
                  <c:v>% Contribution</c:v>
                </c:pt>
              </c:strCache>
            </c:strRef>
          </c:tx>
          <c:spPr>
            <a:solidFill>
              <a:srgbClr val="9999FF"/>
            </a:solidFill>
            <a:ln w="12700">
              <a:solidFill>
                <a:srgbClr val="000000"/>
              </a:solidFill>
              <a:prstDash val="solid"/>
            </a:ln>
          </c:spPr>
          <c:invertIfNegative val="0"/>
          <c:cat>
            <c:strRef>
              <c:f>'GRR Calculations (2)'!$S$11:$V$11</c:f>
              <c:strCache>
                <c:ptCount val="4"/>
                <c:pt idx="0">
                  <c:v>Gage R&amp;R</c:v>
                </c:pt>
                <c:pt idx="1">
                  <c:v>Repeat</c:v>
                </c:pt>
                <c:pt idx="2">
                  <c:v>Reprod</c:v>
                </c:pt>
                <c:pt idx="3">
                  <c:v>Part-Part</c:v>
                </c:pt>
              </c:strCache>
            </c:strRef>
          </c:cat>
          <c:val>
            <c:numRef>
              <c:f>'GRR Calculations (2)'!$S$12:$V$12</c:f>
              <c:numCache>
                <c:formatCode>0.00%</c:formatCode>
                <c:ptCount val="4"/>
                <c:pt idx="0">
                  <c:v>0.46947873799725653</c:v>
                </c:pt>
                <c:pt idx="1">
                  <c:v>0.16598079561042522</c:v>
                </c:pt>
                <c:pt idx="2">
                  <c:v>0.30864197530864196</c:v>
                </c:pt>
                <c:pt idx="3">
                  <c:v>0.52160493827160481</c:v>
                </c:pt>
              </c:numCache>
            </c:numRef>
          </c:val>
          <c:extLst>
            <c:ext xmlns:c16="http://schemas.microsoft.com/office/drawing/2014/chart" uri="{C3380CC4-5D6E-409C-BE32-E72D297353CC}">
              <c16:uniqueId val="{00000000-4010-451B-A7CD-7CF2BC25208A}"/>
            </c:ext>
          </c:extLst>
        </c:ser>
        <c:ser>
          <c:idx val="1"/>
          <c:order val="1"/>
          <c:tx>
            <c:strRef>
              <c:f>'GRR Calculations (2)'!$R$13</c:f>
              <c:strCache>
                <c:ptCount val="1"/>
                <c:pt idx="0">
                  <c:v>% Study Variation</c:v>
                </c:pt>
              </c:strCache>
            </c:strRef>
          </c:tx>
          <c:spPr>
            <a:solidFill>
              <a:srgbClr val="993366"/>
            </a:solidFill>
            <a:ln w="12700">
              <a:solidFill>
                <a:srgbClr val="000000"/>
              </a:solidFill>
              <a:prstDash val="solid"/>
            </a:ln>
          </c:spPr>
          <c:invertIfNegative val="0"/>
          <c:cat>
            <c:strRef>
              <c:f>'GRR Calculations (2)'!$S$11:$V$11</c:f>
              <c:strCache>
                <c:ptCount val="4"/>
                <c:pt idx="0">
                  <c:v>Gage R&amp;R</c:v>
                </c:pt>
                <c:pt idx="1">
                  <c:v>Repeat</c:v>
                </c:pt>
                <c:pt idx="2">
                  <c:v>Reprod</c:v>
                </c:pt>
                <c:pt idx="3">
                  <c:v>Part-Part</c:v>
                </c:pt>
              </c:strCache>
            </c:strRef>
          </c:cat>
          <c:val>
            <c:numRef>
              <c:f>'GRR Calculations (2)'!$S$13:$V$13</c:f>
              <c:numCache>
                <c:formatCode>0.00%</c:formatCode>
                <c:ptCount val="4"/>
                <c:pt idx="0">
                  <c:v>0.68518518518518512</c:v>
                </c:pt>
                <c:pt idx="1">
                  <c:v>0.40740740740740738</c:v>
                </c:pt>
                <c:pt idx="2">
                  <c:v>0.55555555555555558</c:v>
                </c:pt>
                <c:pt idx="3">
                  <c:v>0.72222222222222221</c:v>
                </c:pt>
              </c:numCache>
            </c:numRef>
          </c:val>
          <c:extLst>
            <c:ext xmlns:c16="http://schemas.microsoft.com/office/drawing/2014/chart" uri="{C3380CC4-5D6E-409C-BE32-E72D297353CC}">
              <c16:uniqueId val="{00000001-4010-451B-A7CD-7CF2BC25208A}"/>
            </c:ext>
          </c:extLst>
        </c:ser>
        <c:ser>
          <c:idx val="2"/>
          <c:order val="2"/>
          <c:tx>
            <c:strRef>
              <c:f>'GRR Calculations (2)'!$R$14</c:f>
              <c:strCache>
                <c:ptCount val="1"/>
                <c:pt idx="0">
                  <c:v>% Tol (5.15 SD)</c:v>
                </c:pt>
              </c:strCache>
            </c:strRef>
          </c:tx>
          <c:spPr>
            <a:solidFill>
              <a:srgbClr val="FFFFCC"/>
            </a:solidFill>
            <a:ln w="12700">
              <a:solidFill>
                <a:srgbClr val="000000"/>
              </a:solidFill>
              <a:prstDash val="solid"/>
            </a:ln>
          </c:spPr>
          <c:invertIfNegative val="0"/>
          <c:cat>
            <c:strRef>
              <c:f>'GRR Calculations (2)'!$S$11:$V$11</c:f>
              <c:strCache>
                <c:ptCount val="4"/>
                <c:pt idx="0">
                  <c:v>Gage R&amp;R</c:v>
                </c:pt>
                <c:pt idx="1">
                  <c:v>Repeat</c:v>
                </c:pt>
                <c:pt idx="2">
                  <c:v>Reprod</c:v>
                </c:pt>
                <c:pt idx="3">
                  <c:v>Part-Part</c:v>
                </c:pt>
              </c:strCache>
            </c:strRef>
          </c:cat>
          <c:val>
            <c:numRef>
              <c:f>'GRR Calculations (2)'!$S$14:$V$14</c:f>
              <c:numCache>
                <c:formatCode>0.00%</c:formatCode>
                <c:ptCount val="4"/>
                <c:pt idx="0">
                  <c:v>0.47637499999999966</c:v>
                </c:pt>
                <c:pt idx="1">
                  <c:v>0.28324999999999978</c:v>
                </c:pt>
                <c:pt idx="2">
                  <c:v>0.3862499999999997</c:v>
                </c:pt>
                <c:pt idx="3">
                  <c:v>0.5021249999999996</c:v>
                </c:pt>
              </c:numCache>
            </c:numRef>
          </c:val>
          <c:extLst>
            <c:ext xmlns:c16="http://schemas.microsoft.com/office/drawing/2014/chart" uri="{C3380CC4-5D6E-409C-BE32-E72D297353CC}">
              <c16:uniqueId val="{00000002-4010-451B-A7CD-7CF2BC25208A}"/>
            </c:ext>
          </c:extLst>
        </c:ser>
        <c:ser>
          <c:idx val="3"/>
          <c:order val="3"/>
          <c:tx>
            <c:strRef>
              <c:f>'GRR Calculations (2)'!$R$15</c:f>
              <c:strCache>
                <c:ptCount val="1"/>
                <c:pt idx="0">
                  <c:v>% Tol (6.0 SD)</c:v>
                </c:pt>
              </c:strCache>
            </c:strRef>
          </c:tx>
          <c:spPr>
            <a:solidFill>
              <a:srgbClr val="CCFFFF"/>
            </a:solidFill>
            <a:ln w="12700">
              <a:solidFill>
                <a:srgbClr val="000000"/>
              </a:solidFill>
              <a:prstDash val="solid"/>
            </a:ln>
          </c:spPr>
          <c:invertIfNegative val="0"/>
          <c:val>
            <c:numRef>
              <c:f>'GRR Calculations (2)'!$S$15:$V$15</c:f>
              <c:numCache>
                <c:formatCode>0.00%</c:formatCode>
                <c:ptCount val="4"/>
                <c:pt idx="0">
                  <c:v>0.55499999999999949</c:v>
                </c:pt>
                <c:pt idx="1">
                  <c:v>0.32999999999999968</c:v>
                </c:pt>
                <c:pt idx="2">
                  <c:v>0.44999999999999968</c:v>
                </c:pt>
                <c:pt idx="3">
                  <c:v>0.58499999999999941</c:v>
                </c:pt>
              </c:numCache>
            </c:numRef>
          </c:val>
          <c:extLst>
            <c:ext xmlns:c16="http://schemas.microsoft.com/office/drawing/2014/chart" uri="{C3380CC4-5D6E-409C-BE32-E72D297353CC}">
              <c16:uniqueId val="{00000003-4010-451B-A7CD-7CF2BC25208A}"/>
            </c:ext>
          </c:extLst>
        </c:ser>
        <c:dLbls>
          <c:showLegendKey val="0"/>
          <c:showVal val="0"/>
          <c:showCatName val="0"/>
          <c:showSerName val="0"/>
          <c:showPercent val="0"/>
          <c:showBubbleSize val="0"/>
        </c:dLbls>
        <c:gapWidth val="150"/>
        <c:axId val="439241552"/>
        <c:axId val="439244296"/>
      </c:barChart>
      <c:catAx>
        <c:axId val="439241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9244296"/>
        <c:crosses val="autoZero"/>
        <c:auto val="1"/>
        <c:lblAlgn val="ctr"/>
        <c:lblOffset val="100"/>
        <c:tickLblSkip val="1"/>
        <c:tickMarkSkip val="1"/>
        <c:noMultiLvlLbl val="0"/>
      </c:catAx>
      <c:valAx>
        <c:axId val="43924429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9241552"/>
        <c:crosses val="autoZero"/>
        <c:crossBetween val="between"/>
      </c:valAx>
      <c:spPr>
        <a:solidFill>
          <a:srgbClr val="C0C0C0"/>
        </a:solidFill>
        <a:ln w="12700">
          <a:solidFill>
            <a:srgbClr val="808080"/>
          </a:solidFill>
          <a:prstDash val="solid"/>
        </a:ln>
      </c:spPr>
    </c:plotArea>
    <c:legend>
      <c:legendPos val="r"/>
      <c:layout>
        <c:manualLayout>
          <c:xMode val="edge"/>
          <c:yMode val="edge"/>
          <c:x val="0.7400000000000001"/>
          <c:y val="0.30120600058829294"/>
          <c:w val="0.25"/>
          <c:h val="0.3413668006667320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Components of Variation, ANOVA</a:t>
            </a:r>
          </a:p>
        </c:rich>
      </c:tx>
      <c:layout>
        <c:manualLayout>
          <c:xMode val="edge"/>
          <c:yMode val="edge"/>
          <c:x val="0.24000000000000002"/>
          <c:y val="4.0160800078439057E-2"/>
        </c:manualLayout>
      </c:layout>
      <c:overlay val="0"/>
      <c:spPr>
        <a:noFill/>
        <a:ln w="25400">
          <a:noFill/>
        </a:ln>
      </c:spPr>
    </c:title>
    <c:autoTitleDeleted val="0"/>
    <c:plotArea>
      <c:layout>
        <c:manualLayout>
          <c:layoutTarget val="inner"/>
          <c:xMode val="edge"/>
          <c:yMode val="edge"/>
          <c:x val="0.12000000000000001"/>
          <c:y val="0.26104520050985391"/>
          <c:w val="0.59199999999999997"/>
          <c:h val="0.55823512109030282"/>
        </c:manualLayout>
      </c:layout>
      <c:barChart>
        <c:barDir val="col"/>
        <c:grouping val="clustered"/>
        <c:varyColors val="0"/>
        <c:ser>
          <c:idx val="0"/>
          <c:order val="0"/>
          <c:tx>
            <c:strRef>
              <c:f>'GRR Calculations (2)'!$R$18</c:f>
              <c:strCache>
                <c:ptCount val="1"/>
                <c:pt idx="0">
                  <c:v>% Contribution</c:v>
                </c:pt>
              </c:strCache>
            </c:strRef>
          </c:tx>
          <c:spPr>
            <a:solidFill>
              <a:srgbClr val="9999FF"/>
            </a:solidFill>
            <a:ln w="12700">
              <a:solidFill>
                <a:srgbClr val="000000"/>
              </a:solidFill>
              <a:prstDash val="solid"/>
            </a:ln>
          </c:spPr>
          <c:invertIfNegative val="0"/>
          <c:val>
            <c:numRef>
              <c:f>'GRR Calculations (2)'!$S$18:$V$18</c:f>
              <c:numCache>
                <c:formatCode>0.00%</c:formatCode>
                <c:ptCount val="4"/>
                <c:pt idx="0">
                  <c:v>0.81219784306530418</c:v>
                </c:pt>
                <c:pt idx="1">
                  <c:v>0.49535143176313662</c:v>
                </c:pt>
                <c:pt idx="2">
                  <c:v>0.31684641130216756</c:v>
                </c:pt>
                <c:pt idx="3">
                  <c:v>0.1878021569346959</c:v>
                </c:pt>
              </c:numCache>
            </c:numRef>
          </c:val>
          <c:extLst>
            <c:ext xmlns:c16="http://schemas.microsoft.com/office/drawing/2014/chart" uri="{C3380CC4-5D6E-409C-BE32-E72D297353CC}">
              <c16:uniqueId val="{00000000-9D7D-4805-9C21-54C70F1FFF25}"/>
            </c:ext>
          </c:extLst>
        </c:ser>
        <c:ser>
          <c:idx val="1"/>
          <c:order val="1"/>
          <c:tx>
            <c:strRef>
              <c:f>'GRR Calculations (2)'!$R$19</c:f>
              <c:strCache>
                <c:ptCount val="1"/>
                <c:pt idx="0">
                  <c:v>% Study Variation</c:v>
                </c:pt>
              </c:strCache>
            </c:strRef>
          </c:tx>
          <c:spPr>
            <a:solidFill>
              <a:srgbClr val="993366"/>
            </a:solidFill>
            <a:ln w="12700">
              <a:solidFill>
                <a:srgbClr val="000000"/>
              </a:solidFill>
              <a:prstDash val="solid"/>
            </a:ln>
          </c:spPr>
          <c:invertIfNegative val="0"/>
          <c:val>
            <c:numRef>
              <c:f>'GRR Calculations (2)'!$S$19:$V$19</c:f>
              <c:numCache>
                <c:formatCode>0.00%</c:formatCode>
                <c:ptCount val="4"/>
                <c:pt idx="0">
                  <c:v>0.90122019676952658</c:v>
                </c:pt>
                <c:pt idx="1">
                  <c:v>0.70381207133945678</c:v>
                </c:pt>
                <c:pt idx="2">
                  <c:v>0.56289111851420037</c:v>
                </c:pt>
                <c:pt idx="3">
                  <c:v>0.43336146221681499</c:v>
                </c:pt>
              </c:numCache>
            </c:numRef>
          </c:val>
          <c:extLst>
            <c:ext xmlns:c16="http://schemas.microsoft.com/office/drawing/2014/chart" uri="{C3380CC4-5D6E-409C-BE32-E72D297353CC}">
              <c16:uniqueId val="{00000001-9D7D-4805-9C21-54C70F1FFF25}"/>
            </c:ext>
          </c:extLst>
        </c:ser>
        <c:ser>
          <c:idx val="2"/>
          <c:order val="2"/>
          <c:tx>
            <c:strRef>
              <c:f>'GRR Calculations (2)'!$R$20</c:f>
              <c:strCache>
                <c:ptCount val="1"/>
                <c:pt idx="0">
                  <c:v>% Tol (5.15 SD)</c:v>
                </c:pt>
              </c:strCache>
            </c:strRef>
          </c:tx>
          <c:spPr>
            <a:solidFill>
              <a:srgbClr val="FFFFCC"/>
            </a:solidFill>
            <a:ln w="12700">
              <a:solidFill>
                <a:srgbClr val="000000"/>
              </a:solidFill>
              <a:prstDash val="solid"/>
            </a:ln>
          </c:spPr>
          <c:invertIfNegative val="0"/>
          <c:val>
            <c:numRef>
              <c:f>'GRR Calculations (2)'!$S$20:$V$20</c:f>
              <c:numCache>
                <c:formatCode>0.00%</c:formatCode>
                <c:ptCount val="4"/>
                <c:pt idx="0">
                  <c:v>0.67271104959594163</c:v>
                </c:pt>
                <c:pt idx="1">
                  <c:v>0.52535679840089122</c:v>
                </c:pt>
                <c:pt idx="2">
                  <c:v>0.42016709845303063</c:v>
                </c:pt>
                <c:pt idx="3">
                  <c:v>0.32348037155325671</c:v>
                </c:pt>
              </c:numCache>
            </c:numRef>
          </c:val>
          <c:extLst>
            <c:ext xmlns:c16="http://schemas.microsoft.com/office/drawing/2014/chart" uri="{C3380CC4-5D6E-409C-BE32-E72D297353CC}">
              <c16:uniqueId val="{00000002-9D7D-4805-9C21-54C70F1FFF25}"/>
            </c:ext>
          </c:extLst>
        </c:ser>
        <c:ser>
          <c:idx val="3"/>
          <c:order val="3"/>
          <c:tx>
            <c:strRef>
              <c:f>'GRR Calculations (2)'!$R$21</c:f>
              <c:strCache>
                <c:ptCount val="1"/>
                <c:pt idx="0">
                  <c:v>% Tol (6.0 SD)</c:v>
                </c:pt>
              </c:strCache>
            </c:strRef>
          </c:tx>
          <c:spPr>
            <a:solidFill>
              <a:srgbClr val="CCFFFF"/>
            </a:solidFill>
            <a:ln w="12700">
              <a:solidFill>
                <a:srgbClr val="000000"/>
              </a:solidFill>
              <a:prstDash val="solid"/>
            </a:ln>
          </c:spPr>
          <c:invertIfNegative val="0"/>
          <c:val>
            <c:numRef>
              <c:f>'GRR Calculations (2)'!$S$21:$V$21</c:f>
              <c:numCache>
                <c:formatCode>0.00%</c:formatCode>
                <c:ptCount val="4"/>
                <c:pt idx="0">
                  <c:v>0.78374102865546602</c:v>
                </c:pt>
                <c:pt idx="1">
                  <c:v>0.61206617289424214</c:v>
                </c:pt>
                <c:pt idx="2">
                  <c:v>0.48951506615887058</c:v>
                </c:pt>
                <c:pt idx="3">
                  <c:v>0.37687033579020196</c:v>
                </c:pt>
              </c:numCache>
            </c:numRef>
          </c:val>
          <c:extLst>
            <c:ext xmlns:c16="http://schemas.microsoft.com/office/drawing/2014/chart" uri="{C3380CC4-5D6E-409C-BE32-E72D297353CC}">
              <c16:uniqueId val="{00000003-9D7D-4805-9C21-54C70F1FFF25}"/>
            </c:ext>
          </c:extLst>
        </c:ser>
        <c:dLbls>
          <c:showLegendKey val="0"/>
          <c:showVal val="0"/>
          <c:showCatName val="0"/>
          <c:showSerName val="0"/>
          <c:showPercent val="0"/>
          <c:showBubbleSize val="0"/>
        </c:dLbls>
        <c:gapWidth val="150"/>
        <c:axId val="439246256"/>
        <c:axId val="439248216"/>
      </c:barChart>
      <c:catAx>
        <c:axId val="439246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FFFFFF"/>
                </a:solidFill>
                <a:latin typeface="Arial"/>
                <a:ea typeface="Arial"/>
                <a:cs typeface="Arial"/>
              </a:defRPr>
            </a:pPr>
            <a:endParaRPr lang="en-US"/>
          </a:p>
        </c:txPr>
        <c:crossAx val="439248216"/>
        <c:crosses val="autoZero"/>
        <c:auto val="1"/>
        <c:lblAlgn val="ctr"/>
        <c:lblOffset val="100"/>
        <c:tickLblSkip val="1"/>
        <c:tickMarkSkip val="1"/>
        <c:noMultiLvlLbl val="0"/>
      </c:catAx>
      <c:valAx>
        <c:axId val="43924821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39246256"/>
        <c:crosses val="autoZero"/>
        <c:crossBetween val="between"/>
      </c:valAx>
      <c:spPr>
        <a:solidFill>
          <a:srgbClr val="C0C0C0"/>
        </a:solidFill>
        <a:ln w="12700">
          <a:solidFill>
            <a:srgbClr val="808080"/>
          </a:solidFill>
          <a:prstDash val="solid"/>
        </a:ln>
      </c:spPr>
    </c:plotArea>
    <c:legend>
      <c:legendPos val="r"/>
      <c:layout>
        <c:manualLayout>
          <c:xMode val="edge"/>
          <c:yMode val="edge"/>
          <c:x val="0.7400000000000001"/>
          <c:y val="0.37751152073732724"/>
          <c:w val="0.25"/>
          <c:h val="0.3413668006667320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Boxplot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stockChart>
        <c:ser>
          <c:idx val="0"/>
          <c:order val="0"/>
          <c:spPr>
            <a:ln w="25400" cap="rnd">
              <a:noFill/>
              <a:round/>
            </a:ln>
            <a:effectLst/>
          </c:spPr>
          <c:marker>
            <c:symbol val="none"/>
          </c:marker>
          <c:cat>
            <c:strRef>
              <c:f>Boxplot!$B$3:$K$3</c:f>
              <c:strCache>
                <c:ptCount val="10"/>
                <c:pt idx="0">
                  <c:v>cat a</c:v>
                </c:pt>
                <c:pt idx="1">
                  <c:v>cat b </c:v>
                </c:pt>
                <c:pt idx="2">
                  <c:v>cat c</c:v>
                </c:pt>
                <c:pt idx="3">
                  <c:v>cat d</c:v>
                </c:pt>
                <c:pt idx="4">
                  <c:v>cat e</c:v>
                </c:pt>
                <c:pt idx="5">
                  <c:v>cat f</c:v>
                </c:pt>
                <c:pt idx="6">
                  <c:v>cat g</c:v>
                </c:pt>
                <c:pt idx="7">
                  <c:v>cat h</c:v>
                </c:pt>
                <c:pt idx="8">
                  <c:v>cat i</c:v>
                </c:pt>
                <c:pt idx="9">
                  <c:v>cat j</c:v>
                </c:pt>
              </c:strCache>
            </c:strRef>
          </c:cat>
          <c:val>
            <c:numRef>
              <c:f>Boxplot!$B$4:$K$4</c:f>
              <c:numCache>
                <c:formatCode>0.0</c:formatCode>
                <c:ptCount val="10"/>
                <c:pt idx="0">
                  <c:v>101.08293531117174</c:v>
                </c:pt>
                <c:pt idx="1">
                  <c:v>82.036289668799355</c:v>
                </c:pt>
                <c:pt idx="2">
                  <c:v>96.082935311171738</c:v>
                </c:pt>
                <c:pt idx="3">
                  <c:v>77.036289668799355</c:v>
                </c:pt>
                <c:pt idx="4">
                  <c:v>91.082935311171738</c:v>
                </c:pt>
                <c:pt idx="5">
                  <c:v>72.036289668799355</c:v>
                </c:pt>
                <c:pt idx="6">
                  <c:v>86.082935311171738</c:v>
                </c:pt>
                <c:pt idx="7">
                  <c:v>67.036289668799355</c:v>
                </c:pt>
                <c:pt idx="8">
                  <c:v>81.082935311171738</c:v>
                </c:pt>
                <c:pt idx="9">
                  <c:v>62.036289668799355</c:v>
                </c:pt>
              </c:numCache>
            </c:numRef>
          </c:val>
          <c:smooth val="0"/>
          <c:extLst>
            <c:ext xmlns:c16="http://schemas.microsoft.com/office/drawing/2014/chart" uri="{C3380CC4-5D6E-409C-BE32-E72D297353CC}">
              <c16:uniqueId val="{00000000-B06B-4DF1-8118-A0BDAAA16CDE}"/>
            </c:ext>
          </c:extLst>
        </c:ser>
        <c:ser>
          <c:idx val="1"/>
          <c:order val="1"/>
          <c:spPr>
            <a:ln w="25400" cap="rnd">
              <a:noFill/>
              <a:round/>
            </a:ln>
            <a:effectLst/>
          </c:spPr>
          <c:marker>
            <c:symbol val="none"/>
          </c:marker>
          <c:cat>
            <c:strRef>
              <c:f>Boxplot!$B$3:$K$3</c:f>
              <c:strCache>
                <c:ptCount val="10"/>
                <c:pt idx="0">
                  <c:v>cat a</c:v>
                </c:pt>
                <c:pt idx="1">
                  <c:v>cat b </c:v>
                </c:pt>
                <c:pt idx="2">
                  <c:v>cat c</c:v>
                </c:pt>
                <c:pt idx="3">
                  <c:v>cat d</c:v>
                </c:pt>
                <c:pt idx="4">
                  <c:v>cat e</c:v>
                </c:pt>
                <c:pt idx="5">
                  <c:v>cat f</c:v>
                </c:pt>
                <c:pt idx="6">
                  <c:v>cat g</c:v>
                </c:pt>
                <c:pt idx="7">
                  <c:v>cat h</c:v>
                </c:pt>
                <c:pt idx="8">
                  <c:v>cat i</c:v>
                </c:pt>
                <c:pt idx="9">
                  <c:v>cat j</c:v>
                </c:pt>
              </c:strCache>
            </c:strRef>
          </c:cat>
          <c:val>
            <c:numRef>
              <c:f>Boxplot!$B$5:$K$5</c:f>
              <c:numCache>
                <c:formatCode>0.0</c:formatCode>
                <c:ptCount val="10"/>
                <c:pt idx="0">
                  <c:v>104.83739113502499</c:v>
                </c:pt>
                <c:pt idx="1">
                  <c:v>93.2761467123252</c:v>
                </c:pt>
                <c:pt idx="2">
                  <c:v>99.837391135024987</c:v>
                </c:pt>
                <c:pt idx="3">
                  <c:v>88.2761467123252</c:v>
                </c:pt>
                <c:pt idx="4">
                  <c:v>94.837391135024987</c:v>
                </c:pt>
                <c:pt idx="5">
                  <c:v>83.2761467123252</c:v>
                </c:pt>
                <c:pt idx="6">
                  <c:v>89.837391135024987</c:v>
                </c:pt>
                <c:pt idx="7">
                  <c:v>78.2761467123252</c:v>
                </c:pt>
                <c:pt idx="8">
                  <c:v>84.837391135024987</c:v>
                </c:pt>
                <c:pt idx="9">
                  <c:v>73.2761467123252</c:v>
                </c:pt>
              </c:numCache>
            </c:numRef>
          </c:val>
          <c:smooth val="0"/>
          <c:extLst>
            <c:ext xmlns:c16="http://schemas.microsoft.com/office/drawing/2014/chart" uri="{C3380CC4-5D6E-409C-BE32-E72D297353CC}">
              <c16:uniqueId val="{00000001-B06B-4DF1-8118-A0BDAAA16CDE}"/>
            </c:ext>
          </c:extLst>
        </c:ser>
        <c:ser>
          <c:idx val="2"/>
          <c:order val="2"/>
          <c:spPr>
            <a:ln w="25400" cap="rnd">
              <a:noFill/>
              <a:round/>
            </a:ln>
            <a:effectLst/>
          </c:spPr>
          <c:marker>
            <c:symbol val="none"/>
          </c:marker>
          <c:cat>
            <c:strRef>
              <c:f>Boxplot!$B$3:$K$3</c:f>
              <c:strCache>
                <c:ptCount val="10"/>
                <c:pt idx="0">
                  <c:v>cat a</c:v>
                </c:pt>
                <c:pt idx="1">
                  <c:v>cat b </c:v>
                </c:pt>
                <c:pt idx="2">
                  <c:v>cat c</c:v>
                </c:pt>
                <c:pt idx="3">
                  <c:v>cat d</c:v>
                </c:pt>
                <c:pt idx="4">
                  <c:v>cat e</c:v>
                </c:pt>
                <c:pt idx="5">
                  <c:v>cat f</c:v>
                </c:pt>
                <c:pt idx="6">
                  <c:v>cat g</c:v>
                </c:pt>
                <c:pt idx="7">
                  <c:v>cat h</c:v>
                </c:pt>
                <c:pt idx="8">
                  <c:v>cat i</c:v>
                </c:pt>
                <c:pt idx="9">
                  <c:v>cat j</c:v>
                </c:pt>
              </c:strCache>
            </c:strRef>
          </c:cat>
          <c:val>
            <c:numRef>
              <c:f>Boxplot!$B$6:$K$6</c:f>
              <c:numCache>
                <c:formatCode>0.0</c:formatCode>
                <c:ptCount val="10"/>
                <c:pt idx="0">
                  <c:v>82.795772533609664</c:v>
                </c:pt>
                <c:pt idx="1">
                  <c:v>60.177433270667606</c:v>
                </c:pt>
                <c:pt idx="2">
                  <c:v>77.795772533609664</c:v>
                </c:pt>
                <c:pt idx="3">
                  <c:v>55.177433270667606</c:v>
                </c:pt>
                <c:pt idx="4">
                  <c:v>72.795772533609664</c:v>
                </c:pt>
                <c:pt idx="5">
                  <c:v>50.177433270667606</c:v>
                </c:pt>
                <c:pt idx="6">
                  <c:v>67.795772533609664</c:v>
                </c:pt>
                <c:pt idx="7">
                  <c:v>45.177433270667606</c:v>
                </c:pt>
                <c:pt idx="8">
                  <c:v>62.795772533609664</c:v>
                </c:pt>
                <c:pt idx="9">
                  <c:v>40.177433270667606</c:v>
                </c:pt>
              </c:numCache>
            </c:numRef>
          </c:val>
          <c:smooth val="0"/>
          <c:extLst>
            <c:ext xmlns:c16="http://schemas.microsoft.com/office/drawing/2014/chart" uri="{C3380CC4-5D6E-409C-BE32-E72D297353CC}">
              <c16:uniqueId val="{00000002-B06B-4DF1-8118-A0BDAAA16CDE}"/>
            </c:ext>
          </c:extLst>
        </c:ser>
        <c:ser>
          <c:idx val="3"/>
          <c:order val="3"/>
          <c:spPr>
            <a:ln w="25400" cap="rnd">
              <a:noFill/>
              <a:round/>
            </a:ln>
            <a:effectLst/>
          </c:spPr>
          <c:marker>
            <c:symbol val="none"/>
          </c:marker>
          <c:cat>
            <c:strRef>
              <c:f>Boxplot!$B$3:$K$3</c:f>
              <c:strCache>
                <c:ptCount val="10"/>
                <c:pt idx="0">
                  <c:v>cat a</c:v>
                </c:pt>
                <c:pt idx="1">
                  <c:v>cat b </c:v>
                </c:pt>
                <c:pt idx="2">
                  <c:v>cat c</c:v>
                </c:pt>
                <c:pt idx="3">
                  <c:v>cat d</c:v>
                </c:pt>
                <c:pt idx="4">
                  <c:v>cat e</c:v>
                </c:pt>
                <c:pt idx="5">
                  <c:v>cat f</c:v>
                </c:pt>
                <c:pt idx="6">
                  <c:v>cat g</c:v>
                </c:pt>
                <c:pt idx="7">
                  <c:v>cat h</c:v>
                </c:pt>
                <c:pt idx="8">
                  <c:v>cat i</c:v>
                </c:pt>
                <c:pt idx="9">
                  <c:v>cat j</c:v>
                </c:pt>
              </c:strCache>
            </c:strRef>
          </c:cat>
          <c:val>
            <c:numRef>
              <c:f>Boxplot!$B$7:$K$7</c:f>
              <c:numCache>
                <c:formatCode>0.0</c:formatCode>
                <c:ptCount val="10"/>
                <c:pt idx="0">
                  <c:v>88.943320807151309</c:v>
                </c:pt>
                <c:pt idx="1">
                  <c:v>66.239918726989785</c:v>
                </c:pt>
                <c:pt idx="2">
                  <c:v>83.943320807151309</c:v>
                </c:pt>
                <c:pt idx="3">
                  <c:v>61.239918726989785</c:v>
                </c:pt>
                <c:pt idx="4">
                  <c:v>78.943320807151309</c:v>
                </c:pt>
                <c:pt idx="5">
                  <c:v>56.239918726989785</c:v>
                </c:pt>
                <c:pt idx="6">
                  <c:v>73.943320807151309</c:v>
                </c:pt>
                <c:pt idx="7">
                  <c:v>51.239918726989785</c:v>
                </c:pt>
                <c:pt idx="8">
                  <c:v>68.943320807151309</c:v>
                </c:pt>
                <c:pt idx="9">
                  <c:v>46.239918726989785</c:v>
                </c:pt>
              </c:numCache>
            </c:numRef>
          </c:val>
          <c:smooth val="0"/>
          <c:extLst>
            <c:ext xmlns:c16="http://schemas.microsoft.com/office/drawing/2014/chart" uri="{C3380CC4-5D6E-409C-BE32-E72D297353CC}">
              <c16:uniqueId val="{00000003-B06B-4DF1-8118-A0BDAAA16CDE}"/>
            </c:ext>
          </c:extLst>
        </c:ser>
        <c:dLbls>
          <c:showLegendKey val="0"/>
          <c:showVal val="0"/>
          <c:showCatName val="0"/>
          <c:showSerName val="0"/>
          <c:showPercent val="0"/>
          <c:showBubbleSize val="0"/>
        </c:dLbls>
        <c:hiLowLines>
          <c:spPr>
            <a:ln w="15875" cap="flat" cmpd="sng" algn="ctr">
              <a:solidFill>
                <a:schemeClr val="dk1">
                  <a:lumMod val="65000"/>
                  <a:lumOff val="35000"/>
                </a:schemeClr>
              </a:solidFill>
              <a:round/>
            </a:ln>
            <a:effectLst/>
          </c:spPr>
        </c:hiLowLines>
        <c:upDownBars>
          <c:gapWidth val="150"/>
          <c:upBars>
            <c:spPr>
              <a:solidFill>
                <a:schemeClr val="lt1"/>
              </a:solidFill>
              <a:ln w="9525" cap="flat" cmpd="sng" algn="ctr">
                <a:solidFill>
                  <a:schemeClr val="lt1">
                    <a:lumMod val="85000"/>
                  </a:schemeClr>
                </a:solidFill>
                <a:round/>
              </a:ln>
              <a:effectLst/>
            </c:spPr>
          </c:upBars>
          <c:downBars>
            <c:spPr>
              <a:solidFill>
                <a:srgbClr val="0070C0"/>
              </a:solidFill>
              <a:ln w="9525" cap="flat" cmpd="sng" algn="ctr">
                <a:solidFill>
                  <a:schemeClr val="dk1">
                    <a:lumMod val="65000"/>
                    <a:lumOff val="35000"/>
                  </a:schemeClr>
                </a:solidFill>
                <a:round/>
              </a:ln>
              <a:effectLst/>
            </c:spPr>
          </c:downBars>
        </c:upDownBars>
        <c:axId val="269881464"/>
        <c:axId val="269881856"/>
      </c:stockChart>
      <c:catAx>
        <c:axId val="2698814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269881856"/>
        <c:crosses val="autoZero"/>
        <c:auto val="1"/>
        <c:lblAlgn val="ctr"/>
        <c:lblOffset val="100"/>
        <c:noMultiLvlLbl val="0"/>
      </c:catAx>
      <c:valAx>
        <c:axId val="269881856"/>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269881464"/>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CA"/>
              <a:t>Attribute (c) Chart</a:t>
            </a:r>
          </a:p>
        </c:rich>
      </c:tx>
      <c:layout>
        <c:manualLayout>
          <c:xMode val="edge"/>
          <c:yMode val="edge"/>
          <c:x val="0.35499440032998703"/>
          <c:y val="3.0732931471934701E-2"/>
        </c:manualLayout>
      </c:layout>
      <c:overlay val="0"/>
      <c:spPr>
        <a:noFill/>
        <a:ln w="25400">
          <a:noFill/>
        </a:ln>
      </c:spPr>
    </c:title>
    <c:autoTitleDeleted val="0"/>
    <c:plotArea>
      <c:layout>
        <c:manualLayout>
          <c:layoutTarget val="inner"/>
          <c:xMode val="edge"/>
          <c:yMode val="edge"/>
          <c:x val="7.3405621763149798E-2"/>
          <c:y val="0.25059159507885198"/>
          <c:w val="0.88688431540067902"/>
          <c:h val="0.55082869484313801"/>
        </c:manualLayout>
      </c:layout>
      <c:lineChart>
        <c:grouping val="standard"/>
        <c:varyColors val="0"/>
        <c:ser>
          <c:idx val="0"/>
          <c:order val="0"/>
          <c:tx>
            <c:v>Number of defects</c:v>
          </c:tx>
          <c:spPr>
            <a:ln w="25400">
              <a:solidFill>
                <a:srgbClr val="000000"/>
              </a:solidFill>
              <a:prstDash val="solid"/>
            </a:ln>
          </c:spPr>
          <c:marker>
            <c:symbol val="diamond"/>
            <c:size val="7"/>
            <c:spPr>
              <a:solidFill>
                <a:srgbClr val="000000"/>
              </a:solidFill>
              <a:ln>
                <a:solidFill>
                  <a:srgbClr val="000000"/>
                </a:solidFill>
                <a:prstDash val="solid"/>
              </a:ln>
            </c:spPr>
          </c:marker>
          <c:val>
            <c:numRef>
              <c:f>'C chart Data and calculations'!$B$10:$B$59</c:f>
              <c:numCache>
                <c:formatCode>General</c:formatCode>
                <c:ptCount val="50"/>
                <c:pt idx="0">
                  <c:v>3</c:v>
                </c:pt>
                <c:pt idx="1">
                  <c:v>4</c:v>
                </c:pt>
                <c:pt idx="2">
                  <c:v>5</c:v>
                </c:pt>
                <c:pt idx="3">
                  <c:v>6</c:v>
                </c:pt>
                <c:pt idx="4">
                  <c:v>8</c:v>
                </c:pt>
                <c:pt idx="5">
                  <c:v>12</c:v>
                </c:pt>
                <c:pt idx="6">
                  <c:v>5</c:v>
                </c:pt>
                <c:pt idx="7">
                  <c:v>6</c:v>
                </c:pt>
              </c:numCache>
            </c:numRef>
          </c:val>
          <c:smooth val="0"/>
          <c:extLst>
            <c:ext xmlns:c16="http://schemas.microsoft.com/office/drawing/2014/chart" uri="{C3380CC4-5D6E-409C-BE32-E72D297353CC}">
              <c16:uniqueId val="{00000000-FFED-4551-A9EA-1010425D088B}"/>
            </c:ext>
          </c:extLst>
        </c:ser>
        <c:ser>
          <c:idx val="1"/>
          <c:order val="1"/>
          <c:tx>
            <c:v>Lower control limit</c:v>
          </c:tx>
          <c:spPr>
            <a:ln w="38100">
              <a:solidFill>
                <a:srgbClr val="008000"/>
              </a:solidFill>
              <a:prstDash val="solid"/>
            </a:ln>
          </c:spPr>
          <c:marker>
            <c:symbol val="none"/>
          </c:marker>
          <c:val>
            <c:numRef>
              <c:f>'C chart Data and calculations'!$C$10:$C$59</c:f>
              <c:numCache>
                <c:formatCode>General</c:formatCode>
                <c:ptCount val="50"/>
                <c:pt idx="0">
                  <c:v>0</c:v>
                </c:pt>
                <c:pt idx="1">
                  <c:v>0</c:v>
                </c:pt>
                <c:pt idx="2">
                  <c:v>0</c:v>
                </c:pt>
                <c:pt idx="3">
                  <c:v>0</c:v>
                </c:pt>
                <c:pt idx="4">
                  <c:v>0</c:v>
                </c:pt>
                <c:pt idx="5">
                  <c:v>0</c:v>
                </c:pt>
                <c:pt idx="6">
                  <c:v>0</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1-FFED-4551-A9EA-1010425D088B}"/>
            </c:ext>
          </c:extLst>
        </c:ser>
        <c:ser>
          <c:idx val="2"/>
          <c:order val="2"/>
          <c:tx>
            <c:v>Upper control limit</c:v>
          </c:tx>
          <c:spPr>
            <a:ln w="25400">
              <a:solidFill>
                <a:srgbClr val="993300"/>
              </a:solidFill>
              <a:prstDash val="solid"/>
            </a:ln>
          </c:spPr>
          <c:marker>
            <c:symbol val="none"/>
          </c:marker>
          <c:val>
            <c:numRef>
              <c:f>'C chart Data and calculations'!$E$10:$E$59</c:f>
              <c:numCache>
                <c:formatCode>General</c:formatCode>
                <c:ptCount val="50"/>
                <c:pt idx="0">
                  <c:v>13.549621202458749</c:v>
                </c:pt>
                <c:pt idx="1">
                  <c:v>13.549621202458749</c:v>
                </c:pt>
                <c:pt idx="2">
                  <c:v>13.549621202458749</c:v>
                </c:pt>
                <c:pt idx="3">
                  <c:v>13.549621202458749</c:v>
                </c:pt>
                <c:pt idx="4">
                  <c:v>13.549621202458749</c:v>
                </c:pt>
                <c:pt idx="5">
                  <c:v>13.549621202458749</c:v>
                </c:pt>
                <c:pt idx="6">
                  <c:v>13.549621202458749</c:v>
                </c:pt>
                <c:pt idx="7">
                  <c:v>13.549621202458749</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2-FFED-4551-A9EA-1010425D088B}"/>
            </c:ext>
          </c:extLst>
        </c:ser>
        <c:ser>
          <c:idx val="3"/>
          <c:order val="3"/>
          <c:tx>
            <c:v>Center line</c:v>
          </c:tx>
          <c:spPr>
            <a:ln w="38100">
              <a:solidFill>
                <a:srgbClr val="333399"/>
              </a:solidFill>
              <a:prstDash val="solid"/>
            </a:ln>
          </c:spPr>
          <c:marker>
            <c:symbol val="none"/>
          </c:marker>
          <c:val>
            <c:numRef>
              <c:f>'C chart Data and calculations'!$D$10:$D$59</c:f>
              <c:numCache>
                <c:formatCode>General</c:formatCode>
                <c:ptCount val="50"/>
                <c:pt idx="0">
                  <c:v>6.125</c:v>
                </c:pt>
                <c:pt idx="1">
                  <c:v>6.125</c:v>
                </c:pt>
                <c:pt idx="2">
                  <c:v>6.125</c:v>
                </c:pt>
                <c:pt idx="3">
                  <c:v>6.125</c:v>
                </c:pt>
                <c:pt idx="4">
                  <c:v>6.125</c:v>
                </c:pt>
                <c:pt idx="5">
                  <c:v>6.125</c:v>
                </c:pt>
                <c:pt idx="6">
                  <c:v>6.125</c:v>
                </c:pt>
                <c:pt idx="7">
                  <c:v>6.125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numCache>
            </c:numRef>
          </c:val>
          <c:smooth val="0"/>
          <c:extLst>
            <c:ext xmlns:c16="http://schemas.microsoft.com/office/drawing/2014/chart" uri="{C3380CC4-5D6E-409C-BE32-E72D297353CC}">
              <c16:uniqueId val="{00000003-FFED-4551-A9EA-1010425D088B}"/>
            </c:ext>
          </c:extLst>
        </c:ser>
        <c:dLbls>
          <c:showLegendKey val="0"/>
          <c:showVal val="0"/>
          <c:showCatName val="0"/>
          <c:showSerName val="0"/>
          <c:showPercent val="0"/>
          <c:showBubbleSize val="0"/>
        </c:dLbls>
        <c:marker val="1"/>
        <c:smooth val="0"/>
        <c:axId val="269882640"/>
        <c:axId val="269883032"/>
      </c:lineChart>
      <c:catAx>
        <c:axId val="269882640"/>
        <c:scaling>
          <c:orientation val="minMax"/>
        </c:scaling>
        <c:delete val="0"/>
        <c:axPos val="b"/>
        <c:majorGridlines>
          <c:spPr>
            <a:ln w="3175">
              <a:solidFill>
                <a:srgbClr val="000000"/>
              </a:solidFill>
              <a:prstDash val="solid"/>
            </a:ln>
          </c:spPr>
        </c:majorGridlines>
        <c:title>
          <c:tx>
            <c:rich>
              <a:bodyPr/>
              <a:lstStyle/>
              <a:p>
                <a:pPr>
                  <a:defRPr sz="1275" b="1" i="0" u="none" strike="noStrike" baseline="0">
                    <a:solidFill>
                      <a:srgbClr val="000000"/>
                    </a:solidFill>
                    <a:latin typeface="Arial"/>
                    <a:ea typeface="Arial"/>
                    <a:cs typeface="Arial"/>
                  </a:defRPr>
                </a:pPr>
                <a:r>
                  <a:rPr lang="en-CA"/>
                  <a:t>Sample number</a:t>
                </a:r>
              </a:p>
            </c:rich>
          </c:tx>
          <c:layout>
            <c:manualLayout>
              <c:xMode val="edge"/>
              <c:yMode val="edge"/>
              <c:x val="0.43923035973032298"/>
              <c:y val="0.872342439472609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69883032"/>
        <c:crosses val="autoZero"/>
        <c:auto val="1"/>
        <c:lblAlgn val="ctr"/>
        <c:lblOffset val="100"/>
        <c:tickLblSkip val="2"/>
        <c:tickMarkSkip val="1"/>
        <c:noMultiLvlLbl val="0"/>
      </c:catAx>
      <c:valAx>
        <c:axId val="269883032"/>
        <c:scaling>
          <c:orientation val="minMax"/>
        </c:scaling>
        <c:delete val="0"/>
        <c:axPos val="l"/>
        <c:majorGridlines>
          <c:spPr>
            <a:ln w="3175">
              <a:solidFill>
                <a:srgbClr val="000000"/>
              </a:solidFill>
              <a:prstDash val="solid"/>
            </a:ln>
          </c:spPr>
        </c:majorGridlines>
        <c:title>
          <c:tx>
            <c:rich>
              <a:bodyPr/>
              <a:lstStyle/>
              <a:p>
                <a:pPr>
                  <a:defRPr sz="1275" b="1" i="0" u="none" strike="noStrike" baseline="0">
                    <a:solidFill>
                      <a:srgbClr val="000000"/>
                    </a:solidFill>
                    <a:latin typeface="Arial"/>
                    <a:ea typeface="Arial"/>
                    <a:cs typeface="Arial"/>
                  </a:defRPr>
                </a:pPr>
                <a:r>
                  <a:rPr lang="en-CA"/>
                  <a:t>Number of defects</a:t>
                </a:r>
              </a:p>
            </c:rich>
          </c:tx>
          <c:layout>
            <c:manualLayout>
              <c:xMode val="edge"/>
              <c:yMode val="edge"/>
              <c:x val="7.2202250914573602E-3"/>
              <c:y val="0.342790389494657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69882640"/>
        <c:crosses val="autoZero"/>
        <c:crossBetween val="between"/>
      </c:valAx>
      <c:spPr>
        <a:solidFill>
          <a:srgbClr val="FFFFFF"/>
        </a:solidFill>
        <a:ln w="12700">
          <a:solidFill>
            <a:srgbClr val="000000"/>
          </a:solidFill>
          <a:prstDash val="solid"/>
        </a:ln>
      </c:spPr>
    </c:plotArea>
    <c:legend>
      <c:legendPos val="t"/>
      <c:layout>
        <c:manualLayout>
          <c:xMode val="edge"/>
          <c:yMode val="edge"/>
          <c:x val="0.69314160877990705"/>
          <c:y val="4.0189218078683898E-2"/>
          <c:w val="0.23706405716951701"/>
          <c:h val="0.15366465735967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span"/>
    <c:showDLblsOverMax val="0"/>
  </c:chart>
  <c:spPr>
    <a:solidFill>
      <a:srgbClr val="FFFFCC"/>
    </a:solidFill>
    <a:ln w="3175">
      <a:solidFill>
        <a:srgbClr val="000000"/>
      </a:solidFill>
      <a:prstDash val="solid"/>
    </a:ln>
  </c:spPr>
  <c:txPr>
    <a:bodyPr/>
    <a:lstStyle/>
    <a:p>
      <a:pPr>
        <a:defRPr sz="2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Components of Variation, ANOVA</a:t>
            </a:r>
          </a:p>
        </c:rich>
      </c:tx>
      <c:layout>
        <c:manualLayout>
          <c:xMode val="edge"/>
          <c:yMode val="edge"/>
          <c:x val="0.21464083512193424"/>
          <c:y val="2.8572425098531612E-2"/>
        </c:manualLayout>
      </c:layout>
      <c:overlay val="0"/>
      <c:spPr>
        <a:noFill/>
        <a:ln w="25400">
          <a:noFill/>
        </a:ln>
      </c:spPr>
    </c:title>
    <c:autoTitleDeleted val="0"/>
    <c:plotArea>
      <c:layout>
        <c:manualLayout>
          <c:layoutTarget val="inner"/>
          <c:xMode val="edge"/>
          <c:yMode val="edge"/>
          <c:x val="8.1303346637096277E-2"/>
          <c:y val="0.16572006557148342"/>
          <c:w val="0.68945237948257643"/>
          <c:h val="0.73716856754211568"/>
        </c:manualLayout>
      </c:layout>
      <c:barChart>
        <c:barDir val="col"/>
        <c:grouping val="clustered"/>
        <c:varyColors val="0"/>
        <c:ser>
          <c:idx val="0"/>
          <c:order val="0"/>
          <c:tx>
            <c:strRef>
              <c:f>'GRR Calculations (2)'!$R$18</c:f>
              <c:strCache>
                <c:ptCount val="1"/>
                <c:pt idx="0">
                  <c:v>% Contribution</c:v>
                </c:pt>
              </c:strCache>
            </c:strRef>
          </c:tx>
          <c:spPr>
            <a:solidFill>
              <a:srgbClr val="9999FF"/>
            </a:solidFill>
            <a:ln w="12700">
              <a:solidFill>
                <a:srgbClr val="000000"/>
              </a:solidFill>
              <a:prstDash val="solid"/>
            </a:ln>
          </c:spPr>
          <c:invertIfNegative val="0"/>
          <c:val>
            <c:numRef>
              <c:f>'GRR Calculations (2)'!$S$18:$V$18</c:f>
              <c:numCache>
                <c:formatCode>0.00%</c:formatCode>
                <c:ptCount val="4"/>
                <c:pt idx="0">
                  <c:v>0.81219784306530418</c:v>
                </c:pt>
                <c:pt idx="1">
                  <c:v>0.49535143176313662</c:v>
                </c:pt>
                <c:pt idx="2">
                  <c:v>0.31684641130216756</c:v>
                </c:pt>
                <c:pt idx="3">
                  <c:v>0.1878021569346959</c:v>
                </c:pt>
              </c:numCache>
            </c:numRef>
          </c:val>
          <c:extLst>
            <c:ext xmlns:c16="http://schemas.microsoft.com/office/drawing/2014/chart" uri="{C3380CC4-5D6E-409C-BE32-E72D297353CC}">
              <c16:uniqueId val="{00000000-97F3-4418-8EE0-AE7AD1FD291E}"/>
            </c:ext>
          </c:extLst>
        </c:ser>
        <c:ser>
          <c:idx val="1"/>
          <c:order val="1"/>
          <c:tx>
            <c:strRef>
              <c:f>'GRR Calculations (2)'!$R$19</c:f>
              <c:strCache>
                <c:ptCount val="1"/>
                <c:pt idx="0">
                  <c:v>% Study Variation</c:v>
                </c:pt>
              </c:strCache>
            </c:strRef>
          </c:tx>
          <c:spPr>
            <a:solidFill>
              <a:srgbClr val="993366"/>
            </a:solidFill>
            <a:ln w="12700">
              <a:solidFill>
                <a:srgbClr val="000000"/>
              </a:solidFill>
              <a:prstDash val="solid"/>
            </a:ln>
          </c:spPr>
          <c:invertIfNegative val="0"/>
          <c:val>
            <c:numRef>
              <c:f>'GRR Calculations (2)'!$S$19:$V$19</c:f>
              <c:numCache>
                <c:formatCode>0.00%</c:formatCode>
                <c:ptCount val="4"/>
                <c:pt idx="0">
                  <c:v>0.90122019676952658</c:v>
                </c:pt>
                <c:pt idx="1">
                  <c:v>0.70381207133945678</c:v>
                </c:pt>
                <c:pt idx="2">
                  <c:v>0.56289111851420037</c:v>
                </c:pt>
                <c:pt idx="3">
                  <c:v>0.43336146221681499</c:v>
                </c:pt>
              </c:numCache>
            </c:numRef>
          </c:val>
          <c:extLst>
            <c:ext xmlns:c16="http://schemas.microsoft.com/office/drawing/2014/chart" uri="{C3380CC4-5D6E-409C-BE32-E72D297353CC}">
              <c16:uniqueId val="{00000001-97F3-4418-8EE0-AE7AD1FD291E}"/>
            </c:ext>
          </c:extLst>
        </c:ser>
        <c:ser>
          <c:idx val="2"/>
          <c:order val="2"/>
          <c:tx>
            <c:strRef>
              <c:f>'GRR Calculations (2)'!$R$20</c:f>
              <c:strCache>
                <c:ptCount val="1"/>
                <c:pt idx="0">
                  <c:v>% Tol (5.15 SD)</c:v>
                </c:pt>
              </c:strCache>
            </c:strRef>
          </c:tx>
          <c:spPr>
            <a:solidFill>
              <a:srgbClr val="FFFFCC"/>
            </a:solidFill>
            <a:ln w="12700">
              <a:solidFill>
                <a:srgbClr val="000000"/>
              </a:solidFill>
              <a:prstDash val="solid"/>
            </a:ln>
          </c:spPr>
          <c:invertIfNegative val="0"/>
          <c:val>
            <c:numRef>
              <c:f>'GRR Calculations (2)'!$S$20:$V$20</c:f>
              <c:numCache>
                <c:formatCode>0.00%</c:formatCode>
                <c:ptCount val="4"/>
                <c:pt idx="0">
                  <c:v>0.67271104959594163</c:v>
                </c:pt>
                <c:pt idx="1">
                  <c:v>0.52535679840089122</c:v>
                </c:pt>
                <c:pt idx="2">
                  <c:v>0.42016709845303063</c:v>
                </c:pt>
                <c:pt idx="3">
                  <c:v>0.32348037155325671</c:v>
                </c:pt>
              </c:numCache>
            </c:numRef>
          </c:val>
          <c:extLst>
            <c:ext xmlns:c16="http://schemas.microsoft.com/office/drawing/2014/chart" uri="{C3380CC4-5D6E-409C-BE32-E72D297353CC}">
              <c16:uniqueId val="{00000002-97F3-4418-8EE0-AE7AD1FD291E}"/>
            </c:ext>
          </c:extLst>
        </c:ser>
        <c:ser>
          <c:idx val="3"/>
          <c:order val="3"/>
          <c:tx>
            <c:strRef>
              <c:f>'GRR Calculations (2)'!$R$21</c:f>
              <c:strCache>
                <c:ptCount val="1"/>
                <c:pt idx="0">
                  <c:v>% Tol (6.0 SD)</c:v>
                </c:pt>
              </c:strCache>
            </c:strRef>
          </c:tx>
          <c:spPr>
            <a:solidFill>
              <a:srgbClr val="CCFFFF"/>
            </a:solidFill>
            <a:ln w="12700">
              <a:solidFill>
                <a:srgbClr val="000000"/>
              </a:solidFill>
              <a:prstDash val="solid"/>
            </a:ln>
          </c:spPr>
          <c:invertIfNegative val="0"/>
          <c:val>
            <c:numRef>
              <c:f>'GRR Calculations (2)'!$S$21:$V$21</c:f>
              <c:numCache>
                <c:formatCode>0.00%</c:formatCode>
                <c:ptCount val="4"/>
                <c:pt idx="0">
                  <c:v>0.78374102865546602</c:v>
                </c:pt>
                <c:pt idx="1">
                  <c:v>0.61206617289424214</c:v>
                </c:pt>
                <c:pt idx="2">
                  <c:v>0.48951506615887058</c:v>
                </c:pt>
                <c:pt idx="3">
                  <c:v>0.37687033579020196</c:v>
                </c:pt>
              </c:numCache>
            </c:numRef>
          </c:val>
          <c:extLst>
            <c:ext xmlns:c16="http://schemas.microsoft.com/office/drawing/2014/chart" uri="{C3380CC4-5D6E-409C-BE32-E72D297353CC}">
              <c16:uniqueId val="{00000003-97F3-4418-8EE0-AE7AD1FD291E}"/>
            </c:ext>
          </c:extLst>
        </c:ser>
        <c:dLbls>
          <c:showLegendKey val="0"/>
          <c:showVal val="0"/>
          <c:showCatName val="0"/>
          <c:showSerName val="0"/>
          <c:showPercent val="0"/>
          <c:showBubbleSize val="0"/>
        </c:dLbls>
        <c:gapWidth val="150"/>
        <c:axId val="362282464"/>
        <c:axId val="362286776"/>
      </c:barChart>
      <c:catAx>
        <c:axId val="362282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C0C0C0"/>
                </a:solidFill>
                <a:latin typeface="Arial"/>
                <a:ea typeface="Arial"/>
                <a:cs typeface="Arial"/>
              </a:defRPr>
            </a:pPr>
            <a:endParaRPr lang="en-US"/>
          </a:p>
        </c:txPr>
        <c:crossAx val="362286776"/>
        <c:crosses val="autoZero"/>
        <c:auto val="1"/>
        <c:lblAlgn val="ctr"/>
        <c:lblOffset val="100"/>
        <c:tickLblSkip val="1"/>
        <c:tickMarkSkip val="1"/>
        <c:noMultiLvlLbl val="0"/>
      </c:catAx>
      <c:valAx>
        <c:axId val="3622867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2282464"/>
        <c:crosses val="autoZero"/>
        <c:crossBetween val="between"/>
      </c:valAx>
      <c:spPr>
        <a:solidFill>
          <a:srgbClr val="FFFFFF"/>
        </a:solidFill>
        <a:ln w="12700">
          <a:solidFill>
            <a:srgbClr val="808080"/>
          </a:solidFill>
          <a:prstDash val="solid"/>
        </a:ln>
      </c:spPr>
    </c:plotArea>
    <c:legend>
      <c:legendPos val="r"/>
      <c:layout>
        <c:manualLayout>
          <c:xMode val="edge"/>
          <c:yMode val="edge"/>
          <c:x val="0.78539032851435009"/>
          <c:y val="0.27429528094590355"/>
          <c:w val="0.20325836659274074"/>
          <c:h val="0.4857312266750374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FFCC"/>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Xbar Chart by Operator</a:t>
            </a:r>
          </a:p>
        </c:rich>
      </c:tx>
      <c:layout>
        <c:manualLayout>
          <c:xMode val="edge"/>
          <c:yMode val="edge"/>
          <c:x val="0.34546574544454894"/>
          <c:y val="1.7752059507249607E-2"/>
        </c:manualLayout>
      </c:layout>
      <c:overlay val="0"/>
      <c:spPr>
        <a:noFill/>
        <a:ln w="25400">
          <a:noFill/>
        </a:ln>
      </c:spPr>
    </c:title>
    <c:autoTitleDeleted val="0"/>
    <c:plotArea>
      <c:layout>
        <c:manualLayout>
          <c:layoutTarget val="inner"/>
          <c:xMode val="edge"/>
          <c:yMode val="edge"/>
          <c:x val="5.1949736157075016E-2"/>
          <c:y val="9.1718974120789651E-2"/>
          <c:w val="0.80911714064644347"/>
          <c:h val="0.82547076708710654"/>
        </c:manualLayout>
      </c:layout>
      <c:lineChart>
        <c:grouping val="standard"/>
        <c:varyColors val="0"/>
        <c:ser>
          <c:idx val="0"/>
          <c:order val="0"/>
          <c:tx>
            <c:strRef>
              <c:f>'GRR Calculations (2)'!$O$106</c:f>
              <c:strCache>
                <c:ptCount val="1"/>
                <c:pt idx="0">
                  <c:v>Op. A</c:v>
                </c:pt>
              </c:strCache>
            </c:strRef>
          </c:tx>
          <c:spPr>
            <a:ln w="12700">
              <a:solidFill>
                <a:srgbClr val="000080"/>
              </a:solidFill>
              <a:prstDash val="solid"/>
            </a:ln>
          </c:spPr>
          <c:marker>
            <c:symbol val="diamond"/>
            <c:size val="7"/>
            <c:spPr>
              <a:solidFill>
                <a:srgbClr val="000080"/>
              </a:solidFill>
              <a:ln>
                <a:solidFill>
                  <a:srgbClr val="000080"/>
                </a:solidFill>
                <a:prstDash val="solid"/>
              </a:ln>
            </c:spPr>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(2)'!$O$108:$O$117</c:f>
              <c:numCache>
                <c:formatCode>General</c:formatCode>
                <c:ptCount val="10"/>
                <c:pt idx="0">
                  <c:v>0.52100000000000002</c:v>
                </c:pt>
                <c:pt idx="1">
                  <c:v>0.53100000000000003</c:v>
                </c:pt>
                <c:pt idx="2">
                  <c:v>0.52350000000000008</c:v>
                </c:pt>
                <c:pt idx="3">
                  <c:v>0.52150000000000007</c:v>
                </c:pt>
                <c:pt idx="4">
                  <c:v>0.52449999999999997</c:v>
                </c:pt>
                <c:pt idx="5">
                  <c:v>#N/A</c:v>
                </c:pt>
                <c:pt idx="6">
                  <c:v>#N/A</c:v>
                </c:pt>
                <c:pt idx="7">
                  <c:v>#N/A</c:v>
                </c:pt>
                <c:pt idx="8">
                  <c:v>#N/A</c:v>
                </c:pt>
                <c:pt idx="9">
                  <c:v>#N/A</c:v>
                </c:pt>
              </c:numCache>
            </c:numRef>
          </c:val>
          <c:smooth val="0"/>
          <c:extLst>
            <c:ext xmlns:c16="http://schemas.microsoft.com/office/drawing/2014/chart" uri="{C3380CC4-5D6E-409C-BE32-E72D297353CC}">
              <c16:uniqueId val="{00000000-1948-44DF-BAA5-698E4201C034}"/>
            </c:ext>
          </c:extLst>
        </c:ser>
        <c:ser>
          <c:idx val="1"/>
          <c:order val="1"/>
          <c:tx>
            <c:strRef>
              <c:f>'GRR Calculations (2)'!$P$106</c:f>
              <c:strCache>
                <c:ptCount val="1"/>
                <c:pt idx="0">
                  <c:v>Op. B</c:v>
                </c:pt>
              </c:strCache>
            </c:strRef>
          </c:tx>
          <c:spPr>
            <a:ln w="12700">
              <a:solidFill>
                <a:srgbClr val="FF00FF"/>
              </a:solidFill>
              <a:prstDash val="solid"/>
            </a:ln>
          </c:spPr>
          <c:marker>
            <c:symbol val="square"/>
            <c:size val="7"/>
            <c:spPr>
              <a:solidFill>
                <a:srgbClr val="FF00FF"/>
              </a:solidFill>
              <a:ln>
                <a:solidFill>
                  <a:srgbClr val="FF00FF"/>
                </a:solidFill>
                <a:prstDash val="solid"/>
              </a:ln>
            </c:spPr>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(2)'!$P$108:$P$117</c:f>
              <c:numCache>
                <c:formatCode>General</c:formatCode>
                <c:ptCount val="10"/>
                <c:pt idx="0">
                  <c:v>#N/A</c:v>
                </c:pt>
                <c:pt idx="1">
                  <c:v>#N/A</c:v>
                </c:pt>
                <c:pt idx="2">
                  <c:v>#N/A</c:v>
                </c:pt>
                <c:pt idx="3">
                  <c:v>#N/A</c:v>
                </c:pt>
                <c:pt idx="4">
                  <c:v>#N/A</c:v>
                </c:pt>
                <c:pt idx="5">
                  <c:v>0.51200000000000001</c:v>
                </c:pt>
                <c:pt idx="6">
                  <c:v>0.52150000000000007</c:v>
                </c:pt>
                <c:pt idx="7">
                  <c:v>0.52200000000000002</c:v>
                </c:pt>
                <c:pt idx="8">
                  <c:v>0.52350000000000008</c:v>
                </c:pt>
                <c:pt idx="9">
                  <c:v>0.52100000000000002</c:v>
                </c:pt>
              </c:numCache>
            </c:numRef>
          </c:val>
          <c:smooth val="0"/>
          <c:extLst>
            <c:ext xmlns:c16="http://schemas.microsoft.com/office/drawing/2014/chart" uri="{C3380CC4-5D6E-409C-BE32-E72D297353CC}">
              <c16:uniqueId val="{00000001-1948-44DF-BAA5-698E4201C034}"/>
            </c:ext>
          </c:extLst>
        </c:ser>
        <c:ser>
          <c:idx val="2"/>
          <c:order val="2"/>
          <c:tx>
            <c:strRef>
              <c:f>'GRR Calculations (2)'!$Q$106</c:f>
              <c:strCache>
                <c:ptCount val="1"/>
                <c:pt idx="0">
                  <c:v>Op. C</c:v>
                </c:pt>
              </c:strCache>
            </c:strRef>
          </c:tx>
          <c:spPr>
            <a:ln w="12700">
              <a:solidFill>
                <a:srgbClr val="008000"/>
              </a:solidFill>
              <a:prstDash val="solid"/>
            </a:ln>
          </c:spPr>
          <c:marker>
            <c:symbol val="triangle"/>
            <c:size val="7"/>
            <c:spPr>
              <a:solidFill>
                <a:srgbClr val="008000"/>
              </a:solidFill>
              <a:ln>
                <a:solidFill>
                  <a:srgbClr val="008000"/>
                </a:solidFill>
                <a:prstDash val="solid"/>
              </a:ln>
            </c:spPr>
          </c:marker>
          <c:val>
            <c:numRef>
              <c:f>'GRR Calculations (2)'!$Q$108:$Q$117</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2-1948-44DF-BAA5-698E4201C034}"/>
            </c:ext>
          </c:extLst>
        </c:ser>
        <c:ser>
          <c:idx val="3"/>
          <c:order val="3"/>
          <c:tx>
            <c:strRef>
              <c:f>'GRR Calculations (2)'!$V$107</c:f>
              <c:strCache>
                <c:ptCount val="1"/>
                <c:pt idx="0">
                  <c:v>Average</c:v>
                </c:pt>
              </c:strCache>
            </c:strRef>
          </c:tx>
          <c:spPr>
            <a:ln w="25400">
              <a:solidFill>
                <a:srgbClr val="000000"/>
              </a:solidFill>
              <a:prstDash val="solid"/>
            </a:ln>
          </c:spPr>
          <c:marker>
            <c:symbol val="none"/>
          </c:marker>
          <c:val>
            <c:numRef>
              <c:f>'GRR Calculations (2)'!$V$108:$V$117</c:f>
              <c:numCache>
                <c:formatCode>General</c:formatCode>
                <c:ptCount val="10"/>
                <c:pt idx="0">
                  <c:v>0.52215000000000011</c:v>
                </c:pt>
                <c:pt idx="1">
                  <c:v>0.52215000000000011</c:v>
                </c:pt>
                <c:pt idx="2">
                  <c:v>0.52215000000000011</c:v>
                </c:pt>
                <c:pt idx="3">
                  <c:v>0.52215000000000011</c:v>
                </c:pt>
                <c:pt idx="4">
                  <c:v>0.52215000000000011</c:v>
                </c:pt>
                <c:pt idx="5">
                  <c:v>0.52215000000000011</c:v>
                </c:pt>
                <c:pt idx="6">
                  <c:v>0.52215000000000011</c:v>
                </c:pt>
                <c:pt idx="7">
                  <c:v>0.52215000000000011</c:v>
                </c:pt>
                <c:pt idx="8">
                  <c:v>0.52215000000000011</c:v>
                </c:pt>
                <c:pt idx="9">
                  <c:v>0.52215000000000011</c:v>
                </c:pt>
              </c:numCache>
            </c:numRef>
          </c:val>
          <c:smooth val="0"/>
          <c:extLst>
            <c:ext xmlns:c16="http://schemas.microsoft.com/office/drawing/2014/chart" uri="{C3380CC4-5D6E-409C-BE32-E72D297353CC}">
              <c16:uniqueId val="{00000003-1948-44DF-BAA5-698E4201C034}"/>
            </c:ext>
          </c:extLst>
        </c:ser>
        <c:ser>
          <c:idx val="4"/>
          <c:order val="4"/>
          <c:tx>
            <c:strRef>
              <c:f>'GRR Calculations (2)'!$X$107</c:f>
              <c:strCache>
                <c:ptCount val="1"/>
                <c:pt idx="0">
                  <c:v>UCL X</c:v>
                </c:pt>
              </c:strCache>
            </c:strRef>
          </c:tx>
          <c:spPr>
            <a:ln w="12700">
              <a:solidFill>
                <a:srgbClr val="FF0000"/>
              </a:solidFill>
              <a:prstDash val="solid"/>
            </a:ln>
          </c:spPr>
          <c:marker>
            <c:symbol val="none"/>
          </c:marker>
          <c:val>
            <c:numRef>
              <c:f>'GRR Calculations (2)'!$X$108:$X$117</c:f>
              <c:numCache>
                <c:formatCode>General</c:formatCode>
                <c:ptCount val="10"/>
                <c:pt idx="0">
                  <c:v>0.52685000000000015</c:v>
                </c:pt>
                <c:pt idx="1">
                  <c:v>0.52685000000000015</c:v>
                </c:pt>
                <c:pt idx="2">
                  <c:v>0.52685000000000015</c:v>
                </c:pt>
                <c:pt idx="3">
                  <c:v>0.52685000000000015</c:v>
                </c:pt>
                <c:pt idx="4">
                  <c:v>0.52685000000000015</c:v>
                </c:pt>
                <c:pt idx="5">
                  <c:v>0.52685000000000015</c:v>
                </c:pt>
                <c:pt idx="6">
                  <c:v>0.52685000000000015</c:v>
                </c:pt>
                <c:pt idx="7">
                  <c:v>0.52685000000000015</c:v>
                </c:pt>
                <c:pt idx="8">
                  <c:v>0.52685000000000015</c:v>
                </c:pt>
                <c:pt idx="9">
                  <c:v>0.52685000000000015</c:v>
                </c:pt>
              </c:numCache>
            </c:numRef>
          </c:val>
          <c:smooth val="0"/>
          <c:extLst>
            <c:ext xmlns:c16="http://schemas.microsoft.com/office/drawing/2014/chart" uri="{C3380CC4-5D6E-409C-BE32-E72D297353CC}">
              <c16:uniqueId val="{00000004-1948-44DF-BAA5-698E4201C034}"/>
            </c:ext>
          </c:extLst>
        </c:ser>
        <c:ser>
          <c:idx val="5"/>
          <c:order val="5"/>
          <c:tx>
            <c:strRef>
              <c:f>'GRR Calculations (2)'!$Y$107</c:f>
              <c:strCache>
                <c:ptCount val="1"/>
                <c:pt idx="0">
                  <c:v>LCL X</c:v>
                </c:pt>
              </c:strCache>
            </c:strRef>
          </c:tx>
          <c:spPr>
            <a:ln w="12700">
              <a:solidFill>
                <a:srgbClr val="FF0000"/>
              </a:solidFill>
              <a:prstDash val="solid"/>
            </a:ln>
          </c:spPr>
          <c:marker>
            <c:symbol val="none"/>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(2)'!$Y$108:$Y$117</c:f>
              <c:numCache>
                <c:formatCode>General</c:formatCode>
                <c:ptCount val="10"/>
                <c:pt idx="0">
                  <c:v>0.51745000000000008</c:v>
                </c:pt>
                <c:pt idx="1">
                  <c:v>0.51745000000000008</c:v>
                </c:pt>
                <c:pt idx="2">
                  <c:v>0.51745000000000008</c:v>
                </c:pt>
                <c:pt idx="3">
                  <c:v>0.51745000000000008</c:v>
                </c:pt>
                <c:pt idx="4">
                  <c:v>0.51745000000000008</c:v>
                </c:pt>
                <c:pt idx="5">
                  <c:v>0.51745000000000008</c:v>
                </c:pt>
                <c:pt idx="6">
                  <c:v>0.51745000000000008</c:v>
                </c:pt>
                <c:pt idx="7">
                  <c:v>0.51745000000000008</c:v>
                </c:pt>
                <c:pt idx="8">
                  <c:v>0.51745000000000008</c:v>
                </c:pt>
                <c:pt idx="9">
                  <c:v>0.51745000000000008</c:v>
                </c:pt>
              </c:numCache>
            </c:numRef>
          </c:val>
          <c:smooth val="0"/>
          <c:extLst>
            <c:ext xmlns:c16="http://schemas.microsoft.com/office/drawing/2014/chart" uri="{C3380CC4-5D6E-409C-BE32-E72D297353CC}">
              <c16:uniqueId val="{00000005-1948-44DF-BAA5-698E4201C034}"/>
            </c:ext>
          </c:extLst>
        </c:ser>
        <c:dLbls>
          <c:showLegendKey val="0"/>
          <c:showVal val="0"/>
          <c:showCatName val="0"/>
          <c:showSerName val="0"/>
          <c:showPercent val="0"/>
          <c:showBubbleSize val="0"/>
        </c:dLbls>
        <c:marker val="1"/>
        <c:smooth val="0"/>
        <c:axId val="362280112"/>
        <c:axId val="362279328"/>
      </c:lineChart>
      <c:catAx>
        <c:axId val="36228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2279328"/>
        <c:crosses val="autoZero"/>
        <c:auto val="1"/>
        <c:lblAlgn val="ctr"/>
        <c:lblOffset val="100"/>
        <c:tickLblSkip val="1"/>
        <c:tickMarkSkip val="1"/>
        <c:noMultiLvlLbl val="0"/>
      </c:catAx>
      <c:valAx>
        <c:axId val="3622793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2280112"/>
        <c:crosses val="autoZero"/>
        <c:crossBetween val="between"/>
      </c:valAx>
      <c:spPr>
        <a:solidFill>
          <a:srgbClr val="FFFFFF"/>
        </a:solidFill>
        <a:ln w="3175">
          <a:solidFill>
            <a:srgbClr val="000000"/>
          </a:solidFill>
          <a:prstDash val="solid"/>
        </a:ln>
      </c:spPr>
    </c:plotArea>
    <c:legend>
      <c:legendPos val="r"/>
      <c:layout>
        <c:manualLayout>
          <c:xMode val="edge"/>
          <c:yMode val="edge"/>
          <c:x val="0.88314551467027569"/>
          <c:y val="0.40533869208219936"/>
          <c:w val="0.11169193273771132"/>
          <c:h val="0.3757519262367833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FFCC"/>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Range Chart by Operator</a:t>
            </a:r>
          </a:p>
        </c:rich>
      </c:tx>
      <c:layout>
        <c:manualLayout>
          <c:xMode val="edge"/>
          <c:yMode val="edge"/>
          <c:x val="0.33767328502098776"/>
          <c:y val="1.7752059507249607E-2"/>
        </c:manualLayout>
      </c:layout>
      <c:overlay val="0"/>
      <c:spPr>
        <a:noFill/>
        <a:ln w="25400">
          <a:noFill/>
        </a:ln>
      </c:spPr>
    </c:title>
    <c:autoTitleDeleted val="0"/>
    <c:plotArea>
      <c:layout>
        <c:manualLayout>
          <c:layoutTarget val="inner"/>
          <c:xMode val="edge"/>
          <c:yMode val="edge"/>
          <c:x val="5.8443453176709396E-2"/>
          <c:y val="8.2842944367164814E-2"/>
          <c:w val="0.80522091043466293"/>
          <c:h val="0.83434679684073154"/>
        </c:manualLayout>
      </c:layout>
      <c:lineChart>
        <c:grouping val="standard"/>
        <c:varyColors val="0"/>
        <c:ser>
          <c:idx val="0"/>
          <c:order val="0"/>
          <c:tx>
            <c:strRef>
              <c:f>'GRR Calculations (2)'!$R$106</c:f>
              <c:strCache>
                <c:ptCount val="1"/>
                <c:pt idx="0">
                  <c:v>Op. A</c:v>
                </c:pt>
              </c:strCache>
            </c:strRef>
          </c:tx>
          <c:spPr>
            <a:ln w="12700">
              <a:solidFill>
                <a:srgbClr val="000080"/>
              </a:solidFill>
              <a:prstDash val="solid"/>
            </a:ln>
          </c:spPr>
          <c:marker>
            <c:symbol val="diamond"/>
            <c:size val="7"/>
            <c:spPr>
              <a:solidFill>
                <a:srgbClr val="000080"/>
              </a:solidFill>
              <a:ln>
                <a:solidFill>
                  <a:srgbClr val="000080"/>
                </a:solidFill>
                <a:prstDash val="solid"/>
              </a:ln>
            </c:spPr>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(2)'!$R$108:$R$117</c:f>
              <c:numCache>
                <c:formatCode>General</c:formatCode>
                <c:ptCount val="10"/>
                <c:pt idx="0">
                  <c:v>0</c:v>
                </c:pt>
                <c:pt idx="1">
                  <c:v>1.8000000000000016E-2</c:v>
                </c:pt>
                <c:pt idx="2">
                  <c:v>1.0000000000000009E-3</c:v>
                </c:pt>
                <c:pt idx="3">
                  <c:v>1.0000000000000009E-3</c:v>
                </c:pt>
                <c:pt idx="4">
                  <c:v>1.0000000000000009E-3</c:v>
                </c:pt>
                <c:pt idx="5">
                  <c:v>#N/A</c:v>
                </c:pt>
                <c:pt idx="6">
                  <c:v>#N/A</c:v>
                </c:pt>
                <c:pt idx="7">
                  <c:v>#N/A</c:v>
                </c:pt>
                <c:pt idx="8">
                  <c:v>#N/A</c:v>
                </c:pt>
                <c:pt idx="9">
                  <c:v>#N/A</c:v>
                </c:pt>
              </c:numCache>
            </c:numRef>
          </c:val>
          <c:smooth val="0"/>
          <c:extLst>
            <c:ext xmlns:c16="http://schemas.microsoft.com/office/drawing/2014/chart" uri="{C3380CC4-5D6E-409C-BE32-E72D297353CC}">
              <c16:uniqueId val="{00000000-A1FF-49AF-97B5-CBE071BF2945}"/>
            </c:ext>
          </c:extLst>
        </c:ser>
        <c:ser>
          <c:idx val="1"/>
          <c:order val="1"/>
          <c:tx>
            <c:strRef>
              <c:f>'GRR Calculations (2)'!$S$106</c:f>
              <c:strCache>
                <c:ptCount val="1"/>
                <c:pt idx="0">
                  <c:v>Op. B</c:v>
                </c:pt>
              </c:strCache>
            </c:strRef>
          </c:tx>
          <c:spPr>
            <a:ln w="12700">
              <a:solidFill>
                <a:srgbClr val="FF00FF"/>
              </a:solidFill>
              <a:prstDash val="solid"/>
            </a:ln>
          </c:spPr>
          <c:marker>
            <c:symbol val="square"/>
            <c:size val="7"/>
            <c:spPr>
              <a:solidFill>
                <a:srgbClr val="FF00FF"/>
              </a:solidFill>
              <a:ln>
                <a:solidFill>
                  <a:srgbClr val="FF00FF"/>
                </a:solidFill>
                <a:prstDash val="solid"/>
              </a:ln>
            </c:spPr>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(2)'!$S$108:$S$117</c:f>
              <c:numCache>
                <c:formatCode>General</c:formatCode>
                <c:ptCount val="10"/>
                <c:pt idx="0">
                  <c:v>#N/A</c:v>
                </c:pt>
                <c:pt idx="1">
                  <c:v>#N/A</c:v>
                </c:pt>
                <c:pt idx="2">
                  <c:v>#N/A</c:v>
                </c:pt>
                <c:pt idx="3">
                  <c:v>#N/A</c:v>
                </c:pt>
                <c:pt idx="4">
                  <c:v>#N/A</c:v>
                </c:pt>
                <c:pt idx="5">
                  <c:v>2.0000000000000018E-3</c:v>
                </c:pt>
                <c:pt idx="6">
                  <c:v>1.0000000000000009E-3</c:v>
                </c:pt>
                <c:pt idx="7">
                  <c:v>0</c:v>
                </c:pt>
                <c:pt idx="8">
                  <c:v>1.0000000000000009E-3</c:v>
                </c:pt>
                <c:pt idx="9">
                  <c:v>0</c:v>
                </c:pt>
              </c:numCache>
            </c:numRef>
          </c:val>
          <c:smooth val="0"/>
          <c:extLst>
            <c:ext xmlns:c16="http://schemas.microsoft.com/office/drawing/2014/chart" uri="{C3380CC4-5D6E-409C-BE32-E72D297353CC}">
              <c16:uniqueId val="{00000001-A1FF-49AF-97B5-CBE071BF2945}"/>
            </c:ext>
          </c:extLst>
        </c:ser>
        <c:ser>
          <c:idx val="2"/>
          <c:order val="2"/>
          <c:tx>
            <c:strRef>
              <c:f>'GRR Calculations (2)'!$T$106</c:f>
              <c:strCache>
                <c:ptCount val="1"/>
                <c:pt idx="0">
                  <c:v>Op. C</c:v>
                </c:pt>
              </c:strCache>
            </c:strRef>
          </c:tx>
          <c:spPr>
            <a:ln w="12700">
              <a:solidFill>
                <a:srgbClr val="008000"/>
              </a:solidFill>
              <a:prstDash val="solid"/>
            </a:ln>
          </c:spPr>
          <c:marker>
            <c:symbol val="triangle"/>
            <c:size val="7"/>
            <c:spPr>
              <a:solidFill>
                <a:srgbClr val="008000"/>
              </a:solidFill>
              <a:ln>
                <a:solidFill>
                  <a:srgbClr val="008000"/>
                </a:solidFill>
                <a:prstDash val="solid"/>
              </a:ln>
            </c:spPr>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(2)'!$T$108:$T$117</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2-A1FF-49AF-97B5-CBE071BF2945}"/>
            </c:ext>
          </c:extLst>
        </c:ser>
        <c:ser>
          <c:idx val="3"/>
          <c:order val="3"/>
          <c:tx>
            <c:strRef>
              <c:f>'GRR Calculations (2)'!$W$107</c:f>
              <c:strCache>
                <c:ptCount val="1"/>
                <c:pt idx="0">
                  <c:v>Average</c:v>
                </c:pt>
              </c:strCache>
            </c:strRef>
          </c:tx>
          <c:spPr>
            <a:ln w="25400">
              <a:solidFill>
                <a:srgbClr val="000000"/>
              </a:solidFill>
              <a:prstDash val="solid"/>
            </a:ln>
          </c:spPr>
          <c:marker>
            <c:symbol val="none"/>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(2)'!$W$108:$W$117</c:f>
              <c:numCache>
                <c:formatCode>General</c:formatCode>
                <c:ptCount val="10"/>
                <c:pt idx="0">
                  <c:v>2.5000000000000022E-3</c:v>
                </c:pt>
                <c:pt idx="1">
                  <c:v>2.5000000000000022E-3</c:v>
                </c:pt>
                <c:pt idx="2">
                  <c:v>2.5000000000000022E-3</c:v>
                </c:pt>
                <c:pt idx="3">
                  <c:v>2.5000000000000022E-3</c:v>
                </c:pt>
                <c:pt idx="4">
                  <c:v>2.5000000000000022E-3</c:v>
                </c:pt>
                <c:pt idx="5">
                  <c:v>2.5000000000000022E-3</c:v>
                </c:pt>
                <c:pt idx="6">
                  <c:v>2.5000000000000022E-3</c:v>
                </c:pt>
                <c:pt idx="7">
                  <c:v>2.5000000000000022E-3</c:v>
                </c:pt>
                <c:pt idx="8">
                  <c:v>2.5000000000000022E-3</c:v>
                </c:pt>
                <c:pt idx="9">
                  <c:v>2.5000000000000022E-3</c:v>
                </c:pt>
              </c:numCache>
            </c:numRef>
          </c:val>
          <c:smooth val="0"/>
          <c:extLst>
            <c:ext xmlns:c16="http://schemas.microsoft.com/office/drawing/2014/chart" uri="{C3380CC4-5D6E-409C-BE32-E72D297353CC}">
              <c16:uniqueId val="{00000003-A1FF-49AF-97B5-CBE071BF2945}"/>
            </c:ext>
          </c:extLst>
        </c:ser>
        <c:ser>
          <c:idx val="4"/>
          <c:order val="4"/>
          <c:tx>
            <c:strRef>
              <c:f>'GRR Calculations (2)'!$Z$107</c:f>
              <c:strCache>
                <c:ptCount val="1"/>
                <c:pt idx="0">
                  <c:v>UCL R</c:v>
                </c:pt>
              </c:strCache>
            </c:strRef>
          </c:tx>
          <c:spPr>
            <a:ln w="12700">
              <a:solidFill>
                <a:srgbClr val="FF0000"/>
              </a:solidFill>
              <a:prstDash val="solid"/>
            </a:ln>
          </c:spPr>
          <c:marker>
            <c:symbol val="none"/>
          </c:marker>
          <c:cat>
            <c:numRef>
              <c:f>'GRR Calculations (2)'!$N$108:$N$117</c:f>
              <c:numCache>
                <c:formatCode>General</c:formatCode>
                <c:ptCount val="10"/>
                <c:pt idx="0">
                  <c:v>1</c:v>
                </c:pt>
                <c:pt idx="1">
                  <c:v>2</c:v>
                </c:pt>
                <c:pt idx="2">
                  <c:v>3</c:v>
                </c:pt>
                <c:pt idx="3">
                  <c:v>4</c:v>
                </c:pt>
                <c:pt idx="4">
                  <c:v>5</c:v>
                </c:pt>
                <c:pt idx="5">
                  <c:v>1</c:v>
                </c:pt>
                <c:pt idx="6">
                  <c:v>2</c:v>
                </c:pt>
                <c:pt idx="7">
                  <c:v>3</c:v>
                </c:pt>
                <c:pt idx="8">
                  <c:v>4</c:v>
                </c:pt>
                <c:pt idx="9">
                  <c:v>5</c:v>
                </c:pt>
              </c:numCache>
            </c:numRef>
          </c:cat>
          <c:val>
            <c:numRef>
              <c:f>'GRR Calculations (2)'!$Z$108:$Z$117</c:f>
              <c:numCache>
                <c:formatCode>General</c:formatCode>
                <c:ptCount val="10"/>
                <c:pt idx="0">
                  <c:v>8.1750000000000069E-3</c:v>
                </c:pt>
                <c:pt idx="1">
                  <c:v>8.1750000000000069E-3</c:v>
                </c:pt>
                <c:pt idx="2">
                  <c:v>8.1750000000000069E-3</c:v>
                </c:pt>
                <c:pt idx="3">
                  <c:v>8.1750000000000069E-3</c:v>
                </c:pt>
                <c:pt idx="4">
                  <c:v>8.1750000000000069E-3</c:v>
                </c:pt>
                <c:pt idx="5">
                  <c:v>8.1750000000000069E-3</c:v>
                </c:pt>
                <c:pt idx="6">
                  <c:v>8.1750000000000069E-3</c:v>
                </c:pt>
                <c:pt idx="7">
                  <c:v>8.1750000000000069E-3</c:v>
                </c:pt>
                <c:pt idx="8">
                  <c:v>8.1750000000000069E-3</c:v>
                </c:pt>
                <c:pt idx="9">
                  <c:v>8.1750000000000069E-3</c:v>
                </c:pt>
              </c:numCache>
            </c:numRef>
          </c:val>
          <c:smooth val="0"/>
          <c:extLst>
            <c:ext xmlns:c16="http://schemas.microsoft.com/office/drawing/2014/chart" uri="{C3380CC4-5D6E-409C-BE32-E72D297353CC}">
              <c16:uniqueId val="{00000004-A1FF-49AF-97B5-CBE071BF2945}"/>
            </c:ext>
          </c:extLst>
        </c:ser>
        <c:dLbls>
          <c:showLegendKey val="0"/>
          <c:showVal val="0"/>
          <c:showCatName val="0"/>
          <c:showSerName val="0"/>
          <c:showPercent val="0"/>
          <c:showBubbleSize val="0"/>
        </c:dLbls>
        <c:marker val="1"/>
        <c:smooth val="0"/>
        <c:axId val="362283248"/>
        <c:axId val="362284032"/>
      </c:lineChart>
      <c:catAx>
        <c:axId val="362283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2284032"/>
        <c:crosses val="autoZero"/>
        <c:auto val="1"/>
        <c:lblAlgn val="ctr"/>
        <c:lblOffset val="100"/>
        <c:tickLblSkip val="1"/>
        <c:tickMarkSkip val="1"/>
        <c:noMultiLvlLbl val="0"/>
      </c:catAx>
      <c:valAx>
        <c:axId val="3622840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2283248"/>
        <c:crosses val="autoZero"/>
        <c:crossBetween val="between"/>
      </c:valAx>
      <c:spPr>
        <a:solidFill>
          <a:srgbClr val="FFFFFF"/>
        </a:solidFill>
        <a:ln w="3175">
          <a:solidFill>
            <a:srgbClr val="000000"/>
          </a:solidFill>
          <a:prstDash val="solid"/>
        </a:ln>
      </c:spPr>
    </c:plotArea>
    <c:legend>
      <c:legendPos val="r"/>
      <c:layout>
        <c:manualLayout>
          <c:xMode val="edge"/>
          <c:yMode val="edge"/>
          <c:x val="0.88054802786242159"/>
          <c:y val="0.42900810475853218"/>
          <c:w val="0.11169193273771132"/>
          <c:h val="0.3136197179614098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FFCC"/>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Operator - Part Interaction</a:t>
            </a:r>
          </a:p>
        </c:rich>
      </c:tx>
      <c:layout>
        <c:manualLayout>
          <c:xMode val="edge"/>
          <c:yMode val="edge"/>
          <c:x val="0.32728333778957275"/>
          <c:y val="1.3736713658941592E-2"/>
        </c:manualLayout>
      </c:layout>
      <c:overlay val="0"/>
      <c:spPr>
        <a:noFill/>
        <a:ln w="25400">
          <a:noFill/>
        </a:ln>
      </c:spPr>
    </c:title>
    <c:autoTitleDeleted val="0"/>
    <c:plotArea>
      <c:layout>
        <c:manualLayout>
          <c:layoutTarget val="inner"/>
          <c:xMode val="edge"/>
          <c:yMode val="edge"/>
          <c:x val="5.0650992753148161E-2"/>
          <c:y val="8.7914967417226209E-2"/>
          <c:w val="0.81690960107000488"/>
          <c:h val="0.78848736402324726"/>
        </c:manualLayout>
      </c:layout>
      <c:lineChart>
        <c:grouping val="standard"/>
        <c:varyColors val="0"/>
        <c:ser>
          <c:idx val="0"/>
          <c:order val="0"/>
          <c:spPr>
            <a:ln w="19050">
              <a:noFill/>
            </a:ln>
          </c:spPr>
          <c:marker>
            <c:symbol val="diamond"/>
            <c:size val="5"/>
            <c:spPr>
              <a:solidFill>
                <a:srgbClr val="000080"/>
              </a:solidFill>
              <a:ln>
                <a:solidFill>
                  <a:srgbClr val="000080"/>
                </a:solidFill>
                <a:prstDash val="solid"/>
              </a:ln>
            </c:spPr>
          </c:marker>
          <c:val>
            <c:numRef>
              <c:f>'GRR Calculations (2)'!$AF$74:$AF$78</c:f>
              <c:numCache>
                <c:formatCode>General</c:formatCode>
                <c:ptCount val="5"/>
                <c:pt idx="0">
                  <c:v>0.52100000000000002</c:v>
                </c:pt>
                <c:pt idx="1">
                  <c:v>0.52200000000000002</c:v>
                </c:pt>
                <c:pt idx="2">
                  <c:v>0.52300000000000002</c:v>
                </c:pt>
                <c:pt idx="3">
                  <c:v>0.52100000000000002</c:v>
                </c:pt>
                <c:pt idx="4">
                  <c:v>0.52500000000000002</c:v>
                </c:pt>
              </c:numCache>
            </c:numRef>
          </c:val>
          <c:smooth val="0"/>
          <c:extLst>
            <c:ext xmlns:c16="http://schemas.microsoft.com/office/drawing/2014/chart" uri="{C3380CC4-5D6E-409C-BE32-E72D297353CC}">
              <c16:uniqueId val="{00000000-3BDD-4E45-A98D-5E52373A6F4A}"/>
            </c:ext>
          </c:extLst>
        </c:ser>
        <c:ser>
          <c:idx val="1"/>
          <c:order val="1"/>
          <c:spPr>
            <a:ln w="19050">
              <a:noFill/>
            </a:ln>
          </c:spPr>
          <c:marker>
            <c:symbol val="diamond"/>
            <c:size val="5"/>
            <c:spPr>
              <a:solidFill>
                <a:srgbClr val="000080"/>
              </a:solidFill>
              <a:ln>
                <a:solidFill>
                  <a:srgbClr val="000080"/>
                </a:solidFill>
                <a:prstDash val="solid"/>
              </a:ln>
            </c:spPr>
          </c:marker>
          <c:val>
            <c:numRef>
              <c:f>'GRR Calculations (2)'!$AG$74:$AG$78</c:f>
              <c:numCache>
                <c:formatCode>General</c:formatCode>
                <c:ptCount val="5"/>
                <c:pt idx="0">
                  <c:v>0.52100000000000002</c:v>
                </c:pt>
                <c:pt idx="1">
                  <c:v>0.54</c:v>
                </c:pt>
                <c:pt idx="2">
                  <c:v>0.52400000000000002</c:v>
                </c:pt>
                <c:pt idx="3">
                  <c:v>0.52200000000000002</c:v>
                </c:pt>
                <c:pt idx="4">
                  <c:v>0.52400000000000002</c:v>
                </c:pt>
              </c:numCache>
            </c:numRef>
          </c:val>
          <c:smooth val="0"/>
          <c:extLst>
            <c:ext xmlns:c16="http://schemas.microsoft.com/office/drawing/2014/chart" uri="{C3380CC4-5D6E-409C-BE32-E72D297353CC}">
              <c16:uniqueId val="{00000001-3BDD-4E45-A98D-5E52373A6F4A}"/>
            </c:ext>
          </c:extLst>
        </c:ser>
        <c:ser>
          <c:idx val="2"/>
          <c:order val="2"/>
          <c:spPr>
            <a:ln w="19050">
              <a:noFill/>
            </a:ln>
          </c:spPr>
          <c:marker>
            <c:symbol val="diamond"/>
            <c:size val="5"/>
            <c:spPr>
              <a:solidFill>
                <a:srgbClr val="000080"/>
              </a:solidFill>
              <a:ln>
                <a:solidFill>
                  <a:srgbClr val="000080"/>
                </a:solidFill>
                <a:prstDash val="solid"/>
              </a:ln>
            </c:spPr>
          </c:marker>
          <c:val>
            <c:numRef>
              <c:f>'GRR Calculations (2)'!$AH$74:$AH$78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3BDD-4E45-A98D-5E52373A6F4A}"/>
            </c:ext>
          </c:extLst>
        </c:ser>
        <c:ser>
          <c:idx val="3"/>
          <c:order val="3"/>
          <c:tx>
            <c:strRef>
              <c:f>'GRR Calculations (2)'!$AO$73</c:f>
              <c:strCache>
                <c:ptCount val="1"/>
                <c:pt idx="0">
                  <c:v>Op A</c:v>
                </c:pt>
              </c:strCache>
            </c:strRef>
          </c:tx>
          <c:spPr>
            <a:ln w="12700">
              <a:solidFill>
                <a:srgbClr val="000080"/>
              </a:solidFill>
              <a:prstDash val="solid"/>
            </a:ln>
          </c:spPr>
          <c:marker>
            <c:symbol val="none"/>
          </c:marker>
          <c:val>
            <c:numRef>
              <c:f>'GRR Calculations (2)'!$AO$84:$AO$88</c:f>
              <c:numCache>
                <c:formatCode>General</c:formatCode>
                <c:ptCount val="5"/>
                <c:pt idx="0">
                  <c:v>0.52100000000000002</c:v>
                </c:pt>
                <c:pt idx="1">
                  <c:v>0.53100000000000003</c:v>
                </c:pt>
                <c:pt idx="2">
                  <c:v>0.52350000000000008</c:v>
                </c:pt>
                <c:pt idx="3">
                  <c:v>0.52150000000000007</c:v>
                </c:pt>
                <c:pt idx="4">
                  <c:v>0.52449999999999997</c:v>
                </c:pt>
              </c:numCache>
            </c:numRef>
          </c:val>
          <c:smooth val="0"/>
          <c:extLst>
            <c:ext xmlns:c16="http://schemas.microsoft.com/office/drawing/2014/chart" uri="{C3380CC4-5D6E-409C-BE32-E72D297353CC}">
              <c16:uniqueId val="{00000003-3BDD-4E45-A98D-5E52373A6F4A}"/>
            </c:ext>
          </c:extLst>
        </c:ser>
        <c:ser>
          <c:idx val="4"/>
          <c:order val="4"/>
          <c:spPr>
            <a:ln w="19050">
              <a:noFill/>
            </a:ln>
          </c:spPr>
          <c:marker>
            <c:symbol val="square"/>
            <c:size val="5"/>
            <c:spPr>
              <a:solidFill>
                <a:srgbClr val="FF00FF"/>
              </a:solidFill>
              <a:ln>
                <a:solidFill>
                  <a:srgbClr val="FF00FF"/>
                </a:solidFill>
                <a:prstDash val="solid"/>
              </a:ln>
            </c:spPr>
          </c:marker>
          <c:val>
            <c:numRef>
              <c:f>'GRR Calculations (2)'!$AI$74:$AI$78</c:f>
              <c:numCache>
                <c:formatCode>General</c:formatCode>
                <c:ptCount val="5"/>
                <c:pt idx="0">
                  <c:v>0.51100000000000001</c:v>
                </c:pt>
                <c:pt idx="1">
                  <c:v>0.52100000000000002</c:v>
                </c:pt>
                <c:pt idx="2">
                  <c:v>0.52200000000000002</c:v>
                </c:pt>
                <c:pt idx="3">
                  <c:v>0.52400000000000002</c:v>
                </c:pt>
                <c:pt idx="4">
                  <c:v>0.52100000000000002</c:v>
                </c:pt>
              </c:numCache>
            </c:numRef>
          </c:val>
          <c:smooth val="0"/>
          <c:extLst>
            <c:ext xmlns:c16="http://schemas.microsoft.com/office/drawing/2014/chart" uri="{C3380CC4-5D6E-409C-BE32-E72D297353CC}">
              <c16:uniqueId val="{00000004-3BDD-4E45-A98D-5E52373A6F4A}"/>
            </c:ext>
          </c:extLst>
        </c:ser>
        <c:ser>
          <c:idx val="5"/>
          <c:order val="5"/>
          <c:spPr>
            <a:ln w="19050">
              <a:noFill/>
            </a:ln>
          </c:spPr>
          <c:marker>
            <c:symbol val="square"/>
            <c:size val="5"/>
            <c:spPr>
              <a:solidFill>
                <a:srgbClr val="FF00FF"/>
              </a:solidFill>
              <a:ln>
                <a:solidFill>
                  <a:srgbClr val="FF00FF"/>
                </a:solidFill>
                <a:prstDash val="solid"/>
              </a:ln>
            </c:spPr>
          </c:marker>
          <c:val>
            <c:numRef>
              <c:f>'GRR Calculations (2)'!$AJ$74:$AJ$78</c:f>
              <c:numCache>
                <c:formatCode>General</c:formatCode>
                <c:ptCount val="5"/>
                <c:pt idx="0">
                  <c:v>0.51300000000000001</c:v>
                </c:pt>
                <c:pt idx="1">
                  <c:v>0.52200000000000002</c:v>
                </c:pt>
                <c:pt idx="2">
                  <c:v>0.52200000000000002</c:v>
                </c:pt>
                <c:pt idx="3">
                  <c:v>0.52300000000000002</c:v>
                </c:pt>
                <c:pt idx="4">
                  <c:v>0.52100000000000002</c:v>
                </c:pt>
              </c:numCache>
            </c:numRef>
          </c:val>
          <c:smooth val="0"/>
          <c:extLst>
            <c:ext xmlns:c16="http://schemas.microsoft.com/office/drawing/2014/chart" uri="{C3380CC4-5D6E-409C-BE32-E72D297353CC}">
              <c16:uniqueId val="{00000005-3BDD-4E45-A98D-5E52373A6F4A}"/>
            </c:ext>
          </c:extLst>
        </c:ser>
        <c:ser>
          <c:idx val="6"/>
          <c:order val="6"/>
          <c:spPr>
            <a:ln w="19050">
              <a:noFill/>
            </a:ln>
          </c:spPr>
          <c:marker>
            <c:symbol val="square"/>
            <c:size val="5"/>
            <c:spPr>
              <a:solidFill>
                <a:srgbClr val="FF00FF"/>
              </a:solidFill>
              <a:ln>
                <a:solidFill>
                  <a:srgbClr val="FF00FF"/>
                </a:solidFill>
                <a:prstDash val="solid"/>
              </a:ln>
            </c:spPr>
          </c:marker>
          <c:val>
            <c:numRef>
              <c:f>'GRR Calculations (2)'!$AK$74:$AK$78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3BDD-4E45-A98D-5E52373A6F4A}"/>
            </c:ext>
          </c:extLst>
        </c:ser>
        <c:ser>
          <c:idx val="7"/>
          <c:order val="7"/>
          <c:tx>
            <c:strRef>
              <c:f>'GRR Calculations (2)'!$AP$73</c:f>
              <c:strCache>
                <c:ptCount val="1"/>
                <c:pt idx="0">
                  <c:v>Op B</c:v>
                </c:pt>
              </c:strCache>
            </c:strRef>
          </c:tx>
          <c:spPr>
            <a:ln w="12700">
              <a:solidFill>
                <a:srgbClr val="FF00FF"/>
              </a:solidFill>
              <a:prstDash val="solid"/>
            </a:ln>
          </c:spPr>
          <c:marker>
            <c:symbol val="none"/>
          </c:marker>
          <c:val>
            <c:numRef>
              <c:f>'GRR Calculations (2)'!$AP$84:$AP$88</c:f>
              <c:numCache>
                <c:formatCode>General</c:formatCode>
                <c:ptCount val="5"/>
                <c:pt idx="0">
                  <c:v>0.51200000000000001</c:v>
                </c:pt>
                <c:pt idx="1">
                  <c:v>0.52150000000000007</c:v>
                </c:pt>
                <c:pt idx="2">
                  <c:v>0.52200000000000002</c:v>
                </c:pt>
                <c:pt idx="3">
                  <c:v>0.52350000000000008</c:v>
                </c:pt>
                <c:pt idx="4">
                  <c:v>0.52100000000000002</c:v>
                </c:pt>
              </c:numCache>
            </c:numRef>
          </c:val>
          <c:smooth val="0"/>
          <c:extLst>
            <c:ext xmlns:c16="http://schemas.microsoft.com/office/drawing/2014/chart" uri="{C3380CC4-5D6E-409C-BE32-E72D297353CC}">
              <c16:uniqueId val="{00000007-3BDD-4E45-A98D-5E52373A6F4A}"/>
            </c:ext>
          </c:extLst>
        </c:ser>
        <c:ser>
          <c:idx val="8"/>
          <c:order val="8"/>
          <c:spPr>
            <a:ln w="19050">
              <a:noFill/>
            </a:ln>
          </c:spPr>
          <c:marker>
            <c:symbol val="triangle"/>
            <c:size val="5"/>
            <c:spPr>
              <a:solidFill>
                <a:srgbClr val="008000"/>
              </a:solidFill>
              <a:ln>
                <a:solidFill>
                  <a:srgbClr val="008000"/>
                </a:solidFill>
                <a:prstDash val="solid"/>
              </a:ln>
            </c:spPr>
          </c:marker>
          <c:val>
            <c:numRef>
              <c:f>'GRR Calculations (2)'!$AL$74:$AL$78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3BDD-4E45-A98D-5E52373A6F4A}"/>
            </c:ext>
          </c:extLst>
        </c:ser>
        <c:ser>
          <c:idx val="9"/>
          <c:order val="9"/>
          <c:spPr>
            <a:ln w="19050">
              <a:noFill/>
            </a:ln>
          </c:spPr>
          <c:marker>
            <c:symbol val="triangle"/>
            <c:size val="5"/>
            <c:spPr>
              <a:solidFill>
                <a:srgbClr val="008000"/>
              </a:solidFill>
              <a:ln>
                <a:solidFill>
                  <a:srgbClr val="008000"/>
                </a:solidFill>
                <a:prstDash val="solid"/>
              </a:ln>
            </c:spPr>
          </c:marker>
          <c:val>
            <c:numRef>
              <c:f>'GRR Calculations (2)'!$AM$74:$AM$78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3BDD-4E45-A98D-5E52373A6F4A}"/>
            </c:ext>
          </c:extLst>
        </c:ser>
        <c:ser>
          <c:idx val="10"/>
          <c:order val="10"/>
          <c:spPr>
            <a:ln w="19050">
              <a:noFill/>
            </a:ln>
          </c:spPr>
          <c:marker>
            <c:symbol val="triangle"/>
            <c:size val="5"/>
            <c:spPr>
              <a:solidFill>
                <a:srgbClr val="008000"/>
              </a:solidFill>
              <a:ln>
                <a:solidFill>
                  <a:srgbClr val="008000"/>
                </a:solidFill>
                <a:prstDash val="solid"/>
              </a:ln>
            </c:spPr>
          </c:marker>
          <c:val>
            <c:numRef>
              <c:f>'GRR Calculations (2)'!$AN$74:$AN$78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3BDD-4E45-A98D-5E52373A6F4A}"/>
            </c:ext>
          </c:extLst>
        </c:ser>
        <c:ser>
          <c:idx val="11"/>
          <c:order val="11"/>
          <c:tx>
            <c:strRef>
              <c:f>'GRR Calculations (2)'!$AQ$73</c:f>
              <c:strCache>
                <c:ptCount val="1"/>
                <c:pt idx="0">
                  <c:v>Op C</c:v>
                </c:pt>
              </c:strCache>
            </c:strRef>
          </c:tx>
          <c:spPr>
            <a:ln w="12700">
              <a:solidFill>
                <a:srgbClr val="008000"/>
              </a:solidFill>
              <a:prstDash val="solid"/>
            </a:ln>
          </c:spPr>
          <c:marker>
            <c:symbol val="none"/>
          </c:marker>
          <c:val>
            <c:numRef>
              <c:f>'GRR Calculations (2)'!$AQ$84:$AQ$88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3BDD-4E45-A98D-5E52373A6F4A}"/>
            </c:ext>
          </c:extLst>
        </c:ser>
        <c:dLbls>
          <c:showLegendKey val="0"/>
          <c:showVal val="0"/>
          <c:showCatName val="0"/>
          <c:showSerName val="0"/>
          <c:showPercent val="0"/>
          <c:showBubbleSize val="0"/>
        </c:dLbls>
        <c:marker val="1"/>
        <c:smooth val="0"/>
        <c:axId val="366309288"/>
        <c:axId val="366310856"/>
      </c:lineChart>
      <c:catAx>
        <c:axId val="366309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310856"/>
        <c:crosses val="autoZero"/>
        <c:auto val="1"/>
        <c:lblAlgn val="ctr"/>
        <c:lblOffset val="100"/>
        <c:tickLblSkip val="1"/>
        <c:tickMarkSkip val="1"/>
        <c:noMultiLvlLbl val="0"/>
      </c:catAx>
      <c:valAx>
        <c:axId val="3663108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309288"/>
        <c:crosses val="autoZero"/>
        <c:crossBetween val="between"/>
      </c:valAx>
      <c:spPr>
        <a:solidFill>
          <a:srgbClr val="FFFFFF"/>
        </a:solidFill>
        <a:ln w="3175">
          <a:solidFill>
            <a:srgbClr val="000000"/>
          </a:solidFill>
          <a:prstDash val="solid"/>
        </a:ln>
      </c:spPr>
    </c:plotArea>
    <c:legend>
      <c:legendPos val="r"/>
      <c:legendEntry>
        <c:idx val="0"/>
        <c:delete val="1"/>
      </c:legendEntry>
      <c:legendEntry>
        <c:idx val="1"/>
        <c:delete val="1"/>
      </c:legendEntry>
      <c:legendEntry>
        <c:idx val="2"/>
        <c:delete val="1"/>
      </c:legendEntry>
      <c:legendEntry>
        <c:idx val="4"/>
        <c:delete val="1"/>
      </c:legendEntry>
      <c:legendEntry>
        <c:idx val="5"/>
        <c:delete val="1"/>
      </c:legendEntry>
      <c:legendEntry>
        <c:idx val="6"/>
        <c:delete val="1"/>
      </c:legendEntry>
      <c:legendEntry>
        <c:idx val="8"/>
        <c:delete val="1"/>
      </c:legendEntry>
      <c:legendEntry>
        <c:idx val="9"/>
        <c:delete val="1"/>
      </c:legendEntry>
      <c:legendEntry>
        <c:idx val="10"/>
        <c:delete val="1"/>
      </c:legendEntry>
      <c:layout>
        <c:manualLayout>
          <c:xMode val="edge"/>
          <c:yMode val="edge"/>
          <c:x val="0.88704174488205589"/>
          <c:y val="0.46979560713580248"/>
          <c:w val="0.10779570252593072"/>
          <c:h val="0.1675879066390873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CCFFCC"/>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Part</a:t>
            </a:r>
          </a:p>
        </c:rich>
      </c:tx>
      <c:layout>
        <c:manualLayout>
          <c:xMode val="edge"/>
          <c:yMode val="edge"/>
          <c:x val="0.47079463009123101"/>
          <c:y val="1.7752059507249607E-2"/>
        </c:manualLayout>
      </c:layout>
      <c:overlay val="0"/>
      <c:spPr>
        <a:noFill/>
        <a:ln w="25400">
          <a:noFill/>
        </a:ln>
      </c:spPr>
    </c:title>
    <c:autoTitleDeleted val="0"/>
    <c:plotArea>
      <c:layout>
        <c:manualLayout>
          <c:layoutTarget val="inner"/>
          <c:xMode val="edge"/>
          <c:yMode val="edge"/>
          <c:x val="6.8184049875281733E-2"/>
          <c:y val="9.7636327289872871E-2"/>
          <c:w val="0.9107440947626918"/>
          <c:h val="0.76629723539627481"/>
        </c:manualLayout>
      </c:layout>
      <c:lineChart>
        <c:grouping val="standard"/>
        <c:varyColors val="0"/>
        <c:ser>
          <c:idx val="0"/>
          <c:order val="0"/>
          <c:spPr>
            <a:ln w="19050">
              <a:noFill/>
            </a:ln>
          </c:spPr>
          <c:marker>
            <c:symbol val="diamond"/>
            <c:size val="5"/>
            <c:spPr>
              <a:solidFill>
                <a:srgbClr val="000080"/>
              </a:solidFill>
              <a:ln>
                <a:solidFill>
                  <a:srgbClr val="000080"/>
                </a:solidFill>
                <a:prstDash val="solid"/>
              </a:ln>
            </c:spPr>
          </c:marker>
          <c:val>
            <c:numRef>
              <c:f>'GRR Calculations (2)'!$AF$74:$AF$78</c:f>
              <c:numCache>
                <c:formatCode>General</c:formatCode>
                <c:ptCount val="5"/>
                <c:pt idx="0">
                  <c:v>0.52100000000000002</c:v>
                </c:pt>
                <c:pt idx="1">
                  <c:v>0.52200000000000002</c:v>
                </c:pt>
                <c:pt idx="2">
                  <c:v>0.52300000000000002</c:v>
                </c:pt>
                <c:pt idx="3">
                  <c:v>0.52100000000000002</c:v>
                </c:pt>
                <c:pt idx="4">
                  <c:v>0.52500000000000002</c:v>
                </c:pt>
              </c:numCache>
            </c:numRef>
          </c:val>
          <c:smooth val="0"/>
          <c:extLst>
            <c:ext xmlns:c16="http://schemas.microsoft.com/office/drawing/2014/chart" uri="{C3380CC4-5D6E-409C-BE32-E72D297353CC}">
              <c16:uniqueId val="{00000000-DC11-434E-B14B-828C796D75A5}"/>
            </c:ext>
          </c:extLst>
        </c:ser>
        <c:ser>
          <c:idx val="1"/>
          <c:order val="1"/>
          <c:spPr>
            <a:ln w="19050">
              <a:noFill/>
            </a:ln>
          </c:spPr>
          <c:marker>
            <c:symbol val="diamond"/>
            <c:size val="5"/>
            <c:spPr>
              <a:solidFill>
                <a:srgbClr val="000080"/>
              </a:solidFill>
              <a:ln>
                <a:solidFill>
                  <a:srgbClr val="000080"/>
                </a:solidFill>
                <a:prstDash val="solid"/>
              </a:ln>
            </c:spPr>
          </c:marker>
          <c:val>
            <c:numRef>
              <c:f>'GRR Calculations (2)'!$AG$74:$AG$78</c:f>
              <c:numCache>
                <c:formatCode>General</c:formatCode>
                <c:ptCount val="5"/>
                <c:pt idx="0">
                  <c:v>0.52100000000000002</c:v>
                </c:pt>
                <c:pt idx="1">
                  <c:v>0.54</c:v>
                </c:pt>
                <c:pt idx="2">
                  <c:v>0.52400000000000002</c:v>
                </c:pt>
                <c:pt idx="3">
                  <c:v>0.52200000000000002</c:v>
                </c:pt>
                <c:pt idx="4">
                  <c:v>0.52400000000000002</c:v>
                </c:pt>
              </c:numCache>
            </c:numRef>
          </c:val>
          <c:smooth val="0"/>
          <c:extLst>
            <c:ext xmlns:c16="http://schemas.microsoft.com/office/drawing/2014/chart" uri="{C3380CC4-5D6E-409C-BE32-E72D297353CC}">
              <c16:uniqueId val="{00000001-DC11-434E-B14B-828C796D75A5}"/>
            </c:ext>
          </c:extLst>
        </c:ser>
        <c:ser>
          <c:idx val="2"/>
          <c:order val="2"/>
          <c:spPr>
            <a:ln w="19050">
              <a:noFill/>
            </a:ln>
          </c:spPr>
          <c:marker>
            <c:symbol val="diamond"/>
            <c:size val="5"/>
            <c:spPr>
              <a:solidFill>
                <a:srgbClr val="000080"/>
              </a:solidFill>
              <a:ln>
                <a:solidFill>
                  <a:srgbClr val="000080"/>
                </a:solidFill>
                <a:prstDash val="solid"/>
              </a:ln>
            </c:spPr>
          </c:marker>
          <c:val>
            <c:numRef>
              <c:f>'GRR Calculations (2)'!$AH$74:$AH$78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DC11-434E-B14B-828C796D75A5}"/>
            </c:ext>
          </c:extLst>
        </c:ser>
        <c:ser>
          <c:idx val="3"/>
          <c:order val="3"/>
          <c:spPr>
            <a:ln w="19050">
              <a:noFill/>
            </a:ln>
          </c:spPr>
          <c:marker>
            <c:symbol val="diamond"/>
            <c:size val="5"/>
            <c:spPr>
              <a:solidFill>
                <a:srgbClr val="000080"/>
              </a:solidFill>
              <a:ln>
                <a:solidFill>
                  <a:srgbClr val="000080"/>
                </a:solidFill>
                <a:prstDash val="solid"/>
              </a:ln>
            </c:spPr>
          </c:marker>
          <c:val>
            <c:numRef>
              <c:f>'GRR Calculations (2)'!$AI$74:$AI$78</c:f>
              <c:numCache>
                <c:formatCode>General</c:formatCode>
                <c:ptCount val="5"/>
                <c:pt idx="0">
                  <c:v>0.51100000000000001</c:v>
                </c:pt>
                <c:pt idx="1">
                  <c:v>0.52100000000000002</c:v>
                </c:pt>
                <c:pt idx="2">
                  <c:v>0.52200000000000002</c:v>
                </c:pt>
                <c:pt idx="3">
                  <c:v>0.52400000000000002</c:v>
                </c:pt>
                <c:pt idx="4">
                  <c:v>0.52100000000000002</c:v>
                </c:pt>
              </c:numCache>
            </c:numRef>
          </c:val>
          <c:smooth val="0"/>
          <c:extLst>
            <c:ext xmlns:c16="http://schemas.microsoft.com/office/drawing/2014/chart" uri="{C3380CC4-5D6E-409C-BE32-E72D297353CC}">
              <c16:uniqueId val="{00000003-DC11-434E-B14B-828C796D75A5}"/>
            </c:ext>
          </c:extLst>
        </c:ser>
        <c:ser>
          <c:idx val="4"/>
          <c:order val="4"/>
          <c:spPr>
            <a:ln w="19050">
              <a:noFill/>
            </a:ln>
          </c:spPr>
          <c:marker>
            <c:symbol val="diamond"/>
            <c:size val="5"/>
            <c:spPr>
              <a:solidFill>
                <a:srgbClr val="000080"/>
              </a:solidFill>
              <a:ln>
                <a:solidFill>
                  <a:srgbClr val="000080"/>
                </a:solidFill>
                <a:prstDash val="solid"/>
              </a:ln>
            </c:spPr>
          </c:marker>
          <c:val>
            <c:numRef>
              <c:f>'GRR Calculations (2)'!$AJ$74:$AJ$78</c:f>
              <c:numCache>
                <c:formatCode>General</c:formatCode>
                <c:ptCount val="5"/>
                <c:pt idx="0">
                  <c:v>0.51300000000000001</c:v>
                </c:pt>
                <c:pt idx="1">
                  <c:v>0.52200000000000002</c:v>
                </c:pt>
                <c:pt idx="2">
                  <c:v>0.52200000000000002</c:v>
                </c:pt>
                <c:pt idx="3">
                  <c:v>0.52300000000000002</c:v>
                </c:pt>
                <c:pt idx="4">
                  <c:v>0.52100000000000002</c:v>
                </c:pt>
              </c:numCache>
            </c:numRef>
          </c:val>
          <c:smooth val="0"/>
          <c:extLst>
            <c:ext xmlns:c16="http://schemas.microsoft.com/office/drawing/2014/chart" uri="{C3380CC4-5D6E-409C-BE32-E72D297353CC}">
              <c16:uniqueId val="{00000004-DC11-434E-B14B-828C796D75A5}"/>
            </c:ext>
          </c:extLst>
        </c:ser>
        <c:ser>
          <c:idx val="5"/>
          <c:order val="5"/>
          <c:spPr>
            <a:ln w="19050">
              <a:noFill/>
            </a:ln>
          </c:spPr>
          <c:marker>
            <c:symbol val="diamond"/>
            <c:size val="5"/>
            <c:spPr>
              <a:solidFill>
                <a:srgbClr val="000080"/>
              </a:solidFill>
              <a:ln>
                <a:solidFill>
                  <a:srgbClr val="000080"/>
                </a:solidFill>
                <a:prstDash val="solid"/>
              </a:ln>
            </c:spPr>
          </c:marker>
          <c:val>
            <c:numRef>
              <c:f>'GRR Calculations (2)'!$AK$74:$AK$78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DC11-434E-B14B-828C796D75A5}"/>
            </c:ext>
          </c:extLst>
        </c:ser>
        <c:ser>
          <c:idx val="6"/>
          <c:order val="6"/>
          <c:spPr>
            <a:ln w="19050">
              <a:noFill/>
            </a:ln>
          </c:spPr>
          <c:marker>
            <c:symbol val="diamond"/>
            <c:size val="5"/>
            <c:spPr>
              <a:solidFill>
                <a:srgbClr val="000080"/>
              </a:solidFill>
              <a:ln>
                <a:solidFill>
                  <a:srgbClr val="000080"/>
                </a:solidFill>
                <a:prstDash val="solid"/>
              </a:ln>
            </c:spPr>
          </c:marker>
          <c:val>
            <c:numRef>
              <c:f>'GRR Calculations (2)'!$AL$74:$AL$78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DC11-434E-B14B-828C796D75A5}"/>
            </c:ext>
          </c:extLst>
        </c:ser>
        <c:ser>
          <c:idx val="7"/>
          <c:order val="7"/>
          <c:spPr>
            <a:ln w="19050">
              <a:noFill/>
            </a:ln>
          </c:spPr>
          <c:marker>
            <c:symbol val="diamond"/>
            <c:size val="5"/>
            <c:spPr>
              <a:solidFill>
                <a:srgbClr val="333399"/>
              </a:solidFill>
              <a:ln>
                <a:solidFill>
                  <a:srgbClr val="333399"/>
                </a:solidFill>
                <a:prstDash val="solid"/>
              </a:ln>
            </c:spPr>
          </c:marker>
          <c:val>
            <c:numRef>
              <c:f>'GRR Calculations (2)'!$AM$74:$AM$78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DC11-434E-B14B-828C796D75A5}"/>
            </c:ext>
          </c:extLst>
        </c:ser>
        <c:ser>
          <c:idx val="8"/>
          <c:order val="8"/>
          <c:spPr>
            <a:ln w="19050">
              <a:noFill/>
            </a:ln>
          </c:spPr>
          <c:marker>
            <c:symbol val="diamond"/>
            <c:size val="5"/>
            <c:spPr>
              <a:solidFill>
                <a:srgbClr val="000080"/>
              </a:solidFill>
              <a:ln>
                <a:solidFill>
                  <a:srgbClr val="000080"/>
                </a:solidFill>
                <a:prstDash val="solid"/>
              </a:ln>
            </c:spPr>
          </c:marker>
          <c:val>
            <c:numRef>
              <c:f>'GRR Calculations (2)'!$AN$74:$AN$78</c:f>
              <c:numCache>
                <c:formatCode>General</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DC11-434E-B14B-828C796D75A5}"/>
            </c:ext>
          </c:extLst>
        </c:ser>
        <c:ser>
          <c:idx val="9"/>
          <c:order val="9"/>
          <c:spPr>
            <a:ln w="12700">
              <a:solidFill>
                <a:srgbClr val="000080"/>
              </a:solidFill>
              <a:prstDash val="solid"/>
            </a:ln>
          </c:spPr>
          <c:marker>
            <c:symbol val="none"/>
          </c:marker>
          <c:val>
            <c:numRef>
              <c:f>'GRR Calculations (2)'!$AO$74:$AO$78</c:f>
              <c:numCache>
                <c:formatCode>General</c:formatCode>
                <c:ptCount val="5"/>
                <c:pt idx="0">
                  <c:v>0.51649999999999996</c:v>
                </c:pt>
                <c:pt idx="1">
                  <c:v>0.52625000000000011</c:v>
                </c:pt>
                <c:pt idx="2">
                  <c:v>0.52275000000000005</c:v>
                </c:pt>
                <c:pt idx="3">
                  <c:v>0.52250000000000008</c:v>
                </c:pt>
                <c:pt idx="4">
                  <c:v>0.52274999999999994</c:v>
                </c:pt>
              </c:numCache>
            </c:numRef>
          </c:val>
          <c:smooth val="0"/>
          <c:extLst>
            <c:ext xmlns:c16="http://schemas.microsoft.com/office/drawing/2014/chart" uri="{C3380CC4-5D6E-409C-BE32-E72D297353CC}">
              <c16:uniqueId val="{00000009-DC11-434E-B14B-828C796D75A5}"/>
            </c:ext>
          </c:extLst>
        </c:ser>
        <c:dLbls>
          <c:showLegendKey val="0"/>
          <c:showVal val="0"/>
          <c:showCatName val="0"/>
          <c:showSerName val="0"/>
          <c:showPercent val="0"/>
          <c:showBubbleSize val="0"/>
        </c:dLbls>
        <c:marker val="1"/>
        <c:smooth val="0"/>
        <c:axId val="366314776"/>
        <c:axId val="366309680"/>
      </c:lineChart>
      <c:catAx>
        <c:axId val="366314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309680"/>
        <c:crosses val="autoZero"/>
        <c:auto val="1"/>
        <c:lblAlgn val="ctr"/>
        <c:lblOffset val="100"/>
        <c:tickLblSkip val="1"/>
        <c:tickMarkSkip val="1"/>
        <c:noMultiLvlLbl val="0"/>
      </c:catAx>
      <c:valAx>
        <c:axId val="366309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66314776"/>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CCFFCC"/>
    </a:solidFill>
    <a:ln w="6350">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11" r="0.75000000000000011" t="1" header="0.5" footer="0.5"/>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15875" cap="flat" cmpd="sng" algn="ctr">
        <a:solidFill>
          <a:schemeClr val="dk1">
            <a:lumMod val="65000"/>
            <a:lumOff val="35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cap="flat" cmpd="sng" algn="ctr">
        <a:solidFill>
          <a:schemeClr val="lt1">
            <a:lumMod val="85000"/>
          </a:schemeClr>
        </a:solidFill>
        <a:round/>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jpe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gif"/><Relationship Id="rId4"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3" Type="http://schemas.openxmlformats.org/officeDocument/2006/relationships/hyperlink" Target="#'np Data and calculations'!A1"/><Relationship Id="rId2" Type="http://schemas.openxmlformats.org/officeDocument/2006/relationships/hyperlink" Target="#'IMR Data and calculations'!A1"/><Relationship Id="rId1" Type="http://schemas.openxmlformats.org/officeDocument/2006/relationships/hyperlink" Target="#'Xbar R chart data'!A1"/><Relationship Id="rId6" Type="http://schemas.openxmlformats.org/officeDocument/2006/relationships/hyperlink" Target="#'u Data and calculations'!A1"/><Relationship Id="rId5" Type="http://schemas.openxmlformats.org/officeDocument/2006/relationships/hyperlink" Target="#'C chart Data and calculations'!A1"/><Relationship Id="rId4" Type="http://schemas.openxmlformats.org/officeDocument/2006/relationships/hyperlink" Target="#'p Data and calculations'!A1"/></Relationships>
</file>

<file path=xl/drawings/_rels/drawing2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127649</xdr:colOff>
      <xdr:row>58</xdr:row>
      <xdr:rowOff>487</xdr:rowOff>
    </xdr:from>
    <xdr:to>
      <xdr:col>1</xdr:col>
      <xdr:colOff>1123655</xdr:colOff>
      <xdr:row>62</xdr:row>
      <xdr:rowOff>59513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64678" y="13570811"/>
          <a:ext cx="1005531" cy="869660"/>
        </a:xfrm>
        <a:prstGeom prst="rect">
          <a:avLst/>
        </a:prstGeom>
      </xdr:spPr>
    </xdr:pic>
    <xdr:clientData/>
  </xdr:twoCellAnchor>
  <xdr:twoCellAnchor>
    <xdr:from>
      <xdr:col>7</xdr:col>
      <xdr:colOff>57467</xdr:colOff>
      <xdr:row>2</xdr:row>
      <xdr:rowOff>416479</xdr:rowOff>
    </xdr:from>
    <xdr:to>
      <xdr:col>16</xdr:col>
      <xdr:colOff>186062</xdr:colOff>
      <xdr:row>13</xdr:row>
      <xdr:rowOff>0</xdr:rowOff>
    </xdr:to>
    <xdr:sp macro="" textlink="">
      <xdr:nvSpPr>
        <xdr:cNvPr id="7" name="Rectangle 6">
          <a:extLst>
            <a:ext uri="{FF2B5EF4-FFF2-40B4-BE49-F238E27FC236}">
              <a16:creationId xmlns:a16="http://schemas.microsoft.com/office/drawing/2014/main" id="{C1E8249C-A8F2-47E5-8B4D-9678B08483C9}"/>
            </a:ext>
          </a:extLst>
        </xdr:cNvPr>
        <xdr:cNvSpPr>
          <a:spLocks noChangeArrowheads="1"/>
        </xdr:cNvSpPr>
      </xdr:nvSpPr>
      <xdr:spPr bwMode="auto">
        <a:xfrm>
          <a:off x="9242880" y="1335849"/>
          <a:ext cx="5429465" cy="2301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fr-CA"/>
          </a:defPPr>
          <a:lvl1pPr algn="l" rtl="0" eaLnBrk="0" fontAlgn="base" hangingPunct="0">
            <a:spcBef>
              <a:spcPct val="0"/>
            </a:spcBef>
            <a:spcAft>
              <a:spcPct val="0"/>
            </a:spcAft>
            <a:defRPr sz="2400"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sz="2400"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sz="2400"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sz="2400"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sz="2400" kern="1200">
              <a:solidFill>
                <a:schemeClr val="tx1"/>
              </a:solidFill>
              <a:latin typeface="Tahoma" panose="020B0604030504040204" pitchFamily="34" charset="0"/>
              <a:ea typeface="+mn-ea"/>
              <a:cs typeface="+mn-cs"/>
            </a:defRPr>
          </a:lvl5pPr>
          <a:lvl6pPr marL="2286000" algn="l" defTabSz="914400" rtl="0" eaLnBrk="1" latinLnBrk="0" hangingPunct="1">
            <a:defRPr sz="2400" kern="1200">
              <a:solidFill>
                <a:schemeClr val="tx1"/>
              </a:solidFill>
              <a:latin typeface="Tahoma" panose="020B0604030504040204" pitchFamily="34" charset="0"/>
              <a:ea typeface="+mn-ea"/>
              <a:cs typeface="+mn-cs"/>
            </a:defRPr>
          </a:lvl6pPr>
          <a:lvl7pPr marL="2743200" algn="l" defTabSz="914400" rtl="0" eaLnBrk="1" latinLnBrk="0" hangingPunct="1">
            <a:defRPr sz="2400" kern="1200">
              <a:solidFill>
                <a:schemeClr val="tx1"/>
              </a:solidFill>
              <a:latin typeface="Tahoma" panose="020B0604030504040204" pitchFamily="34" charset="0"/>
              <a:ea typeface="+mn-ea"/>
              <a:cs typeface="+mn-cs"/>
            </a:defRPr>
          </a:lvl7pPr>
          <a:lvl8pPr marL="3200400" algn="l" defTabSz="914400" rtl="0" eaLnBrk="1" latinLnBrk="0" hangingPunct="1">
            <a:defRPr sz="2400" kern="1200">
              <a:solidFill>
                <a:schemeClr val="tx1"/>
              </a:solidFill>
              <a:latin typeface="Tahoma" panose="020B0604030504040204" pitchFamily="34" charset="0"/>
              <a:ea typeface="+mn-ea"/>
              <a:cs typeface="+mn-cs"/>
            </a:defRPr>
          </a:lvl8pPr>
          <a:lvl9pPr marL="3657600" algn="l" defTabSz="914400" rtl="0" eaLnBrk="1" latinLnBrk="0" hangingPunct="1">
            <a:defRPr sz="2400" kern="1200">
              <a:solidFill>
                <a:schemeClr val="tx1"/>
              </a:solidFill>
              <a:latin typeface="Tahoma" panose="020B0604030504040204" pitchFamily="34" charset="0"/>
              <a:ea typeface="+mn-ea"/>
              <a:cs typeface="+mn-cs"/>
            </a:defRPr>
          </a:lvl9pPr>
        </a:lstStyle>
        <a:p>
          <a:pPr algn="ctr" eaLnBrk="1" hangingPunct="1">
            <a:spcBef>
              <a:spcPct val="0"/>
            </a:spcBef>
            <a:buClrTx/>
            <a:buFontTx/>
            <a:buNone/>
          </a:pPr>
          <a:r>
            <a:rPr lang="fr-CA" altLang="en-US" sz="4800" b="1" i="1">
              <a:solidFill>
                <a:schemeClr val="tx2"/>
              </a:solidFill>
              <a:latin typeface="Arial Black" panose="020B0A04020102020204" pitchFamily="34" charset="0"/>
            </a:rPr>
            <a:t>6 </a:t>
          </a:r>
          <a:r>
            <a:rPr lang="fr-CA" altLang="en-US" sz="4800" b="1" i="1">
              <a:solidFill>
                <a:schemeClr val="tx2"/>
              </a:solidFill>
              <a:latin typeface="Arial Black" panose="020B0A04020102020204" pitchFamily="34" charset="0"/>
              <a:sym typeface="Symbol" panose="05050102010706020507" pitchFamily="18" charset="2"/>
            </a:rPr>
            <a:t></a:t>
          </a:r>
        </a:p>
        <a:p>
          <a:pPr algn="ctr" eaLnBrk="1" hangingPunct="1">
            <a:spcBef>
              <a:spcPct val="0"/>
            </a:spcBef>
            <a:buClrTx/>
            <a:buFontTx/>
            <a:buNone/>
          </a:pPr>
          <a:r>
            <a:rPr lang="fr-CA" altLang="en-US" sz="4400" i="1">
              <a:solidFill>
                <a:schemeClr val="tx2"/>
              </a:solidFill>
              <a:latin typeface="Arial Black" panose="020B0A04020102020204" pitchFamily="34" charset="0"/>
              <a:sym typeface="Symbol" panose="05050102010706020507" pitchFamily="18" charset="2"/>
            </a:rPr>
            <a:t>Lean Six Sigma</a:t>
          </a:r>
        </a:p>
        <a:p>
          <a:pPr algn="ctr" eaLnBrk="1" hangingPunct="1">
            <a:spcBef>
              <a:spcPct val="0"/>
            </a:spcBef>
            <a:buClrTx/>
            <a:buFontTx/>
            <a:buNone/>
          </a:pPr>
          <a:endParaRPr lang="fr-CA" altLang="en-US" sz="3600" b="1" i="1">
            <a:solidFill>
              <a:schemeClr val="tx2"/>
            </a:solidFill>
            <a:latin typeface="Stencil" panose="040409050D0802020404" pitchFamily="82" charset="0"/>
            <a:sym typeface="Symbol" panose="05050102010706020507" pitchFamily="18" charset="2"/>
          </a:endParaRPr>
        </a:p>
      </xdr:txBody>
    </xdr:sp>
    <xdr:clientData/>
  </xdr:twoCellAnchor>
  <xdr:twoCellAnchor>
    <xdr:from>
      <xdr:col>9</xdr:col>
      <xdr:colOff>352335</xdr:colOff>
      <xdr:row>2</xdr:row>
      <xdr:rowOff>161843</xdr:rowOff>
    </xdr:from>
    <xdr:to>
      <xdr:col>14</xdr:col>
      <xdr:colOff>61634</xdr:colOff>
      <xdr:row>7</xdr:row>
      <xdr:rowOff>157988</xdr:rowOff>
    </xdr:to>
    <xdr:sp macro="" textlink="">
      <xdr:nvSpPr>
        <xdr:cNvPr id="8" name="Freeform 7">
          <a:extLst>
            <a:ext uri="{FF2B5EF4-FFF2-40B4-BE49-F238E27FC236}">
              <a16:creationId xmlns:a16="http://schemas.microsoft.com/office/drawing/2014/main" id="{435EB29C-AF20-452A-8955-D804626923B8}"/>
            </a:ext>
          </a:extLst>
        </xdr:cNvPr>
        <xdr:cNvSpPr>
          <a:spLocks/>
        </xdr:cNvSpPr>
      </xdr:nvSpPr>
      <xdr:spPr bwMode="auto">
        <a:xfrm>
          <a:off x="10763574" y="1081213"/>
          <a:ext cx="2558517" cy="1039753"/>
        </a:xfrm>
        <a:custGeom>
          <a:avLst/>
          <a:gdLst>
            <a:gd name="T0" fmla="*/ 0 w 3840"/>
            <a:gd name="T1" fmla="*/ 2147483646 h 2067"/>
            <a:gd name="T2" fmla="*/ 2147483646 w 3840"/>
            <a:gd name="T3" fmla="*/ 2147483646 h 2067"/>
            <a:gd name="T4" fmla="*/ 2147483646 w 3840"/>
            <a:gd name="T5" fmla="*/ 2147483646 h 2067"/>
            <a:gd name="T6" fmla="*/ 2147483646 w 3840"/>
            <a:gd name="T7" fmla="*/ 2147483646 h 2067"/>
            <a:gd name="T8" fmla="*/ 2147483646 w 3840"/>
            <a:gd name="T9" fmla="*/ 2147483646 h 2067"/>
            <a:gd name="T10" fmla="*/ 0 60000 65536"/>
            <a:gd name="T11" fmla="*/ 0 60000 65536"/>
            <a:gd name="T12" fmla="*/ 0 60000 65536"/>
            <a:gd name="T13" fmla="*/ 0 60000 65536"/>
            <a:gd name="T14" fmla="*/ 0 60000 65536"/>
            <a:gd name="T15" fmla="*/ 0 w 3840"/>
            <a:gd name="T16" fmla="*/ 0 h 2067"/>
            <a:gd name="T17" fmla="*/ 3840 w 3840"/>
            <a:gd name="T18" fmla="*/ 2067 h 2067"/>
          </a:gdLst>
          <a:ahLst/>
          <a:cxnLst>
            <a:cxn ang="T10">
              <a:pos x="T0" y="T1"/>
            </a:cxn>
            <a:cxn ang="T11">
              <a:pos x="T2" y="T3"/>
            </a:cxn>
            <a:cxn ang="T12">
              <a:pos x="T4" y="T5"/>
            </a:cxn>
            <a:cxn ang="T13">
              <a:pos x="T6" y="T7"/>
            </a:cxn>
            <a:cxn ang="T14">
              <a:pos x="T8" y="T9"/>
            </a:cxn>
          </a:cxnLst>
          <a:rect l="T15" t="T16" r="T17" b="T18"/>
          <a:pathLst>
            <a:path w="3840" h="2067">
              <a:moveTo>
                <a:pt x="0" y="1973"/>
              </a:moveTo>
              <a:cubicBezTo>
                <a:pt x="97" y="1934"/>
                <a:pt x="262" y="2067"/>
                <a:pt x="582" y="1739"/>
              </a:cubicBezTo>
              <a:cubicBezTo>
                <a:pt x="902" y="1411"/>
                <a:pt x="1473" y="10"/>
                <a:pt x="1920" y="5"/>
              </a:cubicBezTo>
              <a:cubicBezTo>
                <a:pt x="2367" y="0"/>
                <a:pt x="2944" y="1381"/>
                <a:pt x="3264" y="1709"/>
              </a:cubicBezTo>
              <a:cubicBezTo>
                <a:pt x="3584" y="2037"/>
                <a:pt x="3720" y="1918"/>
                <a:pt x="3840" y="1973"/>
              </a:cubicBezTo>
            </a:path>
          </a:pathLst>
        </a:custGeom>
        <a:noFill/>
        <a:ln w="38100" cap="flat" cmpd="sng">
          <a:solidFill>
            <a:srgbClr val="800080"/>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nchor="ctr"/>
        <a:lstStyle>
          <a:defPPr>
            <a:defRPr lang="fr-CA"/>
          </a:defPPr>
          <a:lvl1pPr algn="l" rtl="0" eaLnBrk="0" fontAlgn="base" hangingPunct="0">
            <a:spcBef>
              <a:spcPct val="0"/>
            </a:spcBef>
            <a:spcAft>
              <a:spcPct val="0"/>
            </a:spcAft>
            <a:defRPr sz="2400"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sz="2400"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sz="2400"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sz="2400"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sz="2400" kern="1200">
              <a:solidFill>
                <a:schemeClr val="tx1"/>
              </a:solidFill>
              <a:latin typeface="Tahoma" panose="020B0604030504040204" pitchFamily="34" charset="0"/>
              <a:ea typeface="+mn-ea"/>
              <a:cs typeface="+mn-cs"/>
            </a:defRPr>
          </a:lvl5pPr>
          <a:lvl6pPr marL="2286000" algn="l" defTabSz="914400" rtl="0" eaLnBrk="1" latinLnBrk="0" hangingPunct="1">
            <a:defRPr sz="2400" kern="1200">
              <a:solidFill>
                <a:schemeClr val="tx1"/>
              </a:solidFill>
              <a:latin typeface="Tahoma" panose="020B0604030504040204" pitchFamily="34" charset="0"/>
              <a:ea typeface="+mn-ea"/>
              <a:cs typeface="+mn-cs"/>
            </a:defRPr>
          </a:lvl6pPr>
          <a:lvl7pPr marL="2743200" algn="l" defTabSz="914400" rtl="0" eaLnBrk="1" latinLnBrk="0" hangingPunct="1">
            <a:defRPr sz="2400" kern="1200">
              <a:solidFill>
                <a:schemeClr val="tx1"/>
              </a:solidFill>
              <a:latin typeface="Tahoma" panose="020B0604030504040204" pitchFamily="34" charset="0"/>
              <a:ea typeface="+mn-ea"/>
              <a:cs typeface="+mn-cs"/>
            </a:defRPr>
          </a:lvl7pPr>
          <a:lvl8pPr marL="3200400" algn="l" defTabSz="914400" rtl="0" eaLnBrk="1" latinLnBrk="0" hangingPunct="1">
            <a:defRPr sz="2400" kern="1200">
              <a:solidFill>
                <a:schemeClr val="tx1"/>
              </a:solidFill>
              <a:latin typeface="Tahoma" panose="020B0604030504040204" pitchFamily="34" charset="0"/>
              <a:ea typeface="+mn-ea"/>
              <a:cs typeface="+mn-cs"/>
            </a:defRPr>
          </a:lvl8pPr>
          <a:lvl9pPr marL="3657600" algn="l" defTabSz="914400" rtl="0" eaLnBrk="1" latinLnBrk="0" hangingPunct="1">
            <a:defRPr sz="2400" kern="1200">
              <a:solidFill>
                <a:schemeClr val="tx1"/>
              </a:solidFill>
              <a:latin typeface="Tahoma" panose="020B0604030504040204" pitchFamily="34" charset="0"/>
              <a:ea typeface="+mn-ea"/>
              <a:cs typeface="+mn-cs"/>
            </a:defRPr>
          </a:lvl9pPr>
        </a:lstStyle>
        <a:p>
          <a:endParaRPr lang="en-CA"/>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723900</xdr:colOff>
      <xdr:row>57</xdr:row>
      <xdr:rowOff>152400</xdr:rowOff>
    </xdr:to>
    <xdr:sp macro="" textlink="">
      <xdr:nvSpPr>
        <xdr:cNvPr id="2" name="Rectangle 11">
          <a:extLst>
            <a:ext uri="{FF2B5EF4-FFF2-40B4-BE49-F238E27FC236}">
              <a16:creationId xmlns:a16="http://schemas.microsoft.com/office/drawing/2014/main" id="{19679BE3-9242-4BAB-9187-73406D8BDDE9}"/>
            </a:ext>
          </a:extLst>
        </xdr:cNvPr>
        <xdr:cNvSpPr>
          <a:spLocks noChangeArrowheads="1"/>
        </xdr:cNvSpPr>
      </xdr:nvSpPr>
      <xdr:spPr bwMode="auto">
        <a:xfrm>
          <a:off x="0" y="0"/>
          <a:ext cx="14554200" cy="10848975"/>
        </a:xfrm>
        <a:prstGeom prst="rect">
          <a:avLst/>
        </a:prstGeom>
        <a:noFill/>
        <a:ln w="12700">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0</xdr:row>
      <xdr:rowOff>0</xdr:rowOff>
    </xdr:from>
    <xdr:to>
      <xdr:col>18</xdr:col>
      <xdr:colOff>0</xdr:colOff>
      <xdr:row>57</xdr:row>
      <xdr:rowOff>152400</xdr:rowOff>
    </xdr:to>
    <xdr:sp macro="" textlink="">
      <xdr:nvSpPr>
        <xdr:cNvPr id="3" name="Rectangle 12">
          <a:extLst>
            <a:ext uri="{FF2B5EF4-FFF2-40B4-BE49-F238E27FC236}">
              <a16:creationId xmlns:a16="http://schemas.microsoft.com/office/drawing/2014/main" id="{0232169F-71DF-453D-ACBE-0CB88183C427}"/>
            </a:ext>
          </a:extLst>
        </xdr:cNvPr>
        <xdr:cNvSpPr>
          <a:spLocks noChangeArrowheads="1"/>
        </xdr:cNvSpPr>
      </xdr:nvSpPr>
      <xdr:spPr bwMode="auto">
        <a:xfrm>
          <a:off x="0" y="0"/>
          <a:ext cx="14554200" cy="10848975"/>
        </a:xfrm>
        <a:prstGeom prst="rect">
          <a:avLst/>
        </a:prstGeom>
        <a:noFill/>
        <a:ln w="9525">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5</xdr:row>
      <xdr:rowOff>0</xdr:rowOff>
    </xdr:from>
    <xdr:to>
      <xdr:col>18</xdr:col>
      <xdr:colOff>0</xdr:colOff>
      <xdr:row>57</xdr:row>
      <xdr:rowOff>152400</xdr:rowOff>
    </xdr:to>
    <xdr:sp macro="" textlink="">
      <xdr:nvSpPr>
        <xdr:cNvPr id="4" name="Rectangle 13">
          <a:extLst>
            <a:ext uri="{FF2B5EF4-FFF2-40B4-BE49-F238E27FC236}">
              <a16:creationId xmlns:a16="http://schemas.microsoft.com/office/drawing/2014/main" id="{A90883AF-2D2E-45A0-946B-242AED42FE9E}"/>
            </a:ext>
          </a:extLst>
        </xdr:cNvPr>
        <xdr:cNvSpPr>
          <a:spLocks noChangeArrowheads="1"/>
        </xdr:cNvSpPr>
      </xdr:nvSpPr>
      <xdr:spPr bwMode="auto">
        <a:xfrm>
          <a:off x="0" y="1066800"/>
          <a:ext cx="14554200" cy="9782175"/>
        </a:xfrm>
        <a:prstGeom prst="rect">
          <a:avLst/>
        </a:prstGeom>
        <a:noFill/>
        <a:ln w="9525">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536863</xdr:colOff>
      <xdr:row>8</xdr:row>
      <xdr:rowOff>173182</xdr:rowOff>
    </xdr:from>
    <xdr:to>
      <xdr:col>27</xdr:col>
      <xdr:colOff>270943</xdr:colOff>
      <xdr:row>21</xdr:row>
      <xdr:rowOff>31665</xdr:rowOff>
    </xdr:to>
    <xdr:sp macro="" textlink="">
      <xdr:nvSpPr>
        <xdr:cNvPr id="5" name="Rounded Rectangular Callout 4">
          <a:extLst>
            <a:ext uri="{FF2B5EF4-FFF2-40B4-BE49-F238E27FC236}">
              <a16:creationId xmlns:a16="http://schemas.microsoft.com/office/drawing/2014/main" id="{95D3E305-E967-462A-917E-BEA760EB5C83}"/>
            </a:ext>
          </a:extLst>
        </xdr:cNvPr>
        <xdr:cNvSpPr/>
      </xdr:nvSpPr>
      <xdr:spPr>
        <a:xfrm>
          <a:off x="15801628" y="1811482"/>
          <a:ext cx="5068080" cy="2342603"/>
        </a:xfrm>
        <a:prstGeom prst="wedgeRoundRectCallout">
          <a:avLst>
            <a:gd name="adj1" fmla="val -70423"/>
            <a:gd name="adj2" fmla="val 1900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rgbClr val="FFC000"/>
              </a:solidFill>
            </a:rPr>
            <a:t>%</a:t>
          </a:r>
          <a:r>
            <a:rPr lang="en-US" sz="1400" b="1" baseline="0">
              <a:solidFill>
                <a:srgbClr val="FFC000"/>
              </a:solidFill>
            </a:rPr>
            <a:t> of Tolerance / % of Study variation Criteria</a:t>
          </a:r>
        </a:p>
        <a:p>
          <a:pPr algn="l"/>
          <a:endParaRPr lang="en-US" sz="1400" b="1" baseline="0">
            <a:solidFill>
              <a:srgbClr val="FFC000"/>
            </a:solidFill>
          </a:endParaRPr>
        </a:p>
        <a:p>
          <a:pPr algn="l"/>
          <a:r>
            <a:rPr lang="en-US" sz="1400" b="1" baseline="0">
              <a:solidFill>
                <a:schemeClr val="bg1"/>
              </a:solidFill>
            </a:rPr>
            <a:t>Less than 10%  	System is acceptable</a:t>
          </a:r>
        </a:p>
        <a:p>
          <a:pPr algn="l"/>
          <a:endParaRPr lang="en-US" sz="1400" b="1" baseline="0">
            <a:solidFill>
              <a:schemeClr val="bg1"/>
            </a:solidFill>
          </a:endParaRPr>
        </a:p>
        <a:p>
          <a:pPr algn="l"/>
          <a:r>
            <a:rPr lang="en-US" sz="1400" b="1" baseline="0">
              <a:solidFill>
                <a:schemeClr val="bg1"/>
              </a:solidFill>
            </a:rPr>
            <a:t>10% to 30% 		System can be acceptable 		depending on the criticality of 		the application</a:t>
          </a:r>
        </a:p>
        <a:p>
          <a:pPr algn="l"/>
          <a:endParaRPr lang="en-US" sz="1400" b="1" baseline="0">
            <a:solidFill>
              <a:schemeClr val="bg1"/>
            </a:solidFill>
          </a:endParaRPr>
        </a:p>
        <a:p>
          <a:pPr algn="l"/>
          <a:r>
            <a:rPr lang="en-US" sz="1400" b="1" baseline="0">
              <a:solidFill>
                <a:schemeClr val="bg1"/>
              </a:solidFill>
            </a:rPr>
            <a:t>Greater than 30%	Not acceptable</a:t>
          </a:r>
          <a:endParaRPr lang="en-US" sz="1400" b="1">
            <a:solidFill>
              <a:schemeClr val="bg1"/>
            </a:solidFill>
          </a:endParaRPr>
        </a:p>
      </xdr:txBody>
    </xdr:sp>
    <xdr:clientData/>
  </xdr:twoCellAnchor>
  <xdr:twoCellAnchor>
    <xdr:from>
      <xdr:col>20</xdr:col>
      <xdr:colOff>45913</xdr:colOff>
      <xdr:row>41</xdr:row>
      <xdr:rowOff>69173</xdr:rowOff>
    </xdr:from>
    <xdr:to>
      <xdr:col>27</xdr:col>
      <xdr:colOff>435467</xdr:colOff>
      <xdr:row>47</xdr:row>
      <xdr:rowOff>100197</xdr:rowOff>
    </xdr:to>
    <xdr:sp macro="" textlink="">
      <xdr:nvSpPr>
        <xdr:cNvPr id="6" name="Rounded Rectangular Callout 5">
          <a:extLst>
            <a:ext uri="{FF2B5EF4-FFF2-40B4-BE49-F238E27FC236}">
              <a16:creationId xmlns:a16="http://schemas.microsoft.com/office/drawing/2014/main" id="{584774D9-0E31-4409-8885-EF6925B8C98F}"/>
            </a:ext>
          </a:extLst>
        </xdr:cNvPr>
        <xdr:cNvSpPr/>
      </xdr:nvSpPr>
      <xdr:spPr>
        <a:xfrm>
          <a:off x="15983143" y="7811093"/>
          <a:ext cx="5058709" cy="1172119"/>
        </a:xfrm>
        <a:prstGeom prst="wedgeRoundRectCallout">
          <a:avLst>
            <a:gd name="adj1" fmla="val -72781"/>
            <a:gd name="adj2" fmla="val -2135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baseline="0">
              <a:solidFill>
                <a:srgbClr val="FFC000"/>
              </a:solidFill>
            </a:rPr>
            <a:t> </a:t>
          </a:r>
          <a:r>
            <a:rPr lang="en-US" sz="1400" b="1">
              <a:solidFill>
                <a:srgbClr val="FFC000"/>
              </a:solidFill>
            </a:rPr>
            <a:t>Number of Distinct Categories</a:t>
          </a:r>
        </a:p>
        <a:p>
          <a:pPr algn="l"/>
          <a:r>
            <a:rPr lang="en-US" sz="1400"/>
            <a:t> This</a:t>
          </a:r>
          <a:r>
            <a:rPr lang="en-US" sz="1400" baseline="0"/>
            <a:t> e</a:t>
          </a:r>
          <a:r>
            <a:rPr lang="en-US" sz="1400"/>
            <a:t>stimates how many separate groups of parts the system can distinguish. </a:t>
          </a:r>
        </a:p>
        <a:p>
          <a:pPr algn="l"/>
          <a:r>
            <a:rPr lang="en-US" sz="1400"/>
            <a:t>For a capable system the value should be &gt; 5.</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20411</xdr:colOff>
      <xdr:row>3</xdr:row>
      <xdr:rowOff>15875</xdr:rowOff>
    </xdr:from>
    <xdr:to>
      <xdr:col>16</xdr:col>
      <xdr:colOff>650875</xdr:colOff>
      <xdr:row>22</xdr:row>
      <xdr:rowOff>158750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13</xdr:row>
      <xdr:rowOff>0</xdr:rowOff>
    </xdr:from>
    <xdr:to>
      <xdr:col>4</xdr:col>
      <xdr:colOff>0</xdr:colOff>
      <xdr:row>13</xdr:row>
      <xdr:rowOff>0</xdr:rowOff>
    </xdr:to>
    <xdr:sp macro="" textlink="">
      <xdr:nvSpPr>
        <xdr:cNvPr id="2" name="Text 3">
          <a:extLst>
            <a:ext uri="{FF2B5EF4-FFF2-40B4-BE49-F238E27FC236}">
              <a16:creationId xmlns:a16="http://schemas.microsoft.com/office/drawing/2014/main" id="{00000000-0008-0000-0600-000002000000}"/>
            </a:ext>
          </a:extLst>
        </xdr:cNvPr>
        <xdr:cNvSpPr txBox="1">
          <a:spLocks noChangeArrowheads="1"/>
        </xdr:cNvSpPr>
      </xdr:nvSpPr>
      <xdr:spPr bwMode="auto">
        <a:xfrm>
          <a:off x="8896350" y="13458825"/>
          <a:ext cx="0" cy="0"/>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Initiatives/</a:t>
          </a:r>
        </a:p>
        <a:p>
          <a:pPr algn="ctr" rtl="0">
            <a:defRPr sz="1000"/>
          </a:pPr>
          <a:r>
            <a:rPr lang="en-CA" sz="2000" b="1" i="0" u="none" strike="noStrike" baseline="0">
              <a:solidFill>
                <a:srgbClr val="000000"/>
              </a:solidFill>
              <a:latin typeface="Times New Roman"/>
              <a:cs typeface="Times New Roman"/>
            </a:rPr>
            <a:t>Hoshins</a:t>
          </a:r>
        </a:p>
        <a:p>
          <a:pPr algn="ctr" rtl="0">
            <a:defRPr sz="1000"/>
          </a:pPr>
          <a:endParaRPr lang="en-CA" sz="2000" b="1" i="0" u="none" strike="noStrike" baseline="0">
            <a:solidFill>
              <a:srgbClr val="000000"/>
            </a:solidFill>
            <a:latin typeface="Times New Roman"/>
            <a:cs typeface="Times New Roman"/>
          </a:endParaRPr>
        </a:p>
      </xdr:txBody>
    </xdr:sp>
    <xdr:clientData/>
  </xdr:twoCellAnchor>
  <xdr:twoCellAnchor>
    <xdr:from>
      <xdr:col>4</xdr:col>
      <xdr:colOff>0</xdr:colOff>
      <xdr:row>13</xdr:row>
      <xdr:rowOff>0</xdr:rowOff>
    </xdr:from>
    <xdr:to>
      <xdr:col>4</xdr:col>
      <xdr:colOff>0</xdr:colOff>
      <xdr:row>13</xdr:row>
      <xdr:rowOff>0</xdr:rowOff>
    </xdr:to>
    <xdr:sp macro="" textlink="">
      <xdr:nvSpPr>
        <xdr:cNvPr id="3" name="Text 4">
          <a:extLst>
            <a:ext uri="{FF2B5EF4-FFF2-40B4-BE49-F238E27FC236}">
              <a16:creationId xmlns:a16="http://schemas.microsoft.com/office/drawing/2014/main" id="{00000000-0008-0000-0600-000003000000}"/>
            </a:ext>
          </a:extLst>
        </xdr:cNvPr>
        <xdr:cNvSpPr txBox="1">
          <a:spLocks noChangeArrowheads="1"/>
        </xdr:cNvSpPr>
      </xdr:nvSpPr>
      <xdr:spPr bwMode="auto">
        <a:xfrm>
          <a:off x="8896350" y="13458825"/>
          <a:ext cx="0" cy="0"/>
        </a:xfrm>
        <a:prstGeom prst="rect">
          <a:avLst/>
        </a:prstGeom>
        <a:noFill/>
        <a:ln w="1">
          <a:noFill/>
          <a:miter lim="800000"/>
          <a:headEnd/>
          <a:tailEnd/>
        </a:ln>
      </xdr:spPr>
      <xdr:txBody>
        <a:bodyPr vertOverflow="clip" wrap="square" lIns="45720" tIns="36576" rIns="0" bIns="0" anchor="t" upright="1"/>
        <a:lstStyle/>
        <a:p>
          <a:pPr algn="l" rtl="0">
            <a:defRPr sz="1000"/>
          </a:pPr>
          <a:r>
            <a:rPr lang="en-CA" sz="2000" b="1" i="0" u="none" strike="noStrike" baseline="0">
              <a:solidFill>
                <a:srgbClr val="000000"/>
              </a:solidFill>
              <a:latin typeface="Times New Roman"/>
              <a:cs typeface="Times New Roman"/>
            </a:rPr>
            <a:t>Goals</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 name="Text 5">
          <a:extLst>
            <a:ext uri="{FF2B5EF4-FFF2-40B4-BE49-F238E27FC236}">
              <a16:creationId xmlns:a16="http://schemas.microsoft.com/office/drawing/2014/main" id="{00000000-0008-0000-0600-000004000000}"/>
            </a:ext>
          </a:extLst>
        </xdr:cNvPr>
        <xdr:cNvSpPr txBox="1">
          <a:spLocks noChangeArrowheads="1"/>
        </xdr:cNvSpPr>
      </xdr:nvSpPr>
      <xdr:spPr bwMode="auto">
        <a:xfrm>
          <a:off x="8896350" y="13458825"/>
          <a:ext cx="0" cy="0"/>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Improvement</a:t>
          </a:r>
        </a:p>
        <a:p>
          <a:pPr algn="ctr" rtl="0">
            <a:defRPr sz="1000"/>
          </a:pPr>
          <a:r>
            <a:rPr lang="en-CA" sz="2000" b="1" i="0" u="none" strike="noStrike" baseline="0">
              <a:solidFill>
                <a:srgbClr val="000000"/>
              </a:solidFill>
              <a:latin typeface="Times New Roman"/>
              <a:cs typeface="Times New Roman"/>
            </a:rPr>
            <a:t>Targets</a:t>
          </a:r>
        </a:p>
      </xdr:txBody>
    </xdr:sp>
    <xdr:clientData/>
  </xdr:twoCellAnchor>
  <xdr:twoCellAnchor>
    <xdr:from>
      <xdr:col>6</xdr:col>
      <xdr:colOff>0</xdr:colOff>
      <xdr:row>14</xdr:row>
      <xdr:rowOff>0</xdr:rowOff>
    </xdr:from>
    <xdr:to>
      <xdr:col>6</xdr:col>
      <xdr:colOff>0</xdr:colOff>
      <xdr:row>14</xdr:row>
      <xdr:rowOff>0</xdr:rowOff>
    </xdr:to>
    <xdr:sp macro="" textlink="">
      <xdr:nvSpPr>
        <xdr:cNvPr id="5" name="Oval 4">
          <a:extLst>
            <a:ext uri="{FF2B5EF4-FFF2-40B4-BE49-F238E27FC236}">
              <a16:creationId xmlns:a16="http://schemas.microsoft.com/office/drawing/2014/main" id="{00000000-0008-0000-0600-000005000000}"/>
            </a:ext>
          </a:extLst>
        </xdr:cNvPr>
        <xdr:cNvSpPr>
          <a:spLocks noChangeArrowheads="1"/>
        </xdr:cNvSpPr>
      </xdr:nvSpPr>
      <xdr:spPr bwMode="auto">
        <a:xfrm>
          <a:off x="10991850" y="13963650"/>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14</xdr:row>
      <xdr:rowOff>0</xdr:rowOff>
    </xdr:from>
    <xdr:to>
      <xdr:col>6</xdr:col>
      <xdr:colOff>0</xdr:colOff>
      <xdr:row>14</xdr:row>
      <xdr:rowOff>0</xdr:rowOff>
    </xdr:to>
    <xdr:sp macro="" textlink="">
      <xdr:nvSpPr>
        <xdr:cNvPr id="6" name="Oval 5">
          <a:extLst>
            <a:ext uri="{FF2B5EF4-FFF2-40B4-BE49-F238E27FC236}">
              <a16:creationId xmlns:a16="http://schemas.microsoft.com/office/drawing/2014/main" id="{00000000-0008-0000-0600-000006000000}"/>
            </a:ext>
          </a:extLst>
        </xdr:cNvPr>
        <xdr:cNvSpPr>
          <a:spLocks noChangeArrowheads="1"/>
        </xdr:cNvSpPr>
      </xdr:nvSpPr>
      <xdr:spPr bwMode="auto">
        <a:xfrm>
          <a:off x="10991850" y="13963650"/>
          <a:ext cx="0" cy="0"/>
        </a:xfrm>
        <a:prstGeom prst="ellipse">
          <a:avLst/>
        </a:prstGeom>
        <a:solidFill>
          <a:srgbClr val="000000"/>
        </a:solidFill>
        <a:ln w="17145">
          <a:solidFill>
            <a:srgbClr val="000000"/>
          </a:solidFill>
          <a:round/>
          <a:headEnd/>
          <a:tailEnd/>
        </a:ln>
      </xdr:spPr>
    </xdr:sp>
    <xdr:clientData/>
  </xdr:twoCellAnchor>
  <xdr:twoCellAnchor>
    <xdr:from>
      <xdr:col>3</xdr:col>
      <xdr:colOff>0</xdr:colOff>
      <xdr:row>14</xdr:row>
      <xdr:rowOff>0</xdr:rowOff>
    </xdr:from>
    <xdr:to>
      <xdr:col>3</xdr:col>
      <xdr:colOff>0</xdr:colOff>
      <xdr:row>14</xdr:row>
      <xdr:rowOff>0</xdr:rowOff>
    </xdr:to>
    <xdr:sp macro="" textlink="">
      <xdr:nvSpPr>
        <xdr:cNvPr id="7" name="Oval 6">
          <a:extLst>
            <a:ext uri="{FF2B5EF4-FFF2-40B4-BE49-F238E27FC236}">
              <a16:creationId xmlns:a16="http://schemas.microsoft.com/office/drawing/2014/main" id="{00000000-0008-0000-0600-000007000000}"/>
            </a:ext>
          </a:extLst>
        </xdr:cNvPr>
        <xdr:cNvSpPr>
          <a:spLocks noChangeArrowheads="1"/>
        </xdr:cNvSpPr>
      </xdr:nvSpPr>
      <xdr:spPr bwMode="auto">
        <a:xfrm>
          <a:off x="3143250" y="13963650"/>
          <a:ext cx="0" cy="0"/>
        </a:xfrm>
        <a:prstGeom prst="ellipse">
          <a:avLst/>
        </a:prstGeom>
        <a:solidFill>
          <a:srgbClr val="000000"/>
        </a:solidFill>
        <a:ln w="17145">
          <a:solidFill>
            <a:srgbClr val="000000"/>
          </a:solidFill>
          <a:round/>
          <a:headEnd/>
          <a:tailEnd/>
        </a:ln>
      </xdr:spPr>
    </xdr:sp>
    <xdr:clientData/>
  </xdr:twoCellAnchor>
  <xdr:twoCellAnchor>
    <xdr:from>
      <xdr:col>3</xdr:col>
      <xdr:colOff>0</xdr:colOff>
      <xdr:row>14</xdr:row>
      <xdr:rowOff>0</xdr:rowOff>
    </xdr:from>
    <xdr:to>
      <xdr:col>3</xdr:col>
      <xdr:colOff>0</xdr:colOff>
      <xdr:row>14</xdr:row>
      <xdr:rowOff>0</xdr:rowOff>
    </xdr:to>
    <xdr:sp macro="" textlink="">
      <xdr:nvSpPr>
        <xdr:cNvPr id="8" name="Oval 7">
          <a:extLst>
            <a:ext uri="{FF2B5EF4-FFF2-40B4-BE49-F238E27FC236}">
              <a16:creationId xmlns:a16="http://schemas.microsoft.com/office/drawing/2014/main" id="{00000000-0008-0000-0600-000008000000}"/>
            </a:ext>
          </a:extLst>
        </xdr:cNvPr>
        <xdr:cNvSpPr>
          <a:spLocks noChangeArrowheads="1"/>
        </xdr:cNvSpPr>
      </xdr:nvSpPr>
      <xdr:spPr bwMode="auto">
        <a:xfrm>
          <a:off x="3143250" y="1396365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14</xdr:row>
      <xdr:rowOff>0</xdr:rowOff>
    </xdr:from>
    <xdr:to>
      <xdr:col>3</xdr:col>
      <xdr:colOff>0</xdr:colOff>
      <xdr:row>14</xdr:row>
      <xdr:rowOff>0</xdr:rowOff>
    </xdr:to>
    <xdr:sp macro="" textlink="">
      <xdr:nvSpPr>
        <xdr:cNvPr id="9" name="Oval 8">
          <a:extLst>
            <a:ext uri="{FF2B5EF4-FFF2-40B4-BE49-F238E27FC236}">
              <a16:creationId xmlns:a16="http://schemas.microsoft.com/office/drawing/2014/main" id="{00000000-0008-0000-0600-000009000000}"/>
            </a:ext>
          </a:extLst>
        </xdr:cNvPr>
        <xdr:cNvSpPr>
          <a:spLocks noChangeArrowheads="1"/>
        </xdr:cNvSpPr>
      </xdr:nvSpPr>
      <xdr:spPr bwMode="auto">
        <a:xfrm>
          <a:off x="3143250" y="1396365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14</xdr:row>
      <xdr:rowOff>0</xdr:rowOff>
    </xdr:from>
    <xdr:to>
      <xdr:col>3</xdr:col>
      <xdr:colOff>0</xdr:colOff>
      <xdr:row>14</xdr:row>
      <xdr:rowOff>0</xdr:rowOff>
    </xdr:to>
    <xdr:sp macro="" textlink="">
      <xdr:nvSpPr>
        <xdr:cNvPr id="10" name="Oval 9">
          <a:extLst>
            <a:ext uri="{FF2B5EF4-FFF2-40B4-BE49-F238E27FC236}">
              <a16:creationId xmlns:a16="http://schemas.microsoft.com/office/drawing/2014/main" id="{00000000-0008-0000-0600-00000A000000}"/>
            </a:ext>
          </a:extLst>
        </xdr:cNvPr>
        <xdr:cNvSpPr>
          <a:spLocks noChangeArrowheads="1"/>
        </xdr:cNvSpPr>
      </xdr:nvSpPr>
      <xdr:spPr bwMode="auto">
        <a:xfrm>
          <a:off x="3143250" y="1396365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13</xdr:row>
      <xdr:rowOff>0</xdr:rowOff>
    </xdr:from>
    <xdr:to>
      <xdr:col>4</xdr:col>
      <xdr:colOff>0</xdr:colOff>
      <xdr:row>13</xdr:row>
      <xdr:rowOff>0</xdr:rowOff>
    </xdr:to>
    <xdr:sp macro="" textlink="">
      <xdr:nvSpPr>
        <xdr:cNvPr id="11" name="Text Box 10">
          <a:extLst>
            <a:ext uri="{FF2B5EF4-FFF2-40B4-BE49-F238E27FC236}">
              <a16:creationId xmlns:a16="http://schemas.microsoft.com/office/drawing/2014/main" id="{00000000-0008-0000-0600-00000B000000}"/>
            </a:ext>
          </a:extLst>
        </xdr:cNvPr>
        <xdr:cNvSpPr txBox="1">
          <a:spLocks noChangeArrowheads="1"/>
        </xdr:cNvSpPr>
      </xdr:nvSpPr>
      <xdr:spPr bwMode="auto">
        <a:xfrm>
          <a:off x="8896350" y="13458825"/>
          <a:ext cx="0" cy="0"/>
        </a:xfrm>
        <a:prstGeom prst="rect">
          <a:avLst/>
        </a:prstGeom>
        <a:noFill/>
        <a:ln w="9525">
          <a:noFill/>
          <a:miter lim="800000"/>
          <a:headEnd/>
          <a:tailEnd/>
        </a:ln>
      </xdr:spPr>
      <xdr:txBody>
        <a:bodyPr vertOverflow="clip" wrap="square" lIns="45720" tIns="36576" rIns="0" bIns="0" anchor="t" upright="1"/>
        <a:lstStyle/>
        <a:p>
          <a:pPr algn="l" rtl="0">
            <a:defRPr sz="1000"/>
          </a:pPr>
          <a:r>
            <a:rPr lang="en-CA" sz="2000" b="1" i="0" u="none" strike="noStrike" baseline="0">
              <a:solidFill>
                <a:srgbClr val="000000"/>
              </a:solidFill>
              <a:latin typeface="Times New Roman"/>
              <a:cs typeface="Times New Roman"/>
            </a:rPr>
            <a:t>Team</a:t>
          </a:r>
        </a:p>
        <a:p>
          <a:pPr algn="l" rtl="0">
            <a:defRPr sz="1000"/>
          </a:pPr>
          <a:r>
            <a:rPr lang="en-CA" sz="2000" b="1" i="0" u="none" strike="noStrike" baseline="0">
              <a:solidFill>
                <a:srgbClr val="000000"/>
              </a:solidFill>
              <a:latin typeface="Times New Roman"/>
              <a:cs typeface="Times New Roman"/>
            </a:rPr>
            <a:t>Support</a:t>
          </a:r>
        </a:p>
      </xdr:txBody>
    </xdr:sp>
    <xdr:clientData/>
  </xdr:twoCellAnchor>
  <xdr:twoCellAnchor>
    <xdr:from>
      <xdr:col>4</xdr:col>
      <xdr:colOff>0</xdr:colOff>
      <xdr:row>13</xdr:row>
      <xdr:rowOff>0</xdr:rowOff>
    </xdr:from>
    <xdr:to>
      <xdr:col>4</xdr:col>
      <xdr:colOff>0</xdr:colOff>
      <xdr:row>13</xdr:row>
      <xdr:rowOff>0</xdr:rowOff>
    </xdr:to>
    <xdr:grpSp>
      <xdr:nvGrpSpPr>
        <xdr:cNvPr id="12" name="Group 11">
          <a:extLst>
            <a:ext uri="{FF2B5EF4-FFF2-40B4-BE49-F238E27FC236}">
              <a16:creationId xmlns:a16="http://schemas.microsoft.com/office/drawing/2014/main" id="{00000000-0008-0000-0600-00000C000000}"/>
            </a:ext>
          </a:extLst>
        </xdr:cNvPr>
        <xdr:cNvGrpSpPr>
          <a:grpSpLocks/>
        </xdr:cNvGrpSpPr>
      </xdr:nvGrpSpPr>
      <xdr:grpSpPr bwMode="auto">
        <a:xfrm>
          <a:off x="9563100" y="12954000"/>
          <a:ext cx="0" cy="0"/>
          <a:chOff x="438" y="763"/>
          <a:chExt cx="146" cy="48"/>
        </a:xfrm>
      </xdr:grpSpPr>
      <xdr:sp macro="" textlink="">
        <xdr:nvSpPr>
          <xdr:cNvPr id="13" name="Text Box 12">
            <a:extLst>
              <a:ext uri="{FF2B5EF4-FFF2-40B4-BE49-F238E27FC236}">
                <a16:creationId xmlns:a16="http://schemas.microsoft.com/office/drawing/2014/main" id="{00000000-0008-0000-0600-00000D000000}"/>
              </a:ext>
            </a:extLst>
          </xdr:cNvPr>
          <xdr:cNvSpPr txBox="1">
            <a:spLocks noChangeArrowheads="1"/>
          </xdr:cNvSpPr>
        </xdr:nvSpPr>
        <xdr:spPr bwMode="auto">
          <a:xfrm>
            <a:off x="438" y="763"/>
            <a:ext cx="146" cy="48"/>
          </a:xfrm>
          <a:prstGeom prst="rect">
            <a:avLst/>
          </a:prstGeom>
          <a:solidFill>
            <a:srgbClr val="FFFFFF"/>
          </a:solidFill>
          <a:ln w="9525">
            <a:solidFill>
              <a:srgbClr val="000000"/>
            </a:solidFill>
            <a:miter lim="800000"/>
            <a:headEnd/>
            <a:tailEnd/>
          </a:ln>
        </xdr:spPr>
      </xdr:sp>
      <xdr:sp macro="" textlink="">
        <xdr:nvSpPr>
          <xdr:cNvPr id="14" name="AutoShape 13">
            <a:extLst>
              <a:ext uri="{FF2B5EF4-FFF2-40B4-BE49-F238E27FC236}">
                <a16:creationId xmlns:a16="http://schemas.microsoft.com/office/drawing/2014/main" id="{00000000-0008-0000-0600-00000E000000}"/>
              </a:ext>
            </a:extLst>
          </xdr:cNvPr>
          <xdr:cNvSpPr>
            <a:spLocks noChangeArrowheads="1"/>
          </xdr:cNvSpPr>
        </xdr:nvSpPr>
        <xdr:spPr bwMode="auto">
          <a:xfrm>
            <a:off x="477" y="771"/>
            <a:ext cx="78" cy="28"/>
          </a:xfrm>
          <a:prstGeom prst="rightArrow">
            <a:avLst>
              <a:gd name="adj1" fmla="val 50000"/>
              <a:gd name="adj2" fmla="val 69643"/>
            </a:avLst>
          </a:prstGeom>
          <a:solidFill>
            <a:srgbClr val="FFFFFF"/>
          </a:solidFill>
          <a:ln w="9525">
            <a:solidFill>
              <a:srgbClr val="000000"/>
            </a:solidFill>
            <a:miter lim="800000"/>
            <a:headEnd/>
            <a:tailEnd/>
          </a:ln>
        </xdr:spPr>
      </xdr:sp>
    </xdr:grpSp>
    <xdr:clientData/>
  </xdr:twoCellAnchor>
  <xdr:twoCellAnchor>
    <xdr:from>
      <xdr:col>3</xdr:col>
      <xdr:colOff>0</xdr:colOff>
      <xdr:row>4</xdr:row>
      <xdr:rowOff>0</xdr:rowOff>
    </xdr:from>
    <xdr:to>
      <xdr:col>3</xdr:col>
      <xdr:colOff>0</xdr:colOff>
      <xdr:row>4</xdr:row>
      <xdr:rowOff>0</xdr:rowOff>
    </xdr:to>
    <xdr:sp macro="" textlink="">
      <xdr:nvSpPr>
        <xdr:cNvPr id="15" name="Oval 14">
          <a:extLst>
            <a:ext uri="{FF2B5EF4-FFF2-40B4-BE49-F238E27FC236}">
              <a16:creationId xmlns:a16="http://schemas.microsoft.com/office/drawing/2014/main" id="{00000000-0008-0000-0600-00000F000000}"/>
            </a:ext>
          </a:extLst>
        </xdr:cNvPr>
        <xdr:cNvSpPr>
          <a:spLocks noChangeArrowheads="1"/>
        </xdr:cNvSpPr>
      </xdr:nvSpPr>
      <xdr:spPr bwMode="auto">
        <a:xfrm>
          <a:off x="3143250" y="1914525"/>
          <a:ext cx="0" cy="0"/>
        </a:xfrm>
        <a:prstGeom prst="ellipse">
          <a:avLst/>
        </a:prstGeom>
        <a:solidFill>
          <a:srgbClr val="000000"/>
        </a:solidFill>
        <a:ln w="17145">
          <a:solidFill>
            <a:srgbClr val="000000"/>
          </a:solidFill>
          <a:round/>
          <a:headEnd/>
          <a:tailEnd/>
        </a:ln>
      </xdr:spPr>
    </xdr:sp>
    <xdr:clientData/>
  </xdr:twoCellAnchor>
  <xdr:twoCellAnchor>
    <xdr:from>
      <xdr:col>3</xdr:col>
      <xdr:colOff>0</xdr:colOff>
      <xdr:row>14</xdr:row>
      <xdr:rowOff>0</xdr:rowOff>
    </xdr:from>
    <xdr:to>
      <xdr:col>3</xdr:col>
      <xdr:colOff>0</xdr:colOff>
      <xdr:row>14</xdr:row>
      <xdr:rowOff>0</xdr:rowOff>
    </xdr:to>
    <xdr:sp macro="" textlink="">
      <xdr:nvSpPr>
        <xdr:cNvPr id="16" name="Oval 15">
          <a:extLst>
            <a:ext uri="{FF2B5EF4-FFF2-40B4-BE49-F238E27FC236}">
              <a16:creationId xmlns:a16="http://schemas.microsoft.com/office/drawing/2014/main" id="{00000000-0008-0000-0600-000010000000}"/>
            </a:ext>
          </a:extLst>
        </xdr:cNvPr>
        <xdr:cNvSpPr>
          <a:spLocks noChangeArrowheads="1"/>
        </xdr:cNvSpPr>
      </xdr:nvSpPr>
      <xdr:spPr bwMode="auto">
        <a:xfrm>
          <a:off x="3143250" y="13963650"/>
          <a:ext cx="0" cy="0"/>
        </a:xfrm>
        <a:prstGeom prst="ellipse">
          <a:avLst/>
        </a:prstGeom>
        <a:solidFill>
          <a:srgbClr val="000000"/>
        </a:solidFill>
        <a:ln w="17145">
          <a:solidFill>
            <a:srgbClr val="000000"/>
          </a:solidFill>
          <a:round/>
          <a:headEnd/>
          <a:tailEnd/>
        </a:ln>
      </xdr:spPr>
    </xdr:sp>
    <xdr:clientData/>
  </xdr:twoCellAnchor>
  <xdr:twoCellAnchor>
    <xdr:from>
      <xdr:col>3</xdr:col>
      <xdr:colOff>0</xdr:colOff>
      <xdr:row>14</xdr:row>
      <xdr:rowOff>0</xdr:rowOff>
    </xdr:from>
    <xdr:to>
      <xdr:col>3</xdr:col>
      <xdr:colOff>0</xdr:colOff>
      <xdr:row>14</xdr:row>
      <xdr:rowOff>0</xdr:rowOff>
    </xdr:to>
    <xdr:sp macro="" textlink="">
      <xdr:nvSpPr>
        <xdr:cNvPr id="17" name="Oval 16">
          <a:extLst>
            <a:ext uri="{FF2B5EF4-FFF2-40B4-BE49-F238E27FC236}">
              <a16:creationId xmlns:a16="http://schemas.microsoft.com/office/drawing/2014/main" id="{00000000-0008-0000-0600-000011000000}"/>
            </a:ext>
          </a:extLst>
        </xdr:cNvPr>
        <xdr:cNvSpPr>
          <a:spLocks noChangeArrowheads="1"/>
        </xdr:cNvSpPr>
      </xdr:nvSpPr>
      <xdr:spPr bwMode="auto">
        <a:xfrm>
          <a:off x="3143250" y="1396365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30480</xdr:colOff>
      <xdr:row>9</xdr:row>
      <xdr:rowOff>41910</xdr:rowOff>
    </xdr:from>
    <xdr:to>
      <xdr:col>4</xdr:col>
      <xdr:colOff>0</xdr:colOff>
      <xdr:row>10</xdr:row>
      <xdr:rowOff>0</xdr:rowOff>
    </xdr:to>
    <xdr:sp macro="" textlink="">
      <xdr:nvSpPr>
        <xdr:cNvPr id="18" name="Line 17">
          <a:extLst>
            <a:ext uri="{FF2B5EF4-FFF2-40B4-BE49-F238E27FC236}">
              <a16:creationId xmlns:a16="http://schemas.microsoft.com/office/drawing/2014/main" id="{00000000-0008-0000-0600-000012000000}"/>
            </a:ext>
          </a:extLst>
        </xdr:cNvPr>
        <xdr:cNvSpPr>
          <a:spLocks noChangeShapeType="1"/>
        </xdr:cNvSpPr>
      </xdr:nvSpPr>
      <xdr:spPr bwMode="auto">
        <a:xfrm>
          <a:off x="3173730" y="7204710"/>
          <a:ext cx="5722620" cy="514921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xdr:row>
      <xdr:rowOff>41910</xdr:rowOff>
    </xdr:from>
    <xdr:to>
      <xdr:col>4</xdr:col>
      <xdr:colOff>0</xdr:colOff>
      <xdr:row>9</xdr:row>
      <xdr:rowOff>5090160</xdr:rowOff>
    </xdr:to>
    <xdr:sp macro="" textlink="">
      <xdr:nvSpPr>
        <xdr:cNvPr id="19" name="Line 18">
          <a:extLst>
            <a:ext uri="{FF2B5EF4-FFF2-40B4-BE49-F238E27FC236}">
              <a16:creationId xmlns:a16="http://schemas.microsoft.com/office/drawing/2014/main" id="{00000000-0008-0000-0600-000013000000}"/>
            </a:ext>
          </a:extLst>
        </xdr:cNvPr>
        <xdr:cNvSpPr>
          <a:spLocks noChangeShapeType="1"/>
        </xdr:cNvSpPr>
      </xdr:nvSpPr>
      <xdr:spPr bwMode="auto">
        <a:xfrm flipV="1">
          <a:off x="3143250" y="7204710"/>
          <a:ext cx="5753100" cy="50482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1636667</xdr:colOff>
      <xdr:row>9</xdr:row>
      <xdr:rowOff>315686</xdr:rowOff>
    </xdr:from>
    <xdr:to>
      <xdr:col>3</xdr:col>
      <xdr:colOff>4128407</xdr:colOff>
      <xdr:row>9</xdr:row>
      <xdr:rowOff>1049111</xdr:rowOff>
    </xdr:to>
    <xdr:sp macro="" textlink="">
      <xdr:nvSpPr>
        <xdr:cNvPr id="20" name="Text Box 19">
          <a:extLst>
            <a:ext uri="{FF2B5EF4-FFF2-40B4-BE49-F238E27FC236}">
              <a16:creationId xmlns:a16="http://schemas.microsoft.com/office/drawing/2014/main" id="{00000000-0008-0000-0600-000014000000}"/>
            </a:ext>
          </a:extLst>
        </xdr:cNvPr>
        <xdr:cNvSpPr txBox="1">
          <a:spLocks noChangeArrowheads="1"/>
        </xdr:cNvSpPr>
      </xdr:nvSpPr>
      <xdr:spPr bwMode="auto">
        <a:xfrm>
          <a:off x="4779917" y="7478486"/>
          <a:ext cx="2491740" cy="733425"/>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Initiatives</a:t>
          </a:r>
        </a:p>
      </xdr:txBody>
    </xdr:sp>
    <xdr:clientData/>
  </xdr:twoCellAnchor>
  <xdr:twoCellAnchor>
    <xdr:from>
      <xdr:col>3</xdr:col>
      <xdr:colOff>80010</xdr:colOff>
      <xdr:row>9</xdr:row>
      <xdr:rowOff>2129790</xdr:rowOff>
    </xdr:from>
    <xdr:to>
      <xdr:col>3</xdr:col>
      <xdr:colOff>2729814</xdr:colOff>
      <xdr:row>9</xdr:row>
      <xdr:rowOff>3387090</xdr:rowOff>
    </xdr:to>
    <xdr:sp macro="" textlink="">
      <xdr:nvSpPr>
        <xdr:cNvPr id="21" name="Text Box 20">
          <a:extLst>
            <a:ext uri="{FF2B5EF4-FFF2-40B4-BE49-F238E27FC236}">
              <a16:creationId xmlns:a16="http://schemas.microsoft.com/office/drawing/2014/main" id="{00000000-0008-0000-0600-000015000000}"/>
            </a:ext>
          </a:extLst>
        </xdr:cNvPr>
        <xdr:cNvSpPr txBox="1">
          <a:spLocks noChangeArrowheads="1"/>
        </xdr:cNvSpPr>
      </xdr:nvSpPr>
      <xdr:spPr bwMode="auto">
        <a:xfrm>
          <a:off x="3223260" y="9292590"/>
          <a:ext cx="2649804" cy="1257300"/>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STRATEGIC BREAKTHROUGHS</a:t>
          </a:r>
        </a:p>
      </xdr:txBody>
    </xdr:sp>
    <xdr:clientData/>
  </xdr:twoCellAnchor>
  <xdr:twoCellAnchor>
    <xdr:from>
      <xdr:col>3</xdr:col>
      <xdr:colOff>1764030</xdr:colOff>
      <xdr:row>9</xdr:row>
      <xdr:rowOff>3693795</xdr:rowOff>
    </xdr:from>
    <xdr:to>
      <xdr:col>3</xdr:col>
      <xdr:colOff>3935730</xdr:colOff>
      <xdr:row>9</xdr:row>
      <xdr:rowOff>4827270</xdr:rowOff>
    </xdr:to>
    <xdr:sp macro="" textlink="">
      <xdr:nvSpPr>
        <xdr:cNvPr id="22" name="Text Box 21">
          <a:extLst>
            <a:ext uri="{FF2B5EF4-FFF2-40B4-BE49-F238E27FC236}">
              <a16:creationId xmlns:a16="http://schemas.microsoft.com/office/drawing/2014/main" id="{00000000-0008-0000-0600-000016000000}"/>
            </a:ext>
          </a:extLst>
        </xdr:cNvPr>
        <xdr:cNvSpPr txBox="1">
          <a:spLocks noChangeArrowheads="1"/>
        </xdr:cNvSpPr>
      </xdr:nvSpPr>
      <xdr:spPr bwMode="auto">
        <a:xfrm>
          <a:off x="4907280" y="10856595"/>
          <a:ext cx="2171700" cy="1133475"/>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Leaders and  Support</a:t>
          </a:r>
        </a:p>
      </xdr:txBody>
    </xdr:sp>
    <xdr:clientData/>
  </xdr:twoCellAnchor>
  <xdr:twoCellAnchor>
    <xdr:from>
      <xdr:col>6</xdr:col>
      <xdr:colOff>0</xdr:colOff>
      <xdr:row>13</xdr:row>
      <xdr:rowOff>0</xdr:rowOff>
    </xdr:from>
    <xdr:to>
      <xdr:col>6</xdr:col>
      <xdr:colOff>0</xdr:colOff>
      <xdr:row>13</xdr:row>
      <xdr:rowOff>0</xdr:rowOff>
    </xdr:to>
    <xdr:sp macro="" textlink="">
      <xdr:nvSpPr>
        <xdr:cNvPr id="23" name="Oval 22">
          <a:extLst>
            <a:ext uri="{FF2B5EF4-FFF2-40B4-BE49-F238E27FC236}">
              <a16:creationId xmlns:a16="http://schemas.microsoft.com/office/drawing/2014/main" id="{00000000-0008-0000-0600-000017000000}"/>
            </a:ext>
          </a:extLst>
        </xdr:cNvPr>
        <xdr:cNvSpPr>
          <a:spLocks noChangeArrowheads="1"/>
        </xdr:cNvSpPr>
      </xdr:nvSpPr>
      <xdr:spPr bwMode="auto">
        <a:xfrm>
          <a:off x="10991850" y="13458825"/>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13</xdr:row>
      <xdr:rowOff>0</xdr:rowOff>
    </xdr:from>
    <xdr:to>
      <xdr:col>6</xdr:col>
      <xdr:colOff>0</xdr:colOff>
      <xdr:row>13</xdr:row>
      <xdr:rowOff>0</xdr:rowOff>
    </xdr:to>
    <xdr:sp macro="" textlink="">
      <xdr:nvSpPr>
        <xdr:cNvPr id="24" name="Oval 23">
          <a:extLst>
            <a:ext uri="{FF2B5EF4-FFF2-40B4-BE49-F238E27FC236}">
              <a16:creationId xmlns:a16="http://schemas.microsoft.com/office/drawing/2014/main" id="{00000000-0008-0000-0600-000018000000}"/>
            </a:ext>
          </a:extLst>
        </xdr:cNvPr>
        <xdr:cNvSpPr>
          <a:spLocks noChangeArrowheads="1"/>
        </xdr:cNvSpPr>
      </xdr:nvSpPr>
      <xdr:spPr bwMode="auto">
        <a:xfrm>
          <a:off x="10991850" y="13458825"/>
          <a:ext cx="0" cy="0"/>
        </a:xfrm>
        <a:prstGeom prst="ellipse">
          <a:avLst/>
        </a:prstGeom>
        <a:solidFill>
          <a:srgbClr val="000000"/>
        </a:solidFill>
        <a:ln w="17145">
          <a:solidFill>
            <a:srgbClr val="0000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25" name="Oval 24">
          <a:extLst>
            <a:ext uri="{FF2B5EF4-FFF2-40B4-BE49-F238E27FC236}">
              <a16:creationId xmlns:a16="http://schemas.microsoft.com/office/drawing/2014/main" id="{00000000-0008-0000-0600-000019000000}"/>
            </a:ext>
          </a:extLst>
        </xdr:cNvPr>
        <xdr:cNvSpPr>
          <a:spLocks noChangeArrowheads="1"/>
        </xdr:cNvSpPr>
      </xdr:nvSpPr>
      <xdr:spPr bwMode="auto">
        <a:xfrm>
          <a:off x="3143250" y="6134100"/>
          <a:ext cx="0" cy="0"/>
        </a:xfrm>
        <a:prstGeom prst="ellipse">
          <a:avLst/>
        </a:prstGeom>
        <a:solidFill>
          <a:srgbClr val="000000"/>
        </a:solidFill>
        <a:ln w="17145">
          <a:solidFill>
            <a:srgbClr val="0000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26" name="Oval 25">
          <a:extLst>
            <a:ext uri="{FF2B5EF4-FFF2-40B4-BE49-F238E27FC236}">
              <a16:creationId xmlns:a16="http://schemas.microsoft.com/office/drawing/2014/main" id="{00000000-0008-0000-0600-00001A000000}"/>
            </a:ext>
          </a:extLst>
        </xdr:cNvPr>
        <xdr:cNvSpPr>
          <a:spLocks noChangeArrowheads="1"/>
        </xdr:cNvSpPr>
      </xdr:nvSpPr>
      <xdr:spPr bwMode="auto">
        <a:xfrm>
          <a:off x="3143250" y="613410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8</xdr:row>
      <xdr:rowOff>0</xdr:rowOff>
    </xdr:from>
    <xdr:to>
      <xdr:col>3</xdr:col>
      <xdr:colOff>0</xdr:colOff>
      <xdr:row>8</xdr:row>
      <xdr:rowOff>0</xdr:rowOff>
    </xdr:to>
    <xdr:sp macro="" textlink="">
      <xdr:nvSpPr>
        <xdr:cNvPr id="27" name="Oval 26">
          <a:extLst>
            <a:ext uri="{FF2B5EF4-FFF2-40B4-BE49-F238E27FC236}">
              <a16:creationId xmlns:a16="http://schemas.microsoft.com/office/drawing/2014/main" id="{00000000-0008-0000-0600-00001B000000}"/>
            </a:ext>
          </a:extLst>
        </xdr:cNvPr>
        <xdr:cNvSpPr>
          <a:spLocks noChangeArrowheads="1"/>
        </xdr:cNvSpPr>
      </xdr:nvSpPr>
      <xdr:spPr bwMode="auto">
        <a:xfrm>
          <a:off x="3143250" y="613410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8</xdr:row>
      <xdr:rowOff>0</xdr:rowOff>
    </xdr:from>
    <xdr:to>
      <xdr:col>3</xdr:col>
      <xdr:colOff>0</xdr:colOff>
      <xdr:row>8</xdr:row>
      <xdr:rowOff>0</xdr:rowOff>
    </xdr:to>
    <xdr:sp macro="" textlink="">
      <xdr:nvSpPr>
        <xdr:cNvPr id="28" name="Oval 27">
          <a:extLst>
            <a:ext uri="{FF2B5EF4-FFF2-40B4-BE49-F238E27FC236}">
              <a16:creationId xmlns:a16="http://schemas.microsoft.com/office/drawing/2014/main" id="{00000000-0008-0000-0600-00001C000000}"/>
            </a:ext>
          </a:extLst>
        </xdr:cNvPr>
        <xdr:cNvSpPr>
          <a:spLocks noChangeArrowheads="1"/>
        </xdr:cNvSpPr>
      </xdr:nvSpPr>
      <xdr:spPr bwMode="auto">
        <a:xfrm>
          <a:off x="3143250" y="613410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4</xdr:row>
      <xdr:rowOff>0</xdr:rowOff>
    </xdr:from>
    <xdr:to>
      <xdr:col>3</xdr:col>
      <xdr:colOff>0</xdr:colOff>
      <xdr:row>4</xdr:row>
      <xdr:rowOff>0</xdr:rowOff>
    </xdr:to>
    <xdr:sp macro="" textlink="">
      <xdr:nvSpPr>
        <xdr:cNvPr id="29" name="Oval 31">
          <a:extLst>
            <a:ext uri="{FF2B5EF4-FFF2-40B4-BE49-F238E27FC236}">
              <a16:creationId xmlns:a16="http://schemas.microsoft.com/office/drawing/2014/main" id="{00000000-0008-0000-0600-00001D000000}"/>
            </a:ext>
          </a:extLst>
        </xdr:cNvPr>
        <xdr:cNvSpPr>
          <a:spLocks noChangeArrowheads="1"/>
        </xdr:cNvSpPr>
      </xdr:nvSpPr>
      <xdr:spPr bwMode="auto">
        <a:xfrm>
          <a:off x="3143250" y="1914525"/>
          <a:ext cx="0" cy="0"/>
        </a:xfrm>
        <a:prstGeom prst="ellipse">
          <a:avLst/>
        </a:prstGeom>
        <a:solidFill>
          <a:srgbClr val="000000"/>
        </a:solidFill>
        <a:ln w="17145">
          <a:solidFill>
            <a:srgbClr val="0000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30" name="Oval 32">
          <a:extLst>
            <a:ext uri="{FF2B5EF4-FFF2-40B4-BE49-F238E27FC236}">
              <a16:creationId xmlns:a16="http://schemas.microsoft.com/office/drawing/2014/main" id="{00000000-0008-0000-0600-00001E000000}"/>
            </a:ext>
          </a:extLst>
        </xdr:cNvPr>
        <xdr:cNvSpPr>
          <a:spLocks noChangeArrowheads="1"/>
        </xdr:cNvSpPr>
      </xdr:nvSpPr>
      <xdr:spPr bwMode="auto">
        <a:xfrm>
          <a:off x="3143250" y="613410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8</xdr:row>
      <xdr:rowOff>0</xdr:rowOff>
    </xdr:from>
    <xdr:to>
      <xdr:col>3</xdr:col>
      <xdr:colOff>0</xdr:colOff>
      <xdr:row>8</xdr:row>
      <xdr:rowOff>0</xdr:rowOff>
    </xdr:to>
    <xdr:sp macro="" textlink="">
      <xdr:nvSpPr>
        <xdr:cNvPr id="31" name="Oval 33">
          <a:extLst>
            <a:ext uri="{FF2B5EF4-FFF2-40B4-BE49-F238E27FC236}">
              <a16:creationId xmlns:a16="http://schemas.microsoft.com/office/drawing/2014/main" id="{00000000-0008-0000-0600-00001F000000}"/>
            </a:ext>
          </a:extLst>
        </xdr:cNvPr>
        <xdr:cNvSpPr>
          <a:spLocks noChangeArrowheads="1"/>
        </xdr:cNvSpPr>
      </xdr:nvSpPr>
      <xdr:spPr bwMode="auto">
        <a:xfrm>
          <a:off x="3143250" y="613410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8</xdr:row>
      <xdr:rowOff>0</xdr:rowOff>
    </xdr:from>
    <xdr:to>
      <xdr:col>6</xdr:col>
      <xdr:colOff>0</xdr:colOff>
      <xdr:row>8</xdr:row>
      <xdr:rowOff>0</xdr:rowOff>
    </xdr:to>
    <xdr:sp macro="" textlink="">
      <xdr:nvSpPr>
        <xdr:cNvPr id="32" name="Oval 35">
          <a:extLst>
            <a:ext uri="{FF2B5EF4-FFF2-40B4-BE49-F238E27FC236}">
              <a16:creationId xmlns:a16="http://schemas.microsoft.com/office/drawing/2014/main" id="{00000000-0008-0000-0600-000020000000}"/>
            </a:ext>
          </a:extLst>
        </xdr:cNvPr>
        <xdr:cNvSpPr>
          <a:spLocks noChangeArrowheads="1"/>
        </xdr:cNvSpPr>
      </xdr:nvSpPr>
      <xdr:spPr bwMode="auto">
        <a:xfrm>
          <a:off x="10991850" y="613410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8</xdr:row>
      <xdr:rowOff>0</xdr:rowOff>
    </xdr:from>
    <xdr:to>
      <xdr:col>6</xdr:col>
      <xdr:colOff>0</xdr:colOff>
      <xdr:row>8</xdr:row>
      <xdr:rowOff>0</xdr:rowOff>
    </xdr:to>
    <xdr:sp macro="" textlink="">
      <xdr:nvSpPr>
        <xdr:cNvPr id="33" name="Oval 36">
          <a:extLst>
            <a:ext uri="{FF2B5EF4-FFF2-40B4-BE49-F238E27FC236}">
              <a16:creationId xmlns:a16="http://schemas.microsoft.com/office/drawing/2014/main" id="{00000000-0008-0000-0600-000021000000}"/>
            </a:ext>
          </a:extLst>
        </xdr:cNvPr>
        <xdr:cNvSpPr>
          <a:spLocks noChangeArrowheads="1"/>
        </xdr:cNvSpPr>
      </xdr:nvSpPr>
      <xdr:spPr bwMode="auto">
        <a:xfrm>
          <a:off x="10991850" y="613410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4</xdr:row>
      <xdr:rowOff>0</xdr:rowOff>
    </xdr:from>
    <xdr:to>
      <xdr:col>6</xdr:col>
      <xdr:colOff>0</xdr:colOff>
      <xdr:row>4</xdr:row>
      <xdr:rowOff>0</xdr:rowOff>
    </xdr:to>
    <xdr:sp macro="" textlink="">
      <xdr:nvSpPr>
        <xdr:cNvPr id="34" name="Oval 39">
          <a:extLst>
            <a:ext uri="{FF2B5EF4-FFF2-40B4-BE49-F238E27FC236}">
              <a16:creationId xmlns:a16="http://schemas.microsoft.com/office/drawing/2014/main" id="{00000000-0008-0000-0600-000022000000}"/>
            </a:ext>
          </a:extLst>
        </xdr:cNvPr>
        <xdr:cNvSpPr>
          <a:spLocks noChangeArrowheads="1"/>
        </xdr:cNvSpPr>
      </xdr:nvSpPr>
      <xdr:spPr bwMode="auto">
        <a:xfrm>
          <a:off x="10991850" y="1914525"/>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4</xdr:row>
      <xdr:rowOff>0</xdr:rowOff>
    </xdr:from>
    <xdr:to>
      <xdr:col>6</xdr:col>
      <xdr:colOff>0</xdr:colOff>
      <xdr:row>4</xdr:row>
      <xdr:rowOff>0</xdr:rowOff>
    </xdr:to>
    <xdr:sp macro="" textlink="">
      <xdr:nvSpPr>
        <xdr:cNvPr id="35" name="Oval 40">
          <a:extLst>
            <a:ext uri="{FF2B5EF4-FFF2-40B4-BE49-F238E27FC236}">
              <a16:creationId xmlns:a16="http://schemas.microsoft.com/office/drawing/2014/main" id="{00000000-0008-0000-0600-000023000000}"/>
            </a:ext>
          </a:extLst>
        </xdr:cNvPr>
        <xdr:cNvSpPr>
          <a:spLocks noChangeArrowheads="1"/>
        </xdr:cNvSpPr>
      </xdr:nvSpPr>
      <xdr:spPr bwMode="auto">
        <a:xfrm>
          <a:off x="10991850" y="1914525"/>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8</xdr:row>
      <xdr:rowOff>0</xdr:rowOff>
    </xdr:from>
    <xdr:to>
      <xdr:col>6</xdr:col>
      <xdr:colOff>0</xdr:colOff>
      <xdr:row>8</xdr:row>
      <xdr:rowOff>0</xdr:rowOff>
    </xdr:to>
    <xdr:sp macro="" textlink="">
      <xdr:nvSpPr>
        <xdr:cNvPr id="36" name="Oval 42">
          <a:extLst>
            <a:ext uri="{FF2B5EF4-FFF2-40B4-BE49-F238E27FC236}">
              <a16:creationId xmlns:a16="http://schemas.microsoft.com/office/drawing/2014/main" id="{00000000-0008-0000-0600-000024000000}"/>
            </a:ext>
          </a:extLst>
        </xdr:cNvPr>
        <xdr:cNvSpPr>
          <a:spLocks noChangeArrowheads="1"/>
        </xdr:cNvSpPr>
      </xdr:nvSpPr>
      <xdr:spPr bwMode="auto">
        <a:xfrm>
          <a:off x="10991850" y="613410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8</xdr:row>
      <xdr:rowOff>0</xdr:rowOff>
    </xdr:from>
    <xdr:to>
      <xdr:col>6</xdr:col>
      <xdr:colOff>0</xdr:colOff>
      <xdr:row>8</xdr:row>
      <xdr:rowOff>0</xdr:rowOff>
    </xdr:to>
    <xdr:sp macro="" textlink="">
      <xdr:nvSpPr>
        <xdr:cNvPr id="37" name="Oval 43">
          <a:extLst>
            <a:ext uri="{FF2B5EF4-FFF2-40B4-BE49-F238E27FC236}">
              <a16:creationId xmlns:a16="http://schemas.microsoft.com/office/drawing/2014/main" id="{00000000-0008-0000-0600-000025000000}"/>
            </a:ext>
          </a:extLst>
        </xdr:cNvPr>
        <xdr:cNvSpPr>
          <a:spLocks noChangeArrowheads="1"/>
        </xdr:cNvSpPr>
      </xdr:nvSpPr>
      <xdr:spPr bwMode="auto">
        <a:xfrm>
          <a:off x="10991850" y="613410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8</xdr:row>
      <xdr:rowOff>0</xdr:rowOff>
    </xdr:from>
    <xdr:to>
      <xdr:col>6</xdr:col>
      <xdr:colOff>0</xdr:colOff>
      <xdr:row>8</xdr:row>
      <xdr:rowOff>0</xdr:rowOff>
    </xdr:to>
    <xdr:sp macro="" textlink="">
      <xdr:nvSpPr>
        <xdr:cNvPr id="38" name="Oval 44">
          <a:extLst>
            <a:ext uri="{FF2B5EF4-FFF2-40B4-BE49-F238E27FC236}">
              <a16:creationId xmlns:a16="http://schemas.microsoft.com/office/drawing/2014/main" id="{00000000-0008-0000-0600-000026000000}"/>
            </a:ext>
          </a:extLst>
        </xdr:cNvPr>
        <xdr:cNvSpPr>
          <a:spLocks noChangeArrowheads="1"/>
        </xdr:cNvSpPr>
      </xdr:nvSpPr>
      <xdr:spPr bwMode="auto">
        <a:xfrm>
          <a:off x="10991850" y="613410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8</xdr:row>
      <xdr:rowOff>0</xdr:rowOff>
    </xdr:from>
    <xdr:to>
      <xdr:col>6</xdr:col>
      <xdr:colOff>0</xdr:colOff>
      <xdr:row>8</xdr:row>
      <xdr:rowOff>0</xdr:rowOff>
    </xdr:to>
    <xdr:sp macro="" textlink="">
      <xdr:nvSpPr>
        <xdr:cNvPr id="39" name="Oval 45">
          <a:extLst>
            <a:ext uri="{FF2B5EF4-FFF2-40B4-BE49-F238E27FC236}">
              <a16:creationId xmlns:a16="http://schemas.microsoft.com/office/drawing/2014/main" id="{00000000-0008-0000-0600-000027000000}"/>
            </a:ext>
          </a:extLst>
        </xdr:cNvPr>
        <xdr:cNvSpPr>
          <a:spLocks noChangeArrowheads="1"/>
        </xdr:cNvSpPr>
      </xdr:nvSpPr>
      <xdr:spPr bwMode="auto">
        <a:xfrm>
          <a:off x="10991850" y="6134100"/>
          <a:ext cx="0" cy="0"/>
        </a:xfrm>
        <a:prstGeom prst="ellipse">
          <a:avLst/>
        </a:prstGeom>
        <a:noFill/>
        <a:ln w="1714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14</xdr:row>
      <xdr:rowOff>0</xdr:rowOff>
    </xdr:from>
    <xdr:to>
      <xdr:col>6</xdr:col>
      <xdr:colOff>0</xdr:colOff>
      <xdr:row>14</xdr:row>
      <xdr:rowOff>0</xdr:rowOff>
    </xdr:to>
    <xdr:sp macro="" textlink="">
      <xdr:nvSpPr>
        <xdr:cNvPr id="40" name="Oval 46">
          <a:extLst>
            <a:ext uri="{FF2B5EF4-FFF2-40B4-BE49-F238E27FC236}">
              <a16:creationId xmlns:a16="http://schemas.microsoft.com/office/drawing/2014/main" id="{00000000-0008-0000-0600-000028000000}"/>
            </a:ext>
          </a:extLst>
        </xdr:cNvPr>
        <xdr:cNvSpPr>
          <a:spLocks noChangeArrowheads="1"/>
        </xdr:cNvSpPr>
      </xdr:nvSpPr>
      <xdr:spPr bwMode="auto">
        <a:xfrm>
          <a:off x="10991850" y="13963650"/>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14</xdr:row>
      <xdr:rowOff>0</xdr:rowOff>
    </xdr:from>
    <xdr:to>
      <xdr:col>6</xdr:col>
      <xdr:colOff>0</xdr:colOff>
      <xdr:row>14</xdr:row>
      <xdr:rowOff>0</xdr:rowOff>
    </xdr:to>
    <xdr:sp macro="" textlink="">
      <xdr:nvSpPr>
        <xdr:cNvPr id="41" name="Oval 47">
          <a:extLst>
            <a:ext uri="{FF2B5EF4-FFF2-40B4-BE49-F238E27FC236}">
              <a16:creationId xmlns:a16="http://schemas.microsoft.com/office/drawing/2014/main" id="{00000000-0008-0000-0600-000029000000}"/>
            </a:ext>
          </a:extLst>
        </xdr:cNvPr>
        <xdr:cNvSpPr>
          <a:spLocks noChangeArrowheads="1"/>
        </xdr:cNvSpPr>
      </xdr:nvSpPr>
      <xdr:spPr bwMode="auto">
        <a:xfrm>
          <a:off x="10991850" y="13963650"/>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13</xdr:row>
      <xdr:rowOff>0</xdr:rowOff>
    </xdr:from>
    <xdr:to>
      <xdr:col>6</xdr:col>
      <xdr:colOff>0</xdr:colOff>
      <xdr:row>13</xdr:row>
      <xdr:rowOff>0</xdr:rowOff>
    </xdr:to>
    <xdr:sp macro="" textlink="">
      <xdr:nvSpPr>
        <xdr:cNvPr id="42" name="Oval 48">
          <a:extLst>
            <a:ext uri="{FF2B5EF4-FFF2-40B4-BE49-F238E27FC236}">
              <a16:creationId xmlns:a16="http://schemas.microsoft.com/office/drawing/2014/main" id="{00000000-0008-0000-0600-00002A000000}"/>
            </a:ext>
          </a:extLst>
        </xdr:cNvPr>
        <xdr:cNvSpPr>
          <a:spLocks noChangeArrowheads="1"/>
        </xdr:cNvSpPr>
      </xdr:nvSpPr>
      <xdr:spPr bwMode="auto">
        <a:xfrm>
          <a:off x="10991850" y="13458825"/>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13</xdr:row>
      <xdr:rowOff>0</xdr:rowOff>
    </xdr:from>
    <xdr:to>
      <xdr:col>6</xdr:col>
      <xdr:colOff>0</xdr:colOff>
      <xdr:row>13</xdr:row>
      <xdr:rowOff>0</xdr:rowOff>
    </xdr:to>
    <xdr:sp macro="" textlink="">
      <xdr:nvSpPr>
        <xdr:cNvPr id="43" name="Oval 49">
          <a:extLst>
            <a:ext uri="{FF2B5EF4-FFF2-40B4-BE49-F238E27FC236}">
              <a16:creationId xmlns:a16="http://schemas.microsoft.com/office/drawing/2014/main" id="{00000000-0008-0000-0600-00002B000000}"/>
            </a:ext>
          </a:extLst>
        </xdr:cNvPr>
        <xdr:cNvSpPr>
          <a:spLocks noChangeArrowheads="1"/>
        </xdr:cNvSpPr>
      </xdr:nvSpPr>
      <xdr:spPr bwMode="auto">
        <a:xfrm>
          <a:off x="10991850" y="13458825"/>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14</xdr:row>
      <xdr:rowOff>0</xdr:rowOff>
    </xdr:from>
    <xdr:to>
      <xdr:col>6</xdr:col>
      <xdr:colOff>0</xdr:colOff>
      <xdr:row>14</xdr:row>
      <xdr:rowOff>0</xdr:rowOff>
    </xdr:to>
    <xdr:sp macro="" textlink="">
      <xdr:nvSpPr>
        <xdr:cNvPr id="44" name="Oval 53">
          <a:extLst>
            <a:ext uri="{FF2B5EF4-FFF2-40B4-BE49-F238E27FC236}">
              <a16:creationId xmlns:a16="http://schemas.microsoft.com/office/drawing/2014/main" id="{00000000-0008-0000-0600-00002C000000}"/>
            </a:ext>
          </a:extLst>
        </xdr:cNvPr>
        <xdr:cNvSpPr>
          <a:spLocks noChangeArrowheads="1"/>
        </xdr:cNvSpPr>
      </xdr:nvSpPr>
      <xdr:spPr bwMode="auto">
        <a:xfrm>
          <a:off x="10991850" y="13963650"/>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14</xdr:row>
      <xdr:rowOff>0</xdr:rowOff>
    </xdr:from>
    <xdr:to>
      <xdr:col>6</xdr:col>
      <xdr:colOff>0</xdr:colOff>
      <xdr:row>14</xdr:row>
      <xdr:rowOff>0</xdr:rowOff>
    </xdr:to>
    <xdr:sp macro="" textlink="">
      <xdr:nvSpPr>
        <xdr:cNvPr id="45" name="Oval 54">
          <a:extLst>
            <a:ext uri="{FF2B5EF4-FFF2-40B4-BE49-F238E27FC236}">
              <a16:creationId xmlns:a16="http://schemas.microsoft.com/office/drawing/2014/main" id="{00000000-0008-0000-0600-00002D000000}"/>
            </a:ext>
          </a:extLst>
        </xdr:cNvPr>
        <xdr:cNvSpPr>
          <a:spLocks noChangeArrowheads="1"/>
        </xdr:cNvSpPr>
      </xdr:nvSpPr>
      <xdr:spPr bwMode="auto">
        <a:xfrm>
          <a:off x="10991850" y="13963650"/>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13</xdr:row>
      <xdr:rowOff>0</xdr:rowOff>
    </xdr:from>
    <xdr:to>
      <xdr:col>6</xdr:col>
      <xdr:colOff>0</xdr:colOff>
      <xdr:row>13</xdr:row>
      <xdr:rowOff>0</xdr:rowOff>
    </xdr:to>
    <xdr:sp macro="" textlink="">
      <xdr:nvSpPr>
        <xdr:cNvPr id="46" name="Oval 55">
          <a:extLst>
            <a:ext uri="{FF2B5EF4-FFF2-40B4-BE49-F238E27FC236}">
              <a16:creationId xmlns:a16="http://schemas.microsoft.com/office/drawing/2014/main" id="{00000000-0008-0000-0600-00002E000000}"/>
            </a:ext>
          </a:extLst>
        </xdr:cNvPr>
        <xdr:cNvSpPr>
          <a:spLocks noChangeArrowheads="1"/>
        </xdr:cNvSpPr>
      </xdr:nvSpPr>
      <xdr:spPr bwMode="auto">
        <a:xfrm>
          <a:off x="10991850" y="13458825"/>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13</xdr:row>
      <xdr:rowOff>0</xdr:rowOff>
    </xdr:from>
    <xdr:to>
      <xdr:col>6</xdr:col>
      <xdr:colOff>0</xdr:colOff>
      <xdr:row>13</xdr:row>
      <xdr:rowOff>0</xdr:rowOff>
    </xdr:to>
    <xdr:sp macro="" textlink="">
      <xdr:nvSpPr>
        <xdr:cNvPr id="47" name="Oval 56">
          <a:extLst>
            <a:ext uri="{FF2B5EF4-FFF2-40B4-BE49-F238E27FC236}">
              <a16:creationId xmlns:a16="http://schemas.microsoft.com/office/drawing/2014/main" id="{00000000-0008-0000-0600-00002F000000}"/>
            </a:ext>
          </a:extLst>
        </xdr:cNvPr>
        <xdr:cNvSpPr>
          <a:spLocks noChangeArrowheads="1"/>
        </xdr:cNvSpPr>
      </xdr:nvSpPr>
      <xdr:spPr bwMode="auto">
        <a:xfrm>
          <a:off x="10991850" y="13458825"/>
          <a:ext cx="0" cy="0"/>
        </a:xfrm>
        <a:prstGeom prst="ellipse">
          <a:avLst/>
        </a:prstGeom>
        <a:solidFill>
          <a:srgbClr val="000000"/>
        </a:solidFill>
        <a:ln w="17145">
          <a:solidFill>
            <a:srgbClr val="000000"/>
          </a:solidFill>
          <a:round/>
          <a:headEnd/>
          <a:tailEnd/>
        </a:ln>
      </xdr:spPr>
    </xdr:sp>
    <xdr:clientData/>
  </xdr:twoCellAnchor>
  <xdr:twoCellAnchor>
    <xdr:from>
      <xdr:col>3</xdr:col>
      <xdr:colOff>3507278</xdr:colOff>
      <xdr:row>9</xdr:row>
      <xdr:rowOff>2317172</xdr:rowOff>
    </xdr:from>
    <xdr:to>
      <xdr:col>3</xdr:col>
      <xdr:colOff>5678978</xdr:colOff>
      <xdr:row>9</xdr:row>
      <xdr:rowOff>3024817</xdr:rowOff>
    </xdr:to>
    <xdr:sp macro="" textlink="">
      <xdr:nvSpPr>
        <xdr:cNvPr id="48" name="Text Box 60">
          <a:extLst>
            <a:ext uri="{FF2B5EF4-FFF2-40B4-BE49-F238E27FC236}">
              <a16:creationId xmlns:a16="http://schemas.microsoft.com/office/drawing/2014/main" id="{00000000-0008-0000-0600-000030000000}"/>
            </a:ext>
          </a:extLst>
        </xdr:cNvPr>
        <xdr:cNvSpPr txBox="1">
          <a:spLocks noChangeArrowheads="1"/>
        </xdr:cNvSpPr>
      </xdr:nvSpPr>
      <xdr:spPr bwMode="auto">
        <a:xfrm>
          <a:off x="6650528" y="9479972"/>
          <a:ext cx="2171700" cy="707645"/>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Program</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49" name="Text Box 61">
          <a:extLst>
            <a:ext uri="{FF2B5EF4-FFF2-40B4-BE49-F238E27FC236}">
              <a16:creationId xmlns:a16="http://schemas.microsoft.com/office/drawing/2014/main" id="{00000000-0008-0000-0600-000031000000}"/>
            </a:ext>
          </a:extLst>
        </xdr:cNvPr>
        <xdr:cNvSpPr txBox="1">
          <a:spLocks noChangeArrowheads="1"/>
        </xdr:cNvSpPr>
      </xdr:nvSpPr>
      <xdr:spPr bwMode="auto">
        <a:xfrm>
          <a:off x="8896350" y="13458825"/>
          <a:ext cx="0" cy="0"/>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Initiatives/</a:t>
          </a:r>
        </a:p>
        <a:p>
          <a:pPr algn="ctr" rtl="0">
            <a:defRPr sz="1000"/>
          </a:pPr>
          <a:r>
            <a:rPr lang="en-CA" sz="2000" b="1" i="0" u="none" strike="noStrike" baseline="0">
              <a:solidFill>
                <a:srgbClr val="000000"/>
              </a:solidFill>
              <a:latin typeface="Times New Roman"/>
              <a:cs typeface="Times New Roman"/>
            </a:rPr>
            <a:t>Hoshins</a:t>
          </a:r>
        </a:p>
        <a:p>
          <a:pPr algn="ctr" rtl="0">
            <a:defRPr sz="1000"/>
          </a:pPr>
          <a:endParaRPr lang="en-CA" sz="2000" b="1" i="0" u="none" strike="noStrike" baseline="0">
            <a:solidFill>
              <a:srgbClr val="000000"/>
            </a:solidFill>
            <a:latin typeface="Times New Roman"/>
            <a:cs typeface="Times New Roman"/>
          </a:endParaRPr>
        </a:p>
      </xdr:txBody>
    </xdr:sp>
    <xdr:clientData/>
  </xdr:twoCellAnchor>
  <xdr:twoCellAnchor>
    <xdr:from>
      <xdr:col>4</xdr:col>
      <xdr:colOff>0</xdr:colOff>
      <xdr:row>13</xdr:row>
      <xdr:rowOff>0</xdr:rowOff>
    </xdr:from>
    <xdr:to>
      <xdr:col>4</xdr:col>
      <xdr:colOff>0</xdr:colOff>
      <xdr:row>13</xdr:row>
      <xdr:rowOff>0</xdr:rowOff>
    </xdr:to>
    <xdr:sp macro="" textlink="">
      <xdr:nvSpPr>
        <xdr:cNvPr id="50" name="Text Box 62">
          <a:extLst>
            <a:ext uri="{FF2B5EF4-FFF2-40B4-BE49-F238E27FC236}">
              <a16:creationId xmlns:a16="http://schemas.microsoft.com/office/drawing/2014/main" id="{00000000-0008-0000-0600-000032000000}"/>
            </a:ext>
          </a:extLst>
        </xdr:cNvPr>
        <xdr:cNvSpPr txBox="1">
          <a:spLocks noChangeArrowheads="1"/>
        </xdr:cNvSpPr>
      </xdr:nvSpPr>
      <xdr:spPr bwMode="auto">
        <a:xfrm>
          <a:off x="8896350" y="13458825"/>
          <a:ext cx="0" cy="0"/>
        </a:xfrm>
        <a:prstGeom prst="rect">
          <a:avLst/>
        </a:prstGeom>
        <a:noFill/>
        <a:ln w="1">
          <a:noFill/>
          <a:miter lim="800000"/>
          <a:headEnd/>
          <a:tailEnd/>
        </a:ln>
      </xdr:spPr>
      <xdr:txBody>
        <a:bodyPr vertOverflow="clip" wrap="square" lIns="45720" tIns="36576" rIns="0" bIns="0" anchor="t" upright="1"/>
        <a:lstStyle/>
        <a:p>
          <a:pPr algn="l" rtl="0">
            <a:defRPr sz="1000"/>
          </a:pPr>
          <a:r>
            <a:rPr lang="en-CA" sz="2000" b="1" i="0" u="none" strike="noStrike" baseline="0">
              <a:solidFill>
                <a:srgbClr val="000000"/>
              </a:solidFill>
              <a:latin typeface="Times New Roman"/>
              <a:cs typeface="Times New Roman"/>
            </a:rPr>
            <a:t>Goals</a:t>
          </a:r>
        </a:p>
      </xdr:txBody>
    </xdr:sp>
    <xdr:clientData/>
  </xdr:twoCellAnchor>
  <xdr:twoCellAnchor>
    <xdr:from>
      <xdr:col>4</xdr:col>
      <xdr:colOff>0</xdr:colOff>
      <xdr:row>13</xdr:row>
      <xdr:rowOff>0</xdr:rowOff>
    </xdr:from>
    <xdr:to>
      <xdr:col>4</xdr:col>
      <xdr:colOff>0</xdr:colOff>
      <xdr:row>13</xdr:row>
      <xdr:rowOff>0</xdr:rowOff>
    </xdr:to>
    <xdr:sp macro="" textlink="">
      <xdr:nvSpPr>
        <xdr:cNvPr id="51" name="Text Box 63">
          <a:extLst>
            <a:ext uri="{FF2B5EF4-FFF2-40B4-BE49-F238E27FC236}">
              <a16:creationId xmlns:a16="http://schemas.microsoft.com/office/drawing/2014/main" id="{00000000-0008-0000-0600-000033000000}"/>
            </a:ext>
          </a:extLst>
        </xdr:cNvPr>
        <xdr:cNvSpPr txBox="1">
          <a:spLocks noChangeArrowheads="1"/>
        </xdr:cNvSpPr>
      </xdr:nvSpPr>
      <xdr:spPr bwMode="auto">
        <a:xfrm>
          <a:off x="8896350" y="13458825"/>
          <a:ext cx="0" cy="0"/>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Improvement</a:t>
          </a:r>
        </a:p>
        <a:p>
          <a:pPr algn="ctr" rtl="0">
            <a:defRPr sz="1000"/>
          </a:pPr>
          <a:r>
            <a:rPr lang="en-CA" sz="2000" b="1" i="0" u="none" strike="noStrike" baseline="0">
              <a:solidFill>
                <a:srgbClr val="000000"/>
              </a:solidFill>
              <a:latin typeface="Times New Roman"/>
              <a:cs typeface="Times New Roman"/>
            </a:rPr>
            <a:t>Targets</a:t>
          </a:r>
        </a:p>
      </xdr:txBody>
    </xdr:sp>
    <xdr:clientData/>
  </xdr:twoCellAnchor>
  <xdr:twoCellAnchor>
    <xdr:from>
      <xdr:col>6</xdr:col>
      <xdr:colOff>0</xdr:colOff>
      <xdr:row>14</xdr:row>
      <xdr:rowOff>0</xdr:rowOff>
    </xdr:from>
    <xdr:to>
      <xdr:col>6</xdr:col>
      <xdr:colOff>0</xdr:colOff>
      <xdr:row>14</xdr:row>
      <xdr:rowOff>0</xdr:rowOff>
    </xdr:to>
    <xdr:sp macro="" textlink="">
      <xdr:nvSpPr>
        <xdr:cNvPr id="52" name="Oval 64">
          <a:extLst>
            <a:ext uri="{FF2B5EF4-FFF2-40B4-BE49-F238E27FC236}">
              <a16:creationId xmlns:a16="http://schemas.microsoft.com/office/drawing/2014/main" id="{00000000-0008-0000-0600-000034000000}"/>
            </a:ext>
          </a:extLst>
        </xdr:cNvPr>
        <xdr:cNvSpPr>
          <a:spLocks noChangeArrowheads="1"/>
        </xdr:cNvSpPr>
      </xdr:nvSpPr>
      <xdr:spPr bwMode="auto">
        <a:xfrm>
          <a:off x="10991850" y="13963650"/>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14</xdr:row>
      <xdr:rowOff>0</xdr:rowOff>
    </xdr:from>
    <xdr:to>
      <xdr:col>6</xdr:col>
      <xdr:colOff>0</xdr:colOff>
      <xdr:row>14</xdr:row>
      <xdr:rowOff>0</xdr:rowOff>
    </xdr:to>
    <xdr:sp macro="" textlink="">
      <xdr:nvSpPr>
        <xdr:cNvPr id="53" name="Oval 65">
          <a:extLst>
            <a:ext uri="{FF2B5EF4-FFF2-40B4-BE49-F238E27FC236}">
              <a16:creationId xmlns:a16="http://schemas.microsoft.com/office/drawing/2014/main" id="{00000000-0008-0000-0600-000035000000}"/>
            </a:ext>
          </a:extLst>
        </xdr:cNvPr>
        <xdr:cNvSpPr>
          <a:spLocks noChangeArrowheads="1"/>
        </xdr:cNvSpPr>
      </xdr:nvSpPr>
      <xdr:spPr bwMode="auto">
        <a:xfrm>
          <a:off x="10991850" y="13963650"/>
          <a:ext cx="0" cy="0"/>
        </a:xfrm>
        <a:prstGeom prst="ellipse">
          <a:avLst/>
        </a:prstGeom>
        <a:solidFill>
          <a:srgbClr val="000000"/>
        </a:solidFill>
        <a:ln w="17145">
          <a:solidFill>
            <a:srgbClr val="000000"/>
          </a:solidFill>
          <a:round/>
          <a:headEnd/>
          <a:tailEnd/>
        </a:ln>
      </xdr:spPr>
    </xdr:sp>
    <xdr:clientData/>
  </xdr:twoCellAnchor>
  <xdr:twoCellAnchor>
    <xdr:from>
      <xdr:col>4</xdr:col>
      <xdr:colOff>0</xdr:colOff>
      <xdr:row>13</xdr:row>
      <xdr:rowOff>0</xdr:rowOff>
    </xdr:from>
    <xdr:to>
      <xdr:col>4</xdr:col>
      <xdr:colOff>0</xdr:colOff>
      <xdr:row>13</xdr:row>
      <xdr:rowOff>0</xdr:rowOff>
    </xdr:to>
    <xdr:sp macro="" textlink="">
      <xdr:nvSpPr>
        <xdr:cNvPr id="54" name="Text Box 66">
          <a:extLst>
            <a:ext uri="{FF2B5EF4-FFF2-40B4-BE49-F238E27FC236}">
              <a16:creationId xmlns:a16="http://schemas.microsoft.com/office/drawing/2014/main" id="{00000000-0008-0000-0600-000036000000}"/>
            </a:ext>
          </a:extLst>
        </xdr:cNvPr>
        <xdr:cNvSpPr txBox="1">
          <a:spLocks noChangeArrowheads="1"/>
        </xdr:cNvSpPr>
      </xdr:nvSpPr>
      <xdr:spPr bwMode="auto">
        <a:xfrm>
          <a:off x="8896350" y="13458825"/>
          <a:ext cx="0" cy="0"/>
        </a:xfrm>
        <a:prstGeom prst="rect">
          <a:avLst/>
        </a:prstGeom>
        <a:noFill/>
        <a:ln w="9525">
          <a:noFill/>
          <a:miter lim="800000"/>
          <a:headEnd/>
          <a:tailEnd/>
        </a:ln>
      </xdr:spPr>
      <xdr:txBody>
        <a:bodyPr vertOverflow="clip" wrap="square" lIns="45720" tIns="36576" rIns="0" bIns="0" anchor="t" upright="1"/>
        <a:lstStyle/>
        <a:p>
          <a:pPr algn="l" rtl="0">
            <a:defRPr sz="1000"/>
          </a:pPr>
          <a:r>
            <a:rPr lang="en-CA" sz="2000" b="1" i="0" u="none" strike="noStrike" baseline="0">
              <a:solidFill>
                <a:srgbClr val="000000"/>
              </a:solidFill>
              <a:latin typeface="Times New Roman"/>
              <a:cs typeface="Times New Roman"/>
            </a:rPr>
            <a:t>Team</a:t>
          </a:r>
        </a:p>
        <a:p>
          <a:pPr algn="l" rtl="0">
            <a:defRPr sz="1000"/>
          </a:pPr>
          <a:r>
            <a:rPr lang="en-CA" sz="2000" b="1" i="0" u="none" strike="noStrike" baseline="0">
              <a:solidFill>
                <a:srgbClr val="000000"/>
              </a:solidFill>
              <a:latin typeface="Times New Roman"/>
              <a:cs typeface="Times New Roman"/>
            </a:rPr>
            <a:t>Support</a:t>
          </a:r>
        </a:p>
      </xdr:txBody>
    </xdr:sp>
    <xdr:clientData/>
  </xdr:twoCellAnchor>
  <xdr:twoCellAnchor>
    <xdr:from>
      <xdr:col>4</xdr:col>
      <xdr:colOff>0</xdr:colOff>
      <xdr:row>13</xdr:row>
      <xdr:rowOff>0</xdr:rowOff>
    </xdr:from>
    <xdr:to>
      <xdr:col>4</xdr:col>
      <xdr:colOff>0</xdr:colOff>
      <xdr:row>13</xdr:row>
      <xdr:rowOff>0</xdr:rowOff>
    </xdr:to>
    <xdr:grpSp>
      <xdr:nvGrpSpPr>
        <xdr:cNvPr id="55" name="Group 67">
          <a:extLst>
            <a:ext uri="{FF2B5EF4-FFF2-40B4-BE49-F238E27FC236}">
              <a16:creationId xmlns:a16="http://schemas.microsoft.com/office/drawing/2014/main" id="{00000000-0008-0000-0600-000037000000}"/>
            </a:ext>
          </a:extLst>
        </xdr:cNvPr>
        <xdr:cNvGrpSpPr>
          <a:grpSpLocks/>
        </xdr:cNvGrpSpPr>
      </xdr:nvGrpSpPr>
      <xdr:grpSpPr bwMode="auto">
        <a:xfrm>
          <a:off x="9563100" y="12954000"/>
          <a:ext cx="0" cy="0"/>
          <a:chOff x="438" y="763"/>
          <a:chExt cx="146" cy="48"/>
        </a:xfrm>
      </xdr:grpSpPr>
      <xdr:sp macro="" textlink="">
        <xdr:nvSpPr>
          <xdr:cNvPr id="56" name="Text Box 68">
            <a:extLst>
              <a:ext uri="{FF2B5EF4-FFF2-40B4-BE49-F238E27FC236}">
                <a16:creationId xmlns:a16="http://schemas.microsoft.com/office/drawing/2014/main" id="{00000000-0008-0000-0600-000038000000}"/>
              </a:ext>
            </a:extLst>
          </xdr:cNvPr>
          <xdr:cNvSpPr txBox="1">
            <a:spLocks noChangeArrowheads="1"/>
          </xdr:cNvSpPr>
        </xdr:nvSpPr>
        <xdr:spPr bwMode="auto">
          <a:xfrm>
            <a:off x="438" y="763"/>
            <a:ext cx="146" cy="48"/>
          </a:xfrm>
          <a:prstGeom prst="rect">
            <a:avLst/>
          </a:prstGeom>
          <a:solidFill>
            <a:srgbClr val="FFFFFF"/>
          </a:solidFill>
          <a:ln w="9525">
            <a:solidFill>
              <a:srgbClr val="000000"/>
            </a:solidFill>
            <a:miter lim="800000"/>
            <a:headEnd/>
            <a:tailEnd/>
          </a:ln>
        </xdr:spPr>
      </xdr:sp>
      <xdr:sp macro="" textlink="">
        <xdr:nvSpPr>
          <xdr:cNvPr id="57" name="AutoShape 69">
            <a:extLst>
              <a:ext uri="{FF2B5EF4-FFF2-40B4-BE49-F238E27FC236}">
                <a16:creationId xmlns:a16="http://schemas.microsoft.com/office/drawing/2014/main" id="{00000000-0008-0000-0600-000039000000}"/>
              </a:ext>
            </a:extLst>
          </xdr:cNvPr>
          <xdr:cNvSpPr>
            <a:spLocks noChangeArrowheads="1"/>
          </xdr:cNvSpPr>
        </xdr:nvSpPr>
        <xdr:spPr bwMode="auto">
          <a:xfrm>
            <a:off x="477" y="771"/>
            <a:ext cx="78" cy="28"/>
          </a:xfrm>
          <a:prstGeom prst="rightArrow">
            <a:avLst>
              <a:gd name="adj1" fmla="val 50000"/>
              <a:gd name="adj2" fmla="val 69643"/>
            </a:avLst>
          </a:prstGeom>
          <a:solidFill>
            <a:srgbClr val="FFFFFF"/>
          </a:solidFill>
          <a:ln w="9525">
            <a:solidFill>
              <a:srgbClr val="000000"/>
            </a:solidFill>
            <a:miter lim="800000"/>
            <a:headEnd/>
            <a:tailEnd/>
          </a:ln>
        </xdr:spPr>
      </xdr:sp>
    </xdr:grpSp>
    <xdr:clientData/>
  </xdr:twoCellAnchor>
  <xdr:twoCellAnchor>
    <xdr:from>
      <xdr:col>6</xdr:col>
      <xdr:colOff>0</xdr:colOff>
      <xdr:row>13</xdr:row>
      <xdr:rowOff>0</xdr:rowOff>
    </xdr:from>
    <xdr:to>
      <xdr:col>6</xdr:col>
      <xdr:colOff>0</xdr:colOff>
      <xdr:row>13</xdr:row>
      <xdr:rowOff>0</xdr:rowOff>
    </xdr:to>
    <xdr:sp macro="" textlink="">
      <xdr:nvSpPr>
        <xdr:cNvPr id="58" name="Oval 70">
          <a:extLst>
            <a:ext uri="{FF2B5EF4-FFF2-40B4-BE49-F238E27FC236}">
              <a16:creationId xmlns:a16="http://schemas.microsoft.com/office/drawing/2014/main" id="{00000000-0008-0000-0600-00003A000000}"/>
            </a:ext>
          </a:extLst>
        </xdr:cNvPr>
        <xdr:cNvSpPr>
          <a:spLocks noChangeArrowheads="1"/>
        </xdr:cNvSpPr>
      </xdr:nvSpPr>
      <xdr:spPr bwMode="auto">
        <a:xfrm>
          <a:off x="10991850" y="13458825"/>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13</xdr:row>
      <xdr:rowOff>0</xdr:rowOff>
    </xdr:from>
    <xdr:to>
      <xdr:col>6</xdr:col>
      <xdr:colOff>0</xdr:colOff>
      <xdr:row>13</xdr:row>
      <xdr:rowOff>0</xdr:rowOff>
    </xdr:to>
    <xdr:sp macro="" textlink="">
      <xdr:nvSpPr>
        <xdr:cNvPr id="59" name="Oval 71">
          <a:extLst>
            <a:ext uri="{FF2B5EF4-FFF2-40B4-BE49-F238E27FC236}">
              <a16:creationId xmlns:a16="http://schemas.microsoft.com/office/drawing/2014/main" id="{00000000-0008-0000-0600-00003B000000}"/>
            </a:ext>
          </a:extLst>
        </xdr:cNvPr>
        <xdr:cNvSpPr>
          <a:spLocks noChangeArrowheads="1"/>
        </xdr:cNvSpPr>
      </xdr:nvSpPr>
      <xdr:spPr bwMode="auto">
        <a:xfrm>
          <a:off x="10991850" y="13458825"/>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14</xdr:row>
      <xdr:rowOff>0</xdr:rowOff>
    </xdr:from>
    <xdr:to>
      <xdr:col>6</xdr:col>
      <xdr:colOff>0</xdr:colOff>
      <xdr:row>14</xdr:row>
      <xdr:rowOff>0</xdr:rowOff>
    </xdr:to>
    <xdr:sp macro="" textlink="">
      <xdr:nvSpPr>
        <xdr:cNvPr id="60" name="Oval 75">
          <a:extLst>
            <a:ext uri="{FF2B5EF4-FFF2-40B4-BE49-F238E27FC236}">
              <a16:creationId xmlns:a16="http://schemas.microsoft.com/office/drawing/2014/main" id="{00000000-0008-0000-0600-00003C000000}"/>
            </a:ext>
          </a:extLst>
        </xdr:cNvPr>
        <xdr:cNvSpPr>
          <a:spLocks noChangeArrowheads="1"/>
        </xdr:cNvSpPr>
      </xdr:nvSpPr>
      <xdr:spPr bwMode="auto">
        <a:xfrm>
          <a:off x="10991850" y="13963650"/>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14</xdr:row>
      <xdr:rowOff>0</xdr:rowOff>
    </xdr:from>
    <xdr:to>
      <xdr:col>6</xdr:col>
      <xdr:colOff>0</xdr:colOff>
      <xdr:row>14</xdr:row>
      <xdr:rowOff>0</xdr:rowOff>
    </xdr:to>
    <xdr:sp macro="" textlink="">
      <xdr:nvSpPr>
        <xdr:cNvPr id="61" name="Oval 76">
          <a:extLst>
            <a:ext uri="{FF2B5EF4-FFF2-40B4-BE49-F238E27FC236}">
              <a16:creationId xmlns:a16="http://schemas.microsoft.com/office/drawing/2014/main" id="{00000000-0008-0000-0600-00003D000000}"/>
            </a:ext>
          </a:extLst>
        </xdr:cNvPr>
        <xdr:cNvSpPr>
          <a:spLocks noChangeArrowheads="1"/>
        </xdr:cNvSpPr>
      </xdr:nvSpPr>
      <xdr:spPr bwMode="auto">
        <a:xfrm>
          <a:off x="10991850" y="13963650"/>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13</xdr:row>
      <xdr:rowOff>0</xdr:rowOff>
    </xdr:from>
    <xdr:to>
      <xdr:col>6</xdr:col>
      <xdr:colOff>0</xdr:colOff>
      <xdr:row>13</xdr:row>
      <xdr:rowOff>0</xdr:rowOff>
    </xdr:to>
    <xdr:sp macro="" textlink="">
      <xdr:nvSpPr>
        <xdr:cNvPr id="62" name="Oval 77">
          <a:extLst>
            <a:ext uri="{FF2B5EF4-FFF2-40B4-BE49-F238E27FC236}">
              <a16:creationId xmlns:a16="http://schemas.microsoft.com/office/drawing/2014/main" id="{00000000-0008-0000-0600-00003E000000}"/>
            </a:ext>
          </a:extLst>
        </xdr:cNvPr>
        <xdr:cNvSpPr>
          <a:spLocks noChangeArrowheads="1"/>
        </xdr:cNvSpPr>
      </xdr:nvSpPr>
      <xdr:spPr bwMode="auto">
        <a:xfrm>
          <a:off x="10991850" y="13458825"/>
          <a:ext cx="0" cy="0"/>
        </a:xfrm>
        <a:prstGeom prst="ellipse">
          <a:avLst/>
        </a:prstGeom>
        <a:solidFill>
          <a:srgbClr val="000000"/>
        </a:solidFill>
        <a:ln w="17145">
          <a:solidFill>
            <a:srgbClr val="000000"/>
          </a:solidFill>
          <a:round/>
          <a:headEnd/>
          <a:tailEnd/>
        </a:ln>
      </xdr:spPr>
    </xdr:sp>
    <xdr:clientData/>
  </xdr:twoCellAnchor>
  <xdr:twoCellAnchor>
    <xdr:from>
      <xdr:col>6</xdr:col>
      <xdr:colOff>0</xdr:colOff>
      <xdr:row>13</xdr:row>
      <xdr:rowOff>0</xdr:rowOff>
    </xdr:from>
    <xdr:to>
      <xdr:col>6</xdr:col>
      <xdr:colOff>0</xdr:colOff>
      <xdr:row>13</xdr:row>
      <xdr:rowOff>0</xdr:rowOff>
    </xdr:to>
    <xdr:sp macro="" textlink="">
      <xdr:nvSpPr>
        <xdr:cNvPr id="63" name="Oval 78">
          <a:extLst>
            <a:ext uri="{FF2B5EF4-FFF2-40B4-BE49-F238E27FC236}">
              <a16:creationId xmlns:a16="http://schemas.microsoft.com/office/drawing/2014/main" id="{00000000-0008-0000-0600-00003F000000}"/>
            </a:ext>
          </a:extLst>
        </xdr:cNvPr>
        <xdr:cNvSpPr>
          <a:spLocks noChangeArrowheads="1"/>
        </xdr:cNvSpPr>
      </xdr:nvSpPr>
      <xdr:spPr bwMode="auto">
        <a:xfrm>
          <a:off x="10991850" y="13458825"/>
          <a:ext cx="0" cy="0"/>
        </a:xfrm>
        <a:prstGeom prst="ellipse">
          <a:avLst/>
        </a:prstGeom>
        <a:solidFill>
          <a:srgbClr val="000000"/>
        </a:solidFill>
        <a:ln w="17145">
          <a:solidFill>
            <a:srgbClr val="000000"/>
          </a:solidFill>
          <a:round/>
          <a:headEnd/>
          <a:tailEnd/>
        </a:ln>
      </xdr:spPr>
    </xdr:sp>
    <xdr:clientData/>
  </xdr:twoCellAnchor>
  <xdr:twoCellAnchor>
    <xdr:from>
      <xdr:col>17</xdr:col>
      <xdr:colOff>30480</xdr:colOff>
      <xdr:row>9</xdr:row>
      <xdr:rowOff>41910</xdr:rowOff>
    </xdr:from>
    <xdr:to>
      <xdr:col>18</xdr:col>
      <xdr:colOff>0</xdr:colOff>
      <xdr:row>10</xdr:row>
      <xdr:rowOff>0</xdr:rowOff>
    </xdr:to>
    <xdr:sp macro="" textlink="">
      <xdr:nvSpPr>
        <xdr:cNvPr id="64" name="Line 17">
          <a:extLst>
            <a:ext uri="{FF2B5EF4-FFF2-40B4-BE49-F238E27FC236}">
              <a16:creationId xmlns:a16="http://schemas.microsoft.com/office/drawing/2014/main" id="{00000000-0008-0000-0600-000040000000}"/>
            </a:ext>
          </a:extLst>
        </xdr:cNvPr>
        <xdr:cNvSpPr>
          <a:spLocks noChangeShapeType="1"/>
        </xdr:cNvSpPr>
      </xdr:nvSpPr>
      <xdr:spPr bwMode="auto">
        <a:xfrm>
          <a:off x="21671280" y="7204710"/>
          <a:ext cx="5265420" cy="5149215"/>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0</xdr:colOff>
      <xdr:row>9</xdr:row>
      <xdr:rowOff>41910</xdr:rowOff>
    </xdr:from>
    <xdr:to>
      <xdr:col>18</xdr:col>
      <xdr:colOff>0</xdr:colOff>
      <xdr:row>9</xdr:row>
      <xdr:rowOff>5090160</xdr:rowOff>
    </xdr:to>
    <xdr:sp macro="" textlink="">
      <xdr:nvSpPr>
        <xdr:cNvPr id="65" name="Line 18">
          <a:extLst>
            <a:ext uri="{FF2B5EF4-FFF2-40B4-BE49-F238E27FC236}">
              <a16:creationId xmlns:a16="http://schemas.microsoft.com/office/drawing/2014/main" id="{00000000-0008-0000-0600-000041000000}"/>
            </a:ext>
          </a:extLst>
        </xdr:cNvPr>
        <xdr:cNvSpPr>
          <a:spLocks noChangeShapeType="1"/>
        </xdr:cNvSpPr>
      </xdr:nvSpPr>
      <xdr:spPr bwMode="auto">
        <a:xfrm flipV="1">
          <a:off x="21640800" y="7204710"/>
          <a:ext cx="5295900" cy="50482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17</xdr:col>
      <xdr:colOff>1480185</xdr:colOff>
      <xdr:row>9</xdr:row>
      <xdr:rowOff>652462</xdr:rowOff>
    </xdr:from>
    <xdr:to>
      <xdr:col>17</xdr:col>
      <xdr:colOff>3971925</xdr:colOff>
      <xdr:row>9</xdr:row>
      <xdr:rowOff>1385887</xdr:rowOff>
    </xdr:to>
    <xdr:sp macro="" textlink="">
      <xdr:nvSpPr>
        <xdr:cNvPr id="66" name="Text Box 19">
          <a:extLst>
            <a:ext uri="{FF2B5EF4-FFF2-40B4-BE49-F238E27FC236}">
              <a16:creationId xmlns:a16="http://schemas.microsoft.com/office/drawing/2014/main" id="{00000000-0008-0000-0600-000042000000}"/>
            </a:ext>
          </a:extLst>
        </xdr:cNvPr>
        <xdr:cNvSpPr txBox="1">
          <a:spLocks noChangeArrowheads="1"/>
        </xdr:cNvSpPr>
      </xdr:nvSpPr>
      <xdr:spPr bwMode="auto">
        <a:xfrm>
          <a:off x="23120985" y="7815262"/>
          <a:ext cx="2491740" cy="733425"/>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Program</a:t>
          </a:r>
        </a:p>
      </xdr:txBody>
    </xdr:sp>
    <xdr:clientData/>
  </xdr:twoCellAnchor>
  <xdr:twoCellAnchor>
    <xdr:from>
      <xdr:col>16</xdr:col>
      <xdr:colOff>746760</xdr:colOff>
      <xdr:row>9</xdr:row>
      <xdr:rowOff>2391727</xdr:rowOff>
    </xdr:from>
    <xdr:to>
      <xdr:col>17</xdr:col>
      <xdr:colOff>2348814</xdr:colOff>
      <xdr:row>9</xdr:row>
      <xdr:rowOff>3649027</xdr:rowOff>
    </xdr:to>
    <xdr:sp macro="" textlink="">
      <xdr:nvSpPr>
        <xdr:cNvPr id="67" name="Text Box 20">
          <a:extLst>
            <a:ext uri="{FF2B5EF4-FFF2-40B4-BE49-F238E27FC236}">
              <a16:creationId xmlns:a16="http://schemas.microsoft.com/office/drawing/2014/main" id="{00000000-0008-0000-0600-000043000000}"/>
            </a:ext>
          </a:extLst>
        </xdr:cNvPr>
        <xdr:cNvSpPr txBox="1">
          <a:spLocks noChangeArrowheads="1"/>
        </xdr:cNvSpPr>
      </xdr:nvSpPr>
      <xdr:spPr bwMode="auto">
        <a:xfrm>
          <a:off x="21339810" y="9554527"/>
          <a:ext cx="2649804" cy="1257300"/>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Initiative</a:t>
          </a:r>
        </a:p>
      </xdr:txBody>
    </xdr:sp>
    <xdr:clientData/>
  </xdr:twoCellAnchor>
  <xdr:twoCellAnchor>
    <xdr:from>
      <xdr:col>17</xdr:col>
      <xdr:colOff>1764030</xdr:colOff>
      <xdr:row>9</xdr:row>
      <xdr:rowOff>3693795</xdr:rowOff>
    </xdr:from>
    <xdr:to>
      <xdr:col>17</xdr:col>
      <xdr:colOff>3935730</xdr:colOff>
      <xdr:row>9</xdr:row>
      <xdr:rowOff>4827270</xdr:rowOff>
    </xdr:to>
    <xdr:sp macro="" textlink="">
      <xdr:nvSpPr>
        <xdr:cNvPr id="68" name="Text Box 21">
          <a:extLst>
            <a:ext uri="{FF2B5EF4-FFF2-40B4-BE49-F238E27FC236}">
              <a16:creationId xmlns:a16="http://schemas.microsoft.com/office/drawing/2014/main" id="{00000000-0008-0000-0600-000044000000}"/>
            </a:ext>
          </a:extLst>
        </xdr:cNvPr>
        <xdr:cNvSpPr txBox="1">
          <a:spLocks noChangeArrowheads="1"/>
        </xdr:cNvSpPr>
      </xdr:nvSpPr>
      <xdr:spPr bwMode="auto">
        <a:xfrm>
          <a:off x="23404830" y="10856595"/>
          <a:ext cx="2171700" cy="1133475"/>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Leaders and  Support</a:t>
          </a:r>
        </a:p>
      </xdr:txBody>
    </xdr:sp>
    <xdr:clientData/>
  </xdr:twoCellAnchor>
  <xdr:twoCellAnchor>
    <xdr:from>
      <xdr:col>17</xdr:col>
      <xdr:colOff>3507278</xdr:colOff>
      <xdr:row>9</xdr:row>
      <xdr:rowOff>2317172</xdr:rowOff>
    </xdr:from>
    <xdr:to>
      <xdr:col>17</xdr:col>
      <xdr:colOff>5678978</xdr:colOff>
      <xdr:row>9</xdr:row>
      <xdr:rowOff>3024817</xdr:rowOff>
    </xdr:to>
    <xdr:sp macro="" textlink="">
      <xdr:nvSpPr>
        <xdr:cNvPr id="69" name="Text Box 60">
          <a:extLst>
            <a:ext uri="{FF2B5EF4-FFF2-40B4-BE49-F238E27FC236}">
              <a16:creationId xmlns:a16="http://schemas.microsoft.com/office/drawing/2014/main" id="{00000000-0008-0000-0600-000045000000}"/>
            </a:ext>
          </a:extLst>
        </xdr:cNvPr>
        <xdr:cNvSpPr txBox="1">
          <a:spLocks noChangeArrowheads="1"/>
        </xdr:cNvSpPr>
      </xdr:nvSpPr>
      <xdr:spPr bwMode="auto">
        <a:xfrm>
          <a:off x="25148078" y="9479972"/>
          <a:ext cx="1790700" cy="707645"/>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Project</a:t>
          </a:r>
        </a:p>
      </xdr:txBody>
    </xdr:sp>
    <xdr:clientData/>
  </xdr:twoCellAnchor>
  <xdr:twoCellAnchor>
    <xdr:from>
      <xdr:col>32</xdr:col>
      <xdr:colOff>30480</xdr:colOff>
      <xdr:row>9</xdr:row>
      <xdr:rowOff>0</xdr:rowOff>
    </xdr:from>
    <xdr:to>
      <xdr:col>33</xdr:col>
      <xdr:colOff>0</xdr:colOff>
      <xdr:row>9</xdr:row>
      <xdr:rowOff>5151120</xdr:rowOff>
    </xdr:to>
    <xdr:sp macro="" textlink="">
      <xdr:nvSpPr>
        <xdr:cNvPr id="70" name="Line 17">
          <a:extLst>
            <a:ext uri="{FF2B5EF4-FFF2-40B4-BE49-F238E27FC236}">
              <a16:creationId xmlns:a16="http://schemas.microsoft.com/office/drawing/2014/main" id="{00000000-0008-0000-0600-000046000000}"/>
            </a:ext>
          </a:extLst>
        </xdr:cNvPr>
        <xdr:cNvSpPr>
          <a:spLocks noChangeShapeType="1"/>
        </xdr:cNvSpPr>
      </xdr:nvSpPr>
      <xdr:spPr bwMode="auto">
        <a:xfrm>
          <a:off x="40759380" y="7162800"/>
          <a:ext cx="5313045" cy="515112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0</xdr:colOff>
      <xdr:row>9</xdr:row>
      <xdr:rowOff>0</xdr:rowOff>
    </xdr:from>
    <xdr:to>
      <xdr:col>33</xdr:col>
      <xdr:colOff>0</xdr:colOff>
      <xdr:row>9</xdr:row>
      <xdr:rowOff>5048250</xdr:rowOff>
    </xdr:to>
    <xdr:sp macro="" textlink="">
      <xdr:nvSpPr>
        <xdr:cNvPr id="71" name="Line 18">
          <a:extLst>
            <a:ext uri="{FF2B5EF4-FFF2-40B4-BE49-F238E27FC236}">
              <a16:creationId xmlns:a16="http://schemas.microsoft.com/office/drawing/2014/main" id="{00000000-0008-0000-0600-000047000000}"/>
            </a:ext>
          </a:extLst>
        </xdr:cNvPr>
        <xdr:cNvSpPr>
          <a:spLocks noChangeShapeType="1"/>
        </xdr:cNvSpPr>
      </xdr:nvSpPr>
      <xdr:spPr bwMode="auto">
        <a:xfrm flipV="1">
          <a:off x="40728900" y="7162800"/>
          <a:ext cx="5343525" cy="504825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1764030</xdr:colOff>
      <xdr:row>9</xdr:row>
      <xdr:rowOff>3648075</xdr:rowOff>
    </xdr:from>
    <xdr:to>
      <xdr:col>32</xdr:col>
      <xdr:colOff>3935730</xdr:colOff>
      <xdr:row>9</xdr:row>
      <xdr:rowOff>4785366</xdr:rowOff>
    </xdr:to>
    <xdr:sp macro="" textlink="">
      <xdr:nvSpPr>
        <xdr:cNvPr id="72" name="Text Box 21">
          <a:extLst>
            <a:ext uri="{FF2B5EF4-FFF2-40B4-BE49-F238E27FC236}">
              <a16:creationId xmlns:a16="http://schemas.microsoft.com/office/drawing/2014/main" id="{00000000-0008-0000-0600-000048000000}"/>
            </a:ext>
          </a:extLst>
        </xdr:cNvPr>
        <xdr:cNvSpPr txBox="1">
          <a:spLocks noChangeArrowheads="1"/>
        </xdr:cNvSpPr>
      </xdr:nvSpPr>
      <xdr:spPr bwMode="auto">
        <a:xfrm>
          <a:off x="42492930" y="10810875"/>
          <a:ext cx="2171700" cy="1137291"/>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Leaders and  Support</a:t>
          </a:r>
        </a:p>
      </xdr:txBody>
    </xdr:sp>
    <xdr:clientData/>
  </xdr:twoCellAnchor>
  <xdr:twoCellAnchor>
    <xdr:from>
      <xdr:col>32</xdr:col>
      <xdr:colOff>86937</xdr:colOff>
      <xdr:row>9</xdr:row>
      <xdr:rowOff>2146242</xdr:rowOff>
    </xdr:from>
    <xdr:to>
      <xdr:col>32</xdr:col>
      <xdr:colOff>2258637</xdr:colOff>
      <xdr:row>9</xdr:row>
      <xdr:rowOff>2853887</xdr:rowOff>
    </xdr:to>
    <xdr:sp macro="" textlink="">
      <xdr:nvSpPr>
        <xdr:cNvPr id="73" name="Text Box 60">
          <a:extLst>
            <a:ext uri="{FF2B5EF4-FFF2-40B4-BE49-F238E27FC236}">
              <a16:creationId xmlns:a16="http://schemas.microsoft.com/office/drawing/2014/main" id="{00000000-0008-0000-0600-000049000000}"/>
            </a:ext>
          </a:extLst>
        </xdr:cNvPr>
        <xdr:cNvSpPr txBox="1">
          <a:spLocks noChangeArrowheads="1"/>
        </xdr:cNvSpPr>
      </xdr:nvSpPr>
      <xdr:spPr bwMode="auto">
        <a:xfrm>
          <a:off x="40815837" y="9309042"/>
          <a:ext cx="2171700" cy="707645"/>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Program</a:t>
          </a:r>
        </a:p>
      </xdr:txBody>
    </xdr:sp>
    <xdr:clientData/>
  </xdr:twoCellAnchor>
  <xdr:twoCellAnchor>
    <xdr:from>
      <xdr:col>32</xdr:col>
      <xdr:colOff>1847503</xdr:colOff>
      <xdr:row>9</xdr:row>
      <xdr:rowOff>445597</xdr:rowOff>
    </xdr:from>
    <xdr:to>
      <xdr:col>32</xdr:col>
      <xdr:colOff>4019203</xdr:colOff>
      <xdr:row>9</xdr:row>
      <xdr:rowOff>1157026</xdr:rowOff>
    </xdr:to>
    <xdr:sp macro="" textlink="">
      <xdr:nvSpPr>
        <xdr:cNvPr id="74" name="Text Box 60">
          <a:extLst>
            <a:ext uri="{FF2B5EF4-FFF2-40B4-BE49-F238E27FC236}">
              <a16:creationId xmlns:a16="http://schemas.microsoft.com/office/drawing/2014/main" id="{00000000-0008-0000-0600-00004A000000}"/>
            </a:ext>
          </a:extLst>
        </xdr:cNvPr>
        <xdr:cNvSpPr txBox="1">
          <a:spLocks noChangeArrowheads="1"/>
        </xdr:cNvSpPr>
      </xdr:nvSpPr>
      <xdr:spPr bwMode="auto">
        <a:xfrm>
          <a:off x="42576403" y="7608397"/>
          <a:ext cx="2171700" cy="711429"/>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Projects</a:t>
          </a:r>
        </a:p>
      </xdr:txBody>
    </xdr:sp>
    <xdr:clientData/>
  </xdr:twoCellAnchor>
  <xdr:twoCellAnchor>
    <xdr:from>
      <xdr:col>32</xdr:col>
      <xdr:colOff>3555769</xdr:colOff>
      <xdr:row>9</xdr:row>
      <xdr:rowOff>2125460</xdr:rowOff>
    </xdr:from>
    <xdr:to>
      <xdr:col>32</xdr:col>
      <xdr:colOff>5727469</xdr:colOff>
      <xdr:row>9</xdr:row>
      <xdr:rowOff>2833105</xdr:rowOff>
    </xdr:to>
    <xdr:sp macro="" textlink="">
      <xdr:nvSpPr>
        <xdr:cNvPr id="75" name="Text Box 60">
          <a:extLst>
            <a:ext uri="{FF2B5EF4-FFF2-40B4-BE49-F238E27FC236}">
              <a16:creationId xmlns:a16="http://schemas.microsoft.com/office/drawing/2014/main" id="{00000000-0008-0000-0600-00004B000000}"/>
            </a:ext>
          </a:extLst>
        </xdr:cNvPr>
        <xdr:cNvSpPr txBox="1">
          <a:spLocks noChangeArrowheads="1"/>
        </xdr:cNvSpPr>
      </xdr:nvSpPr>
      <xdr:spPr bwMode="auto">
        <a:xfrm>
          <a:off x="44284669" y="9288260"/>
          <a:ext cx="1790700" cy="707645"/>
        </a:xfrm>
        <a:prstGeom prst="rect">
          <a:avLst/>
        </a:prstGeom>
        <a:noFill/>
        <a:ln w="1">
          <a:noFill/>
          <a:miter lim="800000"/>
          <a:headEnd/>
          <a:tailEnd/>
        </a:ln>
      </xdr:spPr>
      <xdr:txBody>
        <a:bodyPr vertOverflow="clip" wrap="square" lIns="45720" tIns="36576" rIns="45720" bIns="0" anchor="t" upright="1"/>
        <a:lstStyle/>
        <a:p>
          <a:pPr algn="ctr" rtl="0">
            <a:defRPr sz="1000"/>
          </a:pPr>
          <a:r>
            <a:rPr lang="en-CA" sz="2000" b="1" i="0" u="none" strike="noStrike" baseline="0">
              <a:solidFill>
                <a:srgbClr val="000000"/>
              </a:solidFill>
              <a:latin typeface="Times New Roman"/>
              <a:cs typeface="Times New Roman"/>
            </a:rPr>
            <a:t>Tasks</a:t>
          </a:r>
        </a:p>
      </xdr:txBody>
    </xdr:sp>
    <xdr:clientData/>
  </xdr:twoCellAnchor>
  <xdr:twoCellAnchor>
    <xdr:from>
      <xdr:col>3</xdr:col>
      <xdr:colOff>190500</xdr:colOff>
      <xdr:row>9</xdr:row>
      <xdr:rowOff>3111500</xdr:rowOff>
    </xdr:from>
    <xdr:to>
      <xdr:col>3</xdr:col>
      <xdr:colOff>1079500</xdr:colOff>
      <xdr:row>9</xdr:row>
      <xdr:rowOff>3905250</xdr:rowOff>
    </xdr:to>
    <xdr:sp macro="" textlink="">
      <xdr:nvSpPr>
        <xdr:cNvPr id="76" name="Oval 75">
          <a:extLst>
            <a:ext uri="{FF2B5EF4-FFF2-40B4-BE49-F238E27FC236}">
              <a16:creationId xmlns:a16="http://schemas.microsoft.com/office/drawing/2014/main" id="{00000000-0008-0000-0600-00004C000000}"/>
            </a:ext>
          </a:extLst>
        </xdr:cNvPr>
        <xdr:cNvSpPr/>
      </xdr:nvSpPr>
      <xdr:spPr bwMode="auto">
        <a:xfrm>
          <a:off x="3333750" y="10274300"/>
          <a:ext cx="889000" cy="793750"/>
        </a:xfrm>
        <a:prstGeom prst="ellipse">
          <a:avLst/>
        </a:prstGeom>
        <a:ln>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upright="1"/>
        <a:lstStyle/>
        <a:p>
          <a:pPr algn="ctr"/>
          <a:r>
            <a:rPr lang="en-US" sz="2800"/>
            <a:t>1</a:t>
          </a:r>
        </a:p>
      </xdr:txBody>
    </xdr:sp>
    <xdr:clientData/>
  </xdr:twoCellAnchor>
  <xdr:twoCellAnchor>
    <xdr:from>
      <xdr:col>3</xdr:col>
      <xdr:colOff>4904316</xdr:colOff>
      <xdr:row>9</xdr:row>
      <xdr:rowOff>2925234</xdr:rowOff>
    </xdr:from>
    <xdr:to>
      <xdr:col>3</xdr:col>
      <xdr:colOff>5793316</xdr:colOff>
      <xdr:row>9</xdr:row>
      <xdr:rowOff>3718984</xdr:rowOff>
    </xdr:to>
    <xdr:sp macro="" textlink="">
      <xdr:nvSpPr>
        <xdr:cNvPr id="77" name="Oval 76">
          <a:extLst>
            <a:ext uri="{FF2B5EF4-FFF2-40B4-BE49-F238E27FC236}">
              <a16:creationId xmlns:a16="http://schemas.microsoft.com/office/drawing/2014/main" id="{00000000-0008-0000-0600-00004D000000}"/>
            </a:ext>
          </a:extLst>
        </xdr:cNvPr>
        <xdr:cNvSpPr/>
      </xdr:nvSpPr>
      <xdr:spPr bwMode="auto">
        <a:xfrm>
          <a:off x="8968316" y="10714567"/>
          <a:ext cx="889000" cy="793750"/>
        </a:xfrm>
        <a:prstGeom prst="ellipse">
          <a:avLst/>
        </a:prstGeom>
        <a:ln>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upright="1"/>
        <a:lstStyle/>
        <a:p>
          <a:pPr algn="ctr"/>
          <a:r>
            <a:rPr lang="en-US" sz="2800"/>
            <a:t>3</a:t>
          </a:r>
        </a:p>
      </xdr:txBody>
    </xdr:sp>
    <xdr:clientData/>
  </xdr:twoCellAnchor>
  <xdr:twoCellAnchor>
    <xdr:from>
      <xdr:col>3</xdr:col>
      <xdr:colOff>2728384</xdr:colOff>
      <xdr:row>9</xdr:row>
      <xdr:rowOff>865717</xdr:rowOff>
    </xdr:from>
    <xdr:to>
      <xdr:col>3</xdr:col>
      <xdr:colOff>3617384</xdr:colOff>
      <xdr:row>9</xdr:row>
      <xdr:rowOff>1659467</xdr:rowOff>
    </xdr:to>
    <xdr:sp macro="" textlink="">
      <xdr:nvSpPr>
        <xdr:cNvPr id="78" name="Oval 77">
          <a:extLst>
            <a:ext uri="{FF2B5EF4-FFF2-40B4-BE49-F238E27FC236}">
              <a16:creationId xmlns:a16="http://schemas.microsoft.com/office/drawing/2014/main" id="{00000000-0008-0000-0600-00004E000000}"/>
            </a:ext>
          </a:extLst>
        </xdr:cNvPr>
        <xdr:cNvSpPr/>
      </xdr:nvSpPr>
      <xdr:spPr bwMode="auto">
        <a:xfrm>
          <a:off x="6792384" y="8655050"/>
          <a:ext cx="889000" cy="793750"/>
        </a:xfrm>
        <a:prstGeom prst="ellipse">
          <a:avLst/>
        </a:prstGeom>
        <a:ln>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upright="1"/>
        <a:lstStyle/>
        <a:p>
          <a:pPr algn="ctr"/>
          <a:r>
            <a:rPr lang="en-US" sz="2800"/>
            <a:t>2</a:t>
          </a:r>
        </a:p>
      </xdr:txBody>
    </xdr:sp>
    <xdr:clientData/>
  </xdr:twoCellAnchor>
  <xdr:twoCellAnchor>
    <xdr:from>
      <xdr:col>17</xdr:col>
      <xdr:colOff>247650</xdr:colOff>
      <xdr:row>9</xdr:row>
      <xdr:rowOff>3147060</xdr:rowOff>
    </xdr:from>
    <xdr:to>
      <xdr:col>17</xdr:col>
      <xdr:colOff>1136650</xdr:colOff>
      <xdr:row>9</xdr:row>
      <xdr:rowOff>3940810</xdr:rowOff>
    </xdr:to>
    <xdr:sp macro="" textlink="">
      <xdr:nvSpPr>
        <xdr:cNvPr id="79" name="Oval 78">
          <a:extLst>
            <a:ext uri="{FF2B5EF4-FFF2-40B4-BE49-F238E27FC236}">
              <a16:creationId xmlns:a16="http://schemas.microsoft.com/office/drawing/2014/main" id="{00000000-0008-0000-0600-00004F000000}"/>
            </a:ext>
          </a:extLst>
        </xdr:cNvPr>
        <xdr:cNvSpPr/>
      </xdr:nvSpPr>
      <xdr:spPr bwMode="auto">
        <a:xfrm>
          <a:off x="21888450" y="10309860"/>
          <a:ext cx="889000" cy="793750"/>
        </a:xfrm>
        <a:prstGeom prst="ellipse">
          <a:avLst/>
        </a:prstGeom>
        <a:ln>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upright="1"/>
        <a:lstStyle/>
        <a:p>
          <a:pPr algn="ctr"/>
          <a:r>
            <a:rPr lang="en-US" sz="2800"/>
            <a:t>2</a:t>
          </a:r>
        </a:p>
      </xdr:txBody>
    </xdr:sp>
    <xdr:clientData/>
  </xdr:twoCellAnchor>
  <xdr:twoCellAnchor>
    <xdr:from>
      <xdr:col>17</xdr:col>
      <xdr:colOff>2459567</xdr:colOff>
      <xdr:row>9</xdr:row>
      <xdr:rowOff>1172210</xdr:rowOff>
    </xdr:from>
    <xdr:to>
      <xdr:col>17</xdr:col>
      <xdr:colOff>3348567</xdr:colOff>
      <xdr:row>9</xdr:row>
      <xdr:rowOff>1965960</xdr:rowOff>
    </xdr:to>
    <xdr:sp macro="" textlink="">
      <xdr:nvSpPr>
        <xdr:cNvPr id="80" name="Oval 79">
          <a:extLst>
            <a:ext uri="{FF2B5EF4-FFF2-40B4-BE49-F238E27FC236}">
              <a16:creationId xmlns:a16="http://schemas.microsoft.com/office/drawing/2014/main" id="{00000000-0008-0000-0600-000050000000}"/>
            </a:ext>
          </a:extLst>
        </xdr:cNvPr>
        <xdr:cNvSpPr/>
      </xdr:nvSpPr>
      <xdr:spPr bwMode="auto">
        <a:xfrm>
          <a:off x="30695900" y="8961543"/>
          <a:ext cx="889000" cy="793750"/>
        </a:xfrm>
        <a:prstGeom prst="ellipse">
          <a:avLst/>
        </a:prstGeom>
        <a:ln>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upright="1"/>
        <a:lstStyle/>
        <a:p>
          <a:pPr algn="ctr"/>
          <a:r>
            <a:rPr lang="en-US" sz="2800"/>
            <a:t>3</a:t>
          </a:r>
        </a:p>
      </xdr:txBody>
    </xdr:sp>
    <xdr:clientData/>
  </xdr:twoCellAnchor>
  <xdr:twoCellAnchor>
    <xdr:from>
      <xdr:col>17</xdr:col>
      <xdr:colOff>4461933</xdr:colOff>
      <xdr:row>9</xdr:row>
      <xdr:rowOff>2886710</xdr:rowOff>
    </xdr:from>
    <xdr:to>
      <xdr:col>17</xdr:col>
      <xdr:colOff>5350933</xdr:colOff>
      <xdr:row>9</xdr:row>
      <xdr:rowOff>3680460</xdr:rowOff>
    </xdr:to>
    <xdr:sp macro="" textlink="">
      <xdr:nvSpPr>
        <xdr:cNvPr id="81" name="Oval 80">
          <a:extLst>
            <a:ext uri="{FF2B5EF4-FFF2-40B4-BE49-F238E27FC236}">
              <a16:creationId xmlns:a16="http://schemas.microsoft.com/office/drawing/2014/main" id="{00000000-0008-0000-0600-000051000000}"/>
            </a:ext>
          </a:extLst>
        </xdr:cNvPr>
        <xdr:cNvSpPr/>
      </xdr:nvSpPr>
      <xdr:spPr bwMode="auto">
        <a:xfrm>
          <a:off x="32698266" y="10676043"/>
          <a:ext cx="889000" cy="793750"/>
        </a:xfrm>
        <a:prstGeom prst="ellipse">
          <a:avLst/>
        </a:prstGeom>
        <a:ln>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upright="1"/>
        <a:lstStyle/>
        <a:p>
          <a:pPr algn="ctr"/>
          <a:r>
            <a:rPr lang="en-US" sz="2800"/>
            <a:t>4</a:t>
          </a:r>
        </a:p>
      </xdr:txBody>
    </xdr:sp>
    <xdr:clientData/>
  </xdr:twoCellAnchor>
  <xdr:twoCellAnchor>
    <xdr:from>
      <xdr:col>32</xdr:col>
      <xdr:colOff>2535766</xdr:colOff>
      <xdr:row>9</xdr:row>
      <xdr:rowOff>1032510</xdr:rowOff>
    </xdr:from>
    <xdr:to>
      <xdr:col>32</xdr:col>
      <xdr:colOff>3424766</xdr:colOff>
      <xdr:row>9</xdr:row>
      <xdr:rowOff>1826260</xdr:rowOff>
    </xdr:to>
    <xdr:sp macro="" textlink="">
      <xdr:nvSpPr>
        <xdr:cNvPr id="82" name="Oval 81">
          <a:extLst>
            <a:ext uri="{FF2B5EF4-FFF2-40B4-BE49-F238E27FC236}">
              <a16:creationId xmlns:a16="http://schemas.microsoft.com/office/drawing/2014/main" id="{00000000-0008-0000-0600-000052000000}"/>
            </a:ext>
          </a:extLst>
        </xdr:cNvPr>
        <xdr:cNvSpPr/>
      </xdr:nvSpPr>
      <xdr:spPr bwMode="auto">
        <a:xfrm>
          <a:off x="55791099" y="8821843"/>
          <a:ext cx="889000" cy="793750"/>
        </a:xfrm>
        <a:prstGeom prst="ellipse">
          <a:avLst/>
        </a:prstGeom>
        <a:ln>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upright="1"/>
        <a:lstStyle/>
        <a:p>
          <a:pPr algn="ctr"/>
          <a:r>
            <a:rPr lang="en-US" sz="2800"/>
            <a:t>4</a:t>
          </a:r>
        </a:p>
      </xdr:txBody>
    </xdr:sp>
    <xdr:clientData/>
  </xdr:twoCellAnchor>
  <xdr:twoCellAnchor>
    <xdr:from>
      <xdr:col>32</xdr:col>
      <xdr:colOff>457200</xdr:colOff>
      <xdr:row>9</xdr:row>
      <xdr:rowOff>2842260</xdr:rowOff>
    </xdr:from>
    <xdr:to>
      <xdr:col>32</xdr:col>
      <xdr:colOff>1346200</xdr:colOff>
      <xdr:row>9</xdr:row>
      <xdr:rowOff>3636010</xdr:rowOff>
    </xdr:to>
    <xdr:sp macro="" textlink="">
      <xdr:nvSpPr>
        <xdr:cNvPr id="83" name="Oval 82">
          <a:extLst>
            <a:ext uri="{FF2B5EF4-FFF2-40B4-BE49-F238E27FC236}">
              <a16:creationId xmlns:a16="http://schemas.microsoft.com/office/drawing/2014/main" id="{00000000-0008-0000-0600-000053000000}"/>
            </a:ext>
          </a:extLst>
        </xdr:cNvPr>
        <xdr:cNvSpPr/>
      </xdr:nvSpPr>
      <xdr:spPr bwMode="auto">
        <a:xfrm>
          <a:off x="41186100" y="10005060"/>
          <a:ext cx="889000" cy="793750"/>
        </a:xfrm>
        <a:prstGeom prst="ellipse">
          <a:avLst/>
        </a:prstGeom>
        <a:ln>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upright="1"/>
        <a:lstStyle/>
        <a:p>
          <a:pPr algn="ctr"/>
          <a:r>
            <a:rPr lang="en-US" sz="2800"/>
            <a:t>3</a:t>
          </a:r>
        </a:p>
      </xdr:txBody>
    </xdr:sp>
    <xdr:clientData/>
  </xdr:twoCellAnchor>
  <xdr:twoCellAnchor>
    <xdr:from>
      <xdr:col>32</xdr:col>
      <xdr:colOff>4694767</xdr:colOff>
      <xdr:row>9</xdr:row>
      <xdr:rowOff>2768176</xdr:rowOff>
    </xdr:from>
    <xdr:to>
      <xdr:col>32</xdr:col>
      <xdr:colOff>5583767</xdr:colOff>
      <xdr:row>9</xdr:row>
      <xdr:rowOff>3561926</xdr:rowOff>
    </xdr:to>
    <xdr:sp macro="" textlink="">
      <xdr:nvSpPr>
        <xdr:cNvPr id="84" name="Oval 83">
          <a:extLst>
            <a:ext uri="{FF2B5EF4-FFF2-40B4-BE49-F238E27FC236}">
              <a16:creationId xmlns:a16="http://schemas.microsoft.com/office/drawing/2014/main" id="{00000000-0008-0000-0600-000054000000}"/>
            </a:ext>
          </a:extLst>
        </xdr:cNvPr>
        <xdr:cNvSpPr/>
      </xdr:nvSpPr>
      <xdr:spPr bwMode="auto">
        <a:xfrm>
          <a:off x="57950100" y="10557509"/>
          <a:ext cx="889000" cy="793750"/>
        </a:xfrm>
        <a:prstGeom prst="ellipse">
          <a:avLst/>
        </a:prstGeom>
        <a:ln>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91440" tIns="45720" rIns="91440" bIns="45720" rtlCol="0" anchor="ctr" upright="1"/>
        <a:lstStyle/>
        <a:p>
          <a:pPr algn="ctr"/>
          <a:r>
            <a:rPr lang="en-US" sz="2800"/>
            <a:t>5</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600075</xdr:colOff>
      <xdr:row>1</xdr:row>
      <xdr:rowOff>28575</xdr:rowOff>
    </xdr:from>
    <xdr:to>
      <xdr:col>15</xdr:col>
      <xdr:colOff>0</xdr:colOff>
      <xdr:row>26</xdr:row>
      <xdr:rowOff>9525</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0</xdr:rowOff>
    </xdr:from>
    <xdr:to>
      <xdr:col>15</xdr:col>
      <xdr:colOff>19050</xdr:colOff>
      <xdr:row>52</xdr:row>
      <xdr:rowOff>0</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27</xdr:row>
      <xdr:rowOff>0</xdr:rowOff>
    </xdr:from>
    <xdr:to>
      <xdr:col>47</xdr:col>
      <xdr:colOff>0</xdr:colOff>
      <xdr:row>27</xdr:row>
      <xdr:rowOff>0</xdr:rowOff>
    </xdr:to>
    <xdr:sp macro="" textlink="">
      <xdr:nvSpPr>
        <xdr:cNvPr id="2" name="Line 24">
          <a:extLst>
            <a:ext uri="{FF2B5EF4-FFF2-40B4-BE49-F238E27FC236}">
              <a16:creationId xmlns:a16="http://schemas.microsoft.com/office/drawing/2014/main" id="{00000000-0008-0000-2700-000002000000}"/>
            </a:ext>
          </a:extLst>
        </xdr:cNvPr>
        <xdr:cNvSpPr>
          <a:spLocks noChangeShapeType="1"/>
        </xdr:cNvSpPr>
      </xdr:nvSpPr>
      <xdr:spPr bwMode="auto">
        <a:xfrm>
          <a:off x="2305050" y="4067175"/>
          <a:ext cx="5705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xdr:row>
      <xdr:rowOff>0</xdr:rowOff>
    </xdr:from>
    <xdr:to>
      <xdr:col>18</xdr:col>
      <xdr:colOff>0</xdr:colOff>
      <xdr:row>27</xdr:row>
      <xdr:rowOff>0</xdr:rowOff>
    </xdr:to>
    <xdr:sp macro="" textlink="">
      <xdr:nvSpPr>
        <xdr:cNvPr id="3" name="Line 25">
          <a:extLst>
            <a:ext uri="{FF2B5EF4-FFF2-40B4-BE49-F238E27FC236}">
              <a16:creationId xmlns:a16="http://schemas.microsoft.com/office/drawing/2014/main" id="{00000000-0008-0000-2700-000003000000}"/>
            </a:ext>
          </a:extLst>
        </xdr:cNvPr>
        <xdr:cNvSpPr>
          <a:spLocks noChangeShapeType="1"/>
        </xdr:cNvSpPr>
      </xdr:nvSpPr>
      <xdr:spPr bwMode="auto">
        <a:xfrm>
          <a:off x="3238500" y="1266825"/>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6</xdr:row>
      <xdr:rowOff>0</xdr:rowOff>
    </xdr:from>
    <xdr:to>
      <xdr:col>31</xdr:col>
      <xdr:colOff>0</xdr:colOff>
      <xdr:row>27</xdr:row>
      <xdr:rowOff>0</xdr:rowOff>
    </xdr:to>
    <xdr:sp macro="" textlink="">
      <xdr:nvSpPr>
        <xdr:cNvPr id="4" name="Line 26">
          <a:extLst>
            <a:ext uri="{FF2B5EF4-FFF2-40B4-BE49-F238E27FC236}">
              <a16:creationId xmlns:a16="http://schemas.microsoft.com/office/drawing/2014/main" id="{00000000-0008-0000-2700-000004000000}"/>
            </a:ext>
          </a:extLst>
        </xdr:cNvPr>
        <xdr:cNvSpPr>
          <a:spLocks noChangeShapeType="1"/>
        </xdr:cNvSpPr>
      </xdr:nvSpPr>
      <xdr:spPr bwMode="auto">
        <a:xfrm>
          <a:off x="4972050" y="1266825"/>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6</xdr:row>
      <xdr:rowOff>0</xdr:rowOff>
    </xdr:from>
    <xdr:to>
      <xdr:col>44</xdr:col>
      <xdr:colOff>0</xdr:colOff>
      <xdr:row>27</xdr:row>
      <xdr:rowOff>0</xdr:rowOff>
    </xdr:to>
    <xdr:sp macro="" textlink="">
      <xdr:nvSpPr>
        <xdr:cNvPr id="5" name="Line 27">
          <a:extLst>
            <a:ext uri="{FF2B5EF4-FFF2-40B4-BE49-F238E27FC236}">
              <a16:creationId xmlns:a16="http://schemas.microsoft.com/office/drawing/2014/main" id="{00000000-0008-0000-2700-000005000000}"/>
            </a:ext>
          </a:extLst>
        </xdr:cNvPr>
        <xdr:cNvSpPr>
          <a:spLocks noChangeShapeType="1"/>
        </xdr:cNvSpPr>
      </xdr:nvSpPr>
      <xdr:spPr bwMode="auto">
        <a:xfrm>
          <a:off x="6705600" y="1266825"/>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27</xdr:row>
      <xdr:rowOff>0</xdr:rowOff>
    </xdr:from>
    <xdr:to>
      <xdr:col>18</xdr:col>
      <xdr:colOff>0</xdr:colOff>
      <xdr:row>48</xdr:row>
      <xdr:rowOff>0</xdr:rowOff>
    </xdr:to>
    <xdr:sp macro="" textlink="">
      <xdr:nvSpPr>
        <xdr:cNvPr id="6" name="Line 28">
          <a:extLst>
            <a:ext uri="{FF2B5EF4-FFF2-40B4-BE49-F238E27FC236}">
              <a16:creationId xmlns:a16="http://schemas.microsoft.com/office/drawing/2014/main" id="{00000000-0008-0000-2700-000006000000}"/>
            </a:ext>
          </a:extLst>
        </xdr:cNvPr>
        <xdr:cNvSpPr>
          <a:spLocks noChangeShapeType="1"/>
        </xdr:cNvSpPr>
      </xdr:nvSpPr>
      <xdr:spPr bwMode="auto">
        <a:xfrm flipH="1">
          <a:off x="3238500" y="4067175"/>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0</xdr:colOff>
      <xdr:row>27</xdr:row>
      <xdr:rowOff>0</xdr:rowOff>
    </xdr:from>
    <xdr:to>
      <xdr:col>31</xdr:col>
      <xdr:colOff>0</xdr:colOff>
      <xdr:row>48</xdr:row>
      <xdr:rowOff>0</xdr:rowOff>
    </xdr:to>
    <xdr:sp macro="" textlink="">
      <xdr:nvSpPr>
        <xdr:cNvPr id="7" name="Line 29">
          <a:extLst>
            <a:ext uri="{FF2B5EF4-FFF2-40B4-BE49-F238E27FC236}">
              <a16:creationId xmlns:a16="http://schemas.microsoft.com/office/drawing/2014/main" id="{00000000-0008-0000-2700-000007000000}"/>
            </a:ext>
          </a:extLst>
        </xdr:cNvPr>
        <xdr:cNvSpPr>
          <a:spLocks noChangeShapeType="1"/>
        </xdr:cNvSpPr>
      </xdr:nvSpPr>
      <xdr:spPr bwMode="auto">
        <a:xfrm flipH="1">
          <a:off x="4972050" y="4067175"/>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0</xdr:colOff>
      <xdr:row>27</xdr:row>
      <xdr:rowOff>0</xdr:rowOff>
    </xdr:from>
    <xdr:to>
      <xdr:col>44</xdr:col>
      <xdr:colOff>0</xdr:colOff>
      <xdr:row>48</xdr:row>
      <xdr:rowOff>0</xdr:rowOff>
    </xdr:to>
    <xdr:sp macro="" textlink="">
      <xdr:nvSpPr>
        <xdr:cNvPr id="8" name="Line 30">
          <a:extLst>
            <a:ext uri="{FF2B5EF4-FFF2-40B4-BE49-F238E27FC236}">
              <a16:creationId xmlns:a16="http://schemas.microsoft.com/office/drawing/2014/main" id="{00000000-0008-0000-2700-000008000000}"/>
            </a:ext>
          </a:extLst>
        </xdr:cNvPr>
        <xdr:cNvSpPr>
          <a:spLocks noChangeShapeType="1"/>
        </xdr:cNvSpPr>
      </xdr:nvSpPr>
      <xdr:spPr bwMode="auto">
        <a:xfrm flipH="1">
          <a:off x="6705600" y="4067175"/>
          <a:ext cx="933450" cy="280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9525</xdr:colOff>
      <xdr:row>1</xdr:row>
      <xdr:rowOff>9525</xdr:rowOff>
    </xdr:from>
    <xdr:to>
      <xdr:col>13</xdr:col>
      <xdr:colOff>600075</xdr:colOff>
      <xdr:row>26</xdr:row>
      <xdr:rowOff>0</xdr:rowOff>
    </xdr:to>
    <xdr:graphicFrame macro="">
      <xdr:nvGraphicFramePr>
        <xdr:cNvPr id="2" name="Chart 1025">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152400</xdr:rowOff>
    </xdr:from>
    <xdr:to>
      <xdr:col>14</xdr:col>
      <xdr:colOff>19050</xdr:colOff>
      <xdr:row>26</xdr:row>
      <xdr:rowOff>9525</xdr:rowOff>
    </xdr:to>
    <xdr:graphicFrame macro="">
      <xdr:nvGraphicFramePr>
        <xdr:cNvPr id="2" name="Chart 1025">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590550</xdr:colOff>
      <xdr:row>1</xdr:row>
      <xdr:rowOff>9525</xdr:rowOff>
    </xdr:from>
    <xdr:to>
      <xdr:col>14</xdr:col>
      <xdr:colOff>9525</xdr:colOff>
      <xdr:row>26</xdr:row>
      <xdr:rowOff>38100</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114300</xdr:colOff>
      <xdr:row>4</xdr:row>
      <xdr:rowOff>38100</xdr:rowOff>
    </xdr:from>
    <xdr:to>
      <xdr:col>12</xdr:col>
      <xdr:colOff>419100</xdr:colOff>
      <xdr:row>27</xdr:row>
      <xdr:rowOff>28575</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243840</xdr:colOff>
      <xdr:row>2</xdr:row>
      <xdr:rowOff>60960</xdr:rowOff>
    </xdr:from>
    <xdr:to>
      <xdr:col>13</xdr:col>
      <xdr:colOff>396240</xdr:colOff>
      <xdr:row>21</xdr:row>
      <xdr:rowOff>106680</xdr:rowOff>
    </xdr:to>
    <xdr:graphicFrame macro="">
      <xdr:nvGraphicFramePr>
        <xdr:cNvPr id="3" name="Chart 2">
          <a:extLst>
            <a:ext uri="{FF2B5EF4-FFF2-40B4-BE49-F238E27FC236}">
              <a16:creationId xmlns:a16="http://schemas.microsoft.com/office/drawing/2014/main" id="{85DDCA8E-C01E-4038-A14D-E93903208C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73270</xdr:colOff>
      <xdr:row>27</xdr:row>
      <xdr:rowOff>36737</xdr:rowOff>
    </xdr:from>
    <xdr:to>
      <xdr:col>5</xdr:col>
      <xdr:colOff>125345</xdr:colOff>
      <xdr:row>39</xdr:row>
      <xdr:rowOff>15875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256443" y="5304795"/>
          <a:ext cx="3302583" cy="2784128"/>
        </a:xfrm>
        <a:prstGeom prst="rect">
          <a:avLst/>
        </a:prstGeom>
      </xdr:spPr>
    </xdr:pic>
    <xdr:clientData/>
  </xdr:twoCellAnchor>
  <xdr:twoCellAnchor editAs="oneCell">
    <xdr:from>
      <xdr:col>5</xdr:col>
      <xdr:colOff>183173</xdr:colOff>
      <xdr:row>28</xdr:row>
      <xdr:rowOff>18395</xdr:rowOff>
    </xdr:from>
    <xdr:to>
      <xdr:col>5</xdr:col>
      <xdr:colOff>2293328</xdr:colOff>
      <xdr:row>29</xdr:row>
      <xdr:rowOff>211166</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3619500" y="5513587"/>
          <a:ext cx="2110155" cy="426521"/>
        </a:xfrm>
        <a:prstGeom prst="rect">
          <a:avLst/>
        </a:prstGeom>
      </xdr:spPr>
    </xdr:pic>
    <xdr:clientData/>
  </xdr:twoCellAnchor>
  <xdr:twoCellAnchor editAs="oneCell">
    <xdr:from>
      <xdr:col>1</xdr:col>
      <xdr:colOff>109905</xdr:colOff>
      <xdr:row>39</xdr:row>
      <xdr:rowOff>73270</xdr:rowOff>
    </xdr:from>
    <xdr:to>
      <xdr:col>5</xdr:col>
      <xdr:colOff>1770051</xdr:colOff>
      <xdr:row>45</xdr:row>
      <xdr:rowOff>187923</xdr:rowOff>
    </xdr:to>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3"/>
        <a:stretch>
          <a:fillRect/>
        </a:stretch>
      </xdr:blipFill>
      <xdr:spPr>
        <a:xfrm>
          <a:off x="293078" y="8066943"/>
          <a:ext cx="4910654" cy="1335400"/>
        </a:xfrm>
        <a:prstGeom prst="rect">
          <a:avLst/>
        </a:prstGeom>
      </xdr:spPr>
    </xdr:pic>
    <xdr:clientData/>
  </xdr:twoCellAnchor>
  <xdr:twoCellAnchor>
    <xdr:from>
      <xdr:col>5</xdr:col>
      <xdr:colOff>256441</xdr:colOff>
      <xdr:row>39</xdr:row>
      <xdr:rowOff>212481</xdr:rowOff>
    </xdr:from>
    <xdr:to>
      <xdr:col>5</xdr:col>
      <xdr:colOff>718038</xdr:colOff>
      <xdr:row>41</xdr:row>
      <xdr:rowOff>212481</xdr:rowOff>
    </xdr:to>
    <xdr:sp macro="" textlink="">
      <xdr:nvSpPr>
        <xdr:cNvPr id="14" name="Explosion 1 13">
          <a:extLst>
            <a:ext uri="{FF2B5EF4-FFF2-40B4-BE49-F238E27FC236}">
              <a16:creationId xmlns:a16="http://schemas.microsoft.com/office/drawing/2014/main" id="{00000000-0008-0000-0F00-00000E000000}"/>
            </a:ext>
          </a:extLst>
        </xdr:cNvPr>
        <xdr:cNvSpPr/>
      </xdr:nvSpPr>
      <xdr:spPr>
        <a:xfrm>
          <a:off x="3692768" y="8206154"/>
          <a:ext cx="461597" cy="454269"/>
        </a:xfrm>
        <a:prstGeom prst="irregularSeal1">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100"/>
            <a:t>1</a:t>
          </a:r>
        </a:p>
      </xdr:txBody>
    </xdr:sp>
    <xdr:clientData/>
  </xdr:twoCellAnchor>
  <xdr:twoCellAnchor editAs="oneCell">
    <xdr:from>
      <xdr:col>8</xdr:col>
      <xdr:colOff>0</xdr:colOff>
      <xdr:row>35</xdr:row>
      <xdr:rowOff>0</xdr:rowOff>
    </xdr:from>
    <xdr:to>
      <xdr:col>8</xdr:col>
      <xdr:colOff>304800</xdr:colOff>
      <xdr:row>36</xdr:row>
      <xdr:rowOff>69585</xdr:rowOff>
    </xdr:to>
    <xdr:sp macro="" textlink="">
      <xdr:nvSpPr>
        <xdr:cNvPr id="15373" name="AutoShape 13" descr="Image result for 5S example in packaging area">
          <a:extLst>
            <a:ext uri="{FF2B5EF4-FFF2-40B4-BE49-F238E27FC236}">
              <a16:creationId xmlns:a16="http://schemas.microsoft.com/office/drawing/2014/main" id="{00000000-0008-0000-0F00-00000D3C0000}"/>
            </a:ext>
          </a:extLst>
        </xdr:cNvPr>
        <xdr:cNvSpPr>
          <a:spLocks noChangeAspect="1" noChangeArrowheads="1"/>
        </xdr:cNvSpPr>
      </xdr:nvSpPr>
      <xdr:spPr bwMode="auto">
        <a:xfrm>
          <a:off x="6296025" y="710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873127</xdr:colOff>
      <xdr:row>33</xdr:row>
      <xdr:rowOff>38666</xdr:rowOff>
    </xdr:from>
    <xdr:to>
      <xdr:col>11</xdr:col>
      <xdr:colOff>2166937</xdr:colOff>
      <xdr:row>36</xdr:row>
      <xdr:rowOff>189321</xdr:rowOff>
    </xdr:to>
    <xdr:pic>
      <xdr:nvPicPr>
        <xdr:cNvPr id="15" name="Picture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4"/>
        <a:stretch>
          <a:fillRect/>
        </a:stretch>
      </xdr:blipFill>
      <xdr:spPr>
        <a:xfrm>
          <a:off x="10040940" y="6698229"/>
          <a:ext cx="1293810" cy="861060"/>
        </a:xfrm>
        <a:prstGeom prst="rect">
          <a:avLst/>
        </a:prstGeom>
      </xdr:spPr>
    </xdr:pic>
    <xdr:clientData/>
  </xdr:twoCellAnchor>
  <xdr:twoCellAnchor editAs="oneCell">
    <xdr:from>
      <xdr:col>10</xdr:col>
      <xdr:colOff>47625</xdr:colOff>
      <xdr:row>33</xdr:row>
      <xdr:rowOff>42347</xdr:rowOff>
    </xdr:from>
    <xdr:to>
      <xdr:col>11</xdr:col>
      <xdr:colOff>780962</xdr:colOff>
      <xdr:row>37</xdr:row>
      <xdr:rowOff>6621</xdr:rowOff>
    </xdr:to>
    <xdr:pic>
      <xdr:nvPicPr>
        <xdr:cNvPr id="19" name="Picture 18" descr="Related image">
          <a:extLst>
            <a:ext uri="{FF2B5EF4-FFF2-40B4-BE49-F238E27FC236}">
              <a16:creationId xmlns:a16="http://schemas.microsoft.com/office/drawing/2014/main" id="{00000000-0008-0000-0F00-000013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163" t="12640" r="9694" b="7841"/>
        <a:stretch/>
      </xdr:blipFill>
      <xdr:spPr bwMode="auto">
        <a:xfrm>
          <a:off x="8929688" y="6701910"/>
          <a:ext cx="1019087" cy="911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31750</xdr:colOff>
      <xdr:row>37</xdr:row>
      <xdr:rowOff>227891</xdr:rowOff>
    </xdr:from>
    <xdr:to>
      <xdr:col>11</xdr:col>
      <xdr:colOff>1852083</xdr:colOff>
      <xdr:row>40</xdr:row>
      <xdr:rowOff>192769</xdr:rowOff>
    </xdr:to>
    <xdr:pic>
      <xdr:nvPicPr>
        <xdr:cNvPr id="16" name="Picture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6"/>
        <a:stretch>
          <a:fillRect/>
        </a:stretch>
      </xdr:blipFill>
      <xdr:spPr>
        <a:xfrm>
          <a:off x="6326188" y="7808204"/>
          <a:ext cx="4691062" cy="675283"/>
        </a:xfrm>
        <a:prstGeom prst="rect">
          <a:avLst/>
        </a:prstGeom>
      </xdr:spPr>
    </xdr:pic>
    <xdr:clientData/>
  </xdr:twoCellAnchor>
  <xdr:twoCellAnchor editAs="oneCell">
    <xdr:from>
      <xdr:col>7</xdr:col>
      <xdr:colOff>63500</xdr:colOff>
      <xdr:row>42</xdr:row>
      <xdr:rowOff>58354</xdr:rowOff>
    </xdr:from>
    <xdr:to>
      <xdr:col>11</xdr:col>
      <xdr:colOff>2293937</xdr:colOff>
      <xdr:row>47</xdr:row>
      <xdr:rowOff>96423</xdr:rowOff>
    </xdr:to>
    <xdr:pic>
      <xdr:nvPicPr>
        <xdr:cNvPr id="17" name="Picture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7"/>
        <a:stretch>
          <a:fillRect/>
        </a:stretch>
      </xdr:blipFill>
      <xdr:spPr>
        <a:xfrm>
          <a:off x="5992813" y="8789604"/>
          <a:ext cx="5468937" cy="941621"/>
        </a:xfrm>
        <a:prstGeom prst="rect">
          <a:avLst/>
        </a:prstGeom>
      </xdr:spPr>
    </xdr:pic>
    <xdr:clientData/>
  </xdr:twoCellAnchor>
  <xdr:twoCellAnchor editAs="oneCell">
    <xdr:from>
      <xdr:col>14</xdr:col>
      <xdr:colOff>817562</xdr:colOff>
      <xdr:row>8</xdr:row>
      <xdr:rowOff>47625</xdr:rowOff>
    </xdr:from>
    <xdr:to>
      <xdr:col>14</xdr:col>
      <xdr:colOff>2246312</xdr:colOff>
      <xdr:row>14</xdr:row>
      <xdr:rowOff>34018</xdr:rowOff>
    </xdr:to>
    <xdr:pic>
      <xdr:nvPicPr>
        <xdr:cNvPr id="22" name="Picture 21" descr="Image result for 5S score radar chart">
          <a:extLst>
            <a:ext uri="{FF2B5EF4-FFF2-40B4-BE49-F238E27FC236}">
              <a16:creationId xmlns:a16="http://schemas.microsoft.com/office/drawing/2014/main" id="{00000000-0008-0000-0F00-000016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4390" b="29369"/>
        <a:stretch/>
      </xdr:blipFill>
      <xdr:spPr bwMode="auto">
        <a:xfrm>
          <a:off x="12842875" y="1468438"/>
          <a:ext cx="1428750" cy="1129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111125</xdr:colOff>
      <xdr:row>15</xdr:row>
      <xdr:rowOff>142875</xdr:rowOff>
    </xdr:from>
    <xdr:to>
      <xdr:col>14</xdr:col>
      <xdr:colOff>2263092</xdr:colOff>
      <xdr:row>22</xdr:row>
      <xdr:rowOff>104512</xdr:rowOff>
    </xdr:to>
    <xdr:pic>
      <xdr:nvPicPr>
        <xdr:cNvPr id="18" name="Picture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9"/>
        <a:stretch>
          <a:fillRect/>
        </a:stretch>
      </xdr:blipFill>
      <xdr:spPr>
        <a:xfrm>
          <a:off x="11850688" y="2897188"/>
          <a:ext cx="2437717" cy="1341438"/>
        </a:xfrm>
        <a:prstGeom prst="rect">
          <a:avLst/>
        </a:prstGeom>
      </xdr:spPr>
    </xdr:pic>
    <xdr:clientData/>
  </xdr:twoCellAnchor>
  <xdr:twoCellAnchor editAs="oneCell">
    <xdr:from>
      <xdr:col>14</xdr:col>
      <xdr:colOff>0</xdr:colOff>
      <xdr:row>35</xdr:row>
      <xdr:rowOff>0</xdr:rowOff>
    </xdr:from>
    <xdr:to>
      <xdr:col>14</xdr:col>
      <xdr:colOff>304800</xdr:colOff>
      <xdr:row>36</xdr:row>
      <xdr:rowOff>69585</xdr:rowOff>
    </xdr:to>
    <xdr:sp macro="" textlink="">
      <xdr:nvSpPr>
        <xdr:cNvPr id="15376" name="AutoShape 16" descr="Image result for blank certificate of excellence">
          <a:extLst>
            <a:ext uri="{FF2B5EF4-FFF2-40B4-BE49-F238E27FC236}">
              <a16:creationId xmlns:a16="http://schemas.microsoft.com/office/drawing/2014/main" id="{00000000-0008-0000-0F00-0000103C0000}"/>
            </a:ext>
          </a:extLst>
        </xdr:cNvPr>
        <xdr:cNvSpPr>
          <a:spLocks noChangeAspect="1" noChangeArrowheads="1"/>
        </xdr:cNvSpPr>
      </xdr:nvSpPr>
      <xdr:spPr bwMode="auto">
        <a:xfrm>
          <a:off x="12030075" y="710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71438</xdr:colOff>
      <xdr:row>36</xdr:row>
      <xdr:rowOff>190501</xdr:rowOff>
    </xdr:from>
    <xdr:to>
      <xdr:col>14</xdr:col>
      <xdr:colOff>2271420</xdr:colOff>
      <xdr:row>44</xdr:row>
      <xdr:rowOff>120384</xdr:rowOff>
    </xdr:to>
    <xdr:pic>
      <xdr:nvPicPr>
        <xdr:cNvPr id="25" name="Picture 24" descr="Image result for blank certificate of excellence">
          <a:extLst>
            <a:ext uri="{FF2B5EF4-FFF2-40B4-BE49-F238E27FC236}">
              <a16:creationId xmlns:a16="http://schemas.microsoft.com/office/drawing/2014/main" id="{00000000-0008-0000-0F00-000019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2724"/>
        <a:stretch/>
      </xdr:blipFill>
      <xdr:spPr bwMode="auto">
        <a:xfrm>
          <a:off x="11811001" y="7540626"/>
          <a:ext cx="2485732" cy="1682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1852893</xdr:colOff>
      <xdr:row>40</xdr:row>
      <xdr:rowOff>92636</xdr:rowOff>
    </xdr:from>
    <xdr:to>
      <xdr:col>2</xdr:col>
      <xdr:colOff>585508</xdr:colOff>
      <xdr:row>44</xdr:row>
      <xdr:rowOff>92635</xdr:rowOff>
    </xdr:to>
    <xdr:sp macro="" textlink="">
      <xdr:nvSpPr>
        <xdr:cNvPr id="2" name="AutoShape 1" descr="db5c0c47-5ec7-4a2a-a2f5-0399a45e0c23">
          <a:extLst>
            <a:ext uri="{FF2B5EF4-FFF2-40B4-BE49-F238E27FC236}">
              <a16:creationId xmlns:a16="http://schemas.microsoft.com/office/drawing/2014/main" id="{00000000-0008-0000-3000-000002000000}"/>
            </a:ext>
          </a:extLst>
        </xdr:cNvPr>
        <xdr:cNvSpPr>
          <a:spLocks noChangeArrowheads="1"/>
        </xdr:cNvSpPr>
      </xdr:nvSpPr>
      <xdr:spPr bwMode="auto">
        <a:xfrm>
          <a:off x="2458011" y="5583518"/>
          <a:ext cx="895350" cy="627529"/>
        </a:xfrm>
        <a:prstGeom prst="roundRect">
          <a:avLst>
            <a:gd name="adj" fmla="val 50000"/>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lnSpc>
              <a:spcPts val="1300"/>
            </a:lnSpc>
            <a:defRPr sz="1000"/>
          </a:pPr>
          <a:r>
            <a:rPr lang="en-US" sz="1200" b="0" i="0" u="none" strike="noStrike" baseline="0">
              <a:solidFill>
                <a:srgbClr val="000000"/>
              </a:solidFill>
              <a:latin typeface="Verdana"/>
              <a:ea typeface="Verdana"/>
              <a:cs typeface="Verdana"/>
            </a:rPr>
            <a:t>Start/Stop</a:t>
          </a:r>
        </a:p>
        <a:p>
          <a:pPr algn="l" rtl="0">
            <a:lnSpc>
              <a:spcPts val="1200"/>
            </a:lnSpc>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1</xdr:col>
      <xdr:colOff>882650</xdr:colOff>
      <xdr:row>13</xdr:row>
      <xdr:rowOff>60325</xdr:rowOff>
    </xdr:from>
    <xdr:to>
      <xdr:col>1</xdr:col>
      <xdr:colOff>1774046</xdr:colOff>
      <xdr:row>16</xdr:row>
      <xdr:rowOff>149225</xdr:rowOff>
    </xdr:to>
    <xdr:sp macro="" textlink="">
      <xdr:nvSpPr>
        <xdr:cNvPr id="3" name="Rectangle 2" descr="a159e8d6-1f47-4255-931a-6a609888c0ac">
          <a:extLst>
            <a:ext uri="{FF2B5EF4-FFF2-40B4-BE49-F238E27FC236}">
              <a16:creationId xmlns:a16="http://schemas.microsoft.com/office/drawing/2014/main" id="{00000000-0008-0000-3000-000003000000}"/>
            </a:ext>
          </a:extLst>
        </xdr:cNvPr>
        <xdr:cNvSpPr>
          <a:spLocks noChangeArrowheads="1"/>
        </xdr:cNvSpPr>
      </xdr:nvSpPr>
      <xdr:spPr bwMode="auto">
        <a:xfrm>
          <a:off x="1492250" y="2165350"/>
          <a:ext cx="891396" cy="574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US" sz="1200" b="0" i="0" u="none" strike="noStrike" baseline="0">
              <a:solidFill>
                <a:srgbClr val="000000"/>
              </a:solidFill>
              <a:latin typeface="Verdana"/>
              <a:ea typeface="Verdana"/>
              <a:cs typeface="Verdana"/>
            </a:rPr>
            <a:t>Step</a:t>
          </a:r>
        </a:p>
        <a:p>
          <a:pPr algn="l" rtl="0">
            <a:lnSpc>
              <a:spcPts val="1100"/>
            </a:lnSpc>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5</xdr:col>
      <xdr:colOff>1033930</xdr:colOff>
      <xdr:row>39</xdr:row>
      <xdr:rowOff>63313</xdr:rowOff>
    </xdr:from>
    <xdr:to>
      <xdr:col>6</xdr:col>
      <xdr:colOff>998071</xdr:colOff>
      <xdr:row>45</xdr:row>
      <xdr:rowOff>41119</xdr:rowOff>
    </xdr:to>
    <xdr:sp macro="" textlink="">
      <xdr:nvSpPr>
        <xdr:cNvPr id="4" name="AutoShape 3" descr="d0869e6d-da71-4b68-bfec-c78a5da622fd">
          <a:extLst>
            <a:ext uri="{FF2B5EF4-FFF2-40B4-BE49-F238E27FC236}">
              <a16:creationId xmlns:a16="http://schemas.microsoft.com/office/drawing/2014/main" id="{00000000-0008-0000-3000-000004000000}"/>
            </a:ext>
          </a:extLst>
        </xdr:cNvPr>
        <xdr:cNvSpPr>
          <a:spLocks noChangeArrowheads="1"/>
        </xdr:cNvSpPr>
      </xdr:nvSpPr>
      <xdr:spPr bwMode="auto">
        <a:xfrm>
          <a:off x="6827371" y="5397313"/>
          <a:ext cx="1028700" cy="919100"/>
        </a:xfrm>
        <a:prstGeom prst="diamond">
          <a:avLst/>
        </a:prstGeom>
        <a:solidFill>
          <a:srgbClr val="FFFFFF"/>
        </a:solidFill>
        <a:ln w="9525">
          <a:solidFill>
            <a:srgbClr val="000000"/>
          </a:solidFill>
          <a:miter lim="800000"/>
          <a:headEnd/>
          <a:tailEnd/>
        </a:ln>
      </xdr:spPr>
      <xdr:txBody>
        <a:bodyPr vertOverflow="clip" wrap="square" lIns="0" tIns="0" rIns="0" bIns="0" anchor="t" upright="1"/>
        <a:lstStyle/>
        <a:p>
          <a:pPr algn="l" rtl="0">
            <a:defRPr sz="1000"/>
          </a:pPr>
          <a:r>
            <a:rPr lang="en-US" sz="1400" b="0" i="0" u="none" strike="noStrike" baseline="0">
              <a:solidFill>
                <a:srgbClr val="000000"/>
              </a:solidFill>
              <a:latin typeface="Verdana"/>
              <a:ea typeface="Verdana"/>
              <a:cs typeface="Verdana"/>
            </a:rPr>
            <a:t>Question?</a:t>
          </a:r>
        </a:p>
        <a:p>
          <a:pPr algn="l" rtl="0">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1</xdr:col>
      <xdr:colOff>990600</xdr:colOff>
      <xdr:row>25</xdr:row>
      <xdr:rowOff>57150</xdr:rowOff>
    </xdr:from>
    <xdr:to>
      <xdr:col>1</xdr:col>
      <xdr:colOff>1819275</xdr:colOff>
      <xdr:row>25</xdr:row>
      <xdr:rowOff>57150</xdr:rowOff>
    </xdr:to>
    <xdr:cxnSp macro="">
      <xdr:nvCxnSpPr>
        <xdr:cNvPr id="5" name="AutoShape 4" descr="c732c19c-2544-4cd1-9b52-14d97e5d9b17">
          <a:extLst>
            <a:ext uri="{FF2B5EF4-FFF2-40B4-BE49-F238E27FC236}">
              <a16:creationId xmlns:a16="http://schemas.microsoft.com/office/drawing/2014/main" id="{00000000-0008-0000-3000-000005000000}"/>
            </a:ext>
          </a:extLst>
        </xdr:cNvPr>
        <xdr:cNvCxnSpPr>
          <a:cxnSpLocks noChangeShapeType="1"/>
        </xdr:cNvCxnSpPr>
      </xdr:nvCxnSpPr>
      <xdr:spPr bwMode="auto">
        <a:xfrm>
          <a:off x="1595718" y="3979209"/>
          <a:ext cx="828675" cy="0"/>
        </a:xfrm>
        <a:prstGeom prst="straightConnector1">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oneCellAnchor>
    <xdr:from>
      <xdr:col>2</xdr:col>
      <xdr:colOff>146050</xdr:colOff>
      <xdr:row>8</xdr:row>
      <xdr:rowOff>149225</xdr:rowOff>
    </xdr:from>
    <xdr:ext cx="2420086" cy="572529"/>
    <xdr:sp macro="" textlink="">
      <xdr:nvSpPr>
        <xdr:cNvPr id="6" name="Text Box 5">
          <a:extLst>
            <a:ext uri="{FF2B5EF4-FFF2-40B4-BE49-F238E27FC236}">
              <a16:creationId xmlns:a16="http://schemas.microsoft.com/office/drawing/2014/main" id="{00000000-0008-0000-3000-000006000000}"/>
            </a:ext>
          </a:extLst>
        </xdr:cNvPr>
        <xdr:cNvSpPr txBox="1">
          <a:spLocks noChangeArrowheads="1"/>
        </xdr:cNvSpPr>
      </xdr:nvSpPr>
      <xdr:spPr bwMode="auto">
        <a:xfrm>
          <a:off x="2917825" y="1444625"/>
          <a:ext cx="2420086" cy="572529"/>
        </a:xfrm>
        <a:prstGeom prst="rect">
          <a:avLst/>
        </a:prstGeom>
        <a:noFill/>
        <a:ln>
          <a:noFill/>
        </a:ln>
        <a:effectLst/>
        <a:extLst>
          <a:ext uri="{909E8E84-426E-40dd-AFC4-6F175D3DCCD1}"/>
          <a:ext uri="{91240B29-F687-4f45-9708-019B960494DF}"/>
          <a:ext uri="{AF507438-7753-43e0-B8FC-AC1667EBCBE1}"/>
        </a:extLst>
      </xdr:spPr>
      <xdr:txBody>
        <a:bodyPr wrap="none" lIns="91440" tIns="45720" rIns="91440" bIns="45720" anchor="t" upright="1">
          <a:spAutoFit/>
        </a:bodyPr>
        <a:lstStyle/>
        <a:p>
          <a:pPr algn="l" rtl="0">
            <a:defRPr sz="1000"/>
          </a:pPr>
          <a:r>
            <a:rPr lang="en-US" sz="1600" b="0" i="0" u="none" strike="noStrike" baseline="0">
              <a:solidFill>
                <a:srgbClr val="000000"/>
              </a:solidFill>
              <a:latin typeface="Verdana"/>
              <a:ea typeface="Verdana"/>
              <a:cs typeface="Verdana"/>
            </a:rPr>
            <a:t>Process start and end</a:t>
          </a:r>
        </a:p>
        <a:p>
          <a:pPr algn="l" rtl="0">
            <a:lnSpc>
              <a:spcPts val="1800"/>
            </a:lnSpc>
            <a:defRPr sz="1000"/>
          </a:pPr>
          <a:endParaRPr lang="en-US" sz="1600" b="0" i="1" u="none" strike="noStrike" baseline="0">
            <a:solidFill>
              <a:srgbClr val="000000"/>
            </a:solidFill>
            <a:latin typeface="Verdana"/>
            <a:ea typeface="Verdana"/>
            <a:cs typeface="Verdana"/>
          </a:endParaRPr>
        </a:p>
      </xdr:txBody>
    </xdr:sp>
    <xdr:clientData/>
  </xdr:oneCellAnchor>
  <xdr:oneCellAnchor>
    <xdr:from>
      <xdr:col>2</xdr:col>
      <xdr:colOff>146050</xdr:colOff>
      <xdr:row>13</xdr:row>
      <xdr:rowOff>38100</xdr:rowOff>
    </xdr:from>
    <xdr:ext cx="949042" cy="572529"/>
    <xdr:sp macro="" textlink="">
      <xdr:nvSpPr>
        <xdr:cNvPr id="7" name="Text Box 6">
          <a:extLst>
            <a:ext uri="{FF2B5EF4-FFF2-40B4-BE49-F238E27FC236}">
              <a16:creationId xmlns:a16="http://schemas.microsoft.com/office/drawing/2014/main" id="{00000000-0008-0000-3000-000007000000}"/>
            </a:ext>
          </a:extLst>
        </xdr:cNvPr>
        <xdr:cNvSpPr txBox="1">
          <a:spLocks noChangeArrowheads="1"/>
        </xdr:cNvSpPr>
      </xdr:nvSpPr>
      <xdr:spPr bwMode="auto">
        <a:xfrm>
          <a:off x="2917825" y="2143125"/>
          <a:ext cx="949042" cy="572529"/>
        </a:xfrm>
        <a:prstGeom prst="rect">
          <a:avLst/>
        </a:prstGeom>
        <a:noFill/>
        <a:ln>
          <a:noFill/>
        </a:ln>
        <a:effectLst/>
        <a:extLst>
          <a:ext uri="{909E8E84-426E-40dd-AFC4-6F175D3DCCD1}"/>
          <a:ext uri="{91240B29-F687-4f45-9708-019B960494DF}"/>
          <a:ext uri="{AF507438-7753-43e0-B8FC-AC1667EBCBE1}"/>
        </a:extLst>
      </xdr:spPr>
      <xdr:txBody>
        <a:bodyPr wrap="none" lIns="91440" tIns="45720" rIns="91440" bIns="45720" anchor="t" upright="1">
          <a:spAutoFit/>
        </a:bodyPr>
        <a:lstStyle/>
        <a:p>
          <a:pPr algn="l" rtl="0">
            <a:defRPr sz="1000"/>
          </a:pPr>
          <a:r>
            <a:rPr lang="en-US" sz="1600" b="0" i="0" u="none" strike="noStrike" baseline="0">
              <a:solidFill>
                <a:srgbClr val="000000"/>
              </a:solidFill>
              <a:latin typeface="Verdana"/>
              <a:ea typeface="Verdana"/>
              <a:cs typeface="Verdana"/>
            </a:rPr>
            <a:t>Activity</a:t>
          </a:r>
        </a:p>
        <a:p>
          <a:pPr algn="l" rtl="0">
            <a:lnSpc>
              <a:spcPts val="1800"/>
            </a:lnSpc>
            <a:defRPr sz="1000"/>
          </a:pPr>
          <a:endParaRPr lang="en-US" sz="1600" b="0" i="1" u="none" strike="noStrike" baseline="0">
            <a:solidFill>
              <a:srgbClr val="000000"/>
            </a:solidFill>
            <a:latin typeface="Verdana"/>
            <a:ea typeface="Verdana"/>
            <a:cs typeface="Verdana"/>
          </a:endParaRPr>
        </a:p>
      </xdr:txBody>
    </xdr:sp>
    <xdr:clientData/>
  </xdr:oneCellAnchor>
  <xdr:oneCellAnchor>
    <xdr:from>
      <xdr:col>2</xdr:col>
      <xdr:colOff>146050</xdr:colOff>
      <xdr:row>18</xdr:row>
      <xdr:rowOff>149225</xdr:rowOff>
    </xdr:from>
    <xdr:ext cx="2363468" cy="341697"/>
    <xdr:sp macro="" textlink="">
      <xdr:nvSpPr>
        <xdr:cNvPr id="8" name="Text Box 7">
          <a:extLst>
            <a:ext uri="{FF2B5EF4-FFF2-40B4-BE49-F238E27FC236}">
              <a16:creationId xmlns:a16="http://schemas.microsoft.com/office/drawing/2014/main" id="{00000000-0008-0000-3000-000008000000}"/>
            </a:ext>
          </a:extLst>
        </xdr:cNvPr>
        <xdr:cNvSpPr txBox="1">
          <a:spLocks noChangeArrowheads="1"/>
        </xdr:cNvSpPr>
      </xdr:nvSpPr>
      <xdr:spPr bwMode="auto">
        <a:xfrm>
          <a:off x="2917825" y="3063875"/>
          <a:ext cx="2363468" cy="341697"/>
        </a:xfrm>
        <a:prstGeom prst="rect">
          <a:avLst/>
        </a:prstGeom>
        <a:noFill/>
        <a:ln>
          <a:noFill/>
        </a:ln>
        <a:effectLst/>
        <a:extLst>
          <a:ext uri="{909E8E84-426E-40dd-AFC4-6F175D3DCCD1}"/>
          <a:ext uri="{91240B29-F687-4f45-9708-019B960494DF}"/>
          <a:ext uri="{AF507438-7753-43e0-B8FC-AC1667EBCBE1}"/>
        </a:extLst>
      </xdr:spPr>
      <xdr:txBody>
        <a:bodyPr wrap="none" lIns="91440" tIns="45720" rIns="91440" bIns="45720" anchor="t" upright="1">
          <a:spAutoFit/>
        </a:bodyPr>
        <a:lstStyle/>
        <a:p>
          <a:pPr algn="l" rtl="0">
            <a:defRPr sz="1000"/>
          </a:pPr>
          <a:r>
            <a:rPr lang="en-US" sz="1600" b="0" i="0" u="none" strike="noStrike" baseline="0">
              <a:solidFill>
                <a:srgbClr val="000000"/>
              </a:solidFill>
              <a:latin typeface="Verdana"/>
              <a:ea typeface="Verdana"/>
              <a:cs typeface="Verdana"/>
            </a:rPr>
            <a:t>Decision/Inspection </a:t>
          </a:r>
        </a:p>
      </xdr:txBody>
    </xdr:sp>
    <xdr:clientData/>
  </xdr:oneCellAnchor>
  <xdr:oneCellAnchor>
    <xdr:from>
      <xdr:col>2</xdr:col>
      <xdr:colOff>146050</xdr:colOff>
      <xdr:row>24</xdr:row>
      <xdr:rowOff>38100</xdr:rowOff>
    </xdr:from>
    <xdr:ext cx="2418739" cy="784830"/>
    <xdr:sp macro="" textlink="">
      <xdr:nvSpPr>
        <xdr:cNvPr id="9" name="Text Box 8">
          <a:extLst>
            <a:ext uri="{FF2B5EF4-FFF2-40B4-BE49-F238E27FC236}">
              <a16:creationId xmlns:a16="http://schemas.microsoft.com/office/drawing/2014/main" id="{00000000-0008-0000-3000-000009000000}"/>
            </a:ext>
          </a:extLst>
        </xdr:cNvPr>
        <xdr:cNvSpPr txBox="1">
          <a:spLocks noChangeArrowheads="1"/>
        </xdr:cNvSpPr>
      </xdr:nvSpPr>
      <xdr:spPr bwMode="auto">
        <a:xfrm>
          <a:off x="2917825" y="3924300"/>
          <a:ext cx="2418739" cy="784830"/>
        </a:xfrm>
        <a:prstGeom prst="rect">
          <a:avLst/>
        </a:prstGeom>
        <a:noFill/>
        <a:ln>
          <a:noFill/>
        </a:ln>
        <a:effectLst/>
        <a:extLst>
          <a:ext uri="{909E8E84-426E-40dd-AFC4-6F175D3DCCD1}"/>
          <a:ext uri="{91240B29-F687-4f45-9708-019B960494DF}"/>
          <a:ext uri="{AF507438-7753-43e0-B8FC-AC1667EBCBE1}"/>
        </a:extLst>
      </xdr:spPr>
      <xdr:txBody>
        <a:bodyPr wrap="none" lIns="91440" tIns="45720" rIns="91440" bIns="45720" anchor="t" upright="1">
          <a:spAutoFit/>
        </a:bodyPr>
        <a:lstStyle/>
        <a:p>
          <a:pPr algn="l" rtl="0">
            <a:lnSpc>
              <a:spcPts val="1800"/>
            </a:lnSpc>
            <a:defRPr sz="1000"/>
          </a:pPr>
          <a:r>
            <a:rPr lang="en-US" sz="1600" b="0" i="0" u="none" strike="noStrike" baseline="0">
              <a:solidFill>
                <a:srgbClr val="000000"/>
              </a:solidFill>
              <a:latin typeface="Verdana"/>
              <a:ea typeface="Verdana"/>
              <a:cs typeface="Verdana"/>
            </a:rPr>
            <a:t>To link the steps and </a:t>
          </a:r>
          <a:br>
            <a:rPr lang="en-US" sz="1600" b="0" i="0" u="none" strike="noStrike" baseline="0">
              <a:solidFill>
                <a:srgbClr val="000000"/>
              </a:solidFill>
              <a:latin typeface="Verdana"/>
              <a:ea typeface="Verdana"/>
              <a:cs typeface="Verdana"/>
            </a:rPr>
          </a:br>
          <a:r>
            <a:rPr lang="en-US" sz="1600" b="0" i="0" u="none" strike="noStrike" baseline="0">
              <a:solidFill>
                <a:srgbClr val="000000"/>
              </a:solidFill>
              <a:latin typeface="Verdana"/>
              <a:ea typeface="Verdana"/>
              <a:cs typeface="Verdana"/>
            </a:rPr>
            <a:t>showing the flow</a:t>
          </a:r>
        </a:p>
        <a:p>
          <a:pPr algn="l" rtl="0">
            <a:lnSpc>
              <a:spcPts val="1800"/>
            </a:lnSpc>
            <a:defRPr sz="1000"/>
          </a:pPr>
          <a:endParaRPr lang="en-US" sz="1600" b="0" i="0" u="none" strike="noStrike" baseline="0">
            <a:solidFill>
              <a:srgbClr val="000000"/>
            </a:solidFill>
            <a:latin typeface="Verdana"/>
            <a:ea typeface="Verdana"/>
            <a:cs typeface="Verdana"/>
          </a:endParaRPr>
        </a:p>
      </xdr:txBody>
    </xdr:sp>
    <xdr:clientData/>
  </xdr:oneCellAnchor>
  <xdr:twoCellAnchor>
    <xdr:from>
      <xdr:col>3</xdr:col>
      <xdr:colOff>539750</xdr:colOff>
      <xdr:row>41</xdr:row>
      <xdr:rowOff>2615</xdr:rowOff>
    </xdr:from>
    <xdr:to>
      <xdr:col>4</xdr:col>
      <xdr:colOff>164882</xdr:colOff>
      <xdr:row>44</xdr:row>
      <xdr:rowOff>91515</xdr:rowOff>
    </xdr:to>
    <xdr:sp macro="" textlink="">
      <xdr:nvSpPr>
        <xdr:cNvPr id="10" name="Rectangle 9" descr="a159e8d6-1f47-4255-931a-6a609888c0ac">
          <a:extLst>
            <a:ext uri="{FF2B5EF4-FFF2-40B4-BE49-F238E27FC236}">
              <a16:creationId xmlns:a16="http://schemas.microsoft.com/office/drawing/2014/main" id="{00000000-0008-0000-3000-00000A000000}"/>
            </a:ext>
          </a:extLst>
        </xdr:cNvPr>
        <xdr:cNvSpPr>
          <a:spLocks noChangeArrowheads="1"/>
        </xdr:cNvSpPr>
      </xdr:nvSpPr>
      <xdr:spPr bwMode="auto">
        <a:xfrm>
          <a:off x="3912721" y="5650380"/>
          <a:ext cx="891396" cy="55954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US" sz="1200" b="0" i="0" u="none" strike="noStrike" baseline="0">
              <a:solidFill>
                <a:srgbClr val="000000"/>
              </a:solidFill>
              <a:latin typeface="Verdana"/>
              <a:ea typeface="Verdana"/>
              <a:cs typeface="Verdana"/>
            </a:rPr>
            <a:t>Step</a:t>
          </a:r>
        </a:p>
        <a:p>
          <a:pPr algn="l" rtl="0">
            <a:lnSpc>
              <a:spcPts val="1100"/>
            </a:lnSpc>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2</xdr:col>
      <xdr:colOff>582707</xdr:colOff>
      <xdr:row>42</xdr:row>
      <xdr:rowOff>63873</xdr:rowOff>
    </xdr:from>
    <xdr:to>
      <xdr:col>3</xdr:col>
      <xdr:colOff>537882</xdr:colOff>
      <xdr:row>42</xdr:row>
      <xdr:rowOff>63873</xdr:rowOff>
    </xdr:to>
    <xdr:cxnSp macro="">
      <xdr:nvCxnSpPr>
        <xdr:cNvPr id="14" name="AutoShape 4" descr="c732c19c-2544-4cd1-9b52-14d97e5d9b17">
          <a:extLst>
            <a:ext uri="{FF2B5EF4-FFF2-40B4-BE49-F238E27FC236}">
              <a16:creationId xmlns:a16="http://schemas.microsoft.com/office/drawing/2014/main" id="{00000000-0008-0000-3000-00000E000000}"/>
            </a:ext>
          </a:extLst>
        </xdr:cNvPr>
        <xdr:cNvCxnSpPr>
          <a:cxnSpLocks noChangeShapeType="1"/>
        </xdr:cNvCxnSpPr>
      </xdr:nvCxnSpPr>
      <xdr:spPr bwMode="auto">
        <a:xfrm>
          <a:off x="3350560" y="5868520"/>
          <a:ext cx="560293" cy="0"/>
        </a:xfrm>
        <a:prstGeom prst="straightConnector1">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725769</xdr:colOff>
      <xdr:row>40</xdr:row>
      <xdr:rowOff>155016</xdr:rowOff>
    </xdr:from>
    <xdr:to>
      <xdr:col>5</xdr:col>
      <xdr:colOff>462959</xdr:colOff>
      <xdr:row>44</xdr:row>
      <xdr:rowOff>87033</xdr:rowOff>
    </xdr:to>
    <xdr:sp macro="" textlink="">
      <xdr:nvSpPr>
        <xdr:cNvPr id="16" name="Rectangle 15" descr="a159e8d6-1f47-4255-931a-6a609888c0ac">
          <a:extLst>
            <a:ext uri="{FF2B5EF4-FFF2-40B4-BE49-F238E27FC236}">
              <a16:creationId xmlns:a16="http://schemas.microsoft.com/office/drawing/2014/main" id="{00000000-0008-0000-3000-000010000000}"/>
            </a:ext>
          </a:extLst>
        </xdr:cNvPr>
        <xdr:cNvSpPr>
          <a:spLocks noChangeArrowheads="1"/>
        </xdr:cNvSpPr>
      </xdr:nvSpPr>
      <xdr:spPr bwMode="auto">
        <a:xfrm>
          <a:off x="5365004" y="5645898"/>
          <a:ext cx="891396" cy="55954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US" sz="1200" b="0" i="0" u="none" strike="noStrike" baseline="0">
              <a:solidFill>
                <a:srgbClr val="000000"/>
              </a:solidFill>
              <a:latin typeface="Verdana"/>
              <a:ea typeface="Verdana"/>
              <a:cs typeface="Verdana"/>
            </a:rPr>
            <a:t>Step</a:t>
          </a:r>
        </a:p>
        <a:p>
          <a:pPr algn="l" rtl="0">
            <a:lnSpc>
              <a:spcPts val="1100"/>
            </a:lnSpc>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4</xdr:col>
      <xdr:colOff>163608</xdr:colOff>
      <xdr:row>42</xdr:row>
      <xdr:rowOff>59391</xdr:rowOff>
    </xdr:from>
    <xdr:to>
      <xdr:col>4</xdr:col>
      <xdr:colOff>723901</xdr:colOff>
      <xdr:row>42</xdr:row>
      <xdr:rowOff>59391</xdr:rowOff>
    </xdr:to>
    <xdr:cxnSp macro="">
      <xdr:nvCxnSpPr>
        <xdr:cNvPr id="17" name="AutoShape 4" descr="c732c19c-2544-4cd1-9b52-14d97e5d9b17">
          <a:extLst>
            <a:ext uri="{FF2B5EF4-FFF2-40B4-BE49-F238E27FC236}">
              <a16:creationId xmlns:a16="http://schemas.microsoft.com/office/drawing/2014/main" id="{00000000-0008-0000-3000-000011000000}"/>
            </a:ext>
          </a:extLst>
        </xdr:cNvPr>
        <xdr:cNvCxnSpPr>
          <a:cxnSpLocks noChangeShapeType="1"/>
        </xdr:cNvCxnSpPr>
      </xdr:nvCxnSpPr>
      <xdr:spPr bwMode="auto">
        <a:xfrm>
          <a:off x="4802843" y="5864038"/>
          <a:ext cx="560293" cy="0"/>
        </a:xfrm>
        <a:prstGeom prst="straightConnector1">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452345</xdr:colOff>
      <xdr:row>40</xdr:row>
      <xdr:rowOff>72093</xdr:rowOff>
    </xdr:from>
    <xdr:to>
      <xdr:col>11</xdr:col>
      <xdr:colOff>133506</xdr:colOff>
      <xdr:row>44</xdr:row>
      <xdr:rowOff>4110</xdr:rowOff>
    </xdr:to>
    <xdr:sp macro="" textlink="">
      <xdr:nvSpPr>
        <xdr:cNvPr id="18" name="Rectangle 17" descr="a159e8d6-1f47-4255-931a-6a609888c0ac">
          <a:extLst>
            <a:ext uri="{FF2B5EF4-FFF2-40B4-BE49-F238E27FC236}">
              <a16:creationId xmlns:a16="http://schemas.microsoft.com/office/drawing/2014/main" id="{00000000-0008-0000-3000-000012000000}"/>
            </a:ext>
          </a:extLst>
        </xdr:cNvPr>
        <xdr:cNvSpPr>
          <a:spLocks noChangeArrowheads="1"/>
        </xdr:cNvSpPr>
      </xdr:nvSpPr>
      <xdr:spPr bwMode="auto">
        <a:xfrm>
          <a:off x="9831669" y="5562975"/>
          <a:ext cx="891396" cy="55954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US" sz="1200" b="0" i="0" u="none" strike="noStrike" baseline="0">
              <a:solidFill>
                <a:srgbClr val="000000"/>
              </a:solidFill>
              <a:latin typeface="Verdana"/>
              <a:ea typeface="Verdana"/>
              <a:cs typeface="Verdana"/>
            </a:rPr>
            <a:t>Step</a:t>
          </a:r>
        </a:p>
        <a:p>
          <a:pPr algn="l" rtl="0">
            <a:lnSpc>
              <a:spcPts val="1100"/>
            </a:lnSpc>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8</xdr:col>
      <xdr:colOff>988360</xdr:colOff>
      <xdr:row>42</xdr:row>
      <xdr:rowOff>21292</xdr:rowOff>
    </xdr:from>
    <xdr:to>
      <xdr:col>9</xdr:col>
      <xdr:colOff>450476</xdr:colOff>
      <xdr:row>42</xdr:row>
      <xdr:rowOff>21292</xdr:rowOff>
    </xdr:to>
    <xdr:cxnSp macro="">
      <xdr:nvCxnSpPr>
        <xdr:cNvPr id="19" name="AutoShape 4" descr="c732c19c-2544-4cd1-9b52-14d97e5d9b17">
          <a:extLst>
            <a:ext uri="{FF2B5EF4-FFF2-40B4-BE49-F238E27FC236}">
              <a16:creationId xmlns:a16="http://schemas.microsoft.com/office/drawing/2014/main" id="{00000000-0008-0000-3000-000013000000}"/>
            </a:ext>
          </a:extLst>
        </xdr:cNvPr>
        <xdr:cNvCxnSpPr>
          <a:cxnSpLocks noChangeShapeType="1"/>
        </xdr:cNvCxnSpPr>
      </xdr:nvCxnSpPr>
      <xdr:spPr bwMode="auto">
        <a:xfrm>
          <a:off x="9269507" y="5825939"/>
          <a:ext cx="560293" cy="0"/>
        </a:xfrm>
        <a:prstGeom prst="straightConnector1">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111686</xdr:colOff>
      <xdr:row>49</xdr:row>
      <xdr:rowOff>101227</xdr:rowOff>
    </xdr:from>
    <xdr:to>
      <xdr:col>6</xdr:col>
      <xdr:colOff>1003082</xdr:colOff>
      <xdr:row>53</xdr:row>
      <xdr:rowOff>33245</xdr:rowOff>
    </xdr:to>
    <xdr:sp macro="" textlink="">
      <xdr:nvSpPr>
        <xdr:cNvPr id="20" name="Rectangle 19" descr="a159e8d6-1f47-4255-931a-6a609888c0ac">
          <a:extLst>
            <a:ext uri="{FF2B5EF4-FFF2-40B4-BE49-F238E27FC236}">
              <a16:creationId xmlns:a16="http://schemas.microsoft.com/office/drawing/2014/main" id="{00000000-0008-0000-3000-000014000000}"/>
            </a:ext>
          </a:extLst>
        </xdr:cNvPr>
        <xdr:cNvSpPr>
          <a:spLocks noChangeArrowheads="1"/>
        </xdr:cNvSpPr>
      </xdr:nvSpPr>
      <xdr:spPr bwMode="auto">
        <a:xfrm>
          <a:off x="6969686" y="7004051"/>
          <a:ext cx="891396" cy="55954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US" sz="1200" b="0" i="0" u="none" strike="noStrike" baseline="0">
              <a:solidFill>
                <a:srgbClr val="000000"/>
              </a:solidFill>
              <a:latin typeface="Verdana"/>
              <a:ea typeface="Verdana"/>
              <a:cs typeface="Verdana"/>
            </a:rPr>
            <a:t>Step</a:t>
          </a:r>
        </a:p>
        <a:p>
          <a:pPr algn="l" rtl="0">
            <a:lnSpc>
              <a:spcPts val="1100"/>
            </a:lnSpc>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8</xdr:col>
      <xdr:colOff>118410</xdr:colOff>
      <xdr:row>40</xdr:row>
      <xdr:rowOff>29511</xdr:rowOff>
    </xdr:from>
    <xdr:to>
      <xdr:col>8</xdr:col>
      <xdr:colOff>1009806</xdr:colOff>
      <xdr:row>43</xdr:row>
      <xdr:rowOff>118411</xdr:rowOff>
    </xdr:to>
    <xdr:sp macro="" textlink="">
      <xdr:nvSpPr>
        <xdr:cNvPr id="22" name="Rectangle 21" descr="a159e8d6-1f47-4255-931a-6a609888c0ac">
          <a:extLst>
            <a:ext uri="{FF2B5EF4-FFF2-40B4-BE49-F238E27FC236}">
              <a16:creationId xmlns:a16="http://schemas.microsoft.com/office/drawing/2014/main" id="{00000000-0008-0000-3000-000016000000}"/>
            </a:ext>
          </a:extLst>
        </xdr:cNvPr>
        <xdr:cNvSpPr>
          <a:spLocks noChangeArrowheads="1"/>
        </xdr:cNvSpPr>
      </xdr:nvSpPr>
      <xdr:spPr bwMode="auto">
        <a:xfrm>
          <a:off x="8399557" y="5520393"/>
          <a:ext cx="891396" cy="559547"/>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US" sz="1200" b="0" i="0" u="none" strike="noStrike" baseline="0">
              <a:solidFill>
                <a:srgbClr val="000000"/>
              </a:solidFill>
              <a:latin typeface="Verdana"/>
              <a:ea typeface="Verdana"/>
              <a:cs typeface="Verdana"/>
            </a:rPr>
            <a:t>Step</a:t>
          </a:r>
        </a:p>
        <a:p>
          <a:pPr algn="l" rtl="0">
            <a:lnSpc>
              <a:spcPts val="1100"/>
            </a:lnSpc>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5</xdr:col>
      <xdr:colOff>470649</xdr:colOff>
      <xdr:row>42</xdr:row>
      <xdr:rowOff>41462</xdr:rowOff>
    </xdr:from>
    <xdr:to>
      <xdr:col>5</xdr:col>
      <xdr:colOff>1030942</xdr:colOff>
      <xdr:row>42</xdr:row>
      <xdr:rowOff>41462</xdr:rowOff>
    </xdr:to>
    <xdr:cxnSp macro="">
      <xdr:nvCxnSpPr>
        <xdr:cNvPr id="28" name="AutoShape 4" descr="c732c19c-2544-4cd1-9b52-14d97e5d9b17">
          <a:extLst>
            <a:ext uri="{FF2B5EF4-FFF2-40B4-BE49-F238E27FC236}">
              <a16:creationId xmlns:a16="http://schemas.microsoft.com/office/drawing/2014/main" id="{00000000-0008-0000-3000-00001C000000}"/>
            </a:ext>
          </a:extLst>
        </xdr:cNvPr>
        <xdr:cNvCxnSpPr>
          <a:cxnSpLocks noChangeShapeType="1"/>
        </xdr:cNvCxnSpPr>
      </xdr:nvCxnSpPr>
      <xdr:spPr bwMode="auto">
        <a:xfrm>
          <a:off x="6264090" y="5846109"/>
          <a:ext cx="560293" cy="0"/>
        </a:xfrm>
        <a:prstGeom prst="straightConnector1">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1004049</xdr:colOff>
      <xdr:row>42</xdr:row>
      <xdr:rowOff>59391</xdr:rowOff>
    </xdr:from>
    <xdr:to>
      <xdr:col>8</xdr:col>
      <xdr:colOff>141195</xdr:colOff>
      <xdr:row>42</xdr:row>
      <xdr:rowOff>59391</xdr:rowOff>
    </xdr:to>
    <xdr:cxnSp macro="">
      <xdr:nvCxnSpPr>
        <xdr:cNvPr id="29" name="AutoShape 4" descr="c732c19c-2544-4cd1-9b52-14d97e5d9b17">
          <a:extLst>
            <a:ext uri="{FF2B5EF4-FFF2-40B4-BE49-F238E27FC236}">
              <a16:creationId xmlns:a16="http://schemas.microsoft.com/office/drawing/2014/main" id="{00000000-0008-0000-3000-00001D000000}"/>
            </a:ext>
          </a:extLst>
        </xdr:cNvPr>
        <xdr:cNvCxnSpPr>
          <a:cxnSpLocks noChangeShapeType="1"/>
        </xdr:cNvCxnSpPr>
      </xdr:nvCxnSpPr>
      <xdr:spPr bwMode="auto">
        <a:xfrm>
          <a:off x="7862049" y="5864038"/>
          <a:ext cx="560293" cy="0"/>
        </a:xfrm>
        <a:prstGeom prst="straightConnector1">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484096</xdr:colOff>
      <xdr:row>45</xdr:row>
      <xdr:rowOff>10085</xdr:rowOff>
    </xdr:from>
    <xdr:to>
      <xdr:col>6</xdr:col>
      <xdr:colOff>504265</xdr:colOff>
      <xdr:row>49</xdr:row>
      <xdr:rowOff>112058</xdr:rowOff>
    </xdr:to>
    <xdr:cxnSp macro="">
      <xdr:nvCxnSpPr>
        <xdr:cNvPr id="30" name="AutoShape 4" descr="c732c19c-2544-4cd1-9b52-14d97e5d9b17">
          <a:extLst>
            <a:ext uri="{FF2B5EF4-FFF2-40B4-BE49-F238E27FC236}">
              <a16:creationId xmlns:a16="http://schemas.microsoft.com/office/drawing/2014/main" id="{00000000-0008-0000-3000-00001E000000}"/>
            </a:ext>
          </a:extLst>
        </xdr:cNvPr>
        <xdr:cNvCxnSpPr>
          <a:cxnSpLocks noChangeShapeType="1"/>
        </xdr:cNvCxnSpPr>
      </xdr:nvCxnSpPr>
      <xdr:spPr bwMode="auto">
        <a:xfrm>
          <a:off x="7342096" y="6285379"/>
          <a:ext cx="20169" cy="729503"/>
        </a:xfrm>
        <a:prstGeom prst="straightConnector1">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762000</xdr:colOff>
      <xdr:row>7</xdr:row>
      <xdr:rowOff>144183</xdr:rowOff>
    </xdr:from>
    <xdr:to>
      <xdr:col>1</xdr:col>
      <xdr:colOff>1860176</xdr:colOff>
      <xdr:row>11</xdr:row>
      <xdr:rowOff>144182</xdr:rowOff>
    </xdr:to>
    <xdr:sp macro="" textlink="">
      <xdr:nvSpPr>
        <xdr:cNvPr id="32" name="AutoShape 1" descr="db5c0c47-5ec7-4a2a-a2f5-0399a45e0c23">
          <a:extLst>
            <a:ext uri="{FF2B5EF4-FFF2-40B4-BE49-F238E27FC236}">
              <a16:creationId xmlns:a16="http://schemas.microsoft.com/office/drawing/2014/main" id="{00000000-0008-0000-3000-000020000000}"/>
            </a:ext>
          </a:extLst>
        </xdr:cNvPr>
        <xdr:cNvSpPr>
          <a:spLocks noChangeArrowheads="1"/>
        </xdr:cNvSpPr>
      </xdr:nvSpPr>
      <xdr:spPr bwMode="auto">
        <a:xfrm>
          <a:off x="1355912" y="1556124"/>
          <a:ext cx="1098176" cy="761999"/>
        </a:xfrm>
        <a:prstGeom prst="roundRect">
          <a:avLst>
            <a:gd name="adj" fmla="val 50000"/>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lnSpc>
              <a:spcPts val="1300"/>
            </a:lnSpc>
            <a:defRPr sz="1000"/>
          </a:pPr>
          <a:r>
            <a:rPr lang="en-US" sz="1200" b="0" i="0" u="none" strike="noStrike" baseline="0">
              <a:solidFill>
                <a:srgbClr val="000000"/>
              </a:solidFill>
              <a:latin typeface="Verdana"/>
              <a:ea typeface="Verdana"/>
              <a:cs typeface="Verdana"/>
            </a:rPr>
            <a:t>Start/</a:t>
          </a:r>
        </a:p>
        <a:p>
          <a:pPr algn="l" rtl="0">
            <a:lnSpc>
              <a:spcPts val="1300"/>
            </a:lnSpc>
            <a:defRPr sz="1000"/>
          </a:pPr>
          <a:r>
            <a:rPr lang="en-US" sz="1200" b="0" i="0" u="none" strike="noStrike" baseline="0">
              <a:solidFill>
                <a:srgbClr val="000000"/>
              </a:solidFill>
              <a:latin typeface="Verdana"/>
              <a:ea typeface="Verdana"/>
              <a:cs typeface="Verdana"/>
            </a:rPr>
            <a:t>Stop</a:t>
          </a:r>
        </a:p>
        <a:p>
          <a:pPr algn="l" rtl="0">
            <a:lnSpc>
              <a:spcPts val="1200"/>
            </a:lnSpc>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1</xdr:col>
      <xdr:colOff>805329</xdr:colOff>
      <xdr:row>17</xdr:row>
      <xdr:rowOff>148478</xdr:rowOff>
    </xdr:from>
    <xdr:to>
      <xdr:col>1</xdr:col>
      <xdr:colOff>1834029</xdr:colOff>
      <xdr:row>23</xdr:row>
      <xdr:rowOff>126284</xdr:rowOff>
    </xdr:to>
    <xdr:sp macro="" textlink="">
      <xdr:nvSpPr>
        <xdr:cNvPr id="33" name="AutoShape 3" descr="d0869e6d-da71-4b68-bfec-c78a5da622fd">
          <a:extLst>
            <a:ext uri="{FF2B5EF4-FFF2-40B4-BE49-F238E27FC236}">
              <a16:creationId xmlns:a16="http://schemas.microsoft.com/office/drawing/2014/main" id="{00000000-0008-0000-3000-000021000000}"/>
            </a:ext>
          </a:extLst>
        </xdr:cNvPr>
        <xdr:cNvSpPr>
          <a:spLocks noChangeArrowheads="1"/>
        </xdr:cNvSpPr>
      </xdr:nvSpPr>
      <xdr:spPr bwMode="auto">
        <a:xfrm>
          <a:off x="1410447" y="2994772"/>
          <a:ext cx="1028700" cy="919100"/>
        </a:xfrm>
        <a:prstGeom prst="diamond">
          <a:avLst/>
        </a:prstGeom>
        <a:solidFill>
          <a:srgbClr val="FFFFFF"/>
        </a:solidFill>
        <a:ln w="9525">
          <a:solidFill>
            <a:srgbClr val="000000"/>
          </a:solidFill>
          <a:miter lim="800000"/>
          <a:headEnd/>
          <a:tailEnd/>
        </a:ln>
      </xdr:spPr>
      <xdr:txBody>
        <a:bodyPr vertOverflow="clip" wrap="square" lIns="0" tIns="0" rIns="0" bIns="0" anchor="t" upright="1"/>
        <a:lstStyle/>
        <a:p>
          <a:pPr algn="l" rtl="0">
            <a:defRPr sz="1000"/>
          </a:pPr>
          <a:r>
            <a:rPr lang="en-US" sz="1200" b="0" i="0" u="none" strike="noStrike" baseline="0">
              <a:solidFill>
                <a:srgbClr val="000000"/>
              </a:solidFill>
              <a:latin typeface="Verdana"/>
              <a:ea typeface="Verdana"/>
              <a:cs typeface="Verdana"/>
            </a:rPr>
            <a:t>Question?</a:t>
          </a:r>
        </a:p>
        <a:p>
          <a:pPr algn="l" rtl="0">
            <a:defRPr sz="1000"/>
          </a:pPr>
          <a:endParaRPr lang="en-US" sz="1200" b="0" i="0" u="none" strike="noStrike" baseline="0">
            <a:solidFill>
              <a:srgbClr val="000000"/>
            </a:solidFill>
            <a:latin typeface="Verdana"/>
            <a:ea typeface="Verdana"/>
            <a:cs typeface="Verdana"/>
          </a:endParaRPr>
        </a:p>
      </xdr:txBody>
    </xdr:sp>
    <xdr:clientData/>
  </xdr:twoCellAnchor>
  <xdr:twoCellAnchor>
    <xdr:from>
      <xdr:col>1</xdr:col>
      <xdr:colOff>1064558</xdr:colOff>
      <xdr:row>27</xdr:row>
      <xdr:rowOff>134469</xdr:rowOff>
    </xdr:from>
    <xdr:to>
      <xdr:col>1</xdr:col>
      <xdr:colOff>1848970</xdr:colOff>
      <xdr:row>31</xdr:row>
      <xdr:rowOff>100854</xdr:rowOff>
    </xdr:to>
    <xdr:sp macro="" textlink="">
      <xdr:nvSpPr>
        <xdr:cNvPr id="11" name="Flowchart: Delay 10">
          <a:extLst>
            <a:ext uri="{FF2B5EF4-FFF2-40B4-BE49-F238E27FC236}">
              <a16:creationId xmlns:a16="http://schemas.microsoft.com/office/drawing/2014/main" id="{00000000-0008-0000-3000-00000B000000}"/>
            </a:ext>
          </a:extLst>
        </xdr:cNvPr>
        <xdr:cNvSpPr/>
      </xdr:nvSpPr>
      <xdr:spPr>
        <a:xfrm>
          <a:off x="1669676" y="4549587"/>
          <a:ext cx="784412" cy="593914"/>
        </a:xfrm>
        <a:prstGeom prst="flowChartDelay">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CA" sz="1200">
              <a:latin typeface="Verdana" panose="020B0604030504040204" pitchFamily="34" charset="0"/>
              <a:ea typeface="Verdana" panose="020B0604030504040204" pitchFamily="34" charset="0"/>
              <a:cs typeface="Verdana" panose="020B0604030504040204" pitchFamily="34" charset="0"/>
            </a:rPr>
            <a:t>Delay</a:t>
          </a:r>
        </a:p>
      </xdr:txBody>
    </xdr:sp>
    <xdr:clientData/>
  </xdr:twoCellAnchor>
  <xdr:twoCellAnchor editAs="oneCell">
    <xdr:from>
      <xdr:col>16</xdr:col>
      <xdr:colOff>270061</xdr:colOff>
      <xdr:row>5</xdr:row>
      <xdr:rowOff>75639</xdr:rowOff>
    </xdr:from>
    <xdr:to>
      <xdr:col>18</xdr:col>
      <xdr:colOff>213631</xdr:colOff>
      <xdr:row>11</xdr:row>
      <xdr:rowOff>58430</xdr:rowOff>
    </xdr:to>
    <xdr:pic>
      <xdr:nvPicPr>
        <xdr:cNvPr id="25" name="Picture 1">
          <a:extLst>
            <a:ext uri="{FF2B5EF4-FFF2-40B4-BE49-F238E27FC236}">
              <a16:creationId xmlns:a16="http://schemas.microsoft.com/office/drawing/2014/main" id="{00000000-0008-0000-3000-00001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770473" y="904874"/>
          <a:ext cx="1140198" cy="1123390"/>
        </a:xfrm>
        <a:prstGeom prst="rect">
          <a:avLst/>
        </a:prstGeom>
        <a:noFill/>
        <a:ln w="1">
          <a:noFill/>
          <a:miter lim="800000"/>
          <a:headEnd/>
          <a:tailEnd type="none" w="med" len="med"/>
        </a:ln>
        <a:effectLst/>
      </xdr:spPr>
    </xdr:pic>
    <xdr:clientData/>
  </xdr:twoCellAnchor>
  <xdr:twoCellAnchor editAs="oneCell">
    <xdr:from>
      <xdr:col>31</xdr:col>
      <xdr:colOff>133350</xdr:colOff>
      <xdr:row>5</xdr:row>
      <xdr:rowOff>100853</xdr:rowOff>
    </xdr:from>
    <xdr:to>
      <xdr:col>33</xdr:col>
      <xdr:colOff>78439</xdr:colOff>
      <xdr:row>11</xdr:row>
      <xdr:rowOff>75385</xdr:rowOff>
    </xdr:to>
    <xdr:pic>
      <xdr:nvPicPr>
        <xdr:cNvPr id="26" name="Picture 2">
          <a:extLst>
            <a:ext uri="{FF2B5EF4-FFF2-40B4-BE49-F238E27FC236}">
              <a16:creationId xmlns:a16="http://schemas.microsoft.com/office/drawing/2014/main" id="{00000000-0008-0000-3000-00001A000000}"/>
            </a:ext>
          </a:extLst>
        </xdr:cNvPr>
        <xdr:cNvPicPr>
          <a:picLocks noChangeAspect="1" noChangeArrowheads="1"/>
        </xdr:cNvPicPr>
      </xdr:nvPicPr>
      <xdr:blipFill rotWithShape="1">
        <a:blip xmlns:r="http://schemas.openxmlformats.org/officeDocument/2006/relationships" r:embed="rId2" cstate="print"/>
        <a:srcRect t="16263" r="13158" b="9343"/>
        <a:stretch/>
      </xdr:blipFill>
      <xdr:spPr bwMode="auto">
        <a:xfrm>
          <a:off x="23542438" y="918882"/>
          <a:ext cx="1155326" cy="1115131"/>
        </a:xfrm>
        <a:prstGeom prst="rect">
          <a:avLst/>
        </a:prstGeom>
        <a:noFill/>
        <a:ln w="1">
          <a:noFill/>
          <a:miter lim="800000"/>
          <a:headEnd/>
          <a:tailEnd type="none" w="med" len="med"/>
        </a:ln>
        <a:effectLst/>
      </xdr:spPr>
    </xdr:pic>
    <xdr:clientData/>
  </xdr:twoCellAnchor>
  <xdr:twoCellAnchor editAs="oneCell">
    <xdr:from>
      <xdr:col>34</xdr:col>
      <xdr:colOff>270622</xdr:colOff>
      <xdr:row>5</xdr:row>
      <xdr:rowOff>88526</xdr:rowOff>
    </xdr:from>
    <xdr:to>
      <xdr:col>36</xdr:col>
      <xdr:colOff>235322</xdr:colOff>
      <xdr:row>11</xdr:row>
      <xdr:rowOff>82418</xdr:rowOff>
    </xdr:to>
    <xdr:pic>
      <xdr:nvPicPr>
        <xdr:cNvPr id="27" name="Picture 3">
          <a:extLst>
            <a:ext uri="{FF2B5EF4-FFF2-40B4-BE49-F238E27FC236}">
              <a16:creationId xmlns:a16="http://schemas.microsoft.com/office/drawing/2014/main" id="{00000000-0008-0000-3000-00001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334504" y="4862232"/>
          <a:ext cx="1174937" cy="1134491"/>
        </a:xfrm>
        <a:prstGeom prst="rect">
          <a:avLst/>
        </a:prstGeom>
        <a:noFill/>
        <a:ln w="1">
          <a:noFill/>
          <a:miter lim="800000"/>
          <a:headEnd/>
          <a:tailEnd type="none" w="med" len="med"/>
        </a:ln>
        <a:effectLst/>
      </xdr:spPr>
    </xdr:pic>
    <xdr:clientData/>
  </xdr:twoCellAnchor>
  <xdr:twoCellAnchor editAs="oneCell">
    <xdr:from>
      <xdr:col>19</xdr:col>
      <xdr:colOff>304800</xdr:colOff>
      <xdr:row>6</xdr:row>
      <xdr:rowOff>95250</xdr:rowOff>
    </xdr:from>
    <xdr:to>
      <xdr:col>21</xdr:col>
      <xdr:colOff>495526</xdr:colOff>
      <xdr:row>9</xdr:row>
      <xdr:rowOff>95250</xdr:rowOff>
    </xdr:to>
    <xdr:pic>
      <xdr:nvPicPr>
        <xdr:cNvPr id="31" name="Picture 4">
          <a:extLst>
            <a:ext uri="{FF2B5EF4-FFF2-40B4-BE49-F238E27FC236}">
              <a16:creationId xmlns:a16="http://schemas.microsoft.com/office/drawing/2014/main" id="{00000000-0008-0000-3000-00001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743200" y="1085850"/>
          <a:ext cx="1394237" cy="485775"/>
        </a:xfrm>
        <a:prstGeom prst="rect">
          <a:avLst/>
        </a:prstGeom>
        <a:noFill/>
        <a:ln w="1">
          <a:noFill/>
          <a:miter lim="800000"/>
          <a:headEnd/>
          <a:tailEnd type="none" w="med" len="med"/>
        </a:ln>
        <a:effectLst/>
      </xdr:spPr>
    </xdr:pic>
    <xdr:clientData/>
  </xdr:twoCellAnchor>
  <xdr:twoCellAnchor editAs="oneCell">
    <xdr:from>
      <xdr:col>22</xdr:col>
      <xdr:colOff>304800</xdr:colOff>
      <xdr:row>5</xdr:row>
      <xdr:rowOff>152400</xdr:rowOff>
    </xdr:from>
    <xdr:to>
      <xdr:col>24</xdr:col>
      <xdr:colOff>396690</xdr:colOff>
      <xdr:row>11</xdr:row>
      <xdr:rowOff>92048</xdr:rowOff>
    </xdr:to>
    <xdr:pic>
      <xdr:nvPicPr>
        <xdr:cNvPr id="34" name="Picture 3">
          <a:extLst>
            <a:ext uri="{FF2B5EF4-FFF2-40B4-BE49-F238E27FC236}">
              <a16:creationId xmlns:a16="http://schemas.microsoft.com/office/drawing/2014/main" id="{00000000-0008-0000-3000-00002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8368682" y="970429"/>
          <a:ext cx="1302124" cy="1080247"/>
        </a:xfrm>
        <a:prstGeom prst="rect">
          <a:avLst/>
        </a:prstGeom>
        <a:noFill/>
        <a:ln w="1">
          <a:noFill/>
          <a:miter lim="800000"/>
          <a:headEnd/>
          <a:tailEnd type="none" w="med" len="med"/>
        </a:ln>
        <a:effectLst/>
      </xdr:spPr>
    </xdr:pic>
    <xdr:clientData/>
  </xdr:twoCellAnchor>
  <xdr:twoCellAnchor editAs="oneCell">
    <xdr:from>
      <xdr:col>28</xdr:col>
      <xdr:colOff>266701</xdr:colOff>
      <xdr:row>6</xdr:row>
      <xdr:rowOff>38100</xdr:rowOff>
    </xdr:from>
    <xdr:to>
      <xdr:col>30</xdr:col>
      <xdr:colOff>377899</xdr:colOff>
      <xdr:row>11</xdr:row>
      <xdr:rowOff>66675</xdr:rowOff>
    </xdr:to>
    <xdr:pic>
      <xdr:nvPicPr>
        <xdr:cNvPr id="35" name="Picture 6" descr="http://www.lean.org/lexicon_images/332.gif">
          <a:extLst>
            <a:ext uri="{FF2B5EF4-FFF2-40B4-BE49-F238E27FC236}">
              <a16:creationId xmlns:a16="http://schemas.microsoft.com/office/drawing/2014/main" id="{00000000-0008-0000-3000-000023000000}"/>
            </a:ext>
          </a:extLst>
        </xdr:cNvPr>
        <xdr:cNvPicPr>
          <a:picLocks noChangeAspect="1" noChangeArrowheads="1"/>
        </xdr:cNvPicPr>
      </xdr:nvPicPr>
      <xdr:blipFill>
        <a:blip xmlns:r="http://schemas.openxmlformats.org/officeDocument/2006/relationships" r:embed="rId5" cstate="print"/>
        <a:srcRect b="12263"/>
        <a:stretch>
          <a:fillRect/>
        </a:stretch>
      </xdr:blipFill>
      <xdr:spPr bwMode="auto">
        <a:xfrm>
          <a:off x="876301" y="5791200"/>
          <a:ext cx="1314710" cy="838200"/>
        </a:xfrm>
        <a:prstGeom prst="rect">
          <a:avLst/>
        </a:prstGeom>
        <a:noFill/>
      </xdr:spPr>
    </xdr:pic>
    <xdr:clientData/>
  </xdr:twoCellAnchor>
  <xdr:twoCellAnchor editAs="oneCell">
    <xdr:from>
      <xdr:col>43</xdr:col>
      <xdr:colOff>419100</xdr:colOff>
      <xdr:row>5</xdr:row>
      <xdr:rowOff>85725</xdr:rowOff>
    </xdr:from>
    <xdr:to>
      <xdr:col>45</xdr:col>
      <xdr:colOff>156883</xdr:colOff>
      <xdr:row>11</xdr:row>
      <xdr:rowOff>13263</xdr:rowOff>
    </xdr:to>
    <xdr:pic>
      <xdr:nvPicPr>
        <xdr:cNvPr id="36" name="Picture 2">
          <a:extLst>
            <a:ext uri="{FF2B5EF4-FFF2-40B4-BE49-F238E27FC236}">
              <a16:creationId xmlns:a16="http://schemas.microsoft.com/office/drawing/2014/main" id="{00000000-0008-0000-3000-00002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955129" y="914960"/>
          <a:ext cx="948018" cy="1068137"/>
        </a:xfrm>
        <a:prstGeom prst="rect">
          <a:avLst/>
        </a:prstGeom>
        <a:noFill/>
        <a:ln w="1">
          <a:noFill/>
          <a:miter lim="800000"/>
          <a:headEnd/>
          <a:tailEnd type="none" w="med" len="med"/>
        </a:ln>
        <a:effectLst/>
      </xdr:spPr>
    </xdr:pic>
    <xdr:clientData/>
  </xdr:twoCellAnchor>
  <xdr:twoCellAnchor editAs="oneCell">
    <xdr:from>
      <xdr:col>40</xdr:col>
      <xdr:colOff>314888</xdr:colOff>
      <xdr:row>5</xdr:row>
      <xdr:rowOff>161925</xdr:rowOff>
    </xdr:from>
    <xdr:to>
      <xdr:col>42</xdr:col>
      <xdr:colOff>426085</xdr:colOff>
      <xdr:row>11</xdr:row>
      <xdr:rowOff>30976</xdr:rowOff>
    </xdr:to>
    <xdr:pic>
      <xdr:nvPicPr>
        <xdr:cNvPr id="37" name="Picture 6" descr="http://www.lean.org/lexicon_images/332.gif">
          <a:extLst>
            <a:ext uri="{FF2B5EF4-FFF2-40B4-BE49-F238E27FC236}">
              <a16:creationId xmlns:a16="http://schemas.microsoft.com/office/drawing/2014/main" id="{00000000-0008-0000-3000-000025000000}"/>
            </a:ext>
          </a:extLst>
        </xdr:cNvPr>
        <xdr:cNvPicPr>
          <a:picLocks noChangeAspect="1" noChangeArrowheads="1"/>
        </xdr:cNvPicPr>
      </xdr:nvPicPr>
      <xdr:blipFill>
        <a:blip xmlns:r="http://schemas.openxmlformats.org/officeDocument/2006/relationships" r:embed="rId5" cstate="print"/>
        <a:srcRect b="12263"/>
        <a:stretch>
          <a:fillRect/>
        </a:stretch>
      </xdr:blipFill>
      <xdr:spPr bwMode="auto">
        <a:xfrm>
          <a:off x="29069182" y="979954"/>
          <a:ext cx="1321433" cy="1009650"/>
        </a:xfrm>
        <a:prstGeom prst="rect">
          <a:avLst/>
        </a:prstGeom>
        <a:noFill/>
      </xdr:spPr>
    </xdr:pic>
    <xdr:clientData/>
  </xdr:twoCellAnchor>
  <xdr:twoCellAnchor editAs="oneCell">
    <xdr:from>
      <xdr:col>25</xdr:col>
      <xdr:colOff>323850</xdr:colOff>
      <xdr:row>5</xdr:row>
      <xdr:rowOff>108697</xdr:rowOff>
    </xdr:from>
    <xdr:to>
      <xdr:col>27</xdr:col>
      <xdr:colOff>225239</xdr:colOff>
      <xdr:row>10</xdr:row>
      <xdr:rowOff>170489</xdr:rowOff>
    </xdr:to>
    <xdr:pic>
      <xdr:nvPicPr>
        <xdr:cNvPr id="38" name="Picture 8">
          <a:extLst>
            <a:ext uri="{FF2B5EF4-FFF2-40B4-BE49-F238E27FC236}">
              <a16:creationId xmlns:a16="http://schemas.microsoft.com/office/drawing/2014/main" id="{00000000-0008-0000-3000-000026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0169468" y="926726"/>
          <a:ext cx="1111623" cy="1011891"/>
        </a:xfrm>
        <a:prstGeom prst="rect">
          <a:avLst/>
        </a:prstGeom>
        <a:noFill/>
        <a:ln w="1">
          <a:noFill/>
          <a:miter lim="800000"/>
          <a:headEnd/>
          <a:tailEnd type="none" w="med" len="med"/>
        </a:ln>
        <a:effectLst/>
      </xdr:spPr>
    </xdr:pic>
    <xdr:clientData/>
  </xdr:twoCellAnchor>
  <xdr:twoCellAnchor editAs="oneCell">
    <xdr:from>
      <xdr:col>37</xdr:col>
      <xdr:colOff>205627</xdr:colOff>
      <xdr:row>6</xdr:row>
      <xdr:rowOff>140074</xdr:rowOff>
    </xdr:from>
    <xdr:to>
      <xdr:col>39</xdr:col>
      <xdr:colOff>396351</xdr:colOff>
      <xdr:row>9</xdr:row>
      <xdr:rowOff>140074</xdr:rowOff>
    </xdr:to>
    <xdr:pic>
      <xdr:nvPicPr>
        <xdr:cNvPr id="39" name="Picture 4">
          <a:extLst>
            <a:ext uri="{FF2B5EF4-FFF2-40B4-BE49-F238E27FC236}">
              <a16:creationId xmlns:a16="http://schemas.microsoft.com/office/drawing/2014/main" id="{00000000-0008-0000-3000-00002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7178186" y="1159809"/>
          <a:ext cx="1400960" cy="571500"/>
        </a:xfrm>
        <a:prstGeom prst="rect">
          <a:avLst/>
        </a:prstGeom>
        <a:noFill/>
        <a:ln w="1">
          <a:noFill/>
          <a:miter lim="800000"/>
          <a:headEnd/>
          <a:tailEnd type="none" w="med" len="med"/>
        </a:ln>
        <a:effectLst/>
      </xdr:spPr>
    </xdr:pic>
    <xdr:clientData/>
  </xdr:twoCellAnchor>
  <xdr:twoCellAnchor>
    <xdr:from>
      <xdr:col>5</xdr:col>
      <xdr:colOff>257735</xdr:colOff>
      <xdr:row>12</xdr:row>
      <xdr:rowOff>78441</xdr:rowOff>
    </xdr:from>
    <xdr:to>
      <xdr:col>6</xdr:col>
      <xdr:colOff>201706</xdr:colOff>
      <xdr:row>15</xdr:row>
      <xdr:rowOff>145676</xdr:rowOff>
    </xdr:to>
    <xdr:sp macro="" textlink="">
      <xdr:nvSpPr>
        <xdr:cNvPr id="15" name="Flowchart: Magnetic Disk 14">
          <a:extLst>
            <a:ext uri="{FF2B5EF4-FFF2-40B4-BE49-F238E27FC236}">
              <a16:creationId xmlns:a16="http://schemas.microsoft.com/office/drawing/2014/main" id="{00000000-0008-0000-3000-00000F000000}"/>
            </a:ext>
          </a:extLst>
        </xdr:cNvPr>
        <xdr:cNvSpPr/>
      </xdr:nvSpPr>
      <xdr:spPr>
        <a:xfrm>
          <a:off x="6028764" y="2442882"/>
          <a:ext cx="1008530" cy="571500"/>
        </a:xfrm>
        <a:prstGeom prst="flowChartMagneticDisk">
          <a:avLst/>
        </a:prstGeom>
        <a:solidFill>
          <a:srgbClr val="FFFFFF"/>
        </a:solidFill>
        <a:ln w="9525">
          <a:solidFill>
            <a:srgbClr val="000000"/>
          </a:solidFill>
          <a:round/>
          <a:headEnd/>
          <a:tailEnd/>
        </a:ln>
      </xdr:spPr>
      <xdr:txBody>
        <a:bodyPr vertOverflow="clip" wrap="square" lIns="91440" tIns="45720" rIns="91440" bIns="45720" anchor="ctr" upright="1"/>
        <a:lstStyle/>
        <a:p>
          <a:pPr marL="0" indent="0" algn="ctr" rtl="0">
            <a:defRPr sz="1000"/>
          </a:pPr>
          <a:r>
            <a:rPr lang="en-US" sz="1200" b="0" i="0" u="none" strike="noStrike" baseline="0">
              <a:solidFill>
                <a:srgbClr val="000000"/>
              </a:solidFill>
              <a:latin typeface="Verdana"/>
              <a:ea typeface="Verdana"/>
              <a:cs typeface="Verdana"/>
            </a:rPr>
            <a:t>Database</a:t>
          </a:r>
        </a:p>
      </xdr:txBody>
    </xdr:sp>
    <xdr:clientData/>
  </xdr:twoCellAnchor>
  <xdr:twoCellAnchor>
    <xdr:from>
      <xdr:col>5</xdr:col>
      <xdr:colOff>56029</xdr:colOff>
      <xdr:row>17</xdr:row>
      <xdr:rowOff>123264</xdr:rowOff>
    </xdr:from>
    <xdr:to>
      <xdr:col>6</xdr:col>
      <xdr:colOff>336176</xdr:colOff>
      <xdr:row>22</xdr:row>
      <xdr:rowOff>22412</xdr:rowOff>
    </xdr:to>
    <xdr:sp macro="" textlink="">
      <xdr:nvSpPr>
        <xdr:cNvPr id="21" name="Flowchart: Document 20">
          <a:extLst>
            <a:ext uri="{FF2B5EF4-FFF2-40B4-BE49-F238E27FC236}">
              <a16:creationId xmlns:a16="http://schemas.microsoft.com/office/drawing/2014/main" id="{00000000-0008-0000-3000-000015000000}"/>
            </a:ext>
          </a:extLst>
        </xdr:cNvPr>
        <xdr:cNvSpPr/>
      </xdr:nvSpPr>
      <xdr:spPr>
        <a:xfrm>
          <a:off x="5827058" y="3305735"/>
          <a:ext cx="1344706" cy="683559"/>
        </a:xfrm>
        <a:prstGeom prst="flowChartDocument">
          <a:avLst/>
        </a:prstGeom>
        <a:solidFill>
          <a:srgbClr val="FFFFFF"/>
        </a:solidFill>
        <a:ln w="9525">
          <a:solidFill>
            <a:srgbClr val="000000"/>
          </a:solidFill>
          <a:round/>
          <a:headEnd/>
          <a:tailEnd/>
        </a:ln>
      </xdr:spPr>
      <xdr:txBody>
        <a:bodyPr vertOverflow="clip" wrap="square" lIns="91440" tIns="45720" rIns="91440" bIns="45720" anchor="ctr" upright="1"/>
        <a:lstStyle/>
        <a:p>
          <a:pPr marL="0" indent="0" algn="ctr" rtl="0">
            <a:defRPr sz="1000"/>
          </a:pPr>
          <a:r>
            <a:rPr lang="en-US" sz="1200" b="0" i="0" u="none" strike="noStrike" baseline="0">
              <a:solidFill>
                <a:srgbClr val="000000"/>
              </a:solidFill>
              <a:latin typeface="Verdana"/>
              <a:ea typeface="Verdana"/>
              <a:cs typeface="Verdana"/>
            </a:rPr>
            <a:t>Document</a:t>
          </a:r>
        </a:p>
      </xdr:txBody>
    </xdr:sp>
    <xdr:clientData/>
  </xdr:twoCellAnchor>
  <xdr:twoCellAnchor>
    <xdr:from>
      <xdr:col>4</xdr:col>
      <xdr:colOff>1030940</xdr:colOff>
      <xdr:row>23</xdr:row>
      <xdr:rowOff>156880</xdr:rowOff>
    </xdr:from>
    <xdr:to>
      <xdr:col>6</xdr:col>
      <xdr:colOff>504264</xdr:colOff>
      <xdr:row>26</xdr:row>
      <xdr:rowOff>156881</xdr:rowOff>
    </xdr:to>
    <xdr:sp macro="" textlink="">
      <xdr:nvSpPr>
        <xdr:cNvPr id="23" name="Flowchart: Data 22">
          <a:extLst>
            <a:ext uri="{FF2B5EF4-FFF2-40B4-BE49-F238E27FC236}">
              <a16:creationId xmlns:a16="http://schemas.microsoft.com/office/drawing/2014/main" id="{00000000-0008-0000-3000-000017000000}"/>
            </a:ext>
          </a:extLst>
        </xdr:cNvPr>
        <xdr:cNvSpPr/>
      </xdr:nvSpPr>
      <xdr:spPr>
        <a:xfrm>
          <a:off x="5647764" y="4280645"/>
          <a:ext cx="1692088" cy="549089"/>
        </a:xfrm>
        <a:prstGeom prst="flowChartInputOutput">
          <a:avLst/>
        </a:prstGeom>
        <a:solidFill>
          <a:srgbClr val="FFFFFF"/>
        </a:solidFill>
        <a:ln w="9525">
          <a:solidFill>
            <a:srgbClr val="000000"/>
          </a:solidFill>
          <a:round/>
          <a:headEnd/>
          <a:tailEnd/>
        </a:ln>
      </xdr:spPr>
      <xdr:txBody>
        <a:bodyPr vertOverflow="clip" wrap="square" lIns="91440" tIns="45720" rIns="91440" bIns="45720" anchor="ctr" upright="1"/>
        <a:lstStyle/>
        <a:p>
          <a:pPr marL="0" indent="0" algn="ctr" rtl="0">
            <a:defRPr sz="1000"/>
          </a:pPr>
          <a:r>
            <a:rPr lang="en-US" sz="1200" b="0" i="0" u="none" strike="noStrike" baseline="0">
              <a:solidFill>
                <a:srgbClr val="000000"/>
              </a:solidFill>
              <a:latin typeface="Verdana"/>
              <a:ea typeface="Verdana"/>
              <a:cs typeface="Verdana"/>
            </a:rPr>
            <a:t>Data</a:t>
          </a:r>
        </a:p>
      </xdr:txBody>
    </xdr:sp>
    <xdr:clientData/>
  </xdr:twoCellAnchor>
  <xdr:twoCellAnchor>
    <xdr:from>
      <xdr:col>4</xdr:col>
      <xdr:colOff>896470</xdr:colOff>
      <xdr:row>27</xdr:row>
      <xdr:rowOff>134470</xdr:rowOff>
    </xdr:from>
    <xdr:to>
      <xdr:col>6</xdr:col>
      <xdr:colOff>414617</xdr:colOff>
      <xdr:row>31</xdr:row>
      <xdr:rowOff>112059</xdr:rowOff>
    </xdr:to>
    <xdr:sp macro="" textlink="">
      <xdr:nvSpPr>
        <xdr:cNvPr id="40" name="Flowchart: Preparation 39">
          <a:extLst>
            <a:ext uri="{FF2B5EF4-FFF2-40B4-BE49-F238E27FC236}">
              <a16:creationId xmlns:a16="http://schemas.microsoft.com/office/drawing/2014/main" id="{00000000-0008-0000-3000-000028000000}"/>
            </a:ext>
          </a:extLst>
        </xdr:cNvPr>
        <xdr:cNvSpPr/>
      </xdr:nvSpPr>
      <xdr:spPr>
        <a:xfrm>
          <a:off x="5513294" y="4997823"/>
          <a:ext cx="1736911" cy="705971"/>
        </a:xfrm>
        <a:prstGeom prst="flowChartPreparation">
          <a:avLst/>
        </a:prstGeom>
        <a:solidFill>
          <a:srgbClr val="FFFFFF"/>
        </a:solidFill>
        <a:ln w="9525">
          <a:solidFill>
            <a:srgbClr val="000000"/>
          </a:solidFill>
          <a:round/>
          <a:headEnd/>
          <a:tailEnd/>
        </a:ln>
      </xdr:spPr>
      <xdr:txBody>
        <a:bodyPr vertOverflow="clip" wrap="square" lIns="91440" tIns="45720" rIns="91440" bIns="45720" anchor="ctr" upright="1"/>
        <a:lstStyle/>
        <a:p>
          <a:pPr marL="0" indent="0" algn="ctr" rtl="0">
            <a:defRPr sz="1000"/>
          </a:pPr>
          <a:r>
            <a:rPr lang="en-US" sz="1200" b="0" i="0" u="none" strike="noStrike" baseline="0">
              <a:solidFill>
                <a:srgbClr val="000000"/>
              </a:solidFill>
              <a:latin typeface="Verdana"/>
              <a:ea typeface="Verdana"/>
              <a:cs typeface="Verdana"/>
            </a:rPr>
            <a:t>Prep</a:t>
          </a:r>
        </a:p>
      </xdr:txBody>
    </xdr:sp>
    <xdr:clientData/>
  </xdr:twoCellAnchor>
  <xdr:oneCellAnchor>
    <xdr:from>
      <xdr:col>6</xdr:col>
      <xdr:colOff>829236</xdr:colOff>
      <xdr:row>23</xdr:row>
      <xdr:rowOff>145676</xdr:rowOff>
    </xdr:from>
    <xdr:ext cx="2652265" cy="553998"/>
    <xdr:sp macro="" textlink="">
      <xdr:nvSpPr>
        <xdr:cNvPr id="41" name="Text Box 8">
          <a:extLst>
            <a:ext uri="{FF2B5EF4-FFF2-40B4-BE49-F238E27FC236}">
              <a16:creationId xmlns:a16="http://schemas.microsoft.com/office/drawing/2014/main" id="{00000000-0008-0000-3000-000029000000}"/>
            </a:ext>
          </a:extLst>
        </xdr:cNvPr>
        <xdr:cNvSpPr txBox="1">
          <a:spLocks noChangeArrowheads="1"/>
        </xdr:cNvSpPr>
      </xdr:nvSpPr>
      <xdr:spPr bwMode="auto">
        <a:xfrm>
          <a:off x="7664824" y="4269441"/>
          <a:ext cx="2652265" cy="553998"/>
        </a:xfrm>
        <a:prstGeom prst="rect">
          <a:avLst/>
        </a:prstGeom>
        <a:noFill/>
        <a:ln>
          <a:noFill/>
        </a:ln>
        <a:effectLst/>
        <a:extLst>
          <a:ext uri="{909E8E84-426E-40dd-AFC4-6F175D3DCCD1}"/>
          <a:ext uri="{91240B29-F687-4f45-9708-019B960494DF}"/>
          <a:ext uri="{AF507438-7753-43e0-B8FC-AC1667EBCBE1}"/>
        </a:extLst>
      </xdr:spPr>
      <xdr:txBody>
        <a:bodyPr wrap="none" lIns="91440" tIns="45720" rIns="91440" bIns="45720" anchor="t" upright="1">
          <a:spAutoFit/>
        </a:bodyPr>
        <a:lstStyle/>
        <a:p>
          <a:pPr algn="l" rtl="0">
            <a:lnSpc>
              <a:spcPts val="1800"/>
            </a:lnSpc>
            <a:defRPr sz="1000"/>
          </a:pPr>
          <a:r>
            <a:rPr lang="en-US" sz="1600" b="0" i="0" u="none" strike="noStrike" baseline="0">
              <a:solidFill>
                <a:srgbClr val="000000"/>
              </a:solidFill>
              <a:latin typeface="Verdana"/>
              <a:ea typeface="Verdana"/>
              <a:cs typeface="Verdana"/>
            </a:rPr>
            <a:t>Data (input and output)</a:t>
          </a:r>
        </a:p>
        <a:p>
          <a:pPr algn="l" rtl="0">
            <a:lnSpc>
              <a:spcPts val="1800"/>
            </a:lnSpc>
            <a:defRPr sz="1000"/>
          </a:pPr>
          <a:endParaRPr lang="en-US" sz="1600" b="0" i="0" u="none" strike="noStrike" baseline="0">
            <a:solidFill>
              <a:srgbClr val="000000"/>
            </a:solidFill>
            <a:latin typeface="Verdana"/>
            <a:ea typeface="Verdana"/>
            <a:cs typeface="Verdana"/>
          </a:endParaRPr>
        </a:p>
      </xdr:txBody>
    </xdr:sp>
    <xdr:clientData/>
  </xdr:oneCellAnchor>
  <xdr:oneCellAnchor>
    <xdr:from>
      <xdr:col>6</xdr:col>
      <xdr:colOff>824754</xdr:colOff>
      <xdr:row>28</xdr:row>
      <xdr:rowOff>107577</xdr:rowOff>
    </xdr:from>
    <xdr:ext cx="3029612" cy="553998"/>
    <xdr:sp macro="" textlink="">
      <xdr:nvSpPr>
        <xdr:cNvPr id="42" name="Text Box 8">
          <a:extLst>
            <a:ext uri="{FF2B5EF4-FFF2-40B4-BE49-F238E27FC236}">
              <a16:creationId xmlns:a16="http://schemas.microsoft.com/office/drawing/2014/main" id="{00000000-0008-0000-3000-00002A000000}"/>
            </a:ext>
          </a:extLst>
        </xdr:cNvPr>
        <xdr:cNvSpPr txBox="1">
          <a:spLocks noChangeArrowheads="1"/>
        </xdr:cNvSpPr>
      </xdr:nvSpPr>
      <xdr:spPr bwMode="auto">
        <a:xfrm>
          <a:off x="7660342" y="5161430"/>
          <a:ext cx="3029612" cy="553998"/>
        </a:xfrm>
        <a:prstGeom prst="rect">
          <a:avLst/>
        </a:prstGeom>
        <a:noFill/>
        <a:ln>
          <a:noFill/>
        </a:ln>
        <a:effectLst/>
        <a:extLst>
          <a:ext uri="{909E8E84-426E-40dd-AFC4-6F175D3DCCD1}"/>
          <a:ext uri="{91240B29-F687-4f45-9708-019B960494DF}"/>
          <a:ext uri="{AF507438-7753-43e0-B8FC-AC1667EBCBE1}"/>
        </a:extLst>
      </xdr:spPr>
      <xdr:txBody>
        <a:bodyPr wrap="none" lIns="91440" tIns="45720" rIns="91440" bIns="45720" anchor="t" upright="1">
          <a:spAutoFit/>
        </a:bodyPr>
        <a:lstStyle/>
        <a:p>
          <a:pPr algn="l" rtl="0">
            <a:lnSpc>
              <a:spcPts val="1800"/>
            </a:lnSpc>
            <a:defRPr sz="1000"/>
          </a:pPr>
          <a:r>
            <a:rPr lang="en-US" sz="1600" b="0" i="0" u="none" strike="noStrike" baseline="0">
              <a:solidFill>
                <a:srgbClr val="000000"/>
              </a:solidFill>
              <a:latin typeface="Verdana"/>
              <a:ea typeface="Verdana"/>
              <a:cs typeface="Verdana"/>
            </a:rPr>
            <a:t>Preparation/ Set up activity</a:t>
          </a:r>
        </a:p>
        <a:p>
          <a:pPr algn="l" rtl="0">
            <a:lnSpc>
              <a:spcPts val="1800"/>
            </a:lnSpc>
            <a:defRPr sz="1000"/>
          </a:pPr>
          <a:endParaRPr lang="en-US" sz="1600" b="0" i="0" u="none" strike="noStrike" baseline="0">
            <a:solidFill>
              <a:srgbClr val="000000"/>
            </a:solidFill>
            <a:latin typeface="Verdana"/>
            <a:ea typeface="Verdana"/>
            <a:cs typeface="Verdana"/>
          </a:endParaRPr>
        </a:p>
      </xdr:txBody>
    </xdr:sp>
    <xdr:clientData/>
  </xdr:oneCellAnchor>
  <xdr:oneCellAnchor>
    <xdr:from>
      <xdr:col>6</xdr:col>
      <xdr:colOff>806824</xdr:colOff>
      <xdr:row>18</xdr:row>
      <xdr:rowOff>33618</xdr:rowOff>
    </xdr:from>
    <xdr:ext cx="3049874" cy="553998"/>
    <xdr:sp macro="" textlink="">
      <xdr:nvSpPr>
        <xdr:cNvPr id="43" name="Text Box 8">
          <a:extLst>
            <a:ext uri="{FF2B5EF4-FFF2-40B4-BE49-F238E27FC236}">
              <a16:creationId xmlns:a16="http://schemas.microsoft.com/office/drawing/2014/main" id="{00000000-0008-0000-3000-00002B000000}"/>
            </a:ext>
          </a:extLst>
        </xdr:cNvPr>
        <xdr:cNvSpPr txBox="1">
          <a:spLocks noChangeArrowheads="1"/>
        </xdr:cNvSpPr>
      </xdr:nvSpPr>
      <xdr:spPr bwMode="auto">
        <a:xfrm>
          <a:off x="7642412" y="3372971"/>
          <a:ext cx="3049874" cy="553998"/>
        </a:xfrm>
        <a:prstGeom prst="rect">
          <a:avLst/>
        </a:prstGeom>
        <a:noFill/>
        <a:ln>
          <a:noFill/>
        </a:ln>
        <a:effectLst/>
        <a:extLst>
          <a:ext uri="{909E8E84-426E-40dd-AFC4-6F175D3DCCD1}"/>
          <a:ext uri="{91240B29-F687-4f45-9708-019B960494DF}"/>
          <a:ext uri="{AF507438-7753-43e0-B8FC-AC1667EBCBE1}"/>
        </a:extLst>
      </xdr:spPr>
      <xdr:txBody>
        <a:bodyPr wrap="none" lIns="91440" tIns="45720" rIns="91440" bIns="45720" anchor="t" upright="1">
          <a:spAutoFit/>
        </a:bodyPr>
        <a:lstStyle/>
        <a:p>
          <a:pPr algn="l" rtl="0">
            <a:lnSpc>
              <a:spcPts val="1800"/>
            </a:lnSpc>
            <a:defRPr sz="1000"/>
          </a:pPr>
          <a:r>
            <a:rPr lang="en-US" sz="1600" b="0" i="0" u="none" strike="noStrike" baseline="0">
              <a:solidFill>
                <a:srgbClr val="000000"/>
              </a:solidFill>
              <a:latin typeface="Verdana"/>
              <a:ea typeface="Verdana"/>
              <a:cs typeface="Verdana"/>
            </a:rPr>
            <a:t>Document (input or output)</a:t>
          </a:r>
        </a:p>
        <a:p>
          <a:pPr algn="l" rtl="0">
            <a:lnSpc>
              <a:spcPts val="1800"/>
            </a:lnSpc>
            <a:defRPr sz="1000"/>
          </a:pPr>
          <a:endParaRPr lang="en-US" sz="1600" b="0" i="0" u="none" strike="noStrike" baseline="0">
            <a:solidFill>
              <a:srgbClr val="000000"/>
            </a:solidFill>
            <a:latin typeface="Verdana"/>
            <a:ea typeface="Verdana"/>
            <a:cs typeface="Verdana"/>
          </a:endParaRPr>
        </a:p>
      </xdr:txBody>
    </xdr:sp>
    <xdr:clientData/>
  </xdr:oneCellAnchor>
  <xdr:oneCellAnchor>
    <xdr:from>
      <xdr:col>6</xdr:col>
      <xdr:colOff>802343</xdr:colOff>
      <xdr:row>13</xdr:row>
      <xdr:rowOff>40342</xdr:rowOff>
    </xdr:from>
    <xdr:ext cx="1150315" cy="553998"/>
    <xdr:sp macro="" textlink="">
      <xdr:nvSpPr>
        <xdr:cNvPr id="44" name="Text Box 8">
          <a:extLst>
            <a:ext uri="{FF2B5EF4-FFF2-40B4-BE49-F238E27FC236}">
              <a16:creationId xmlns:a16="http://schemas.microsoft.com/office/drawing/2014/main" id="{00000000-0008-0000-3000-00002C000000}"/>
            </a:ext>
          </a:extLst>
        </xdr:cNvPr>
        <xdr:cNvSpPr txBox="1">
          <a:spLocks noChangeArrowheads="1"/>
        </xdr:cNvSpPr>
      </xdr:nvSpPr>
      <xdr:spPr bwMode="auto">
        <a:xfrm>
          <a:off x="7637931" y="2595283"/>
          <a:ext cx="1150315" cy="553998"/>
        </a:xfrm>
        <a:prstGeom prst="rect">
          <a:avLst/>
        </a:prstGeom>
        <a:noFill/>
        <a:ln>
          <a:noFill/>
        </a:ln>
        <a:effectLst/>
        <a:extLst>
          <a:ext uri="{909E8E84-426E-40dd-AFC4-6F175D3DCCD1}"/>
          <a:ext uri="{91240B29-F687-4f45-9708-019B960494DF}"/>
          <a:ext uri="{AF507438-7753-43e0-B8FC-AC1667EBCBE1}"/>
        </a:extLst>
      </xdr:spPr>
      <xdr:txBody>
        <a:bodyPr wrap="none" lIns="91440" tIns="45720" rIns="91440" bIns="45720" anchor="t" upright="1">
          <a:spAutoFit/>
        </a:bodyPr>
        <a:lstStyle/>
        <a:p>
          <a:pPr algn="l" rtl="0">
            <a:lnSpc>
              <a:spcPts val="1800"/>
            </a:lnSpc>
            <a:defRPr sz="1000"/>
          </a:pPr>
          <a:r>
            <a:rPr lang="en-US" sz="1600" b="0" i="0" u="none" strike="noStrike" baseline="0">
              <a:solidFill>
                <a:srgbClr val="000000"/>
              </a:solidFill>
              <a:latin typeface="Verdana"/>
              <a:ea typeface="Verdana"/>
              <a:cs typeface="Verdana"/>
            </a:rPr>
            <a:t>Database</a:t>
          </a:r>
        </a:p>
        <a:p>
          <a:pPr algn="l" rtl="0">
            <a:lnSpc>
              <a:spcPts val="1800"/>
            </a:lnSpc>
            <a:defRPr sz="1000"/>
          </a:pPr>
          <a:endParaRPr lang="en-US" sz="1600" b="0" i="0" u="none" strike="noStrike" baseline="0">
            <a:solidFill>
              <a:srgbClr val="000000"/>
            </a:solidFill>
            <a:latin typeface="Verdana"/>
            <a:ea typeface="Verdana"/>
            <a:cs typeface="Verdana"/>
          </a:endParaRPr>
        </a:p>
      </xdr:txBody>
    </xdr:sp>
    <xdr:clientData/>
  </xdr:oneCellAnchor>
  <xdr:oneCellAnchor>
    <xdr:from>
      <xdr:col>6</xdr:col>
      <xdr:colOff>773206</xdr:colOff>
      <xdr:row>8</xdr:row>
      <xdr:rowOff>44824</xdr:rowOff>
    </xdr:from>
    <xdr:ext cx="4000903" cy="553998"/>
    <xdr:sp macro="" textlink="">
      <xdr:nvSpPr>
        <xdr:cNvPr id="45" name="Text Box 8">
          <a:extLst>
            <a:ext uri="{FF2B5EF4-FFF2-40B4-BE49-F238E27FC236}">
              <a16:creationId xmlns:a16="http://schemas.microsoft.com/office/drawing/2014/main" id="{00000000-0008-0000-3000-00002D000000}"/>
            </a:ext>
          </a:extLst>
        </xdr:cNvPr>
        <xdr:cNvSpPr txBox="1">
          <a:spLocks noChangeArrowheads="1"/>
        </xdr:cNvSpPr>
      </xdr:nvSpPr>
      <xdr:spPr bwMode="auto">
        <a:xfrm>
          <a:off x="7608794" y="1647265"/>
          <a:ext cx="4000903" cy="553998"/>
        </a:xfrm>
        <a:prstGeom prst="rect">
          <a:avLst/>
        </a:prstGeom>
        <a:noFill/>
        <a:ln>
          <a:noFill/>
        </a:ln>
        <a:effectLst/>
        <a:extLst>
          <a:ext uri="{909E8E84-426E-40dd-AFC4-6F175D3DCCD1}"/>
          <a:ext uri="{91240B29-F687-4f45-9708-019B960494DF}"/>
          <a:ext uri="{AF507438-7753-43e0-B8FC-AC1667EBCBE1}"/>
        </a:extLst>
      </xdr:spPr>
      <xdr:txBody>
        <a:bodyPr wrap="none" lIns="91440" tIns="45720" rIns="91440" bIns="45720" anchor="t" upright="1">
          <a:spAutoFit/>
        </a:bodyPr>
        <a:lstStyle/>
        <a:p>
          <a:pPr algn="l" rtl="0">
            <a:lnSpc>
              <a:spcPts val="1800"/>
            </a:lnSpc>
            <a:defRPr sz="1000"/>
          </a:pPr>
          <a:r>
            <a:rPr lang="en-US" sz="1600" b="0" i="0" u="none" strike="noStrike" baseline="0">
              <a:solidFill>
                <a:srgbClr val="000000"/>
              </a:solidFill>
              <a:latin typeface="Verdana"/>
              <a:ea typeface="Verdana"/>
              <a:cs typeface="Verdana"/>
            </a:rPr>
            <a:t>Manual operations and process steps</a:t>
          </a:r>
        </a:p>
        <a:p>
          <a:pPr algn="l" rtl="0">
            <a:lnSpc>
              <a:spcPts val="1800"/>
            </a:lnSpc>
            <a:defRPr sz="1000"/>
          </a:pPr>
          <a:endParaRPr lang="en-US" sz="1600" b="0" i="0" u="none" strike="noStrike" baseline="0">
            <a:solidFill>
              <a:srgbClr val="000000"/>
            </a:solidFill>
            <a:latin typeface="Verdana"/>
            <a:ea typeface="Verdana"/>
            <a:cs typeface="Verdana"/>
          </a:endParaRPr>
        </a:p>
      </xdr:txBody>
    </xdr:sp>
    <xdr:clientData/>
  </xdr:oneCellAnchor>
  <xdr:twoCellAnchor>
    <xdr:from>
      <xdr:col>5</xdr:col>
      <xdr:colOff>156882</xdr:colOff>
      <xdr:row>7</xdr:row>
      <xdr:rowOff>168089</xdr:rowOff>
    </xdr:from>
    <xdr:to>
      <xdr:col>6</xdr:col>
      <xdr:colOff>425824</xdr:colOff>
      <xdr:row>11</xdr:row>
      <xdr:rowOff>100853</xdr:rowOff>
    </xdr:to>
    <xdr:sp macro="" textlink="">
      <xdr:nvSpPr>
        <xdr:cNvPr id="46" name="Flowchart: Manual Operation 45">
          <a:extLst>
            <a:ext uri="{FF2B5EF4-FFF2-40B4-BE49-F238E27FC236}">
              <a16:creationId xmlns:a16="http://schemas.microsoft.com/office/drawing/2014/main" id="{00000000-0008-0000-3000-00002E000000}"/>
            </a:ext>
          </a:extLst>
        </xdr:cNvPr>
        <xdr:cNvSpPr/>
      </xdr:nvSpPr>
      <xdr:spPr>
        <a:xfrm>
          <a:off x="5927911" y="1580030"/>
          <a:ext cx="1333501" cy="694764"/>
        </a:xfrm>
        <a:prstGeom prst="flowChartManualOperation">
          <a:avLst/>
        </a:prstGeom>
        <a:solidFill>
          <a:srgbClr val="FFFFFF"/>
        </a:solidFill>
        <a:ln w="9525">
          <a:solidFill>
            <a:srgbClr val="000000"/>
          </a:solidFill>
          <a:round/>
          <a:headEnd/>
          <a:tailEnd/>
        </a:ln>
      </xdr:spPr>
      <xdr:txBody>
        <a:bodyPr vertOverflow="clip" wrap="square" lIns="91440" tIns="45720" rIns="91440" bIns="45720" anchor="ctr" upright="1"/>
        <a:lstStyle/>
        <a:p>
          <a:pPr marL="0" indent="0" algn="ctr" rtl="0">
            <a:defRPr sz="1000"/>
          </a:pPr>
          <a:r>
            <a:rPr lang="en-US" sz="1200" b="0" i="0" u="none" strike="noStrike" baseline="0">
              <a:solidFill>
                <a:srgbClr val="000000"/>
              </a:solidFill>
              <a:latin typeface="Verdana"/>
              <a:ea typeface="Verdana"/>
              <a:cs typeface="Verdana"/>
            </a:rPr>
            <a:t>Manual</a:t>
          </a:r>
        </a:p>
        <a:p>
          <a:pPr marL="0" indent="0" algn="ctr" rtl="0">
            <a:defRPr sz="1000"/>
          </a:pPr>
          <a:r>
            <a:rPr lang="en-US" sz="1200" b="0" i="0" u="none" strike="noStrike" baseline="0">
              <a:solidFill>
                <a:srgbClr val="000000"/>
              </a:solidFill>
              <a:latin typeface="Verdana"/>
              <a:ea typeface="Verdana"/>
              <a:cs typeface="Verdana"/>
            </a:rPr>
            <a:t>ops.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1171575</xdr:colOff>
      <xdr:row>8</xdr:row>
      <xdr:rowOff>9525</xdr:rowOff>
    </xdr:from>
    <xdr:to>
      <xdr:col>2</xdr:col>
      <xdr:colOff>1171575</xdr:colOff>
      <xdr:row>8</xdr:row>
      <xdr:rowOff>180975</xdr:rowOff>
    </xdr:to>
    <xdr:cxnSp macro="">
      <xdr:nvCxnSpPr>
        <xdr:cNvPr id="2" name="AutoShape 2">
          <a:extLst>
            <a:ext uri="{FF2B5EF4-FFF2-40B4-BE49-F238E27FC236}">
              <a16:creationId xmlns:a16="http://schemas.microsoft.com/office/drawing/2014/main" id="{00000000-0008-0000-3400-000002000000}"/>
            </a:ext>
          </a:extLst>
        </xdr:cNvPr>
        <xdr:cNvCxnSpPr>
          <a:cxnSpLocks noChangeShapeType="1"/>
        </xdr:cNvCxnSpPr>
      </xdr:nvCxnSpPr>
      <xdr:spPr bwMode="auto">
        <a:xfrm>
          <a:off x="5934075" y="866775"/>
          <a:ext cx="0" cy="17145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1162050</xdr:colOff>
      <xdr:row>12</xdr:row>
      <xdr:rowOff>0</xdr:rowOff>
    </xdr:from>
    <xdr:to>
      <xdr:col>2</xdr:col>
      <xdr:colOff>1162050</xdr:colOff>
      <xdr:row>13</xdr:row>
      <xdr:rowOff>9525</xdr:rowOff>
    </xdr:to>
    <xdr:sp macro="" textlink="">
      <xdr:nvSpPr>
        <xdr:cNvPr id="3" name="Line 4">
          <a:extLst>
            <a:ext uri="{FF2B5EF4-FFF2-40B4-BE49-F238E27FC236}">
              <a16:creationId xmlns:a16="http://schemas.microsoft.com/office/drawing/2014/main" id="{00000000-0008-0000-3400-000003000000}"/>
            </a:ext>
          </a:extLst>
        </xdr:cNvPr>
        <xdr:cNvSpPr>
          <a:spLocks noChangeShapeType="1"/>
        </xdr:cNvSpPr>
      </xdr:nvSpPr>
      <xdr:spPr bwMode="auto">
        <a:xfrm>
          <a:off x="5924550" y="161925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1152525</xdr:colOff>
      <xdr:row>16</xdr:row>
      <xdr:rowOff>0</xdr:rowOff>
    </xdr:from>
    <xdr:to>
      <xdr:col>2</xdr:col>
      <xdr:colOff>1152525</xdr:colOff>
      <xdr:row>17</xdr:row>
      <xdr:rowOff>9525</xdr:rowOff>
    </xdr:to>
    <xdr:sp macro="" textlink="">
      <xdr:nvSpPr>
        <xdr:cNvPr id="4" name="Line 6">
          <a:extLst>
            <a:ext uri="{FF2B5EF4-FFF2-40B4-BE49-F238E27FC236}">
              <a16:creationId xmlns:a16="http://schemas.microsoft.com/office/drawing/2014/main" id="{00000000-0008-0000-3400-000004000000}"/>
            </a:ext>
          </a:extLst>
        </xdr:cNvPr>
        <xdr:cNvSpPr>
          <a:spLocks noChangeShapeType="1"/>
        </xdr:cNvSpPr>
      </xdr:nvSpPr>
      <xdr:spPr bwMode="auto">
        <a:xfrm>
          <a:off x="5915025" y="219075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1123950</xdr:colOff>
      <xdr:row>20</xdr:row>
      <xdr:rowOff>0</xdr:rowOff>
    </xdr:from>
    <xdr:to>
      <xdr:col>2</xdr:col>
      <xdr:colOff>1123950</xdr:colOff>
      <xdr:row>21</xdr:row>
      <xdr:rowOff>0</xdr:rowOff>
    </xdr:to>
    <xdr:sp macro="" textlink="">
      <xdr:nvSpPr>
        <xdr:cNvPr id="5" name="Line 7">
          <a:extLst>
            <a:ext uri="{FF2B5EF4-FFF2-40B4-BE49-F238E27FC236}">
              <a16:creationId xmlns:a16="http://schemas.microsoft.com/office/drawing/2014/main" id="{00000000-0008-0000-3400-000005000000}"/>
            </a:ext>
          </a:extLst>
        </xdr:cNvPr>
        <xdr:cNvSpPr>
          <a:spLocks noChangeShapeType="1"/>
        </xdr:cNvSpPr>
      </xdr:nvSpPr>
      <xdr:spPr bwMode="auto">
        <a:xfrm>
          <a:off x="5886450" y="3143250"/>
          <a:ext cx="0"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1143000</xdr:colOff>
      <xdr:row>24</xdr:row>
      <xdr:rowOff>0</xdr:rowOff>
    </xdr:from>
    <xdr:to>
      <xdr:col>2</xdr:col>
      <xdr:colOff>1143000</xdr:colOff>
      <xdr:row>25</xdr:row>
      <xdr:rowOff>0</xdr:rowOff>
    </xdr:to>
    <xdr:sp macro="" textlink="">
      <xdr:nvSpPr>
        <xdr:cNvPr id="6" name="Line 8">
          <a:extLst>
            <a:ext uri="{FF2B5EF4-FFF2-40B4-BE49-F238E27FC236}">
              <a16:creationId xmlns:a16="http://schemas.microsoft.com/office/drawing/2014/main" id="{00000000-0008-0000-3400-000006000000}"/>
            </a:ext>
          </a:extLst>
        </xdr:cNvPr>
        <xdr:cNvSpPr>
          <a:spLocks noChangeShapeType="1"/>
        </xdr:cNvSpPr>
      </xdr:nvSpPr>
      <xdr:spPr bwMode="auto">
        <a:xfrm>
          <a:off x="5905500" y="4286250"/>
          <a:ext cx="0"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1171575</xdr:colOff>
      <xdr:row>28</xdr:row>
      <xdr:rowOff>0</xdr:rowOff>
    </xdr:from>
    <xdr:to>
      <xdr:col>2</xdr:col>
      <xdr:colOff>1171575</xdr:colOff>
      <xdr:row>29</xdr:row>
      <xdr:rowOff>0</xdr:rowOff>
    </xdr:to>
    <xdr:sp macro="" textlink="">
      <xdr:nvSpPr>
        <xdr:cNvPr id="7" name="Line 9">
          <a:extLst>
            <a:ext uri="{FF2B5EF4-FFF2-40B4-BE49-F238E27FC236}">
              <a16:creationId xmlns:a16="http://schemas.microsoft.com/office/drawing/2014/main" id="{00000000-0008-0000-3400-000007000000}"/>
            </a:ext>
          </a:extLst>
        </xdr:cNvPr>
        <xdr:cNvSpPr>
          <a:spLocks noChangeShapeType="1"/>
        </xdr:cNvSpPr>
      </xdr:nvSpPr>
      <xdr:spPr bwMode="auto">
        <a:xfrm>
          <a:off x="5934075" y="5153025"/>
          <a:ext cx="0"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1190625</xdr:colOff>
      <xdr:row>32</xdr:row>
      <xdr:rowOff>0</xdr:rowOff>
    </xdr:from>
    <xdr:to>
      <xdr:col>2</xdr:col>
      <xdr:colOff>1190625</xdr:colOff>
      <xdr:row>33</xdr:row>
      <xdr:rowOff>0</xdr:rowOff>
    </xdr:to>
    <xdr:sp macro="" textlink="">
      <xdr:nvSpPr>
        <xdr:cNvPr id="8" name="Line 10">
          <a:extLst>
            <a:ext uri="{FF2B5EF4-FFF2-40B4-BE49-F238E27FC236}">
              <a16:creationId xmlns:a16="http://schemas.microsoft.com/office/drawing/2014/main" id="{00000000-0008-0000-3400-000008000000}"/>
            </a:ext>
          </a:extLst>
        </xdr:cNvPr>
        <xdr:cNvSpPr>
          <a:spLocks noChangeShapeType="1"/>
        </xdr:cNvSpPr>
      </xdr:nvSpPr>
      <xdr:spPr bwMode="auto">
        <a:xfrm>
          <a:off x="5953125" y="6105525"/>
          <a:ext cx="0"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923200</xdr:colOff>
      <xdr:row>2</xdr:row>
      <xdr:rowOff>139213</xdr:rowOff>
    </xdr:from>
    <xdr:to>
      <xdr:col>5</xdr:col>
      <xdr:colOff>541467</xdr:colOff>
      <xdr:row>4</xdr:row>
      <xdr:rowOff>43963</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4333150" y="329713"/>
          <a:ext cx="1332767"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t>Xbar and R Chart</a:t>
          </a:r>
        </a:p>
      </xdr:txBody>
    </xdr:sp>
    <xdr:clientData/>
  </xdr:twoCellAnchor>
  <xdr:twoCellAnchor>
    <xdr:from>
      <xdr:col>3</xdr:col>
      <xdr:colOff>908839</xdr:colOff>
      <xdr:row>5</xdr:row>
      <xdr:rowOff>171126</xdr:rowOff>
    </xdr:from>
    <xdr:to>
      <xdr:col>5</xdr:col>
      <xdr:colOff>529305</xdr:colOff>
      <xdr:row>8</xdr:row>
      <xdr:rowOff>134344</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4589630" y="1234613"/>
          <a:ext cx="1449266" cy="5098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t>Xbar</a:t>
          </a:r>
          <a:r>
            <a:rPr lang="en-US" sz="1100" b="1" baseline="0"/>
            <a:t> and Sigma</a:t>
          </a:r>
        </a:p>
        <a:p>
          <a:pPr algn="l"/>
          <a:r>
            <a:rPr lang="en-US" sz="1100" b="1" baseline="0"/>
            <a:t>or Xbar and R chart</a:t>
          </a:r>
          <a:endParaRPr lang="en-US" sz="1100" b="1"/>
        </a:p>
      </xdr:txBody>
    </xdr:sp>
    <xdr:clientData/>
  </xdr:twoCellAnchor>
  <xdr:twoCellAnchor>
    <xdr:from>
      <xdr:col>3</xdr:col>
      <xdr:colOff>871471</xdr:colOff>
      <xdr:row>10</xdr:row>
      <xdr:rowOff>140678</xdr:rowOff>
    </xdr:from>
    <xdr:to>
      <xdr:col>5</xdr:col>
      <xdr:colOff>487540</xdr:colOff>
      <xdr:row>12</xdr:row>
      <xdr:rowOff>45428</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00000000-0008-0000-0500-000007000000}"/>
            </a:ext>
          </a:extLst>
        </xdr:cNvPr>
        <xdr:cNvSpPr/>
      </xdr:nvSpPr>
      <xdr:spPr>
        <a:xfrm>
          <a:off x="4551931" y="1862798"/>
          <a:ext cx="1444869" cy="2705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b="1"/>
            <a:t>I-MR Chart</a:t>
          </a:r>
        </a:p>
      </xdr:txBody>
    </xdr:sp>
    <xdr:clientData/>
  </xdr:twoCellAnchor>
  <xdr:twoCellAnchor>
    <xdr:from>
      <xdr:col>0</xdr:col>
      <xdr:colOff>19050</xdr:colOff>
      <xdr:row>6</xdr:row>
      <xdr:rowOff>0</xdr:rowOff>
    </xdr:from>
    <xdr:to>
      <xdr:col>0</xdr:col>
      <xdr:colOff>1362075</xdr:colOff>
      <xdr:row>9</xdr:row>
      <xdr:rowOff>19049</xdr:rowOff>
    </xdr:to>
    <xdr:sp macro="" textlink="">
      <xdr:nvSpPr>
        <xdr:cNvPr id="12" name="Rectangle 11">
          <a:extLst>
            <a:ext uri="{FF2B5EF4-FFF2-40B4-BE49-F238E27FC236}">
              <a16:creationId xmlns:a16="http://schemas.microsoft.com/office/drawing/2014/main" id="{00000000-0008-0000-0500-00000C000000}"/>
            </a:ext>
          </a:extLst>
        </xdr:cNvPr>
        <xdr:cNvSpPr/>
      </xdr:nvSpPr>
      <xdr:spPr>
        <a:xfrm>
          <a:off x="19050" y="952500"/>
          <a:ext cx="1343025" cy="5905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 Continuous Data</a:t>
          </a:r>
        </a:p>
      </xdr:txBody>
    </xdr:sp>
    <xdr:clientData/>
  </xdr:twoCellAnchor>
  <xdr:twoCellAnchor>
    <xdr:from>
      <xdr:col>3</xdr:col>
      <xdr:colOff>923200</xdr:colOff>
      <xdr:row>16</xdr:row>
      <xdr:rowOff>110638</xdr:rowOff>
    </xdr:from>
    <xdr:to>
      <xdr:col>5</xdr:col>
      <xdr:colOff>541467</xdr:colOff>
      <xdr:row>18</xdr:row>
      <xdr:rowOff>15388</xdr:rowOff>
    </xdr:to>
    <xdr:sp macro="" textlink="">
      <xdr:nvSpPr>
        <xdr:cNvPr id="64" name="Rectangle 63">
          <a:hlinkClick xmlns:r="http://schemas.openxmlformats.org/officeDocument/2006/relationships" r:id="rId3"/>
          <a:extLst>
            <a:ext uri="{FF2B5EF4-FFF2-40B4-BE49-F238E27FC236}">
              <a16:creationId xmlns:a16="http://schemas.microsoft.com/office/drawing/2014/main" id="{00000000-0008-0000-0500-000040000000}"/>
            </a:ext>
          </a:extLst>
        </xdr:cNvPr>
        <xdr:cNvSpPr/>
      </xdr:nvSpPr>
      <xdr:spPr>
        <a:xfrm>
          <a:off x="4333150" y="2968138"/>
          <a:ext cx="1332767"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b="1">
              <a:solidFill>
                <a:schemeClr val="lt1"/>
              </a:solidFill>
              <a:effectLst/>
              <a:latin typeface="+mn-lt"/>
              <a:ea typeface="+mn-ea"/>
              <a:cs typeface="+mn-cs"/>
            </a:rPr>
            <a:t>np</a:t>
          </a:r>
          <a:r>
            <a:rPr lang="en-US" sz="1100" b="1" baseline="0">
              <a:solidFill>
                <a:schemeClr val="lt1"/>
              </a:solidFill>
              <a:effectLst/>
              <a:latin typeface="+mn-lt"/>
              <a:ea typeface="+mn-ea"/>
              <a:cs typeface="+mn-cs"/>
            </a:rPr>
            <a:t> Control Chart</a:t>
          </a:r>
          <a:endParaRPr lang="en-US">
            <a:effectLst/>
          </a:endParaRPr>
        </a:p>
      </xdr:txBody>
    </xdr:sp>
    <xdr:clientData/>
  </xdr:twoCellAnchor>
  <xdr:twoCellAnchor>
    <xdr:from>
      <xdr:col>3</xdr:col>
      <xdr:colOff>910744</xdr:colOff>
      <xdr:row>19</xdr:row>
      <xdr:rowOff>137747</xdr:rowOff>
    </xdr:from>
    <xdr:to>
      <xdr:col>5</xdr:col>
      <xdr:colOff>531210</xdr:colOff>
      <xdr:row>21</xdr:row>
      <xdr:rowOff>42497</xdr:rowOff>
    </xdr:to>
    <xdr:sp macro="" textlink="">
      <xdr:nvSpPr>
        <xdr:cNvPr id="65" name="Rectangle 64">
          <a:hlinkClick xmlns:r="http://schemas.openxmlformats.org/officeDocument/2006/relationships" r:id="rId4"/>
          <a:extLst>
            <a:ext uri="{FF2B5EF4-FFF2-40B4-BE49-F238E27FC236}">
              <a16:creationId xmlns:a16="http://schemas.microsoft.com/office/drawing/2014/main" id="{00000000-0008-0000-0500-000041000000}"/>
            </a:ext>
          </a:extLst>
        </xdr:cNvPr>
        <xdr:cNvSpPr/>
      </xdr:nvSpPr>
      <xdr:spPr>
        <a:xfrm>
          <a:off x="4320694" y="3566747"/>
          <a:ext cx="1334966"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b="1" baseline="0">
              <a:solidFill>
                <a:schemeClr val="lt1"/>
              </a:solidFill>
              <a:effectLst/>
              <a:latin typeface="+mn-lt"/>
              <a:ea typeface="+mn-ea"/>
              <a:cs typeface="+mn-cs"/>
            </a:rPr>
            <a:t>p Chart</a:t>
          </a:r>
          <a:endParaRPr lang="en-US">
            <a:effectLst/>
          </a:endParaRPr>
        </a:p>
      </xdr:txBody>
    </xdr:sp>
    <xdr:clientData/>
  </xdr:twoCellAnchor>
  <xdr:twoCellAnchor>
    <xdr:from>
      <xdr:col>3</xdr:col>
      <xdr:colOff>916606</xdr:colOff>
      <xdr:row>23</xdr:row>
      <xdr:rowOff>54220</xdr:rowOff>
    </xdr:from>
    <xdr:to>
      <xdr:col>5</xdr:col>
      <xdr:colOff>531210</xdr:colOff>
      <xdr:row>24</xdr:row>
      <xdr:rowOff>149470</xdr:rowOff>
    </xdr:to>
    <xdr:sp macro="" textlink="">
      <xdr:nvSpPr>
        <xdr:cNvPr id="66" name="Rectangle 65">
          <a:hlinkClick xmlns:r="http://schemas.openxmlformats.org/officeDocument/2006/relationships" r:id="rId5"/>
          <a:extLst>
            <a:ext uri="{FF2B5EF4-FFF2-40B4-BE49-F238E27FC236}">
              <a16:creationId xmlns:a16="http://schemas.microsoft.com/office/drawing/2014/main" id="{00000000-0008-0000-0500-000042000000}"/>
            </a:ext>
          </a:extLst>
        </xdr:cNvPr>
        <xdr:cNvSpPr/>
      </xdr:nvSpPr>
      <xdr:spPr>
        <a:xfrm>
          <a:off x="4326556" y="4245220"/>
          <a:ext cx="1329104"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b="1" baseline="0">
              <a:solidFill>
                <a:schemeClr val="lt1"/>
              </a:solidFill>
              <a:effectLst/>
              <a:latin typeface="+mn-lt"/>
              <a:ea typeface="+mn-ea"/>
              <a:cs typeface="+mn-cs"/>
            </a:rPr>
            <a:t>c Chart</a:t>
          </a:r>
          <a:endParaRPr lang="en-US">
            <a:effectLst/>
          </a:endParaRPr>
        </a:p>
      </xdr:txBody>
    </xdr:sp>
    <xdr:clientData/>
  </xdr:twoCellAnchor>
  <xdr:twoCellAnchor>
    <xdr:from>
      <xdr:col>3</xdr:col>
      <xdr:colOff>928328</xdr:colOff>
      <xdr:row>26</xdr:row>
      <xdr:rowOff>67409</xdr:rowOff>
    </xdr:from>
    <xdr:to>
      <xdr:col>5</xdr:col>
      <xdr:colOff>544397</xdr:colOff>
      <xdr:row>27</xdr:row>
      <xdr:rowOff>162659</xdr:rowOff>
    </xdr:to>
    <xdr:sp macro="" textlink="">
      <xdr:nvSpPr>
        <xdr:cNvPr id="67" name="Rectangle 66">
          <a:hlinkClick xmlns:r="http://schemas.openxmlformats.org/officeDocument/2006/relationships" r:id="rId6"/>
          <a:extLst>
            <a:ext uri="{FF2B5EF4-FFF2-40B4-BE49-F238E27FC236}">
              <a16:creationId xmlns:a16="http://schemas.microsoft.com/office/drawing/2014/main" id="{00000000-0008-0000-0500-000043000000}"/>
            </a:ext>
          </a:extLst>
        </xdr:cNvPr>
        <xdr:cNvSpPr/>
      </xdr:nvSpPr>
      <xdr:spPr>
        <a:xfrm>
          <a:off x="4338278" y="4829909"/>
          <a:ext cx="1330569" cy="285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baseline="0">
              <a:solidFill>
                <a:schemeClr val="lt1"/>
              </a:solidFill>
              <a:effectLst/>
              <a:latin typeface="+mn-lt"/>
              <a:ea typeface="+mn-ea"/>
              <a:cs typeface="+mn-cs"/>
            </a:rPr>
            <a:t>u Chart</a:t>
          </a:r>
          <a:endParaRPr lang="en-US">
            <a:effectLst/>
          </a:endParaRPr>
        </a:p>
        <a:p>
          <a:pPr algn="l"/>
          <a:endParaRPr lang="en-US" sz="1100" b="1"/>
        </a:p>
      </xdr:txBody>
    </xdr:sp>
    <xdr:clientData/>
  </xdr:twoCellAnchor>
  <xdr:twoCellAnchor>
    <xdr:from>
      <xdr:col>0</xdr:col>
      <xdr:colOff>19049</xdr:colOff>
      <xdr:row>20</xdr:row>
      <xdr:rowOff>14654</xdr:rowOff>
    </xdr:from>
    <xdr:to>
      <xdr:col>0</xdr:col>
      <xdr:colOff>1362074</xdr:colOff>
      <xdr:row>23</xdr:row>
      <xdr:rowOff>33703</xdr:rowOff>
    </xdr:to>
    <xdr:sp macro="" textlink="">
      <xdr:nvSpPr>
        <xdr:cNvPr id="68" name="Rectangle 67">
          <a:extLst>
            <a:ext uri="{FF2B5EF4-FFF2-40B4-BE49-F238E27FC236}">
              <a16:creationId xmlns:a16="http://schemas.microsoft.com/office/drawing/2014/main" id="{00000000-0008-0000-0500-000044000000}"/>
            </a:ext>
          </a:extLst>
        </xdr:cNvPr>
        <xdr:cNvSpPr/>
      </xdr:nvSpPr>
      <xdr:spPr>
        <a:xfrm>
          <a:off x="19049" y="2681654"/>
          <a:ext cx="1343025" cy="5905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Discrete</a:t>
          </a:r>
          <a:r>
            <a:rPr lang="en-US" sz="1100" b="1" baseline="0"/>
            <a:t> </a:t>
          </a:r>
          <a:r>
            <a:rPr lang="en-US" sz="1100" b="1"/>
            <a:t>Data</a:t>
          </a:r>
        </a:p>
      </xdr:txBody>
    </xdr:sp>
    <xdr:clientData/>
  </xdr:twoCellAnchor>
  <xdr:twoCellAnchor>
    <xdr:from>
      <xdr:col>2</xdr:col>
      <xdr:colOff>261077</xdr:colOff>
      <xdr:row>3</xdr:row>
      <xdr:rowOff>103690</xdr:rowOff>
    </xdr:from>
    <xdr:to>
      <xdr:col>3</xdr:col>
      <xdr:colOff>551957</xdr:colOff>
      <xdr:row>4</xdr:row>
      <xdr:rowOff>174897</xdr:rowOff>
    </xdr:to>
    <xdr:sp macro="" textlink="">
      <xdr:nvSpPr>
        <xdr:cNvPr id="86" name="TextBox 85">
          <a:extLst>
            <a:ext uri="{FF2B5EF4-FFF2-40B4-BE49-F238E27FC236}">
              <a16:creationId xmlns:a16="http://schemas.microsoft.com/office/drawing/2014/main" id="{00000000-0008-0000-0500-000056000000}"/>
            </a:ext>
          </a:extLst>
        </xdr:cNvPr>
        <xdr:cNvSpPr txBox="1"/>
      </xdr:nvSpPr>
      <xdr:spPr>
        <a:xfrm rot="20618424">
          <a:off x="2299427" y="484690"/>
          <a:ext cx="1662480" cy="2617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Subgroup</a:t>
          </a:r>
          <a:r>
            <a:rPr lang="en-US" sz="1100" baseline="0"/>
            <a:t> size= 2 to 9</a:t>
          </a:r>
          <a:endParaRPr lang="en-US" sz="1100"/>
        </a:p>
      </xdr:txBody>
    </xdr:sp>
    <xdr:clientData/>
  </xdr:twoCellAnchor>
  <xdr:twoCellAnchor>
    <xdr:from>
      <xdr:col>2</xdr:col>
      <xdr:colOff>447428</xdr:colOff>
      <xdr:row>5</xdr:row>
      <xdr:rowOff>115632</xdr:rowOff>
    </xdr:from>
    <xdr:to>
      <xdr:col>3</xdr:col>
      <xdr:colOff>993286</xdr:colOff>
      <xdr:row>7</xdr:row>
      <xdr:rowOff>12369</xdr:rowOff>
    </xdr:to>
    <xdr:sp macro="" textlink="">
      <xdr:nvSpPr>
        <xdr:cNvPr id="87" name="TextBox 86">
          <a:extLst>
            <a:ext uri="{FF2B5EF4-FFF2-40B4-BE49-F238E27FC236}">
              <a16:creationId xmlns:a16="http://schemas.microsoft.com/office/drawing/2014/main" id="{00000000-0008-0000-0500-000057000000}"/>
            </a:ext>
          </a:extLst>
        </xdr:cNvPr>
        <xdr:cNvSpPr txBox="1"/>
      </xdr:nvSpPr>
      <xdr:spPr>
        <a:xfrm rot="21330312">
          <a:off x="2485778" y="877632"/>
          <a:ext cx="1917458" cy="277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Subgroup</a:t>
          </a:r>
          <a:r>
            <a:rPr lang="en-US" sz="1100" baseline="0"/>
            <a:t> size= 10 or more</a:t>
          </a:r>
          <a:endParaRPr lang="en-US" sz="1100"/>
        </a:p>
      </xdr:txBody>
    </xdr:sp>
    <xdr:clientData/>
  </xdr:twoCellAnchor>
  <xdr:twoCellAnchor>
    <xdr:from>
      <xdr:col>1</xdr:col>
      <xdr:colOff>659423</xdr:colOff>
      <xdr:row>17</xdr:row>
      <xdr:rowOff>102577</xdr:rowOff>
    </xdr:from>
    <xdr:to>
      <xdr:col>3</xdr:col>
      <xdr:colOff>538531</xdr:colOff>
      <xdr:row>18</xdr:row>
      <xdr:rowOff>102577</xdr:rowOff>
    </xdr:to>
    <xdr:sp macro="" textlink="">
      <xdr:nvSpPr>
        <xdr:cNvPr id="124" name="TextBox 123">
          <a:extLst>
            <a:ext uri="{FF2B5EF4-FFF2-40B4-BE49-F238E27FC236}">
              <a16:creationId xmlns:a16="http://schemas.microsoft.com/office/drawing/2014/main" id="{00000000-0008-0000-0500-00007C000000}"/>
            </a:ext>
          </a:extLst>
        </xdr:cNvPr>
        <xdr:cNvSpPr txBox="1"/>
      </xdr:nvSpPr>
      <xdr:spPr>
        <a:xfrm>
          <a:off x="2029558" y="2198077"/>
          <a:ext cx="1915992"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1362075</xdr:colOff>
      <xdr:row>7</xdr:row>
      <xdr:rowOff>100965</xdr:rowOff>
    </xdr:from>
    <xdr:to>
      <xdr:col>3</xdr:col>
      <xdr:colOff>871471</xdr:colOff>
      <xdr:row>11</xdr:row>
      <xdr:rowOff>93053</xdr:rowOff>
    </xdr:to>
    <xdr:cxnSp macro="">
      <xdr:nvCxnSpPr>
        <xdr:cNvPr id="134" name="Straight Connector 133">
          <a:extLst>
            <a:ext uri="{FF2B5EF4-FFF2-40B4-BE49-F238E27FC236}">
              <a16:creationId xmlns:a16="http://schemas.microsoft.com/office/drawing/2014/main" id="{00000000-0008-0000-0500-000086000000}"/>
            </a:ext>
          </a:extLst>
        </xdr:cNvPr>
        <xdr:cNvCxnSpPr>
          <a:stCxn id="12" idx="3"/>
          <a:endCxn id="7" idx="1"/>
        </xdr:cNvCxnSpPr>
      </xdr:nvCxnSpPr>
      <xdr:spPr>
        <a:xfrm>
          <a:off x="1362075" y="1274445"/>
          <a:ext cx="3189856" cy="723608"/>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1362075</xdr:colOff>
      <xdr:row>7</xdr:row>
      <xdr:rowOff>61626</xdr:rowOff>
    </xdr:from>
    <xdr:to>
      <xdr:col>3</xdr:col>
      <xdr:colOff>908839</xdr:colOff>
      <xdr:row>7</xdr:row>
      <xdr:rowOff>100633</xdr:rowOff>
    </xdr:to>
    <xdr:cxnSp macro="">
      <xdr:nvCxnSpPr>
        <xdr:cNvPr id="145" name="Straight Connector 144">
          <a:extLst>
            <a:ext uri="{FF2B5EF4-FFF2-40B4-BE49-F238E27FC236}">
              <a16:creationId xmlns:a16="http://schemas.microsoft.com/office/drawing/2014/main" id="{00000000-0008-0000-0500-000091000000}"/>
            </a:ext>
          </a:extLst>
        </xdr:cNvPr>
        <xdr:cNvCxnSpPr>
          <a:stCxn id="12" idx="3"/>
          <a:endCxn id="5" idx="1"/>
        </xdr:cNvCxnSpPr>
      </xdr:nvCxnSpPr>
      <xdr:spPr>
        <a:xfrm flipV="1">
          <a:off x="1362075" y="1489548"/>
          <a:ext cx="3227555" cy="39007"/>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1362075</xdr:colOff>
      <xdr:row>3</xdr:row>
      <xdr:rowOff>91588</xdr:rowOff>
    </xdr:from>
    <xdr:to>
      <xdr:col>3</xdr:col>
      <xdr:colOff>923200</xdr:colOff>
      <xdr:row>7</xdr:row>
      <xdr:rowOff>104775</xdr:rowOff>
    </xdr:to>
    <xdr:cxnSp macro="">
      <xdr:nvCxnSpPr>
        <xdr:cNvPr id="148" name="Straight Connector 147">
          <a:extLst>
            <a:ext uri="{FF2B5EF4-FFF2-40B4-BE49-F238E27FC236}">
              <a16:creationId xmlns:a16="http://schemas.microsoft.com/office/drawing/2014/main" id="{00000000-0008-0000-0500-000094000000}"/>
            </a:ext>
          </a:extLst>
        </xdr:cNvPr>
        <xdr:cNvCxnSpPr>
          <a:stCxn id="12" idx="3"/>
          <a:endCxn id="4" idx="1"/>
        </xdr:cNvCxnSpPr>
      </xdr:nvCxnSpPr>
      <xdr:spPr>
        <a:xfrm flipV="1">
          <a:off x="1362075" y="472588"/>
          <a:ext cx="2971075" cy="775187"/>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704850</xdr:colOff>
      <xdr:row>19</xdr:row>
      <xdr:rowOff>9525</xdr:rowOff>
    </xdr:from>
    <xdr:to>
      <xdr:col>2</xdr:col>
      <xdr:colOff>847725</xdr:colOff>
      <xdr:row>19</xdr:row>
      <xdr:rowOff>161925</xdr:rowOff>
    </xdr:to>
    <xdr:sp macro="" textlink="">
      <xdr:nvSpPr>
        <xdr:cNvPr id="153" name="Flowchart: Connector 152">
          <a:extLst>
            <a:ext uri="{FF2B5EF4-FFF2-40B4-BE49-F238E27FC236}">
              <a16:creationId xmlns:a16="http://schemas.microsoft.com/office/drawing/2014/main" id="{00000000-0008-0000-0500-000099000000}"/>
            </a:ext>
          </a:extLst>
        </xdr:cNvPr>
        <xdr:cNvSpPr/>
      </xdr:nvSpPr>
      <xdr:spPr>
        <a:xfrm>
          <a:off x="2743200" y="3438525"/>
          <a:ext cx="142875"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1362074</xdr:colOff>
      <xdr:row>19</xdr:row>
      <xdr:rowOff>85725</xdr:rowOff>
    </xdr:from>
    <xdr:to>
      <xdr:col>2</xdr:col>
      <xdr:colOff>704850</xdr:colOff>
      <xdr:row>21</xdr:row>
      <xdr:rowOff>119429</xdr:rowOff>
    </xdr:to>
    <xdr:cxnSp macro="">
      <xdr:nvCxnSpPr>
        <xdr:cNvPr id="154" name="Straight Connector 153">
          <a:extLst>
            <a:ext uri="{FF2B5EF4-FFF2-40B4-BE49-F238E27FC236}">
              <a16:creationId xmlns:a16="http://schemas.microsoft.com/office/drawing/2014/main" id="{00000000-0008-0000-0500-00009A000000}"/>
            </a:ext>
          </a:extLst>
        </xdr:cNvPr>
        <xdr:cNvCxnSpPr>
          <a:stCxn id="68" idx="3"/>
          <a:endCxn id="153" idx="2"/>
        </xdr:cNvCxnSpPr>
      </xdr:nvCxnSpPr>
      <xdr:spPr>
        <a:xfrm flipV="1">
          <a:off x="1362074" y="3514725"/>
          <a:ext cx="1381126" cy="414704"/>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714375</xdr:colOff>
      <xdr:row>23</xdr:row>
      <xdr:rowOff>133350</xdr:rowOff>
    </xdr:from>
    <xdr:to>
      <xdr:col>2</xdr:col>
      <xdr:colOff>857250</xdr:colOff>
      <xdr:row>24</xdr:row>
      <xdr:rowOff>95250</xdr:rowOff>
    </xdr:to>
    <xdr:sp macro="" textlink="">
      <xdr:nvSpPr>
        <xdr:cNvPr id="159" name="Flowchart: Connector 158">
          <a:extLst>
            <a:ext uri="{FF2B5EF4-FFF2-40B4-BE49-F238E27FC236}">
              <a16:creationId xmlns:a16="http://schemas.microsoft.com/office/drawing/2014/main" id="{00000000-0008-0000-0500-00009F000000}"/>
            </a:ext>
          </a:extLst>
        </xdr:cNvPr>
        <xdr:cNvSpPr/>
      </xdr:nvSpPr>
      <xdr:spPr>
        <a:xfrm>
          <a:off x="2752725" y="4324350"/>
          <a:ext cx="142875" cy="15240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1362074</xdr:colOff>
      <xdr:row>21</xdr:row>
      <xdr:rowOff>119429</xdr:rowOff>
    </xdr:from>
    <xdr:to>
      <xdr:col>2</xdr:col>
      <xdr:colOff>735299</xdr:colOff>
      <xdr:row>23</xdr:row>
      <xdr:rowOff>155668</xdr:rowOff>
    </xdr:to>
    <xdr:cxnSp macro="">
      <xdr:nvCxnSpPr>
        <xdr:cNvPr id="160" name="Straight Connector 159">
          <a:extLst>
            <a:ext uri="{FF2B5EF4-FFF2-40B4-BE49-F238E27FC236}">
              <a16:creationId xmlns:a16="http://schemas.microsoft.com/office/drawing/2014/main" id="{00000000-0008-0000-0500-0000A0000000}"/>
            </a:ext>
          </a:extLst>
        </xdr:cNvPr>
        <xdr:cNvCxnSpPr>
          <a:stCxn id="68" idx="3"/>
          <a:endCxn id="159" idx="1"/>
        </xdr:cNvCxnSpPr>
      </xdr:nvCxnSpPr>
      <xdr:spPr>
        <a:xfrm>
          <a:off x="1362074" y="3929429"/>
          <a:ext cx="1411575" cy="417239"/>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826801</xdr:colOff>
      <xdr:row>17</xdr:row>
      <xdr:rowOff>63013</xdr:rowOff>
    </xdr:from>
    <xdr:to>
      <xdr:col>3</xdr:col>
      <xdr:colOff>923200</xdr:colOff>
      <xdr:row>19</xdr:row>
      <xdr:rowOff>31843</xdr:rowOff>
    </xdr:to>
    <xdr:cxnSp macro="">
      <xdr:nvCxnSpPr>
        <xdr:cNvPr id="163" name="Straight Connector 162">
          <a:extLst>
            <a:ext uri="{FF2B5EF4-FFF2-40B4-BE49-F238E27FC236}">
              <a16:creationId xmlns:a16="http://schemas.microsoft.com/office/drawing/2014/main" id="{00000000-0008-0000-0500-0000A3000000}"/>
            </a:ext>
          </a:extLst>
        </xdr:cNvPr>
        <xdr:cNvCxnSpPr>
          <a:stCxn id="153" idx="7"/>
          <a:endCxn id="64" idx="1"/>
        </xdr:cNvCxnSpPr>
      </xdr:nvCxnSpPr>
      <xdr:spPr>
        <a:xfrm flipV="1">
          <a:off x="2865151" y="3111013"/>
          <a:ext cx="1467999" cy="34983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826801</xdr:colOff>
      <xdr:row>19</xdr:row>
      <xdr:rowOff>139607</xdr:rowOff>
    </xdr:from>
    <xdr:to>
      <xdr:col>3</xdr:col>
      <xdr:colOff>910744</xdr:colOff>
      <xdr:row>20</xdr:row>
      <xdr:rowOff>90122</xdr:rowOff>
    </xdr:to>
    <xdr:cxnSp macro="">
      <xdr:nvCxnSpPr>
        <xdr:cNvPr id="166" name="Straight Connector 165">
          <a:extLst>
            <a:ext uri="{FF2B5EF4-FFF2-40B4-BE49-F238E27FC236}">
              <a16:creationId xmlns:a16="http://schemas.microsoft.com/office/drawing/2014/main" id="{00000000-0008-0000-0500-0000A6000000}"/>
            </a:ext>
          </a:extLst>
        </xdr:cNvPr>
        <xdr:cNvCxnSpPr>
          <a:stCxn id="153" idx="5"/>
          <a:endCxn id="65" idx="1"/>
        </xdr:cNvCxnSpPr>
      </xdr:nvCxnSpPr>
      <xdr:spPr>
        <a:xfrm>
          <a:off x="2865151" y="3568607"/>
          <a:ext cx="1455543" cy="141015"/>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836326</xdr:colOff>
      <xdr:row>23</xdr:row>
      <xdr:rowOff>155668</xdr:rowOff>
    </xdr:from>
    <xdr:to>
      <xdr:col>3</xdr:col>
      <xdr:colOff>916606</xdr:colOff>
      <xdr:row>24</xdr:row>
      <xdr:rowOff>6595</xdr:rowOff>
    </xdr:to>
    <xdr:cxnSp macro="">
      <xdr:nvCxnSpPr>
        <xdr:cNvPr id="171" name="Straight Connector 170">
          <a:extLst>
            <a:ext uri="{FF2B5EF4-FFF2-40B4-BE49-F238E27FC236}">
              <a16:creationId xmlns:a16="http://schemas.microsoft.com/office/drawing/2014/main" id="{00000000-0008-0000-0500-0000AB000000}"/>
            </a:ext>
          </a:extLst>
        </xdr:cNvPr>
        <xdr:cNvCxnSpPr>
          <a:stCxn id="159" idx="7"/>
          <a:endCxn id="66" idx="1"/>
        </xdr:cNvCxnSpPr>
      </xdr:nvCxnSpPr>
      <xdr:spPr>
        <a:xfrm>
          <a:off x="2874676" y="4346668"/>
          <a:ext cx="1451880" cy="41427"/>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828675</xdr:colOff>
      <xdr:row>24</xdr:row>
      <xdr:rowOff>57150</xdr:rowOff>
    </xdr:from>
    <xdr:to>
      <xdr:col>3</xdr:col>
      <xdr:colOff>928328</xdr:colOff>
      <xdr:row>27</xdr:row>
      <xdr:rowOff>19784</xdr:rowOff>
    </xdr:to>
    <xdr:cxnSp macro="">
      <xdr:nvCxnSpPr>
        <xdr:cNvPr id="174" name="Straight Connector 173">
          <a:extLst>
            <a:ext uri="{FF2B5EF4-FFF2-40B4-BE49-F238E27FC236}">
              <a16:creationId xmlns:a16="http://schemas.microsoft.com/office/drawing/2014/main" id="{00000000-0008-0000-0500-0000AE000000}"/>
            </a:ext>
          </a:extLst>
        </xdr:cNvPr>
        <xdr:cNvCxnSpPr>
          <a:endCxn id="67" idx="1"/>
        </xdr:cNvCxnSpPr>
      </xdr:nvCxnSpPr>
      <xdr:spPr>
        <a:xfrm>
          <a:off x="2867025" y="4438650"/>
          <a:ext cx="1471253" cy="534134"/>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34553</xdr:colOff>
      <xdr:row>19</xdr:row>
      <xdr:rowOff>6149</xdr:rowOff>
    </xdr:from>
    <xdr:to>
      <xdr:col>2</xdr:col>
      <xdr:colOff>656053</xdr:colOff>
      <xdr:row>20</xdr:row>
      <xdr:rowOff>47912</xdr:rowOff>
    </xdr:to>
    <xdr:sp macro="" textlink="">
      <xdr:nvSpPr>
        <xdr:cNvPr id="179" name="TextBox 178">
          <a:extLst>
            <a:ext uri="{FF2B5EF4-FFF2-40B4-BE49-F238E27FC236}">
              <a16:creationId xmlns:a16="http://schemas.microsoft.com/office/drawing/2014/main" id="{00000000-0008-0000-0500-0000B3000000}"/>
            </a:ext>
          </a:extLst>
        </xdr:cNvPr>
        <xdr:cNvSpPr txBox="1"/>
      </xdr:nvSpPr>
      <xdr:spPr>
        <a:xfrm rot="20518176">
          <a:off x="1406153" y="3435149"/>
          <a:ext cx="1288250" cy="232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Defective units</a:t>
          </a:r>
          <a:endParaRPr lang="en-US" sz="1100"/>
        </a:p>
      </xdr:txBody>
    </xdr:sp>
    <xdr:clientData/>
  </xdr:twoCellAnchor>
  <xdr:twoCellAnchor>
    <xdr:from>
      <xdr:col>2</xdr:col>
      <xdr:colOff>794798</xdr:colOff>
      <xdr:row>17</xdr:row>
      <xdr:rowOff>2206</xdr:rowOff>
    </xdr:from>
    <xdr:to>
      <xdr:col>3</xdr:col>
      <xdr:colOff>817197</xdr:colOff>
      <xdr:row>18</xdr:row>
      <xdr:rowOff>94525</xdr:rowOff>
    </xdr:to>
    <xdr:sp macro="" textlink="">
      <xdr:nvSpPr>
        <xdr:cNvPr id="181" name="TextBox 180">
          <a:extLst>
            <a:ext uri="{FF2B5EF4-FFF2-40B4-BE49-F238E27FC236}">
              <a16:creationId xmlns:a16="http://schemas.microsoft.com/office/drawing/2014/main" id="{00000000-0008-0000-0500-0000B5000000}"/>
            </a:ext>
          </a:extLst>
        </xdr:cNvPr>
        <xdr:cNvSpPr txBox="1"/>
      </xdr:nvSpPr>
      <xdr:spPr>
        <a:xfrm rot="20727961">
          <a:off x="2833148" y="3050206"/>
          <a:ext cx="1393999" cy="282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subgroup size fixed</a:t>
          </a:r>
          <a:endParaRPr lang="en-US" sz="1100"/>
        </a:p>
      </xdr:txBody>
    </xdr:sp>
    <xdr:clientData/>
  </xdr:twoCellAnchor>
  <xdr:twoCellAnchor>
    <xdr:from>
      <xdr:col>2</xdr:col>
      <xdr:colOff>809176</xdr:colOff>
      <xdr:row>20</xdr:row>
      <xdr:rowOff>2871</xdr:rowOff>
    </xdr:from>
    <xdr:to>
      <xdr:col>3</xdr:col>
      <xdr:colOff>1002997</xdr:colOff>
      <xdr:row>21</xdr:row>
      <xdr:rowOff>95190</xdr:rowOff>
    </xdr:to>
    <xdr:sp macro="" textlink="">
      <xdr:nvSpPr>
        <xdr:cNvPr id="182" name="TextBox 181">
          <a:extLst>
            <a:ext uri="{FF2B5EF4-FFF2-40B4-BE49-F238E27FC236}">
              <a16:creationId xmlns:a16="http://schemas.microsoft.com/office/drawing/2014/main" id="{00000000-0008-0000-0500-0000B6000000}"/>
            </a:ext>
          </a:extLst>
        </xdr:cNvPr>
        <xdr:cNvSpPr txBox="1"/>
      </xdr:nvSpPr>
      <xdr:spPr>
        <a:xfrm rot="404717">
          <a:off x="2847526" y="3622371"/>
          <a:ext cx="1565421" cy="282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subgroup size variable</a:t>
          </a:r>
          <a:endParaRPr lang="en-US" sz="1100"/>
        </a:p>
      </xdr:txBody>
    </xdr:sp>
    <xdr:clientData/>
  </xdr:twoCellAnchor>
  <xdr:twoCellAnchor>
    <xdr:from>
      <xdr:col>2</xdr:col>
      <xdr:colOff>861473</xdr:colOff>
      <xdr:row>22</xdr:row>
      <xdr:rowOff>106981</xdr:rowOff>
    </xdr:from>
    <xdr:to>
      <xdr:col>3</xdr:col>
      <xdr:colOff>883872</xdr:colOff>
      <xdr:row>24</xdr:row>
      <xdr:rowOff>8800</xdr:rowOff>
    </xdr:to>
    <xdr:sp macro="" textlink="">
      <xdr:nvSpPr>
        <xdr:cNvPr id="187" name="TextBox 186">
          <a:extLst>
            <a:ext uri="{FF2B5EF4-FFF2-40B4-BE49-F238E27FC236}">
              <a16:creationId xmlns:a16="http://schemas.microsoft.com/office/drawing/2014/main" id="{00000000-0008-0000-0500-0000BB000000}"/>
            </a:ext>
          </a:extLst>
        </xdr:cNvPr>
        <xdr:cNvSpPr txBox="1"/>
      </xdr:nvSpPr>
      <xdr:spPr>
        <a:xfrm>
          <a:off x="2899823" y="4107481"/>
          <a:ext cx="1393999" cy="282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subgroup size fixed</a:t>
          </a:r>
          <a:endParaRPr lang="en-US" sz="1100"/>
        </a:p>
      </xdr:txBody>
    </xdr:sp>
    <xdr:clientData/>
  </xdr:twoCellAnchor>
  <xdr:twoCellAnchor>
    <xdr:from>
      <xdr:col>2</xdr:col>
      <xdr:colOff>704401</xdr:colOff>
      <xdr:row>25</xdr:row>
      <xdr:rowOff>136221</xdr:rowOff>
    </xdr:from>
    <xdr:to>
      <xdr:col>3</xdr:col>
      <xdr:colOff>898222</xdr:colOff>
      <xdr:row>27</xdr:row>
      <xdr:rowOff>38040</xdr:rowOff>
    </xdr:to>
    <xdr:sp macro="" textlink="">
      <xdr:nvSpPr>
        <xdr:cNvPr id="188" name="TextBox 187">
          <a:extLst>
            <a:ext uri="{FF2B5EF4-FFF2-40B4-BE49-F238E27FC236}">
              <a16:creationId xmlns:a16="http://schemas.microsoft.com/office/drawing/2014/main" id="{00000000-0008-0000-0500-0000BC000000}"/>
            </a:ext>
          </a:extLst>
        </xdr:cNvPr>
        <xdr:cNvSpPr txBox="1"/>
      </xdr:nvSpPr>
      <xdr:spPr>
        <a:xfrm rot="1274167">
          <a:off x="2742751" y="4708221"/>
          <a:ext cx="1565421" cy="282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subgroup size variable</a:t>
          </a:r>
          <a:endParaRPr lang="en-US" sz="1100"/>
        </a:p>
      </xdr:txBody>
    </xdr:sp>
    <xdr:clientData/>
  </xdr:twoCellAnchor>
  <xdr:twoCellAnchor>
    <xdr:from>
      <xdr:col>2</xdr:col>
      <xdr:colOff>603977</xdr:colOff>
      <xdr:row>8</xdr:row>
      <xdr:rowOff>141788</xdr:rowOff>
    </xdr:from>
    <xdr:to>
      <xdr:col>3</xdr:col>
      <xdr:colOff>894857</xdr:colOff>
      <xdr:row>10</xdr:row>
      <xdr:rowOff>30115</xdr:rowOff>
    </xdr:to>
    <xdr:sp macro="" textlink="">
      <xdr:nvSpPr>
        <xdr:cNvPr id="39" name="TextBox 38">
          <a:extLst>
            <a:ext uri="{FF2B5EF4-FFF2-40B4-BE49-F238E27FC236}">
              <a16:creationId xmlns:a16="http://schemas.microsoft.com/office/drawing/2014/main" id="{00000000-0008-0000-0500-000027000000}"/>
            </a:ext>
          </a:extLst>
        </xdr:cNvPr>
        <xdr:cNvSpPr txBox="1"/>
      </xdr:nvSpPr>
      <xdr:spPr>
        <a:xfrm rot="630224">
          <a:off x="2806157" y="1498148"/>
          <a:ext cx="1769160" cy="2540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Subgroup</a:t>
          </a:r>
          <a:r>
            <a:rPr lang="en-US" sz="1100" baseline="0"/>
            <a:t> size= 1</a:t>
          </a:r>
          <a:endParaRPr lang="en-US" sz="1100"/>
        </a:p>
      </xdr:txBody>
    </xdr:sp>
    <xdr:clientData/>
  </xdr:twoCellAnchor>
  <xdr:twoCellAnchor>
    <xdr:from>
      <xdr:col>1</xdr:col>
      <xdr:colOff>3599</xdr:colOff>
      <xdr:row>22</xdr:row>
      <xdr:rowOff>181125</xdr:rowOff>
    </xdr:from>
    <xdr:to>
      <xdr:col>2</xdr:col>
      <xdr:colOff>777026</xdr:colOff>
      <xdr:row>25</xdr:row>
      <xdr:rowOff>152890</xdr:rowOff>
    </xdr:to>
    <xdr:sp macro="" textlink="">
      <xdr:nvSpPr>
        <xdr:cNvPr id="32" name="TextBox 31">
          <a:extLst>
            <a:ext uri="{FF2B5EF4-FFF2-40B4-BE49-F238E27FC236}">
              <a16:creationId xmlns:a16="http://schemas.microsoft.com/office/drawing/2014/main" id="{6E3651F8-6CD5-4CA1-A9D0-FFF5961943FB}"/>
            </a:ext>
          </a:extLst>
        </xdr:cNvPr>
        <xdr:cNvSpPr txBox="1"/>
      </xdr:nvSpPr>
      <xdr:spPr>
        <a:xfrm rot="1003059">
          <a:off x="1402789" y="4404970"/>
          <a:ext cx="1456599" cy="523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Defects on units</a:t>
          </a:r>
        </a:p>
        <a:p>
          <a:r>
            <a:rPr lang="en-US" sz="800" baseline="0"/>
            <a:t>(more than one defect per unit is possible)</a:t>
          </a:r>
          <a:endParaRPr lang="en-US" sz="8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1</xdr:row>
      <xdr:rowOff>9525</xdr:rowOff>
    </xdr:from>
    <xdr:to>
      <xdr:col>15</xdr:col>
      <xdr:colOff>9525</xdr:colOff>
      <xdr:row>26</xdr:row>
      <xdr:rowOff>19050</xdr:rowOff>
    </xdr:to>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26</xdr:row>
      <xdr:rowOff>88900</xdr:rowOff>
    </xdr:from>
    <xdr:to>
      <xdr:col>15</xdr:col>
      <xdr:colOff>25400</xdr:colOff>
      <xdr:row>52</xdr:row>
      <xdr:rowOff>3175</xdr:rowOff>
    </xdr:to>
    <xdr:graphicFrame macro="">
      <xdr:nvGraphicFramePr>
        <xdr:cNvPr id="4" name="Chart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xdr:row>
      <xdr:rowOff>9525</xdr:rowOff>
    </xdr:from>
    <xdr:to>
      <xdr:col>14</xdr:col>
      <xdr:colOff>9525</xdr:colOff>
      <xdr:row>26</xdr:row>
      <xdr:rowOff>9525</xdr:rowOff>
    </xdr:to>
    <xdr:graphicFrame macro="">
      <xdr:nvGraphicFramePr>
        <xdr:cNvPr id="2" name="Chart 1025">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19051</xdr:colOff>
      <xdr:row>6</xdr:row>
      <xdr:rowOff>457199</xdr:rowOff>
    </xdr:from>
    <xdr:to>
      <xdr:col>2</xdr:col>
      <xdr:colOff>317959</xdr:colOff>
      <xdr:row>7</xdr:row>
      <xdr:rowOff>175189</xdr:rowOff>
    </xdr:to>
    <xdr:pic>
      <xdr:nvPicPr>
        <xdr:cNvPr id="3" name="Picture 2">
          <a:extLst>
            <a:ext uri="{FF2B5EF4-FFF2-40B4-BE49-F238E27FC236}">
              <a16:creationId xmlns:a16="http://schemas.microsoft.com/office/drawing/2014/main" id="{FE464BAD-7CCD-4E51-8E38-3ADFA9528795}"/>
            </a:ext>
          </a:extLst>
        </xdr:cNvPr>
        <xdr:cNvPicPr>
          <a:picLocks noChangeAspect="1"/>
        </xdr:cNvPicPr>
      </xdr:nvPicPr>
      <xdr:blipFill>
        <a:blip xmlns:r="http://schemas.openxmlformats.org/officeDocument/2006/relationships" r:embed="rId1"/>
        <a:stretch>
          <a:fillRect/>
        </a:stretch>
      </xdr:blipFill>
      <xdr:spPr>
        <a:xfrm>
          <a:off x="4297681" y="1775459"/>
          <a:ext cx="291288" cy="180905"/>
        </a:xfrm>
        <a:prstGeom prst="rect">
          <a:avLst/>
        </a:prstGeom>
      </xdr:spPr>
    </xdr:pic>
    <xdr:clientData/>
  </xdr:twoCellAnchor>
  <xdr:oneCellAnchor>
    <xdr:from>
      <xdr:col>4</xdr:col>
      <xdr:colOff>19051</xdr:colOff>
      <xdr:row>6</xdr:row>
      <xdr:rowOff>457199</xdr:rowOff>
    </xdr:from>
    <xdr:ext cx="291288" cy="180905"/>
    <xdr:pic>
      <xdr:nvPicPr>
        <xdr:cNvPr id="4" name="Picture 3">
          <a:extLst>
            <a:ext uri="{FF2B5EF4-FFF2-40B4-BE49-F238E27FC236}">
              <a16:creationId xmlns:a16="http://schemas.microsoft.com/office/drawing/2014/main" id="{0D8355EC-2304-4EED-9E50-323720AEB0CF}"/>
            </a:ext>
          </a:extLst>
        </xdr:cNvPr>
        <xdr:cNvPicPr>
          <a:picLocks noChangeAspect="1"/>
        </xdr:cNvPicPr>
      </xdr:nvPicPr>
      <xdr:blipFill>
        <a:blip xmlns:r="http://schemas.openxmlformats.org/officeDocument/2006/relationships" r:embed="rId1"/>
        <a:stretch>
          <a:fillRect/>
        </a:stretch>
      </xdr:blipFill>
      <xdr:spPr>
        <a:xfrm>
          <a:off x="5989321" y="1775459"/>
          <a:ext cx="291288" cy="180905"/>
        </a:xfrm>
        <a:prstGeom prst="rect">
          <a:avLst/>
        </a:prstGeom>
      </xdr:spPr>
    </xdr:pic>
    <xdr:clientData/>
  </xdr:oneCellAnchor>
  <xdr:oneCellAnchor>
    <xdr:from>
      <xdr:col>6</xdr:col>
      <xdr:colOff>19051</xdr:colOff>
      <xdr:row>6</xdr:row>
      <xdr:rowOff>457199</xdr:rowOff>
    </xdr:from>
    <xdr:ext cx="291288" cy="180905"/>
    <xdr:pic>
      <xdr:nvPicPr>
        <xdr:cNvPr id="5" name="Picture 4">
          <a:extLst>
            <a:ext uri="{FF2B5EF4-FFF2-40B4-BE49-F238E27FC236}">
              <a16:creationId xmlns:a16="http://schemas.microsoft.com/office/drawing/2014/main" id="{6AFC093B-02FB-49E8-B594-8FB49454672F}"/>
            </a:ext>
          </a:extLst>
        </xdr:cNvPr>
        <xdr:cNvPicPr>
          <a:picLocks noChangeAspect="1"/>
        </xdr:cNvPicPr>
      </xdr:nvPicPr>
      <xdr:blipFill>
        <a:blip xmlns:r="http://schemas.openxmlformats.org/officeDocument/2006/relationships" r:embed="rId1"/>
        <a:stretch>
          <a:fillRect/>
        </a:stretch>
      </xdr:blipFill>
      <xdr:spPr>
        <a:xfrm>
          <a:off x="7680961" y="1775459"/>
          <a:ext cx="291288" cy="180905"/>
        </a:xfrm>
        <a:prstGeom prst="rect">
          <a:avLst/>
        </a:prstGeom>
      </xdr:spPr>
    </xdr:pic>
    <xdr:clientData/>
  </xdr:oneCellAnchor>
  <xdr:oneCellAnchor>
    <xdr:from>
      <xdr:col>8</xdr:col>
      <xdr:colOff>19051</xdr:colOff>
      <xdr:row>6</xdr:row>
      <xdr:rowOff>457199</xdr:rowOff>
    </xdr:from>
    <xdr:ext cx="291288" cy="180905"/>
    <xdr:pic>
      <xdr:nvPicPr>
        <xdr:cNvPr id="6" name="Picture 5">
          <a:extLst>
            <a:ext uri="{FF2B5EF4-FFF2-40B4-BE49-F238E27FC236}">
              <a16:creationId xmlns:a16="http://schemas.microsoft.com/office/drawing/2014/main" id="{E2E48EC5-0B55-465F-BD56-AF0FE15C4A96}"/>
            </a:ext>
          </a:extLst>
        </xdr:cNvPr>
        <xdr:cNvPicPr>
          <a:picLocks noChangeAspect="1"/>
        </xdr:cNvPicPr>
      </xdr:nvPicPr>
      <xdr:blipFill>
        <a:blip xmlns:r="http://schemas.openxmlformats.org/officeDocument/2006/relationships" r:embed="rId1"/>
        <a:stretch>
          <a:fillRect/>
        </a:stretch>
      </xdr:blipFill>
      <xdr:spPr>
        <a:xfrm>
          <a:off x="9372601" y="1775459"/>
          <a:ext cx="291288" cy="180905"/>
        </a:xfrm>
        <a:prstGeom prst="rect">
          <a:avLst/>
        </a:prstGeom>
      </xdr:spPr>
    </xdr:pic>
    <xdr:clientData/>
  </xdr:oneCellAnchor>
  <xdr:oneCellAnchor>
    <xdr:from>
      <xdr:col>10</xdr:col>
      <xdr:colOff>19051</xdr:colOff>
      <xdr:row>6</xdr:row>
      <xdr:rowOff>457199</xdr:rowOff>
    </xdr:from>
    <xdr:ext cx="291288" cy="180905"/>
    <xdr:pic>
      <xdr:nvPicPr>
        <xdr:cNvPr id="7" name="Picture 6">
          <a:extLst>
            <a:ext uri="{FF2B5EF4-FFF2-40B4-BE49-F238E27FC236}">
              <a16:creationId xmlns:a16="http://schemas.microsoft.com/office/drawing/2014/main" id="{412BF899-7B8C-45EC-BC35-7ABF1A905D36}"/>
            </a:ext>
          </a:extLst>
        </xdr:cNvPr>
        <xdr:cNvPicPr>
          <a:picLocks noChangeAspect="1"/>
        </xdr:cNvPicPr>
      </xdr:nvPicPr>
      <xdr:blipFill>
        <a:blip xmlns:r="http://schemas.openxmlformats.org/officeDocument/2006/relationships" r:embed="rId1"/>
        <a:stretch>
          <a:fillRect/>
        </a:stretch>
      </xdr:blipFill>
      <xdr:spPr>
        <a:xfrm>
          <a:off x="11064241" y="1775459"/>
          <a:ext cx="291288" cy="180905"/>
        </a:xfrm>
        <a:prstGeom prst="rect">
          <a:avLst/>
        </a:prstGeom>
      </xdr:spPr>
    </xdr:pic>
    <xdr:clientData/>
  </xdr:oneCellAnchor>
  <xdr:oneCellAnchor>
    <xdr:from>
      <xdr:col>12</xdr:col>
      <xdr:colOff>19051</xdr:colOff>
      <xdr:row>6</xdr:row>
      <xdr:rowOff>457199</xdr:rowOff>
    </xdr:from>
    <xdr:ext cx="291288" cy="180905"/>
    <xdr:pic>
      <xdr:nvPicPr>
        <xdr:cNvPr id="8" name="Picture 7">
          <a:extLst>
            <a:ext uri="{FF2B5EF4-FFF2-40B4-BE49-F238E27FC236}">
              <a16:creationId xmlns:a16="http://schemas.microsoft.com/office/drawing/2014/main" id="{CCB3B155-95C2-4018-9D18-426BB891A373}"/>
            </a:ext>
          </a:extLst>
        </xdr:cNvPr>
        <xdr:cNvPicPr>
          <a:picLocks noChangeAspect="1"/>
        </xdr:cNvPicPr>
      </xdr:nvPicPr>
      <xdr:blipFill>
        <a:blip xmlns:r="http://schemas.openxmlformats.org/officeDocument/2006/relationships" r:embed="rId1"/>
        <a:stretch>
          <a:fillRect/>
        </a:stretch>
      </xdr:blipFill>
      <xdr:spPr>
        <a:xfrm>
          <a:off x="12755881" y="1775459"/>
          <a:ext cx="291288" cy="180905"/>
        </a:xfrm>
        <a:prstGeom prst="rect">
          <a:avLst/>
        </a:prstGeom>
      </xdr:spPr>
    </xdr:pic>
    <xdr:clientData/>
  </xdr:oneCellAnchor>
  <xdr:oneCellAnchor>
    <xdr:from>
      <xdr:col>14</xdr:col>
      <xdr:colOff>19051</xdr:colOff>
      <xdr:row>6</xdr:row>
      <xdr:rowOff>457199</xdr:rowOff>
    </xdr:from>
    <xdr:ext cx="291288" cy="180905"/>
    <xdr:pic>
      <xdr:nvPicPr>
        <xdr:cNvPr id="9" name="Picture 8">
          <a:extLst>
            <a:ext uri="{FF2B5EF4-FFF2-40B4-BE49-F238E27FC236}">
              <a16:creationId xmlns:a16="http://schemas.microsoft.com/office/drawing/2014/main" id="{51D29550-54A8-43D5-82F7-381390A61B23}"/>
            </a:ext>
          </a:extLst>
        </xdr:cNvPr>
        <xdr:cNvPicPr>
          <a:picLocks noChangeAspect="1"/>
        </xdr:cNvPicPr>
      </xdr:nvPicPr>
      <xdr:blipFill>
        <a:blip xmlns:r="http://schemas.openxmlformats.org/officeDocument/2006/relationships" r:embed="rId1"/>
        <a:stretch>
          <a:fillRect/>
        </a:stretch>
      </xdr:blipFill>
      <xdr:spPr>
        <a:xfrm>
          <a:off x="14447521" y="1775459"/>
          <a:ext cx="291288" cy="180905"/>
        </a:xfrm>
        <a:prstGeom prst="rect">
          <a:avLst/>
        </a:prstGeom>
      </xdr:spPr>
    </xdr:pic>
    <xdr:clientData/>
  </xdr:oneCellAnchor>
  <xdr:oneCellAnchor>
    <xdr:from>
      <xdr:col>16</xdr:col>
      <xdr:colOff>19051</xdr:colOff>
      <xdr:row>6</xdr:row>
      <xdr:rowOff>457199</xdr:rowOff>
    </xdr:from>
    <xdr:ext cx="291288" cy="180905"/>
    <xdr:pic>
      <xdr:nvPicPr>
        <xdr:cNvPr id="10" name="Picture 9">
          <a:extLst>
            <a:ext uri="{FF2B5EF4-FFF2-40B4-BE49-F238E27FC236}">
              <a16:creationId xmlns:a16="http://schemas.microsoft.com/office/drawing/2014/main" id="{FE4B0AB1-DDCA-47BB-84CE-72937A89574D}"/>
            </a:ext>
          </a:extLst>
        </xdr:cNvPr>
        <xdr:cNvPicPr>
          <a:picLocks noChangeAspect="1"/>
        </xdr:cNvPicPr>
      </xdr:nvPicPr>
      <xdr:blipFill>
        <a:blip xmlns:r="http://schemas.openxmlformats.org/officeDocument/2006/relationships" r:embed="rId1"/>
        <a:stretch>
          <a:fillRect/>
        </a:stretch>
      </xdr:blipFill>
      <xdr:spPr>
        <a:xfrm>
          <a:off x="16139161" y="1775459"/>
          <a:ext cx="291288" cy="180905"/>
        </a:xfrm>
        <a:prstGeom prst="rect">
          <a:avLst/>
        </a:prstGeom>
      </xdr:spPr>
    </xdr:pic>
    <xdr:clientData/>
  </xdr:oneCellAnchor>
  <xdr:oneCellAnchor>
    <xdr:from>
      <xdr:col>18</xdr:col>
      <xdr:colOff>19051</xdr:colOff>
      <xdr:row>6</xdr:row>
      <xdr:rowOff>457199</xdr:rowOff>
    </xdr:from>
    <xdr:ext cx="291288" cy="180905"/>
    <xdr:pic>
      <xdr:nvPicPr>
        <xdr:cNvPr id="11" name="Picture 10">
          <a:extLst>
            <a:ext uri="{FF2B5EF4-FFF2-40B4-BE49-F238E27FC236}">
              <a16:creationId xmlns:a16="http://schemas.microsoft.com/office/drawing/2014/main" id="{1BC7FFCD-009F-4E72-98FB-AC546DA52C2F}"/>
            </a:ext>
          </a:extLst>
        </xdr:cNvPr>
        <xdr:cNvPicPr>
          <a:picLocks noChangeAspect="1"/>
        </xdr:cNvPicPr>
      </xdr:nvPicPr>
      <xdr:blipFill>
        <a:blip xmlns:r="http://schemas.openxmlformats.org/officeDocument/2006/relationships" r:embed="rId1"/>
        <a:stretch>
          <a:fillRect/>
        </a:stretch>
      </xdr:blipFill>
      <xdr:spPr>
        <a:xfrm>
          <a:off x="17830801" y="1775459"/>
          <a:ext cx="291288" cy="180905"/>
        </a:xfrm>
        <a:prstGeom prst="rect">
          <a:avLst/>
        </a:prstGeom>
      </xdr:spPr>
    </xdr:pic>
    <xdr:clientData/>
  </xdr:oneCellAnchor>
  <xdr:oneCellAnchor>
    <xdr:from>
      <xdr:col>20</xdr:col>
      <xdr:colOff>19051</xdr:colOff>
      <xdr:row>6</xdr:row>
      <xdr:rowOff>457199</xdr:rowOff>
    </xdr:from>
    <xdr:ext cx="291288" cy="180905"/>
    <xdr:pic>
      <xdr:nvPicPr>
        <xdr:cNvPr id="12" name="Picture 11">
          <a:extLst>
            <a:ext uri="{FF2B5EF4-FFF2-40B4-BE49-F238E27FC236}">
              <a16:creationId xmlns:a16="http://schemas.microsoft.com/office/drawing/2014/main" id="{46990AE1-90DC-4960-AF14-4E2A7CD79E35}"/>
            </a:ext>
          </a:extLst>
        </xdr:cNvPr>
        <xdr:cNvPicPr>
          <a:picLocks noChangeAspect="1"/>
        </xdr:cNvPicPr>
      </xdr:nvPicPr>
      <xdr:blipFill>
        <a:blip xmlns:r="http://schemas.openxmlformats.org/officeDocument/2006/relationships" r:embed="rId1"/>
        <a:stretch>
          <a:fillRect/>
        </a:stretch>
      </xdr:blipFill>
      <xdr:spPr>
        <a:xfrm>
          <a:off x="19522441" y="1775459"/>
          <a:ext cx="291288" cy="180905"/>
        </a:xfrm>
        <a:prstGeom prst="rect">
          <a:avLst/>
        </a:prstGeom>
      </xdr:spPr>
    </xdr:pic>
    <xdr:clientData/>
  </xdr:oneCellAnchor>
  <xdr:oneCellAnchor>
    <xdr:from>
      <xdr:col>22</xdr:col>
      <xdr:colOff>19051</xdr:colOff>
      <xdr:row>6</xdr:row>
      <xdr:rowOff>457199</xdr:rowOff>
    </xdr:from>
    <xdr:ext cx="291288" cy="180905"/>
    <xdr:pic>
      <xdr:nvPicPr>
        <xdr:cNvPr id="13" name="Picture 12">
          <a:extLst>
            <a:ext uri="{FF2B5EF4-FFF2-40B4-BE49-F238E27FC236}">
              <a16:creationId xmlns:a16="http://schemas.microsoft.com/office/drawing/2014/main" id="{AFAC6AE9-5E0C-4CD1-96A6-3D89519EAA45}"/>
            </a:ext>
          </a:extLst>
        </xdr:cNvPr>
        <xdr:cNvPicPr>
          <a:picLocks noChangeAspect="1"/>
        </xdr:cNvPicPr>
      </xdr:nvPicPr>
      <xdr:blipFill>
        <a:blip xmlns:r="http://schemas.openxmlformats.org/officeDocument/2006/relationships" r:embed="rId1"/>
        <a:stretch>
          <a:fillRect/>
        </a:stretch>
      </xdr:blipFill>
      <xdr:spPr>
        <a:xfrm>
          <a:off x="21214081" y="1775459"/>
          <a:ext cx="291288" cy="180905"/>
        </a:xfrm>
        <a:prstGeom prst="rect">
          <a:avLst/>
        </a:prstGeom>
      </xdr:spPr>
    </xdr:pic>
    <xdr:clientData/>
  </xdr:oneCellAnchor>
  <xdr:oneCellAnchor>
    <xdr:from>
      <xdr:col>24</xdr:col>
      <xdr:colOff>19051</xdr:colOff>
      <xdr:row>6</xdr:row>
      <xdr:rowOff>457199</xdr:rowOff>
    </xdr:from>
    <xdr:ext cx="291288" cy="180905"/>
    <xdr:pic>
      <xdr:nvPicPr>
        <xdr:cNvPr id="14" name="Picture 13">
          <a:extLst>
            <a:ext uri="{FF2B5EF4-FFF2-40B4-BE49-F238E27FC236}">
              <a16:creationId xmlns:a16="http://schemas.microsoft.com/office/drawing/2014/main" id="{0A5EA923-62AF-4A4F-95B6-760704CACDF3}"/>
            </a:ext>
          </a:extLst>
        </xdr:cNvPr>
        <xdr:cNvPicPr>
          <a:picLocks noChangeAspect="1"/>
        </xdr:cNvPicPr>
      </xdr:nvPicPr>
      <xdr:blipFill>
        <a:blip xmlns:r="http://schemas.openxmlformats.org/officeDocument/2006/relationships" r:embed="rId1"/>
        <a:stretch>
          <a:fillRect/>
        </a:stretch>
      </xdr:blipFill>
      <xdr:spPr>
        <a:xfrm>
          <a:off x="22905721" y="1775459"/>
          <a:ext cx="291288" cy="180905"/>
        </a:xfrm>
        <a:prstGeom prst="rect">
          <a:avLst/>
        </a:prstGeom>
      </xdr:spPr>
    </xdr:pic>
    <xdr:clientData/>
  </xdr:oneCellAnchor>
  <xdr:oneCellAnchor>
    <xdr:from>
      <xdr:col>26</xdr:col>
      <xdr:colOff>19051</xdr:colOff>
      <xdr:row>6</xdr:row>
      <xdr:rowOff>457199</xdr:rowOff>
    </xdr:from>
    <xdr:ext cx="291288" cy="180905"/>
    <xdr:pic>
      <xdr:nvPicPr>
        <xdr:cNvPr id="15" name="Picture 14">
          <a:extLst>
            <a:ext uri="{FF2B5EF4-FFF2-40B4-BE49-F238E27FC236}">
              <a16:creationId xmlns:a16="http://schemas.microsoft.com/office/drawing/2014/main" id="{629E4E13-72C0-4CE9-8841-1B76B2011F2E}"/>
            </a:ext>
          </a:extLst>
        </xdr:cNvPr>
        <xdr:cNvPicPr>
          <a:picLocks noChangeAspect="1"/>
        </xdr:cNvPicPr>
      </xdr:nvPicPr>
      <xdr:blipFill>
        <a:blip xmlns:r="http://schemas.openxmlformats.org/officeDocument/2006/relationships" r:embed="rId1"/>
        <a:stretch>
          <a:fillRect/>
        </a:stretch>
      </xdr:blipFill>
      <xdr:spPr>
        <a:xfrm>
          <a:off x="24597361" y="1775459"/>
          <a:ext cx="291288" cy="180905"/>
        </a:xfrm>
        <a:prstGeom prst="rect">
          <a:avLst/>
        </a:prstGeom>
      </xdr:spPr>
    </xdr:pic>
    <xdr:clientData/>
  </xdr:oneCellAnchor>
  <xdr:oneCellAnchor>
    <xdr:from>
      <xdr:col>28</xdr:col>
      <xdr:colOff>19051</xdr:colOff>
      <xdr:row>6</xdr:row>
      <xdr:rowOff>457199</xdr:rowOff>
    </xdr:from>
    <xdr:ext cx="291288" cy="180905"/>
    <xdr:pic>
      <xdr:nvPicPr>
        <xdr:cNvPr id="16" name="Picture 15">
          <a:extLst>
            <a:ext uri="{FF2B5EF4-FFF2-40B4-BE49-F238E27FC236}">
              <a16:creationId xmlns:a16="http://schemas.microsoft.com/office/drawing/2014/main" id="{FE783AF4-C477-4522-A243-A1C0D7E2299A}"/>
            </a:ext>
          </a:extLst>
        </xdr:cNvPr>
        <xdr:cNvPicPr>
          <a:picLocks noChangeAspect="1"/>
        </xdr:cNvPicPr>
      </xdr:nvPicPr>
      <xdr:blipFill>
        <a:blip xmlns:r="http://schemas.openxmlformats.org/officeDocument/2006/relationships" r:embed="rId1"/>
        <a:stretch>
          <a:fillRect/>
        </a:stretch>
      </xdr:blipFill>
      <xdr:spPr>
        <a:xfrm>
          <a:off x="26289001" y="1775459"/>
          <a:ext cx="291288" cy="180905"/>
        </a:xfrm>
        <a:prstGeom prst="rect">
          <a:avLst/>
        </a:prstGeom>
      </xdr:spPr>
    </xdr:pic>
    <xdr:clientData/>
  </xdr:oneCellAnchor>
  <xdr:oneCellAnchor>
    <xdr:from>
      <xdr:col>30</xdr:col>
      <xdr:colOff>19051</xdr:colOff>
      <xdr:row>6</xdr:row>
      <xdr:rowOff>457199</xdr:rowOff>
    </xdr:from>
    <xdr:ext cx="291288" cy="180905"/>
    <xdr:pic>
      <xdr:nvPicPr>
        <xdr:cNvPr id="17" name="Picture 16">
          <a:extLst>
            <a:ext uri="{FF2B5EF4-FFF2-40B4-BE49-F238E27FC236}">
              <a16:creationId xmlns:a16="http://schemas.microsoft.com/office/drawing/2014/main" id="{C83EC60C-8D5F-4360-98A0-41D453928CB7}"/>
            </a:ext>
          </a:extLst>
        </xdr:cNvPr>
        <xdr:cNvPicPr>
          <a:picLocks noChangeAspect="1"/>
        </xdr:cNvPicPr>
      </xdr:nvPicPr>
      <xdr:blipFill>
        <a:blip xmlns:r="http://schemas.openxmlformats.org/officeDocument/2006/relationships" r:embed="rId1"/>
        <a:stretch>
          <a:fillRect/>
        </a:stretch>
      </xdr:blipFill>
      <xdr:spPr>
        <a:xfrm>
          <a:off x="27980641" y="1775459"/>
          <a:ext cx="291288" cy="180905"/>
        </a:xfrm>
        <a:prstGeom prst="rect">
          <a:avLst/>
        </a:prstGeom>
      </xdr:spPr>
    </xdr:pic>
    <xdr:clientData/>
  </xdr:oneCellAnchor>
  <xdr:oneCellAnchor>
    <xdr:from>
      <xdr:col>32</xdr:col>
      <xdr:colOff>19051</xdr:colOff>
      <xdr:row>6</xdr:row>
      <xdr:rowOff>457199</xdr:rowOff>
    </xdr:from>
    <xdr:ext cx="291288" cy="180905"/>
    <xdr:pic>
      <xdr:nvPicPr>
        <xdr:cNvPr id="18" name="Picture 17">
          <a:extLst>
            <a:ext uri="{FF2B5EF4-FFF2-40B4-BE49-F238E27FC236}">
              <a16:creationId xmlns:a16="http://schemas.microsoft.com/office/drawing/2014/main" id="{B8AAF852-8349-4104-82DA-9742F22281C2}"/>
            </a:ext>
          </a:extLst>
        </xdr:cNvPr>
        <xdr:cNvPicPr>
          <a:picLocks noChangeAspect="1"/>
        </xdr:cNvPicPr>
      </xdr:nvPicPr>
      <xdr:blipFill>
        <a:blip xmlns:r="http://schemas.openxmlformats.org/officeDocument/2006/relationships" r:embed="rId1"/>
        <a:stretch>
          <a:fillRect/>
        </a:stretch>
      </xdr:blipFill>
      <xdr:spPr>
        <a:xfrm>
          <a:off x="29672281" y="1775459"/>
          <a:ext cx="291288" cy="180905"/>
        </a:xfrm>
        <a:prstGeom prst="rect">
          <a:avLst/>
        </a:prstGeom>
      </xdr:spPr>
    </xdr:pic>
    <xdr:clientData/>
  </xdr:oneCellAnchor>
  <xdr:oneCellAnchor>
    <xdr:from>
      <xdr:col>34</xdr:col>
      <xdr:colOff>19051</xdr:colOff>
      <xdr:row>6</xdr:row>
      <xdr:rowOff>457199</xdr:rowOff>
    </xdr:from>
    <xdr:ext cx="291288" cy="180905"/>
    <xdr:pic>
      <xdr:nvPicPr>
        <xdr:cNvPr id="19" name="Picture 18">
          <a:extLst>
            <a:ext uri="{FF2B5EF4-FFF2-40B4-BE49-F238E27FC236}">
              <a16:creationId xmlns:a16="http://schemas.microsoft.com/office/drawing/2014/main" id="{B7DC1BD2-8B44-49C0-86DF-8DE6A136464A}"/>
            </a:ext>
          </a:extLst>
        </xdr:cNvPr>
        <xdr:cNvPicPr>
          <a:picLocks noChangeAspect="1"/>
        </xdr:cNvPicPr>
      </xdr:nvPicPr>
      <xdr:blipFill>
        <a:blip xmlns:r="http://schemas.openxmlformats.org/officeDocument/2006/relationships" r:embed="rId1"/>
        <a:stretch>
          <a:fillRect/>
        </a:stretch>
      </xdr:blipFill>
      <xdr:spPr>
        <a:xfrm>
          <a:off x="31363921" y="1775459"/>
          <a:ext cx="291288" cy="180905"/>
        </a:xfrm>
        <a:prstGeom prst="rect">
          <a:avLst/>
        </a:prstGeom>
      </xdr:spPr>
    </xdr:pic>
    <xdr:clientData/>
  </xdr:oneCellAnchor>
  <xdr:oneCellAnchor>
    <xdr:from>
      <xdr:col>36</xdr:col>
      <xdr:colOff>19051</xdr:colOff>
      <xdr:row>6</xdr:row>
      <xdr:rowOff>457199</xdr:rowOff>
    </xdr:from>
    <xdr:ext cx="291288" cy="180905"/>
    <xdr:pic>
      <xdr:nvPicPr>
        <xdr:cNvPr id="20" name="Picture 19">
          <a:extLst>
            <a:ext uri="{FF2B5EF4-FFF2-40B4-BE49-F238E27FC236}">
              <a16:creationId xmlns:a16="http://schemas.microsoft.com/office/drawing/2014/main" id="{1EFA653D-90C0-4A03-A230-2A7BCDE23898}"/>
            </a:ext>
          </a:extLst>
        </xdr:cNvPr>
        <xdr:cNvPicPr>
          <a:picLocks noChangeAspect="1"/>
        </xdr:cNvPicPr>
      </xdr:nvPicPr>
      <xdr:blipFill>
        <a:blip xmlns:r="http://schemas.openxmlformats.org/officeDocument/2006/relationships" r:embed="rId1"/>
        <a:stretch>
          <a:fillRect/>
        </a:stretch>
      </xdr:blipFill>
      <xdr:spPr>
        <a:xfrm>
          <a:off x="33055561" y="1775459"/>
          <a:ext cx="291288" cy="180905"/>
        </a:xfrm>
        <a:prstGeom prst="rect">
          <a:avLst/>
        </a:prstGeom>
      </xdr:spPr>
    </xdr:pic>
    <xdr:clientData/>
  </xdr:oneCellAnchor>
  <xdr:oneCellAnchor>
    <xdr:from>
      <xdr:col>38</xdr:col>
      <xdr:colOff>19051</xdr:colOff>
      <xdr:row>6</xdr:row>
      <xdr:rowOff>457199</xdr:rowOff>
    </xdr:from>
    <xdr:ext cx="291288" cy="180905"/>
    <xdr:pic>
      <xdr:nvPicPr>
        <xdr:cNvPr id="21" name="Picture 20">
          <a:extLst>
            <a:ext uri="{FF2B5EF4-FFF2-40B4-BE49-F238E27FC236}">
              <a16:creationId xmlns:a16="http://schemas.microsoft.com/office/drawing/2014/main" id="{BC89897B-6C65-4E8C-B3CC-470AECD3A724}"/>
            </a:ext>
          </a:extLst>
        </xdr:cNvPr>
        <xdr:cNvPicPr>
          <a:picLocks noChangeAspect="1"/>
        </xdr:cNvPicPr>
      </xdr:nvPicPr>
      <xdr:blipFill>
        <a:blip xmlns:r="http://schemas.openxmlformats.org/officeDocument/2006/relationships" r:embed="rId1"/>
        <a:stretch>
          <a:fillRect/>
        </a:stretch>
      </xdr:blipFill>
      <xdr:spPr>
        <a:xfrm>
          <a:off x="34747201" y="1775459"/>
          <a:ext cx="291288" cy="180905"/>
        </a:xfrm>
        <a:prstGeom prst="rect">
          <a:avLst/>
        </a:prstGeom>
      </xdr:spPr>
    </xdr:pic>
    <xdr:clientData/>
  </xdr:oneCellAnchor>
  <xdr:oneCellAnchor>
    <xdr:from>
      <xdr:col>40</xdr:col>
      <xdr:colOff>19051</xdr:colOff>
      <xdr:row>6</xdr:row>
      <xdr:rowOff>457199</xdr:rowOff>
    </xdr:from>
    <xdr:ext cx="291288" cy="180905"/>
    <xdr:pic>
      <xdr:nvPicPr>
        <xdr:cNvPr id="22" name="Picture 21">
          <a:extLst>
            <a:ext uri="{FF2B5EF4-FFF2-40B4-BE49-F238E27FC236}">
              <a16:creationId xmlns:a16="http://schemas.microsoft.com/office/drawing/2014/main" id="{3A1596AB-35E0-4279-931A-23A76D3C7BD4}"/>
            </a:ext>
          </a:extLst>
        </xdr:cNvPr>
        <xdr:cNvPicPr>
          <a:picLocks noChangeAspect="1"/>
        </xdr:cNvPicPr>
      </xdr:nvPicPr>
      <xdr:blipFill>
        <a:blip xmlns:r="http://schemas.openxmlformats.org/officeDocument/2006/relationships" r:embed="rId1"/>
        <a:stretch>
          <a:fillRect/>
        </a:stretch>
      </xdr:blipFill>
      <xdr:spPr>
        <a:xfrm>
          <a:off x="36438841" y="1775459"/>
          <a:ext cx="291288" cy="180905"/>
        </a:xfrm>
        <a:prstGeom prst="rect">
          <a:avLst/>
        </a:prstGeom>
      </xdr:spPr>
    </xdr:pic>
    <xdr:clientData/>
  </xdr:oneCellAnchor>
  <xdr:oneCellAnchor>
    <xdr:from>
      <xdr:col>42</xdr:col>
      <xdr:colOff>19051</xdr:colOff>
      <xdr:row>6</xdr:row>
      <xdr:rowOff>457199</xdr:rowOff>
    </xdr:from>
    <xdr:ext cx="291288" cy="180905"/>
    <xdr:pic>
      <xdr:nvPicPr>
        <xdr:cNvPr id="23" name="Picture 22">
          <a:extLst>
            <a:ext uri="{FF2B5EF4-FFF2-40B4-BE49-F238E27FC236}">
              <a16:creationId xmlns:a16="http://schemas.microsoft.com/office/drawing/2014/main" id="{D7F9EEF1-E2F8-4288-B7A2-E45F68DE8A8A}"/>
            </a:ext>
          </a:extLst>
        </xdr:cNvPr>
        <xdr:cNvPicPr>
          <a:picLocks noChangeAspect="1"/>
        </xdr:cNvPicPr>
      </xdr:nvPicPr>
      <xdr:blipFill>
        <a:blip xmlns:r="http://schemas.openxmlformats.org/officeDocument/2006/relationships" r:embed="rId1"/>
        <a:stretch>
          <a:fillRect/>
        </a:stretch>
      </xdr:blipFill>
      <xdr:spPr>
        <a:xfrm>
          <a:off x="38130481" y="1775459"/>
          <a:ext cx="291288" cy="180905"/>
        </a:xfrm>
        <a:prstGeom prst="rect">
          <a:avLst/>
        </a:prstGeom>
      </xdr:spPr>
    </xdr:pic>
    <xdr:clientData/>
  </xdr:oneCellAnchor>
  <xdr:oneCellAnchor>
    <xdr:from>
      <xdr:col>44</xdr:col>
      <xdr:colOff>19051</xdr:colOff>
      <xdr:row>6</xdr:row>
      <xdr:rowOff>457199</xdr:rowOff>
    </xdr:from>
    <xdr:ext cx="291288" cy="180905"/>
    <xdr:pic>
      <xdr:nvPicPr>
        <xdr:cNvPr id="24" name="Picture 23">
          <a:extLst>
            <a:ext uri="{FF2B5EF4-FFF2-40B4-BE49-F238E27FC236}">
              <a16:creationId xmlns:a16="http://schemas.microsoft.com/office/drawing/2014/main" id="{E9669838-9C5C-4562-BFE0-E89930B42F42}"/>
            </a:ext>
          </a:extLst>
        </xdr:cNvPr>
        <xdr:cNvPicPr>
          <a:picLocks noChangeAspect="1"/>
        </xdr:cNvPicPr>
      </xdr:nvPicPr>
      <xdr:blipFill>
        <a:blip xmlns:r="http://schemas.openxmlformats.org/officeDocument/2006/relationships" r:embed="rId1"/>
        <a:stretch>
          <a:fillRect/>
        </a:stretch>
      </xdr:blipFill>
      <xdr:spPr>
        <a:xfrm>
          <a:off x="39822121" y="1775459"/>
          <a:ext cx="291288" cy="180905"/>
        </a:xfrm>
        <a:prstGeom prst="rect">
          <a:avLst/>
        </a:prstGeom>
      </xdr:spPr>
    </xdr:pic>
    <xdr:clientData/>
  </xdr:oneCellAnchor>
  <xdr:oneCellAnchor>
    <xdr:from>
      <xdr:col>46</xdr:col>
      <xdr:colOff>19051</xdr:colOff>
      <xdr:row>6</xdr:row>
      <xdr:rowOff>457199</xdr:rowOff>
    </xdr:from>
    <xdr:ext cx="291288" cy="180905"/>
    <xdr:pic>
      <xdr:nvPicPr>
        <xdr:cNvPr id="25" name="Picture 24">
          <a:extLst>
            <a:ext uri="{FF2B5EF4-FFF2-40B4-BE49-F238E27FC236}">
              <a16:creationId xmlns:a16="http://schemas.microsoft.com/office/drawing/2014/main" id="{E28A0F17-0A1D-42BF-BDF9-AA654A435587}"/>
            </a:ext>
          </a:extLst>
        </xdr:cNvPr>
        <xdr:cNvPicPr>
          <a:picLocks noChangeAspect="1"/>
        </xdr:cNvPicPr>
      </xdr:nvPicPr>
      <xdr:blipFill>
        <a:blip xmlns:r="http://schemas.openxmlformats.org/officeDocument/2006/relationships" r:embed="rId1"/>
        <a:stretch>
          <a:fillRect/>
        </a:stretch>
      </xdr:blipFill>
      <xdr:spPr>
        <a:xfrm>
          <a:off x="41513761" y="1775459"/>
          <a:ext cx="291288" cy="180905"/>
        </a:xfrm>
        <a:prstGeom prst="rect">
          <a:avLst/>
        </a:prstGeom>
      </xdr:spPr>
    </xdr:pic>
    <xdr:clientData/>
  </xdr:oneCellAnchor>
  <xdr:oneCellAnchor>
    <xdr:from>
      <xdr:col>48</xdr:col>
      <xdr:colOff>19051</xdr:colOff>
      <xdr:row>6</xdr:row>
      <xdr:rowOff>457199</xdr:rowOff>
    </xdr:from>
    <xdr:ext cx="291288" cy="180905"/>
    <xdr:pic>
      <xdr:nvPicPr>
        <xdr:cNvPr id="26" name="Picture 25">
          <a:extLst>
            <a:ext uri="{FF2B5EF4-FFF2-40B4-BE49-F238E27FC236}">
              <a16:creationId xmlns:a16="http://schemas.microsoft.com/office/drawing/2014/main" id="{CE7D59EE-CFF2-4F58-AFC9-A111A7108526}"/>
            </a:ext>
          </a:extLst>
        </xdr:cNvPr>
        <xdr:cNvPicPr>
          <a:picLocks noChangeAspect="1"/>
        </xdr:cNvPicPr>
      </xdr:nvPicPr>
      <xdr:blipFill>
        <a:blip xmlns:r="http://schemas.openxmlformats.org/officeDocument/2006/relationships" r:embed="rId1"/>
        <a:stretch>
          <a:fillRect/>
        </a:stretch>
      </xdr:blipFill>
      <xdr:spPr>
        <a:xfrm>
          <a:off x="43205401" y="1775459"/>
          <a:ext cx="291288" cy="180905"/>
        </a:xfrm>
        <a:prstGeom prst="rect">
          <a:avLst/>
        </a:prstGeom>
      </xdr:spPr>
    </xdr:pic>
    <xdr:clientData/>
  </xdr:oneCellAnchor>
  <xdr:oneCellAnchor>
    <xdr:from>
      <xdr:col>50</xdr:col>
      <xdr:colOff>19051</xdr:colOff>
      <xdr:row>6</xdr:row>
      <xdr:rowOff>457199</xdr:rowOff>
    </xdr:from>
    <xdr:ext cx="291288" cy="180905"/>
    <xdr:pic>
      <xdr:nvPicPr>
        <xdr:cNvPr id="27" name="Picture 26">
          <a:extLst>
            <a:ext uri="{FF2B5EF4-FFF2-40B4-BE49-F238E27FC236}">
              <a16:creationId xmlns:a16="http://schemas.microsoft.com/office/drawing/2014/main" id="{5C355F72-CC9B-4420-B76B-5E7CC43A7FF5}"/>
            </a:ext>
          </a:extLst>
        </xdr:cNvPr>
        <xdr:cNvPicPr>
          <a:picLocks noChangeAspect="1"/>
        </xdr:cNvPicPr>
      </xdr:nvPicPr>
      <xdr:blipFill>
        <a:blip xmlns:r="http://schemas.openxmlformats.org/officeDocument/2006/relationships" r:embed="rId1"/>
        <a:stretch>
          <a:fillRect/>
        </a:stretch>
      </xdr:blipFill>
      <xdr:spPr>
        <a:xfrm>
          <a:off x="44897041" y="1775459"/>
          <a:ext cx="291288" cy="180905"/>
        </a:xfrm>
        <a:prstGeom prst="rect">
          <a:avLst/>
        </a:prstGeom>
      </xdr:spPr>
    </xdr:pic>
    <xdr:clientData/>
  </xdr:oneCellAnchor>
  <xdr:oneCellAnchor>
    <xdr:from>
      <xdr:col>52</xdr:col>
      <xdr:colOff>19051</xdr:colOff>
      <xdr:row>6</xdr:row>
      <xdr:rowOff>457199</xdr:rowOff>
    </xdr:from>
    <xdr:ext cx="291288" cy="180905"/>
    <xdr:pic>
      <xdr:nvPicPr>
        <xdr:cNvPr id="28" name="Picture 27">
          <a:extLst>
            <a:ext uri="{FF2B5EF4-FFF2-40B4-BE49-F238E27FC236}">
              <a16:creationId xmlns:a16="http://schemas.microsoft.com/office/drawing/2014/main" id="{A6CFF116-7D91-42F7-A4DD-6451B0F59D35}"/>
            </a:ext>
          </a:extLst>
        </xdr:cNvPr>
        <xdr:cNvPicPr>
          <a:picLocks noChangeAspect="1"/>
        </xdr:cNvPicPr>
      </xdr:nvPicPr>
      <xdr:blipFill>
        <a:blip xmlns:r="http://schemas.openxmlformats.org/officeDocument/2006/relationships" r:embed="rId1"/>
        <a:stretch>
          <a:fillRect/>
        </a:stretch>
      </xdr:blipFill>
      <xdr:spPr>
        <a:xfrm>
          <a:off x="46588681" y="1775459"/>
          <a:ext cx="291288" cy="180905"/>
        </a:xfrm>
        <a:prstGeom prst="rect">
          <a:avLst/>
        </a:prstGeom>
      </xdr:spPr>
    </xdr:pic>
    <xdr:clientData/>
  </xdr:oneCellAnchor>
  <xdr:oneCellAnchor>
    <xdr:from>
      <xdr:col>54</xdr:col>
      <xdr:colOff>19051</xdr:colOff>
      <xdr:row>6</xdr:row>
      <xdr:rowOff>457199</xdr:rowOff>
    </xdr:from>
    <xdr:ext cx="291288" cy="180905"/>
    <xdr:pic>
      <xdr:nvPicPr>
        <xdr:cNvPr id="29" name="Picture 28">
          <a:extLst>
            <a:ext uri="{FF2B5EF4-FFF2-40B4-BE49-F238E27FC236}">
              <a16:creationId xmlns:a16="http://schemas.microsoft.com/office/drawing/2014/main" id="{D60636A8-D99B-4058-B234-EBFB335632D1}"/>
            </a:ext>
          </a:extLst>
        </xdr:cNvPr>
        <xdr:cNvPicPr>
          <a:picLocks noChangeAspect="1"/>
        </xdr:cNvPicPr>
      </xdr:nvPicPr>
      <xdr:blipFill>
        <a:blip xmlns:r="http://schemas.openxmlformats.org/officeDocument/2006/relationships" r:embed="rId1"/>
        <a:stretch>
          <a:fillRect/>
        </a:stretch>
      </xdr:blipFill>
      <xdr:spPr>
        <a:xfrm>
          <a:off x="48280321" y="1775459"/>
          <a:ext cx="291288" cy="180905"/>
        </a:xfrm>
        <a:prstGeom prst="rect">
          <a:avLst/>
        </a:prstGeom>
      </xdr:spPr>
    </xdr:pic>
    <xdr:clientData/>
  </xdr:oneCellAnchor>
  <xdr:oneCellAnchor>
    <xdr:from>
      <xdr:col>56</xdr:col>
      <xdr:colOff>19051</xdr:colOff>
      <xdr:row>6</xdr:row>
      <xdr:rowOff>457199</xdr:rowOff>
    </xdr:from>
    <xdr:ext cx="291288" cy="180905"/>
    <xdr:pic>
      <xdr:nvPicPr>
        <xdr:cNvPr id="30" name="Picture 29">
          <a:extLst>
            <a:ext uri="{FF2B5EF4-FFF2-40B4-BE49-F238E27FC236}">
              <a16:creationId xmlns:a16="http://schemas.microsoft.com/office/drawing/2014/main" id="{CC5B9D9B-0656-464E-9E7F-A8D4B42E8CBE}"/>
            </a:ext>
          </a:extLst>
        </xdr:cNvPr>
        <xdr:cNvPicPr>
          <a:picLocks noChangeAspect="1"/>
        </xdr:cNvPicPr>
      </xdr:nvPicPr>
      <xdr:blipFill>
        <a:blip xmlns:r="http://schemas.openxmlformats.org/officeDocument/2006/relationships" r:embed="rId1"/>
        <a:stretch>
          <a:fillRect/>
        </a:stretch>
      </xdr:blipFill>
      <xdr:spPr>
        <a:xfrm>
          <a:off x="49971961" y="1775459"/>
          <a:ext cx="291288" cy="180905"/>
        </a:xfrm>
        <a:prstGeom prst="rect">
          <a:avLst/>
        </a:prstGeom>
      </xdr:spPr>
    </xdr:pic>
    <xdr:clientData/>
  </xdr:oneCellAnchor>
  <xdr:oneCellAnchor>
    <xdr:from>
      <xdr:col>58</xdr:col>
      <xdr:colOff>19051</xdr:colOff>
      <xdr:row>6</xdr:row>
      <xdr:rowOff>457199</xdr:rowOff>
    </xdr:from>
    <xdr:ext cx="291288" cy="180905"/>
    <xdr:pic>
      <xdr:nvPicPr>
        <xdr:cNvPr id="31" name="Picture 30">
          <a:extLst>
            <a:ext uri="{FF2B5EF4-FFF2-40B4-BE49-F238E27FC236}">
              <a16:creationId xmlns:a16="http://schemas.microsoft.com/office/drawing/2014/main" id="{D464D1AB-CFC2-4E4F-94F4-716A313F0BBB}"/>
            </a:ext>
          </a:extLst>
        </xdr:cNvPr>
        <xdr:cNvPicPr>
          <a:picLocks noChangeAspect="1"/>
        </xdr:cNvPicPr>
      </xdr:nvPicPr>
      <xdr:blipFill>
        <a:blip xmlns:r="http://schemas.openxmlformats.org/officeDocument/2006/relationships" r:embed="rId1"/>
        <a:stretch>
          <a:fillRect/>
        </a:stretch>
      </xdr:blipFill>
      <xdr:spPr>
        <a:xfrm>
          <a:off x="51663601" y="1775459"/>
          <a:ext cx="291288" cy="180905"/>
        </a:xfrm>
        <a:prstGeom prst="rect">
          <a:avLst/>
        </a:prstGeom>
      </xdr:spPr>
    </xdr:pic>
    <xdr:clientData/>
  </xdr:oneCellAnchor>
  <xdr:oneCellAnchor>
    <xdr:from>
      <xdr:col>60</xdr:col>
      <xdr:colOff>19051</xdr:colOff>
      <xdr:row>6</xdr:row>
      <xdr:rowOff>457199</xdr:rowOff>
    </xdr:from>
    <xdr:ext cx="291288" cy="180905"/>
    <xdr:pic>
      <xdr:nvPicPr>
        <xdr:cNvPr id="32" name="Picture 31">
          <a:extLst>
            <a:ext uri="{FF2B5EF4-FFF2-40B4-BE49-F238E27FC236}">
              <a16:creationId xmlns:a16="http://schemas.microsoft.com/office/drawing/2014/main" id="{696D767A-2F14-4EE1-8F2C-DD3B57192808}"/>
            </a:ext>
          </a:extLst>
        </xdr:cNvPr>
        <xdr:cNvPicPr>
          <a:picLocks noChangeAspect="1"/>
        </xdr:cNvPicPr>
      </xdr:nvPicPr>
      <xdr:blipFill>
        <a:blip xmlns:r="http://schemas.openxmlformats.org/officeDocument/2006/relationships" r:embed="rId1"/>
        <a:stretch>
          <a:fillRect/>
        </a:stretch>
      </xdr:blipFill>
      <xdr:spPr>
        <a:xfrm>
          <a:off x="53355241" y="1775459"/>
          <a:ext cx="291288" cy="180905"/>
        </a:xfrm>
        <a:prstGeom prst="rect">
          <a:avLst/>
        </a:prstGeom>
      </xdr:spPr>
    </xdr:pic>
    <xdr:clientData/>
  </xdr:oneCellAnchor>
  <xdr:oneCellAnchor>
    <xdr:from>
      <xdr:col>62</xdr:col>
      <xdr:colOff>19051</xdr:colOff>
      <xdr:row>6</xdr:row>
      <xdr:rowOff>457199</xdr:rowOff>
    </xdr:from>
    <xdr:ext cx="291288" cy="180905"/>
    <xdr:pic>
      <xdr:nvPicPr>
        <xdr:cNvPr id="33" name="Picture 32">
          <a:extLst>
            <a:ext uri="{FF2B5EF4-FFF2-40B4-BE49-F238E27FC236}">
              <a16:creationId xmlns:a16="http://schemas.microsoft.com/office/drawing/2014/main" id="{9D45EC12-E8E0-4B71-84D4-CB563BB76B3B}"/>
            </a:ext>
          </a:extLst>
        </xdr:cNvPr>
        <xdr:cNvPicPr>
          <a:picLocks noChangeAspect="1"/>
        </xdr:cNvPicPr>
      </xdr:nvPicPr>
      <xdr:blipFill>
        <a:blip xmlns:r="http://schemas.openxmlformats.org/officeDocument/2006/relationships" r:embed="rId1"/>
        <a:stretch>
          <a:fillRect/>
        </a:stretch>
      </xdr:blipFill>
      <xdr:spPr>
        <a:xfrm>
          <a:off x="55046881" y="1775459"/>
          <a:ext cx="291288" cy="180905"/>
        </a:xfrm>
        <a:prstGeom prst="rect">
          <a:avLst/>
        </a:prstGeom>
      </xdr:spPr>
    </xdr:pic>
    <xdr:clientData/>
  </xdr:oneCellAnchor>
  <xdr:oneCellAnchor>
    <xdr:from>
      <xdr:col>64</xdr:col>
      <xdr:colOff>19051</xdr:colOff>
      <xdr:row>6</xdr:row>
      <xdr:rowOff>457199</xdr:rowOff>
    </xdr:from>
    <xdr:ext cx="291288" cy="180905"/>
    <xdr:pic>
      <xdr:nvPicPr>
        <xdr:cNvPr id="34" name="Picture 33">
          <a:extLst>
            <a:ext uri="{FF2B5EF4-FFF2-40B4-BE49-F238E27FC236}">
              <a16:creationId xmlns:a16="http://schemas.microsoft.com/office/drawing/2014/main" id="{D03DD9E8-3AEE-40BD-92E5-65BEA32B0130}"/>
            </a:ext>
          </a:extLst>
        </xdr:cNvPr>
        <xdr:cNvPicPr>
          <a:picLocks noChangeAspect="1"/>
        </xdr:cNvPicPr>
      </xdr:nvPicPr>
      <xdr:blipFill>
        <a:blip xmlns:r="http://schemas.openxmlformats.org/officeDocument/2006/relationships" r:embed="rId1"/>
        <a:stretch>
          <a:fillRect/>
        </a:stretch>
      </xdr:blipFill>
      <xdr:spPr>
        <a:xfrm>
          <a:off x="56738521" y="1775459"/>
          <a:ext cx="291288" cy="180905"/>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2</xdr:col>
      <xdr:colOff>19051</xdr:colOff>
      <xdr:row>6</xdr:row>
      <xdr:rowOff>457199</xdr:rowOff>
    </xdr:from>
    <xdr:to>
      <xdr:col>2</xdr:col>
      <xdr:colOff>317959</xdr:colOff>
      <xdr:row>7</xdr:row>
      <xdr:rowOff>175189</xdr:rowOff>
    </xdr:to>
    <xdr:pic>
      <xdr:nvPicPr>
        <xdr:cNvPr id="3" name="Picture 2">
          <a:extLst>
            <a:ext uri="{FF2B5EF4-FFF2-40B4-BE49-F238E27FC236}">
              <a16:creationId xmlns:a16="http://schemas.microsoft.com/office/drawing/2014/main" id="{E227C2DF-A1F5-413B-990C-0ECC11F472D9}"/>
            </a:ext>
          </a:extLst>
        </xdr:cNvPr>
        <xdr:cNvPicPr>
          <a:picLocks noChangeAspect="1"/>
        </xdr:cNvPicPr>
      </xdr:nvPicPr>
      <xdr:blipFill>
        <a:blip xmlns:r="http://schemas.openxmlformats.org/officeDocument/2006/relationships" r:embed="rId1"/>
        <a:stretch>
          <a:fillRect/>
        </a:stretch>
      </xdr:blipFill>
      <xdr:spPr>
        <a:xfrm>
          <a:off x="4297681" y="1775459"/>
          <a:ext cx="291288" cy="180905"/>
        </a:xfrm>
        <a:prstGeom prst="rect">
          <a:avLst/>
        </a:prstGeom>
      </xdr:spPr>
    </xdr:pic>
    <xdr:clientData/>
  </xdr:twoCellAnchor>
  <xdr:oneCellAnchor>
    <xdr:from>
      <xdr:col>4</xdr:col>
      <xdr:colOff>19051</xdr:colOff>
      <xdr:row>6</xdr:row>
      <xdr:rowOff>457199</xdr:rowOff>
    </xdr:from>
    <xdr:ext cx="291288" cy="180905"/>
    <xdr:pic>
      <xdr:nvPicPr>
        <xdr:cNvPr id="4" name="Picture 3">
          <a:extLst>
            <a:ext uri="{FF2B5EF4-FFF2-40B4-BE49-F238E27FC236}">
              <a16:creationId xmlns:a16="http://schemas.microsoft.com/office/drawing/2014/main" id="{EC566794-ADEE-4976-BA9A-11DCEA21FD28}"/>
            </a:ext>
          </a:extLst>
        </xdr:cNvPr>
        <xdr:cNvPicPr>
          <a:picLocks noChangeAspect="1"/>
        </xdr:cNvPicPr>
      </xdr:nvPicPr>
      <xdr:blipFill>
        <a:blip xmlns:r="http://schemas.openxmlformats.org/officeDocument/2006/relationships" r:embed="rId1"/>
        <a:stretch>
          <a:fillRect/>
        </a:stretch>
      </xdr:blipFill>
      <xdr:spPr>
        <a:xfrm>
          <a:off x="5989321" y="1775459"/>
          <a:ext cx="291288" cy="180905"/>
        </a:xfrm>
        <a:prstGeom prst="rect">
          <a:avLst/>
        </a:prstGeom>
      </xdr:spPr>
    </xdr:pic>
    <xdr:clientData/>
  </xdr:oneCellAnchor>
  <xdr:oneCellAnchor>
    <xdr:from>
      <xdr:col>6</xdr:col>
      <xdr:colOff>19051</xdr:colOff>
      <xdr:row>6</xdr:row>
      <xdr:rowOff>457199</xdr:rowOff>
    </xdr:from>
    <xdr:ext cx="291288" cy="180905"/>
    <xdr:pic>
      <xdr:nvPicPr>
        <xdr:cNvPr id="5" name="Picture 4">
          <a:extLst>
            <a:ext uri="{FF2B5EF4-FFF2-40B4-BE49-F238E27FC236}">
              <a16:creationId xmlns:a16="http://schemas.microsoft.com/office/drawing/2014/main" id="{207C5260-BBE9-43E7-B641-52AE23D9F6CF}"/>
            </a:ext>
          </a:extLst>
        </xdr:cNvPr>
        <xdr:cNvPicPr>
          <a:picLocks noChangeAspect="1"/>
        </xdr:cNvPicPr>
      </xdr:nvPicPr>
      <xdr:blipFill>
        <a:blip xmlns:r="http://schemas.openxmlformats.org/officeDocument/2006/relationships" r:embed="rId1"/>
        <a:stretch>
          <a:fillRect/>
        </a:stretch>
      </xdr:blipFill>
      <xdr:spPr>
        <a:xfrm>
          <a:off x="7680961" y="1775459"/>
          <a:ext cx="291288" cy="180905"/>
        </a:xfrm>
        <a:prstGeom prst="rect">
          <a:avLst/>
        </a:prstGeom>
      </xdr:spPr>
    </xdr:pic>
    <xdr:clientData/>
  </xdr:oneCellAnchor>
  <xdr:oneCellAnchor>
    <xdr:from>
      <xdr:col>8</xdr:col>
      <xdr:colOff>19051</xdr:colOff>
      <xdr:row>6</xdr:row>
      <xdr:rowOff>457199</xdr:rowOff>
    </xdr:from>
    <xdr:ext cx="291288" cy="180905"/>
    <xdr:pic>
      <xdr:nvPicPr>
        <xdr:cNvPr id="6" name="Picture 5">
          <a:extLst>
            <a:ext uri="{FF2B5EF4-FFF2-40B4-BE49-F238E27FC236}">
              <a16:creationId xmlns:a16="http://schemas.microsoft.com/office/drawing/2014/main" id="{29BFC8A5-B5C0-42F5-ABFB-E8B2926B90AA}"/>
            </a:ext>
          </a:extLst>
        </xdr:cNvPr>
        <xdr:cNvPicPr>
          <a:picLocks noChangeAspect="1"/>
        </xdr:cNvPicPr>
      </xdr:nvPicPr>
      <xdr:blipFill>
        <a:blip xmlns:r="http://schemas.openxmlformats.org/officeDocument/2006/relationships" r:embed="rId1"/>
        <a:stretch>
          <a:fillRect/>
        </a:stretch>
      </xdr:blipFill>
      <xdr:spPr>
        <a:xfrm>
          <a:off x="9372601" y="1775459"/>
          <a:ext cx="291288" cy="180905"/>
        </a:xfrm>
        <a:prstGeom prst="rect">
          <a:avLst/>
        </a:prstGeom>
      </xdr:spPr>
    </xdr:pic>
    <xdr:clientData/>
  </xdr:oneCellAnchor>
  <xdr:oneCellAnchor>
    <xdr:from>
      <xdr:col>10</xdr:col>
      <xdr:colOff>19051</xdr:colOff>
      <xdr:row>6</xdr:row>
      <xdr:rowOff>457199</xdr:rowOff>
    </xdr:from>
    <xdr:ext cx="291288" cy="180905"/>
    <xdr:pic>
      <xdr:nvPicPr>
        <xdr:cNvPr id="7" name="Picture 6">
          <a:extLst>
            <a:ext uri="{FF2B5EF4-FFF2-40B4-BE49-F238E27FC236}">
              <a16:creationId xmlns:a16="http://schemas.microsoft.com/office/drawing/2014/main" id="{515E2297-7B4A-42E2-8504-9A53392F53F8}"/>
            </a:ext>
          </a:extLst>
        </xdr:cNvPr>
        <xdr:cNvPicPr>
          <a:picLocks noChangeAspect="1"/>
        </xdr:cNvPicPr>
      </xdr:nvPicPr>
      <xdr:blipFill>
        <a:blip xmlns:r="http://schemas.openxmlformats.org/officeDocument/2006/relationships" r:embed="rId1"/>
        <a:stretch>
          <a:fillRect/>
        </a:stretch>
      </xdr:blipFill>
      <xdr:spPr>
        <a:xfrm>
          <a:off x="11064241" y="1775459"/>
          <a:ext cx="291288" cy="180905"/>
        </a:xfrm>
        <a:prstGeom prst="rect">
          <a:avLst/>
        </a:prstGeom>
      </xdr:spPr>
    </xdr:pic>
    <xdr:clientData/>
  </xdr:oneCellAnchor>
  <xdr:oneCellAnchor>
    <xdr:from>
      <xdr:col>12</xdr:col>
      <xdr:colOff>19051</xdr:colOff>
      <xdr:row>6</xdr:row>
      <xdr:rowOff>457199</xdr:rowOff>
    </xdr:from>
    <xdr:ext cx="291288" cy="180905"/>
    <xdr:pic>
      <xdr:nvPicPr>
        <xdr:cNvPr id="8" name="Picture 7">
          <a:extLst>
            <a:ext uri="{FF2B5EF4-FFF2-40B4-BE49-F238E27FC236}">
              <a16:creationId xmlns:a16="http://schemas.microsoft.com/office/drawing/2014/main" id="{4BB76054-C8E7-4139-80E6-745FB6239C27}"/>
            </a:ext>
          </a:extLst>
        </xdr:cNvPr>
        <xdr:cNvPicPr>
          <a:picLocks noChangeAspect="1"/>
        </xdr:cNvPicPr>
      </xdr:nvPicPr>
      <xdr:blipFill>
        <a:blip xmlns:r="http://schemas.openxmlformats.org/officeDocument/2006/relationships" r:embed="rId1"/>
        <a:stretch>
          <a:fillRect/>
        </a:stretch>
      </xdr:blipFill>
      <xdr:spPr>
        <a:xfrm>
          <a:off x="12755881" y="1775459"/>
          <a:ext cx="291288" cy="180905"/>
        </a:xfrm>
        <a:prstGeom prst="rect">
          <a:avLst/>
        </a:prstGeom>
      </xdr:spPr>
    </xdr:pic>
    <xdr:clientData/>
  </xdr:oneCellAnchor>
  <xdr:oneCellAnchor>
    <xdr:from>
      <xdr:col>14</xdr:col>
      <xdr:colOff>19051</xdr:colOff>
      <xdr:row>6</xdr:row>
      <xdr:rowOff>457199</xdr:rowOff>
    </xdr:from>
    <xdr:ext cx="291288" cy="180905"/>
    <xdr:pic>
      <xdr:nvPicPr>
        <xdr:cNvPr id="9" name="Picture 8">
          <a:extLst>
            <a:ext uri="{FF2B5EF4-FFF2-40B4-BE49-F238E27FC236}">
              <a16:creationId xmlns:a16="http://schemas.microsoft.com/office/drawing/2014/main" id="{9041023F-6516-4D95-8C5E-BD2812372899}"/>
            </a:ext>
          </a:extLst>
        </xdr:cNvPr>
        <xdr:cNvPicPr>
          <a:picLocks noChangeAspect="1"/>
        </xdr:cNvPicPr>
      </xdr:nvPicPr>
      <xdr:blipFill>
        <a:blip xmlns:r="http://schemas.openxmlformats.org/officeDocument/2006/relationships" r:embed="rId1"/>
        <a:stretch>
          <a:fillRect/>
        </a:stretch>
      </xdr:blipFill>
      <xdr:spPr>
        <a:xfrm>
          <a:off x="14447521" y="1775459"/>
          <a:ext cx="291288" cy="180905"/>
        </a:xfrm>
        <a:prstGeom prst="rect">
          <a:avLst/>
        </a:prstGeom>
      </xdr:spPr>
    </xdr:pic>
    <xdr:clientData/>
  </xdr:oneCellAnchor>
  <xdr:oneCellAnchor>
    <xdr:from>
      <xdr:col>16</xdr:col>
      <xdr:colOff>19051</xdr:colOff>
      <xdr:row>6</xdr:row>
      <xdr:rowOff>457199</xdr:rowOff>
    </xdr:from>
    <xdr:ext cx="291288" cy="180905"/>
    <xdr:pic>
      <xdr:nvPicPr>
        <xdr:cNvPr id="10" name="Picture 9">
          <a:extLst>
            <a:ext uri="{FF2B5EF4-FFF2-40B4-BE49-F238E27FC236}">
              <a16:creationId xmlns:a16="http://schemas.microsoft.com/office/drawing/2014/main" id="{3B1470FB-4D9D-40A3-9A64-F28021FC9D31}"/>
            </a:ext>
          </a:extLst>
        </xdr:cNvPr>
        <xdr:cNvPicPr>
          <a:picLocks noChangeAspect="1"/>
        </xdr:cNvPicPr>
      </xdr:nvPicPr>
      <xdr:blipFill>
        <a:blip xmlns:r="http://schemas.openxmlformats.org/officeDocument/2006/relationships" r:embed="rId1"/>
        <a:stretch>
          <a:fillRect/>
        </a:stretch>
      </xdr:blipFill>
      <xdr:spPr>
        <a:xfrm>
          <a:off x="16139161" y="1775459"/>
          <a:ext cx="291288" cy="180905"/>
        </a:xfrm>
        <a:prstGeom prst="rect">
          <a:avLst/>
        </a:prstGeom>
      </xdr:spPr>
    </xdr:pic>
    <xdr:clientData/>
  </xdr:oneCellAnchor>
  <xdr:oneCellAnchor>
    <xdr:from>
      <xdr:col>18</xdr:col>
      <xdr:colOff>19051</xdr:colOff>
      <xdr:row>6</xdr:row>
      <xdr:rowOff>457199</xdr:rowOff>
    </xdr:from>
    <xdr:ext cx="291288" cy="180905"/>
    <xdr:pic>
      <xdr:nvPicPr>
        <xdr:cNvPr id="11" name="Picture 10">
          <a:extLst>
            <a:ext uri="{FF2B5EF4-FFF2-40B4-BE49-F238E27FC236}">
              <a16:creationId xmlns:a16="http://schemas.microsoft.com/office/drawing/2014/main" id="{08F97355-5355-4957-A212-32F7E3228634}"/>
            </a:ext>
          </a:extLst>
        </xdr:cNvPr>
        <xdr:cNvPicPr>
          <a:picLocks noChangeAspect="1"/>
        </xdr:cNvPicPr>
      </xdr:nvPicPr>
      <xdr:blipFill>
        <a:blip xmlns:r="http://schemas.openxmlformats.org/officeDocument/2006/relationships" r:embed="rId1"/>
        <a:stretch>
          <a:fillRect/>
        </a:stretch>
      </xdr:blipFill>
      <xdr:spPr>
        <a:xfrm>
          <a:off x="17830801"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12" name="Picture 11">
          <a:extLst>
            <a:ext uri="{FF2B5EF4-FFF2-40B4-BE49-F238E27FC236}">
              <a16:creationId xmlns:a16="http://schemas.microsoft.com/office/drawing/2014/main" id="{790F5F29-D88D-455D-B291-3ACC21D73FF0}"/>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13" name="Picture 12">
          <a:extLst>
            <a:ext uri="{FF2B5EF4-FFF2-40B4-BE49-F238E27FC236}">
              <a16:creationId xmlns:a16="http://schemas.microsoft.com/office/drawing/2014/main" id="{C4C20434-FC91-43B9-AA1D-E022247173CB}"/>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14" name="Picture 13">
          <a:extLst>
            <a:ext uri="{FF2B5EF4-FFF2-40B4-BE49-F238E27FC236}">
              <a16:creationId xmlns:a16="http://schemas.microsoft.com/office/drawing/2014/main" id="{C5FC7CA5-6857-48F5-A54D-D859D114CC74}"/>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15" name="Picture 14">
          <a:extLst>
            <a:ext uri="{FF2B5EF4-FFF2-40B4-BE49-F238E27FC236}">
              <a16:creationId xmlns:a16="http://schemas.microsoft.com/office/drawing/2014/main" id="{4523AEF7-9E41-4DD7-BA74-C7868427BA56}"/>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16" name="Picture 15">
          <a:extLst>
            <a:ext uri="{FF2B5EF4-FFF2-40B4-BE49-F238E27FC236}">
              <a16:creationId xmlns:a16="http://schemas.microsoft.com/office/drawing/2014/main" id="{687D04EF-ED21-4BB8-B01B-66F42DFA330A}"/>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17" name="Picture 16">
          <a:extLst>
            <a:ext uri="{FF2B5EF4-FFF2-40B4-BE49-F238E27FC236}">
              <a16:creationId xmlns:a16="http://schemas.microsoft.com/office/drawing/2014/main" id="{5476AB8F-5A6A-4DBC-827C-A35B4E38E799}"/>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18" name="Picture 17">
          <a:extLst>
            <a:ext uri="{FF2B5EF4-FFF2-40B4-BE49-F238E27FC236}">
              <a16:creationId xmlns:a16="http://schemas.microsoft.com/office/drawing/2014/main" id="{F3325B68-517E-467F-9634-27204EB42592}"/>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19" name="Picture 18">
          <a:extLst>
            <a:ext uri="{FF2B5EF4-FFF2-40B4-BE49-F238E27FC236}">
              <a16:creationId xmlns:a16="http://schemas.microsoft.com/office/drawing/2014/main" id="{5F601E99-A505-48D5-8E7C-82C2FE038E11}"/>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20" name="Picture 19">
          <a:extLst>
            <a:ext uri="{FF2B5EF4-FFF2-40B4-BE49-F238E27FC236}">
              <a16:creationId xmlns:a16="http://schemas.microsoft.com/office/drawing/2014/main" id="{E36ADBAA-ED3F-42FA-8DC3-2115E49EC3BB}"/>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21" name="Picture 20">
          <a:extLst>
            <a:ext uri="{FF2B5EF4-FFF2-40B4-BE49-F238E27FC236}">
              <a16:creationId xmlns:a16="http://schemas.microsoft.com/office/drawing/2014/main" id="{6A426576-14B8-4553-B5D0-16CC153B6C26}"/>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22" name="Picture 21">
          <a:extLst>
            <a:ext uri="{FF2B5EF4-FFF2-40B4-BE49-F238E27FC236}">
              <a16:creationId xmlns:a16="http://schemas.microsoft.com/office/drawing/2014/main" id="{2D3491FD-703E-4F5E-BBE6-141DA70EF2AB}"/>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23" name="Picture 22">
          <a:extLst>
            <a:ext uri="{FF2B5EF4-FFF2-40B4-BE49-F238E27FC236}">
              <a16:creationId xmlns:a16="http://schemas.microsoft.com/office/drawing/2014/main" id="{3FA843F5-2BB1-4FE9-B156-B25EBB17693C}"/>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24" name="Picture 23">
          <a:extLst>
            <a:ext uri="{FF2B5EF4-FFF2-40B4-BE49-F238E27FC236}">
              <a16:creationId xmlns:a16="http://schemas.microsoft.com/office/drawing/2014/main" id="{4ABCCE26-2ED2-4910-9A80-2DFD40844A60}"/>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25" name="Picture 24">
          <a:extLst>
            <a:ext uri="{FF2B5EF4-FFF2-40B4-BE49-F238E27FC236}">
              <a16:creationId xmlns:a16="http://schemas.microsoft.com/office/drawing/2014/main" id="{06FE9970-B51A-4B2E-87EA-C22B646231F3}"/>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26" name="Picture 25">
          <a:extLst>
            <a:ext uri="{FF2B5EF4-FFF2-40B4-BE49-F238E27FC236}">
              <a16:creationId xmlns:a16="http://schemas.microsoft.com/office/drawing/2014/main" id="{E536E5C3-0111-440E-8D69-75B3F913FEAB}"/>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27" name="Picture 26">
          <a:extLst>
            <a:ext uri="{FF2B5EF4-FFF2-40B4-BE49-F238E27FC236}">
              <a16:creationId xmlns:a16="http://schemas.microsoft.com/office/drawing/2014/main" id="{7D329332-A782-4615-9235-B0C69D7A841B}"/>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28" name="Picture 27">
          <a:extLst>
            <a:ext uri="{FF2B5EF4-FFF2-40B4-BE49-F238E27FC236}">
              <a16:creationId xmlns:a16="http://schemas.microsoft.com/office/drawing/2014/main" id="{3E5FB6ED-8FB3-43F1-909F-DF5266F33CFA}"/>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29" name="Picture 28">
          <a:extLst>
            <a:ext uri="{FF2B5EF4-FFF2-40B4-BE49-F238E27FC236}">
              <a16:creationId xmlns:a16="http://schemas.microsoft.com/office/drawing/2014/main" id="{049DBCBE-E03A-473D-A573-6BD5E16BA4E1}"/>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30" name="Picture 29">
          <a:extLst>
            <a:ext uri="{FF2B5EF4-FFF2-40B4-BE49-F238E27FC236}">
              <a16:creationId xmlns:a16="http://schemas.microsoft.com/office/drawing/2014/main" id="{CDA68ACB-DA6C-43EF-977C-A72C93FCDFE4}"/>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31" name="Picture 30">
          <a:extLst>
            <a:ext uri="{FF2B5EF4-FFF2-40B4-BE49-F238E27FC236}">
              <a16:creationId xmlns:a16="http://schemas.microsoft.com/office/drawing/2014/main" id="{EED4C147-430A-4F65-8BB4-1392CF89303F}"/>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32" name="Picture 31">
          <a:extLst>
            <a:ext uri="{FF2B5EF4-FFF2-40B4-BE49-F238E27FC236}">
              <a16:creationId xmlns:a16="http://schemas.microsoft.com/office/drawing/2014/main" id="{E6425BA0-363D-4E71-B05F-E049715459CF}"/>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33" name="Picture 32">
          <a:extLst>
            <a:ext uri="{FF2B5EF4-FFF2-40B4-BE49-F238E27FC236}">
              <a16:creationId xmlns:a16="http://schemas.microsoft.com/office/drawing/2014/main" id="{8D0CE631-DF1B-4703-8CC5-454DFD411461}"/>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oneCellAnchor>
    <xdr:from>
      <xdr:col>19</xdr:col>
      <xdr:colOff>0</xdr:colOff>
      <xdr:row>6</xdr:row>
      <xdr:rowOff>457199</xdr:rowOff>
    </xdr:from>
    <xdr:ext cx="291288" cy="180905"/>
    <xdr:pic>
      <xdr:nvPicPr>
        <xdr:cNvPr id="34" name="Picture 33">
          <a:extLst>
            <a:ext uri="{FF2B5EF4-FFF2-40B4-BE49-F238E27FC236}">
              <a16:creationId xmlns:a16="http://schemas.microsoft.com/office/drawing/2014/main" id="{BAEC687B-2C19-4A8D-91B2-11C1B06499BE}"/>
            </a:ext>
          </a:extLst>
        </xdr:cNvPr>
        <xdr:cNvPicPr>
          <a:picLocks noChangeAspect="1"/>
        </xdr:cNvPicPr>
      </xdr:nvPicPr>
      <xdr:blipFill>
        <a:blip xmlns:r="http://schemas.openxmlformats.org/officeDocument/2006/relationships" r:embed="rId1"/>
        <a:stretch>
          <a:fillRect/>
        </a:stretch>
      </xdr:blipFill>
      <xdr:spPr>
        <a:xfrm>
          <a:off x="18657570" y="1775459"/>
          <a:ext cx="291288" cy="180905"/>
        </a:xfrm>
        <a:prstGeom prst="rect">
          <a:avLst/>
        </a:prstGeom>
      </xdr:spPr>
    </xdr:pic>
    <xdr:clientData/>
  </xdr:oneCellAnchor>
  <xdr:twoCellAnchor editAs="oneCell">
    <xdr:from>
      <xdr:col>2</xdr:col>
      <xdr:colOff>19051</xdr:colOff>
      <xdr:row>6</xdr:row>
      <xdr:rowOff>457199</xdr:rowOff>
    </xdr:from>
    <xdr:to>
      <xdr:col>2</xdr:col>
      <xdr:colOff>317959</xdr:colOff>
      <xdr:row>7</xdr:row>
      <xdr:rowOff>175189</xdr:rowOff>
    </xdr:to>
    <xdr:pic>
      <xdr:nvPicPr>
        <xdr:cNvPr id="61" name="Picture 60">
          <a:extLst>
            <a:ext uri="{FF2B5EF4-FFF2-40B4-BE49-F238E27FC236}">
              <a16:creationId xmlns:a16="http://schemas.microsoft.com/office/drawing/2014/main" id="{9F96C7B5-36F8-4101-8EC2-83DC0BF1169A}"/>
            </a:ext>
          </a:extLst>
        </xdr:cNvPr>
        <xdr:cNvPicPr>
          <a:picLocks noChangeAspect="1"/>
        </xdr:cNvPicPr>
      </xdr:nvPicPr>
      <xdr:blipFill>
        <a:blip xmlns:r="http://schemas.openxmlformats.org/officeDocument/2006/relationships" r:embed="rId1"/>
        <a:stretch>
          <a:fillRect/>
        </a:stretch>
      </xdr:blipFill>
      <xdr:spPr>
        <a:xfrm>
          <a:off x="4297681" y="1775459"/>
          <a:ext cx="291288" cy="180905"/>
        </a:xfrm>
        <a:prstGeom prst="rect">
          <a:avLst/>
        </a:prstGeom>
      </xdr:spPr>
    </xdr:pic>
    <xdr:clientData/>
  </xdr:twoCellAnchor>
  <xdr:twoCellAnchor editAs="oneCell">
    <xdr:from>
      <xdr:col>4</xdr:col>
      <xdr:colOff>7670</xdr:colOff>
      <xdr:row>6</xdr:row>
      <xdr:rowOff>455467</xdr:rowOff>
    </xdr:from>
    <xdr:to>
      <xdr:col>4</xdr:col>
      <xdr:colOff>289433</xdr:colOff>
      <xdr:row>7</xdr:row>
      <xdr:rowOff>173457</xdr:rowOff>
    </xdr:to>
    <xdr:pic>
      <xdr:nvPicPr>
        <xdr:cNvPr id="62" name="Picture 61">
          <a:extLst>
            <a:ext uri="{FF2B5EF4-FFF2-40B4-BE49-F238E27FC236}">
              <a16:creationId xmlns:a16="http://schemas.microsoft.com/office/drawing/2014/main" id="{3A7B42C6-6678-48B9-BD64-80101CB810FA}"/>
            </a:ext>
          </a:extLst>
        </xdr:cNvPr>
        <xdr:cNvPicPr>
          <a:picLocks noChangeAspect="1"/>
        </xdr:cNvPicPr>
      </xdr:nvPicPr>
      <xdr:blipFill>
        <a:blip xmlns:r="http://schemas.openxmlformats.org/officeDocument/2006/relationships" r:embed="rId1"/>
        <a:stretch>
          <a:fillRect/>
        </a:stretch>
      </xdr:blipFill>
      <xdr:spPr>
        <a:xfrm>
          <a:off x="5977940" y="1773727"/>
          <a:ext cx="291288" cy="180905"/>
        </a:xfrm>
        <a:prstGeom prst="rect">
          <a:avLst/>
        </a:prstGeom>
      </xdr:spPr>
    </xdr:pic>
    <xdr:clientData/>
  </xdr:twoCellAnchor>
  <xdr:twoCellAnchor editAs="oneCell">
    <xdr:from>
      <xdr:col>6</xdr:col>
      <xdr:colOff>20287</xdr:colOff>
      <xdr:row>6</xdr:row>
      <xdr:rowOff>453240</xdr:rowOff>
    </xdr:from>
    <xdr:to>
      <xdr:col>6</xdr:col>
      <xdr:colOff>321100</xdr:colOff>
      <xdr:row>7</xdr:row>
      <xdr:rowOff>169325</xdr:rowOff>
    </xdr:to>
    <xdr:pic>
      <xdr:nvPicPr>
        <xdr:cNvPr id="63" name="Picture 62">
          <a:extLst>
            <a:ext uri="{FF2B5EF4-FFF2-40B4-BE49-F238E27FC236}">
              <a16:creationId xmlns:a16="http://schemas.microsoft.com/office/drawing/2014/main" id="{DFE98C3E-5EAD-4D2C-80D9-8B0E138BC5E8}"/>
            </a:ext>
          </a:extLst>
        </xdr:cNvPr>
        <xdr:cNvPicPr>
          <a:picLocks noChangeAspect="1"/>
        </xdr:cNvPicPr>
      </xdr:nvPicPr>
      <xdr:blipFill>
        <a:blip xmlns:r="http://schemas.openxmlformats.org/officeDocument/2006/relationships" r:embed="rId1"/>
        <a:stretch>
          <a:fillRect/>
        </a:stretch>
      </xdr:blipFill>
      <xdr:spPr>
        <a:xfrm>
          <a:off x="7682197" y="1775310"/>
          <a:ext cx="291288" cy="177095"/>
        </a:xfrm>
        <a:prstGeom prst="rect">
          <a:avLst/>
        </a:prstGeom>
      </xdr:spPr>
    </xdr:pic>
    <xdr:clientData/>
  </xdr:twoCellAnchor>
  <xdr:twoCellAnchor editAs="oneCell">
    <xdr:from>
      <xdr:col>8</xdr:col>
      <xdr:colOff>16824</xdr:colOff>
      <xdr:row>6</xdr:row>
      <xdr:rowOff>441118</xdr:rowOff>
    </xdr:from>
    <xdr:to>
      <xdr:col>8</xdr:col>
      <xdr:colOff>308112</xdr:colOff>
      <xdr:row>7</xdr:row>
      <xdr:rowOff>172443</xdr:rowOff>
    </xdr:to>
    <xdr:pic>
      <xdr:nvPicPr>
        <xdr:cNvPr id="64" name="Picture 63">
          <a:extLst>
            <a:ext uri="{FF2B5EF4-FFF2-40B4-BE49-F238E27FC236}">
              <a16:creationId xmlns:a16="http://schemas.microsoft.com/office/drawing/2014/main" id="{C90A3FC9-6FB4-4192-A847-36F00E13EAA4}"/>
            </a:ext>
          </a:extLst>
        </xdr:cNvPr>
        <xdr:cNvPicPr>
          <a:picLocks noChangeAspect="1"/>
        </xdr:cNvPicPr>
      </xdr:nvPicPr>
      <xdr:blipFill>
        <a:blip xmlns:r="http://schemas.openxmlformats.org/officeDocument/2006/relationships" r:embed="rId1"/>
        <a:stretch>
          <a:fillRect/>
        </a:stretch>
      </xdr:blipFill>
      <xdr:spPr>
        <a:xfrm>
          <a:off x="9370374" y="1763188"/>
          <a:ext cx="291288" cy="177095"/>
        </a:xfrm>
        <a:prstGeom prst="rect">
          <a:avLst/>
        </a:prstGeom>
      </xdr:spPr>
    </xdr:pic>
    <xdr:clientData/>
  </xdr:twoCellAnchor>
  <xdr:twoCellAnchor editAs="oneCell">
    <xdr:from>
      <xdr:col>10</xdr:col>
      <xdr:colOff>17318</xdr:colOff>
      <xdr:row>6</xdr:row>
      <xdr:rowOff>441614</xdr:rowOff>
    </xdr:from>
    <xdr:to>
      <xdr:col>10</xdr:col>
      <xdr:colOff>308606</xdr:colOff>
      <xdr:row>7</xdr:row>
      <xdr:rowOff>172939</xdr:rowOff>
    </xdr:to>
    <xdr:pic>
      <xdr:nvPicPr>
        <xdr:cNvPr id="65" name="Picture 64">
          <a:extLst>
            <a:ext uri="{FF2B5EF4-FFF2-40B4-BE49-F238E27FC236}">
              <a16:creationId xmlns:a16="http://schemas.microsoft.com/office/drawing/2014/main" id="{DA830BC3-2960-49B3-95DC-D16EBA816EF9}"/>
            </a:ext>
          </a:extLst>
        </xdr:cNvPr>
        <xdr:cNvPicPr>
          <a:picLocks noChangeAspect="1"/>
        </xdr:cNvPicPr>
      </xdr:nvPicPr>
      <xdr:blipFill>
        <a:blip xmlns:r="http://schemas.openxmlformats.org/officeDocument/2006/relationships" r:embed="rId1"/>
        <a:stretch>
          <a:fillRect/>
        </a:stretch>
      </xdr:blipFill>
      <xdr:spPr>
        <a:xfrm>
          <a:off x="11062508" y="1763684"/>
          <a:ext cx="291288" cy="177095"/>
        </a:xfrm>
        <a:prstGeom prst="rect">
          <a:avLst/>
        </a:prstGeom>
      </xdr:spPr>
    </xdr:pic>
    <xdr:clientData/>
  </xdr:twoCellAnchor>
  <xdr:twoCellAnchor editAs="oneCell">
    <xdr:from>
      <xdr:col>12</xdr:col>
      <xdr:colOff>13854</xdr:colOff>
      <xdr:row>6</xdr:row>
      <xdr:rowOff>446810</xdr:rowOff>
    </xdr:from>
    <xdr:to>
      <xdr:col>12</xdr:col>
      <xdr:colOff>305142</xdr:colOff>
      <xdr:row>7</xdr:row>
      <xdr:rowOff>170515</xdr:rowOff>
    </xdr:to>
    <xdr:pic>
      <xdr:nvPicPr>
        <xdr:cNvPr id="66" name="Picture 65">
          <a:extLst>
            <a:ext uri="{FF2B5EF4-FFF2-40B4-BE49-F238E27FC236}">
              <a16:creationId xmlns:a16="http://schemas.microsoft.com/office/drawing/2014/main" id="{33EC395F-BB78-47A7-9A63-3F9B06089381}"/>
            </a:ext>
          </a:extLst>
        </xdr:cNvPr>
        <xdr:cNvPicPr>
          <a:picLocks noChangeAspect="1"/>
        </xdr:cNvPicPr>
      </xdr:nvPicPr>
      <xdr:blipFill>
        <a:blip xmlns:r="http://schemas.openxmlformats.org/officeDocument/2006/relationships" r:embed="rId1"/>
        <a:stretch>
          <a:fillRect/>
        </a:stretch>
      </xdr:blipFill>
      <xdr:spPr>
        <a:xfrm>
          <a:off x="12750684" y="1768880"/>
          <a:ext cx="291288" cy="177095"/>
        </a:xfrm>
        <a:prstGeom prst="rect">
          <a:avLst/>
        </a:prstGeom>
      </xdr:spPr>
    </xdr:pic>
    <xdr:clientData/>
  </xdr:twoCellAnchor>
  <xdr:twoCellAnchor editAs="oneCell">
    <xdr:from>
      <xdr:col>14</xdr:col>
      <xdr:colOff>27708</xdr:colOff>
      <xdr:row>6</xdr:row>
      <xdr:rowOff>452005</xdr:rowOff>
    </xdr:from>
    <xdr:to>
      <xdr:col>14</xdr:col>
      <xdr:colOff>326616</xdr:colOff>
      <xdr:row>7</xdr:row>
      <xdr:rowOff>168090</xdr:rowOff>
    </xdr:to>
    <xdr:pic>
      <xdr:nvPicPr>
        <xdr:cNvPr id="67" name="Picture 66">
          <a:extLst>
            <a:ext uri="{FF2B5EF4-FFF2-40B4-BE49-F238E27FC236}">
              <a16:creationId xmlns:a16="http://schemas.microsoft.com/office/drawing/2014/main" id="{52FB5B28-4FEA-4558-8EFA-5C1381F7F06C}"/>
            </a:ext>
          </a:extLst>
        </xdr:cNvPr>
        <xdr:cNvPicPr>
          <a:picLocks noChangeAspect="1"/>
        </xdr:cNvPicPr>
      </xdr:nvPicPr>
      <xdr:blipFill>
        <a:blip xmlns:r="http://schemas.openxmlformats.org/officeDocument/2006/relationships" r:embed="rId1"/>
        <a:stretch>
          <a:fillRect/>
        </a:stretch>
      </xdr:blipFill>
      <xdr:spPr>
        <a:xfrm>
          <a:off x="14456178" y="1774075"/>
          <a:ext cx="291288" cy="177095"/>
        </a:xfrm>
        <a:prstGeom prst="rect">
          <a:avLst/>
        </a:prstGeom>
      </xdr:spPr>
    </xdr:pic>
    <xdr:clientData/>
  </xdr:twoCellAnchor>
  <xdr:twoCellAnchor editAs="oneCell">
    <xdr:from>
      <xdr:col>16</xdr:col>
      <xdr:colOff>6927</xdr:colOff>
      <xdr:row>6</xdr:row>
      <xdr:rowOff>457201</xdr:rowOff>
    </xdr:from>
    <xdr:to>
      <xdr:col>16</xdr:col>
      <xdr:colOff>288690</xdr:colOff>
      <xdr:row>7</xdr:row>
      <xdr:rowOff>175191</xdr:rowOff>
    </xdr:to>
    <xdr:pic>
      <xdr:nvPicPr>
        <xdr:cNvPr id="68" name="Picture 67">
          <a:extLst>
            <a:ext uri="{FF2B5EF4-FFF2-40B4-BE49-F238E27FC236}">
              <a16:creationId xmlns:a16="http://schemas.microsoft.com/office/drawing/2014/main" id="{54861A4F-9F3B-4A6D-8A16-E79AD3705B96}"/>
            </a:ext>
          </a:extLst>
        </xdr:cNvPr>
        <xdr:cNvPicPr>
          <a:picLocks noChangeAspect="1"/>
        </xdr:cNvPicPr>
      </xdr:nvPicPr>
      <xdr:blipFill>
        <a:blip xmlns:r="http://schemas.openxmlformats.org/officeDocument/2006/relationships" r:embed="rId1"/>
        <a:stretch>
          <a:fillRect/>
        </a:stretch>
      </xdr:blipFill>
      <xdr:spPr>
        <a:xfrm>
          <a:off x="16127037" y="1775461"/>
          <a:ext cx="291288" cy="180905"/>
        </a:xfrm>
        <a:prstGeom prst="rect">
          <a:avLst/>
        </a:prstGeom>
      </xdr:spPr>
    </xdr:pic>
    <xdr:clientData/>
  </xdr:twoCellAnchor>
  <xdr:twoCellAnchor editAs="oneCell">
    <xdr:from>
      <xdr:col>18</xdr:col>
      <xdr:colOff>20782</xdr:colOff>
      <xdr:row>7</xdr:row>
      <xdr:rowOff>3465</xdr:rowOff>
    </xdr:from>
    <xdr:to>
      <xdr:col>18</xdr:col>
      <xdr:colOff>321595</xdr:colOff>
      <xdr:row>8</xdr:row>
      <xdr:rowOff>1092</xdr:rowOff>
    </xdr:to>
    <xdr:pic>
      <xdr:nvPicPr>
        <xdr:cNvPr id="69" name="Picture 68">
          <a:extLst>
            <a:ext uri="{FF2B5EF4-FFF2-40B4-BE49-F238E27FC236}">
              <a16:creationId xmlns:a16="http://schemas.microsoft.com/office/drawing/2014/main" id="{EDA2EE9B-4E7B-4F17-9817-01FA0759D2A3}"/>
            </a:ext>
          </a:extLst>
        </xdr:cNvPr>
        <xdr:cNvPicPr>
          <a:picLocks noChangeAspect="1"/>
        </xdr:cNvPicPr>
      </xdr:nvPicPr>
      <xdr:blipFill>
        <a:blip xmlns:r="http://schemas.openxmlformats.org/officeDocument/2006/relationships" r:embed="rId1"/>
        <a:stretch>
          <a:fillRect/>
        </a:stretch>
      </xdr:blipFill>
      <xdr:spPr>
        <a:xfrm>
          <a:off x="17832532" y="1778925"/>
          <a:ext cx="291288" cy="17882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18</xdr:col>
      <xdr:colOff>160020</xdr:colOff>
      <xdr:row>4</xdr:row>
      <xdr:rowOff>45720</xdr:rowOff>
    </xdr:from>
    <xdr:to>
      <xdr:col>29</xdr:col>
      <xdr:colOff>361500</xdr:colOff>
      <xdr:row>24</xdr:row>
      <xdr:rowOff>167767</xdr:rowOff>
    </xdr:to>
    <xdr:pic>
      <xdr:nvPicPr>
        <xdr:cNvPr id="3" name="Picture 2">
          <a:extLst>
            <a:ext uri="{FF2B5EF4-FFF2-40B4-BE49-F238E27FC236}">
              <a16:creationId xmlns:a16="http://schemas.microsoft.com/office/drawing/2014/main" id="{5D61CD71-3618-476C-A90B-76B75F3BDE28}"/>
            </a:ext>
          </a:extLst>
        </xdr:cNvPr>
        <xdr:cNvPicPr>
          <a:picLocks noChangeAspect="1"/>
        </xdr:cNvPicPr>
      </xdr:nvPicPr>
      <xdr:blipFill>
        <a:blip xmlns:r="http://schemas.openxmlformats.org/officeDocument/2006/relationships" r:embed="rId1"/>
        <a:stretch>
          <a:fillRect/>
        </a:stretch>
      </xdr:blipFill>
      <xdr:spPr>
        <a:xfrm>
          <a:off x="11132820" y="969645"/>
          <a:ext cx="6907080" cy="37415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142875</xdr:colOff>
      <xdr:row>162</xdr:row>
      <xdr:rowOff>0</xdr:rowOff>
    </xdr:from>
    <xdr:to>
      <xdr:col>11</xdr:col>
      <xdr:colOff>438150</xdr:colOff>
      <xdr:row>162</xdr:row>
      <xdr:rowOff>0</xdr:rowOff>
    </xdr:to>
    <xdr:sp macro="" textlink="">
      <xdr:nvSpPr>
        <xdr:cNvPr id="2" name="Text 49">
          <a:extLst>
            <a:ext uri="{FF2B5EF4-FFF2-40B4-BE49-F238E27FC236}">
              <a16:creationId xmlns:a16="http://schemas.microsoft.com/office/drawing/2014/main" id="{33D14979-D6CE-478C-A4A0-DA1801856D91}"/>
            </a:ext>
          </a:extLst>
        </xdr:cNvPr>
        <xdr:cNvSpPr txBox="1">
          <a:spLocks noChangeArrowheads="1"/>
        </xdr:cNvSpPr>
      </xdr:nvSpPr>
      <xdr:spPr bwMode="auto">
        <a:xfrm>
          <a:off x="7770495" y="25946100"/>
          <a:ext cx="297180" cy="0"/>
        </a:xfrm>
        <a:prstGeom prst="rect">
          <a:avLst/>
        </a:prstGeom>
        <a:solidFill>
          <a:srgbClr val="FFFFFF"/>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Helv"/>
            </a:rPr>
            <a:t>Diff</a:t>
          </a:r>
        </a:p>
      </xdr:txBody>
    </xdr:sp>
    <xdr:clientData/>
  </xdr:twoCellAnchor>
  <xdr:twoCellAnchor>
    <xdr:from>
      <xdr:col>36</xdr:col>
      <xdr:colOff>647700</xdr:colOff>
      <xdr:row>81</xdr:row>
      <xdr:rowOff>0</xdr:rowOff>
    </xdr:from>
    <xdr:to>
      <xdr:col>37</xdr:col>
      <xdr:colOff>38100</xdr:colOff>
      <xdr:row>81</xdr:row>
      <xdr:rowOff>0</xdr:rowOff>
    </xdr:to>
    <xdr:sp macro="" textlink="">
      <xdr:nvSpPr>
        <xdr:cNvPr id="3" name="Text 55">
          <a:extLst>
            <a:ext uri="{FF2B5EF4-FFF2-40B4-BE49-F238E27FC236}">
              <a16:creationId xmlns:a16="http://schemas.microsoft.com/office/drawing/2014/main" id="{0C2C7645-370E-47B9-8F17-9C757769F60A}"/>
            </a:ext>
          </a:extLst>
        </xdr:cNvPr>
        <xdr:cNvSpPr txBox="1">
          <a:spLocks noChangeArrowheads="1"/>
        </xdr:cNvSpPr>
      </xdr:nvSpPr>
      <xdr:spPr bwMode="auto">
        <a:xfrm>
          <a:off x="26993850" y="12830175"/>
          <a:ext cx="57150" cy="0"/>
        </a:xfrm>
        <a:prstGeom prst="rect">
          <a:avLst/>
        </a:prstGeom>
        <a:solidFill>
          <a:srgbClr val="FFFFFF"/>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Helv"/>
            </a:rPr>
            <a:t>Diff</a:t>
          </a:r>
        </a:p>
      </xdr:txBody>
    </xdr:sp>
    <xdr:clientData/>
  </xdr:twoCellAnchor>
  <xdr:twoCellAnchor>
    <xdr:from>
      <xdr:col>26</xdr:col>
      <xdr:colOff>76200</xdr:colOff>
      <xdr:row>113</xdr:row>
      <xdr:rowOff>38100</xdr:rowOff>
    </xdr:from>
    <xdr:to>
      <xdr:col>35</xdr:col>
      <xdr:colOff>95250</xdr:colOff>
      <xdr:row>126</xdr:row>
      <xdr:rowOff>104775</xdr:rowOff>
    </xdr:to>
    <xdr:graphicFrame macro="">
      <xdr:nvGraphicFramePr>
        <xdr:cNvPr id="4" name="Chart 124">
          <a:extLst>
            <a:ext uri="{FF2B5EF4-FFF2-40B4-BE49-F238E27FC236}">
              <a16:creationId xmlns:a16="http://schemas.microsoft.com/office/drawing/2014/main" id="{3F398C46-0925-4AD2-B65A-5C57D55E6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66675</xdr:colOff>
      <xdr:row>127</xdr:row>
      <xdr:rowOff>66675</xdr:rowOff>
    </xdr:from>
    <xdr:to>
      <xdr:col>35</xdr:col>
      <xdr:colOff>85725</xdr:colOff>
      <xdr:row>140</xdr:row>
      <xdr:rowOff>85725</xdr:rowOff>
    </xdr:to>
    <xdr:graphicFrame macro="">
      <xdr:nvGraphicFramePr>
        <xdr:cNvPr id="5" name="Chart 127">
          <a:extLst>
            <a:ext uri="{FF2B5EF4-FFF2-40B4-BE49-F238E27FC236}">
              <a16:creationId xmlns:a16="http://schemas.microsoft.com/office/drawing/2014/main" id="{3B589148-E434-40F4-A889-0C4AAFD87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647700</xdr:colOff>
      <xdr:row>132</xdr:row>
      <xdr:rowOff>0</xdr:rowOff>
    </xdr:from>
    <xdr:to>
      <xdr:col>44</xdr:col>
      <xdr:colOff>38100</xdr:colOff>
      <xdr:row>132</xdr:row>
      <xdr:rowOff>0</xdr:rowOff>
    </xdr:to>
    <xdr:sp macro="" textlink="">
      <xdr:nvSpPr>
        <xdr:cNvPr id="6" name="Text 55">
          <a:extLst>
            <a:ext uri="{FF2B5EF4-FFF2-40B4-BE49-F238E27FC236}">
              <a16:creationId xmlns:a16="http://schemas.microsoft.com/office/drawing/2014/main" id="{482DB542-63EF-4FF7-A72C-5965D023CDDF}"/>
            </a:ext>
          </a:extLst>
        </xdr:cNvPr>
        <xdr:cNvSpPr txBox="1">
          <a:spLocks noChangeArrowheads="1"/>
        </xdr:cNvSpPr>
      </xdr:nvSpPr>
      <xdr:spPr bwMode="auto">
        <a:xfrm>
          <a:off x="31661100" y="21088350"/>
          <a:ext cx="57150" cy="0"/>
        </a:xfrm>
        <a:prstGeom prst="rect">
          <a:avLst/>
        </a:prstGeom>
        <a:solidFill>
          <a:srgbClr val="FFFFFF"/>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Helv"/>
            </a:rPr>
            <a:t>Diff</a:t>
          </a:r>
        </a:p>
      </xdr:txBody>
    </xdr:sp>
    <xdr:clientData/>
  </xdr:twoCellAnchor>
  <xdr:twoCellAnchor>
    <xdr:from>
      <xdr:col>31</xdr:col>
      <xdr:colOff>19050</xdr:colOff>
      <xdr:row>93</xdr:row>
      <xdr:rowOff>9525</xdr:rowOff>
    </xdr:from>
    <xdr:to>
      <xdr:col>40</xdr:col>
      <xdr:colOff>504825</xdr:colOff>
      <xdr:row>108</xdr:row>
      <xdr:rowOff>47625</xdr:rowOff>
    </xdr:to>
    <xdr:graphicFrame macro="">
      <xdr:nvGraphicFramePr>
        <xdr:cNvPr id="7" name="Chart 132">
          <a:extLst>
            <a:ext uri="{FF2B5EF4-FFF2-40B4-BE49-F238E27FC236}">
              <a16:creationId xmlns:a16="http://schemas.microsoft.com/office/drawing/2014/main" id="{1034C5BF-8DE1-4D35-83A9-5A93A97F8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38100</xdr:colOff>
      <xdr:row>102</xdr:row>
      <xdr:rowOff>133350</xdr:rowOff>
    </xdr:from>
    <xdr:to>
      <xdr:col>40</xdr:col>
      <xdr:colOff>542925</xdr:colOff>
      <xdr:row>117</xdr:row>
      <xdr:rowOff>57150</xdr:rowOff>
    </xdr:to>
    <xdr:graphicFrame macro="">
      <xdr:nvGraphicFramePr>
        <xdr:cNvPr id="8" name="Chart 134">
          <a:extLst>
            <a:ext uri="{FF2B5EF4-FFF2-40B4-BE49-F238E27FC236}">
              <a16:creationId xmlns:a16="http://schemas.microsoft.com/office/drawing/2014/main" id="{871D9219-AAD7-446B-A7C4-7F9D9D4CB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47</xdr:col>
      <xdr:colOff>161925</xdr:colOff>
      <xdr:row>75</xdr:row>
      <xdr:rowOff>28575</xdr:rowOff>
    </xdr:from>
    <xdr:to>
      <xdr:col>56</xdr:col>
      <xdr:colOff>171450</xdr:colOff>
      <xdr:row>88</xdr:row>
      <xdr:rowOff>38100</xdr:rowOff>
    </xdr:to>
    <xdr:graphicFrame macro="">
      <xdr:nvGraphicFramePr>
        <xdr:cNvPr id="9" name="Chart 135">
          <a:extLst>
            <a:ext uri="{FF2B5EF4-FFF2-40B4-BE49-F238E27FC236}">
              <a16:creationId xmlns:a16="http://schemas.microsoft.com/office/drawing/2014/main" id="{4273DA3E-92C9-42DA-B125-74657C77F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342900</xdr:colOff>
      <xdr:row>21</xdr:row>
      <xdr:rowOff>114300</xdr:rowOff>
    </xdr:from>
    <xdr:to>
      <xdr:col>23</xdr:col>
      <xdr:colOff>133350</xdr:colOff>
      <xdr:row>36</xdr:row>
      <xdr:rowOff>57150</xdr:rowOff>
    </xdr:to>
    <xdr:graphicFrame macro="">
      <xdr:nvGraphicFramePr>
        <xdr:cNvPr id="10" name="Chart 136">
          <a:extLst>
            <a:ext uri="{FF2B5EF4-FFF2-40B4-BE49-F238E27FC236}">
              <a16:creationId xmlns:a16="http://schemas.microsoft.com/office/drawing/2014/main" id="{3C19133E-9A85-4F58-832D-B10415C31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361950</xdr:colOff>
      <xdr:row>14</xdr:row>
      <xdr:rowOff>9525</xdr:rowOff>
    </xdr:from>
    <xdr:to>
      <xdr:col>29</xdr:col>
      <xdr:colOff>247650</xdr:colOff>
      <xdr:row>28</xdr:row>
      <xdr:rowOff>114300</xdr:rowOff>
    </xdr:to>
    <xdr:graphicFrame macro="">
      <xdr:nvGraphicFramePr>
        <xdr:cNvPr id="11" name="Chart 139">
          <a:extLst>
            <a:ext uri="{FF2B5EF4-FFF2-40B4-BE49-F238E27FC236}">
              <a16:creationId xmlns:a16="http://schemas.microsoft.com/office/drawing/2014/main" id="{01C51B9B-3243-48A3-9F6C-8BD45C9BF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27</xdr:row>
      <xdr:rowOff>0</xdr:rowOff>
    </xdr:from>
    <xdr:to>
      <xdr:col>3</xdr:col>
      <xdr:colOff>66675</xdr:colOff>
      <xdr:row>43</xdr:row>
      <xdr:rowOff>38100</xdr:rowOff>
    </xdr:to>
    <xdr:graphicFrame macro="">
      <xdr:nvGraphicFramePr>
        <xdr:cNvPr id="2" name="Chart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152400</xdr:colOff>
      <xdr:row>27</xdr:row>
      <xdr:rowOff>0</xdr:rowOff>
    </xdr:from>
    <xdr:to>
      <xdr:col>6</xdr:col>
      <xdr:colOff>771525</xdr:colOff>
      <xdr:row>43</xdr:row>
      <xdr:rowOff>38100</xdr:rowOff>
    </xdr:to>
    <xdr:graphicFrame macro="">
      <xdr:nvGraphicFramePr>
        <xdr:cNvPr id="3" name="Chart 3">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207433</xdr:colOff>
      <xdr:row>6</xdr:row>
      <xdr:rowOff>186267</xdr:rowOff>
    </xdr:from>
    <xdr:to>
      <xdr:col>18</xdr:col>
      <xdr:colOff>156634</xdr:colOff>
      <xdr:row>11</xdr:row>
      <xdr:rowOff>8467</xdr:rowOff>
    </xdr:to>
    <xdr:sp macro="" textlink="">
      <xdr:nvSpPr>
        <xdr:cNvPr id="2" name="TextBox 1">
          <a:extLst>
            <a:ext uri="{FF2B5EF4-FFF2-40B4-BE49-F238E27FC236}">
              <a16:creationId xmlns:a16="http://schemas.microsoft.com/office/drawing/2014/main" id="{64BA34BB-0481-4E98-AAF8-E6E6A33429B4}"/>
            </a:ext>
          </a:extLst>
        </xdr:cNvPr>
        <xdr:cNvSpPr txBox="1"/>
      </xdr:nvSpPr>
      <xdr:spPr>
        <a:xfrm>
          <a:off x="10083800" y="1430867"/>
          <a:ext cx="1278467" cy="7747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Move text</a:t>
          </a:r>
          <a:r>
            <a:rPr lang="en-CA" sz="1100" baseline="0"/>
            <a:t> box with cause or idea to prioritize in the appropriate area</a:t>
          </a:r>
          <a:endParaRPr lang="en-CA" sz="1100"/>
        </a:p>
      </xdr:txBody>
    </xdr:sp>
    <xdr:clientData/>
  </xdr:twoCellAnchor>
  <xdr:twoCellAnchor>
    <xdr:from>
      <xdr:col>16</xdr:col>
      <xdr:colOff>359833</xdr:colOff>
      <xdr:row>7</xdr:row>
      <xdr:rowOff>148167</xdr:rowOff>
    </xdr:from>
    <xdr:to>
      <xdr:col>18</xdr:col>
      <xdr:colOff>309034</xdr:colOff>
      <xdr:row>11</xdr:row>
      <xdr:rowOff>160867</xdr:rowOff>
    </xdr:to>
    <xdr:sp macro="" textlink="">
      <xdr:nvSpPr>
        <xdr:cNvPr id="3" name="TextBox 2">
          <a:extLst>
            <a:ext uri="{FF2B5EF4-FFF2-40B4-BE49-F238E27FC236}">
              <a16:creationId xmlns:a16="http://schemas.microsoft.com/office/drawing/2014/main" id="{F0DD6B55-316C-4BF4-AFF4-D8ED8E51B3E9}"/>
            </a:ext>
          </a:extLst>
        </xdr:cNvPr>
        <xdr:cNvSpPr txBox="1"/>
      </xdr:nvSpPr>
      <xdr:spPr>
        <a:xfrm>
          <a:off x="10236200" y="1583267"/>
          <a:ext cx="1278467" cy="7747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Move text</a:t>
          </a:r>
          <a:r>
            <a:rPr lang="en-CA" sz="1100" baseline="0"/>
            <a:t> box with cause or idea to prioritize in the appropriate area</a:t>
          </a:r>
          <a:endParaRPr lang="en-CA" sz="1100"/>
        </a:p>
      </xdr:txBody>
    </xdr:sp>
    <xdr:clientData/>
  </xdr:twoCellAnchor>
  <xdr:twoCellAnchor>
    <xdr:from>
      <xdr:col>16</xdr:col>
      <xdr:colOff>512233</xdr:colOff>
      <xdr:row>8</xdr:row>
      <xdr:rowOff>110067</xdr:rowOff>
    </xdr:from>
    <xdr:to>
      <xdr:col>18</xdr:col>
      <xdr:colOff>461434</xdr:colOff>
      <xdr:row>12</xdr:row>
      <xdr:rowOff>122767</xdr:rowOff>
    </xdr:to>
    <xdr:sp macro="" textlink="">
      <xdr:nvSpPr>
        <xdr:cNvPr id="4" name="TextBox 3">
          <a:extLst>
            <a:ext uri="{FF2B5EF4-FFF2-40B4-BE49-F238E27FC236}">
              <a16:creationId xmlns:a16="http://schemas.microsoft.com/office/drawing/2014/main" id="{9F26D255-DCB0-477D-8A9B-96B1B74F7DB8}"/>
            </a:ext>
          </a:extLst>
        </xdr:cNvPr>
        <xdr:cNvSpPr txBox="1"/>
      </xdr:nvSpPr>
      <xdr:spPr>
        <a:xfrm>
          <a:off x="10388600" y="1735667"/>
          <a:ext cx="1278467" cy="7747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Move text</a:t>
          </a:r>
          <a:r>
            <a:rPr lang="en-CA" sz="1100" baseline="0"/>
            <a:t> box with cause or idea to prioritize in the appropriate area</a:t>
          </a:r>
          <a:endParaRPr lang="en-CA" sz="1100"/>
        </a:p>
      </xdr:txBody>
    </xdr:sp>
    <xdr:clientData/>
  </xdr:twoCellAnchor>
  <xdr:twoCellAnchor>
    <xdr:from>
      <xdr:col>17</xdr:col>
      <xdr:colOff>0</xdr:colOff>
      <xdr:row>9</xdr:row>
      <xdr:rowOff>71967</xdr:rowOff>
    </xdr:from>
    <xdr:to>
      <xdr:col>18</xdr:col>
      <xdr:colOff>613834</xdr:colOff>
      <xdr:row>13</xdr:row>
      <xdr:rowOff>84667</xdr:rowOff>
    </xdr:to>
    <xdr:sp macro="" textlink="">
      <xdr:nvSpPr>
        <xdr:cNvPr id="5" name="TextBox 4">
          <a:extLst>
            <a:ext uri="{FF2B5EF4-FFF2-40B4-BE49-F238E27FC236}">
              <a16:creationId xmlns:a16="http://schemas.microsoft.com/office/drawing/2014/main" id="{E063E9B0-3DDD-4D03-A39F-9E36AA916397}"/>
            </a:ext>
          </a:extLst>
        </xdr:cNvPr>
        <xdr:cNvSpPr txBox="1"/>
      </xdr:nvSpPr>
      <xdr:spPr>
        <a:xfrm>
          <a:off x="10541000" y="1888067"/>
          <a:ext cx="1278467" cy="7747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Move text</a:t>
          </a:r>
          <a:r>
            <a:rPr lang="en-CA" sz="1100" baseline="0"/>
            <a:t> box with cause or idea to prioritize in the appropriate area</a:t>
          </a:r>
          <a:endParaRPr lang="en-CA" sz="1100"/>
        </a:p>
      </xdr:txBody>
    </xdr:sp>
    <xdr:clientData/>
  </xdr:twoCellAnchor>
  <xdr:twoCellAnchor>
    <xdr:from>
      <xdr:col>17</xdr:col>
      <xdr:colOff>152400</xdr:colOff>
      <xdr:row>10</xdr:row>
      <xdr:rowOff>33867</xdr:rowOff>
    </xdr:from>
    <xdr:to>
      <xdr:col>19</xdr:col>
      <xdr:colOff>101600</xdr:colOff>
      <xdr:row>14</xdr:row>
      <xdr:rowOff>46567</xdr:rowOff>
    </xdr:to>
    <xdr:sp macro="" textlink="">
      <xdr:nvSpPr>
        <xdr:cNvPr id="6" name="TextBox 5">
          <a:extLst>
            <a:ext uri="{FF2B5EF4-FFF2-40B4-BE49-F238E27FC236}">
              <a16:creationId xmlns:a16="http://schemas.microsoft.com/office/drawing/2014/main" id="{A5BF0574-5AA7-4DAF-900D-AA10E591B93C}"/>
            </a:ext>
          </a:extLst>
        </xdr:cNvPr>
        <xdr:cNvSpPr txBox="1"/>
      </xdr:nvSpPr>
      <xdr:spPr>
        <a:xfrm>
          <a:off x="10693400" y="2040467"/>
          <a:ext cx="1278467" cy="7747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Move text</a:t>
          </a:r>
          <a:r>
            <a:rPr lang="en-CA" sz="1100" baseline="0"/>
            <a:t> box with cause or idea to prioritize in the appropriate area</a:t>
          </a:r>
          <a:endParaRPr lang="en-CA" sz="1100"/>
        </a:p>
      </xdr:txBody>
    </xdr:sp>
    <xdr:clientData/>
  </xdr:twoCellAnchor>
  <xdr:twoCellAnchor>
    <xdr:from>
      <xdr:col>17</xdr:col>
      <xdr:colOff>304800</xdr:colOff>
      <xdr:row>10</xdr:row>
      <xdr:rowOff>186267</xdr:rowOff>
    </xdr:from>
    <xdr:to>
      <xdr:col>19</xdr:col>
      <xdr:colOff>254000</xdr:colOff>
      <xdr:row>15</xdr:row>
      <xdr:rowOff>8467</xdr:rowOff>
    </xdr:to>
    <xdr:sp macro="" textlink="">
      <xdr:nvSpPr>
        <xdr:cNvPr id="7" name="TextBox 6">
          <a:extLst>
            <a:ext uri="{FF2B5EF4-FFF2-40B4-BE49-F238E27FC236}">
              <a16:creationId xmlns:a16="http://schemas.microsoft.com/office/drawing/2014/main" id="{ABC57FBA-CFEE-45AA-BBC7-928236D97EBD}"/>
            </a:ext>
          </a:extLst>
        </xdr:cNvPr>
        <xdr:cNvSpPr txBox="1"/>
      </xdr:nvSpPr>
      <xdr:spPr>
        <a:xfrm>
          <a:off x="10845800" y="2192867"/>
          <a:ext cx="1278467" cy="7747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Move text</a:t>
          </a:r>
          <a:r>
            <a:rPr lang="en-CA" sz="1100" baseline="0"/>
            <a:t> box with cause or idea to prioritize in the appropriate area</a:t>
          </a:r>
          <a:endParaRPr lang="en-CA" sz="1100"/>
        </a:p>
      </xdr:txBody>
    </xdr:sp>
    <xdr:clientData/>
  </xdr:twoCellAnchor>
  <xdr:twoCellAnchor>
    <xdr:from>
      <xdr:col>17</xdr:col>
      <xdr:colOff>575734</xdr:colOff>
      <xdr:row>11</xdr:row>
      <xdr:rowOff>148167</xdr:rowOff>
    </xdr:from>
    <xdr:to>
      <xdr:col>19</xdr:col>
      <xdr:colOff>524934</xdr:colOff>
      <xdr:row>15</xdr:row>
      <xdr:rowOff>160867</xdr:rowOff>
    </xdr:to>
    <xdr:sp macro="" textlink="">
      <xdr:nvSpPr>
        <xdr:cNvPr id="8" name="TextBox 7">
          <a:extLst>
            <a:ext uri="{FF2B5EF4-FFF2-40B4-BE49-F238E27FC236}">
              <a16:creationId xmlns:a16="http://schemas.microsoft.com/office/drawing/2014/main" id="{87862CB0-3D8B-41BA-AC09-9C5588632638}"/>
            </a:ext>
          </a:extLst>
        </xdr:cNvPr>
        <xdr:cNvSpPr txBox="1"/>
      </xdr:nvSpPr>
      <xdr:spPr>
        <a:xfrm>
          <a:off x="11116734" y="2345267"/>
          <a:ext cx="1278467" cy="7747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Move text</a:t>
          </a:r>
          <a:r>
            <a:rPr lang="en-CA" sz="1100" baseline="0"/>
            <a:t> box with cause or idea to prioritize in the appropriate area</a:t>
          </a:r>
          <a:endParaRPr lang="en-CA"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161923</xdr:colOff>
      <xdr:row>1</xdr:row>
      <xdr:rowOff>161243</xdr:rowOff>
    </xdr:from>
    <xdr:to>
      <xdr:col>26</xdr:col>
      <xdr:colOff>707571</xdr:colOff>
      <xdr:row>39</xdr:row>
      <xdr:rowOff>27214</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1</xdr:row>
      <xdr:rowOff>9525</xdr:rowOff>
    </xdr:from>
    <xdr:to>
      <xdr:col>14</xdr:col>
      <xdr:colOff>0</xdr:colOff>
      <xdr:row>25</xdr:row>
      <xdr:rowOff>152400</xdr:rowOff>
    </xdr:to>
    <xdr:graphicFrame macro="">
      <xdr:nvGraphicFramePr>
        <xdr:cNvPr id="2" name="Chart 1025">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0</xdr:row>
      <xdr:rowOff>0</xdr:rowOff>
    </xdr:from>
    <xdr:to>
      <xdr:col>9</xdr:col>
      <xdr:colOff>190500</xdr:colOff>
      <xdr:row>49</xdr:row>
      <xdr:rowOff>104775</xdr:rowOff>
    </xdr:to>
    <xdr:sp macro="" textlink="">
      <xdr:nvSpPr>
        <xdr:cNvPr id="2" name="Text Box 1">
          <a:extLst>
            <a:ext uri="{FF2B5EF4-FFF2-40B4-BE49-F238E27FC236}">
              <a16:creationId xmlns:a16="http://schemas.microsoft.com/office/drawing/2014/main" id="{DD9EBA19-D452-437E-BF1D-BD89CE5DF9B3}"/>
            </a:ext>
          </a:extLst>
        </xdr:cNvPr>
        <xdr:cNvSpPr txBox="1">
          <a:spLocks noChangeArrowheads="1"/>
        </xdr:cNvSpPr>
      </xdr:nvSpPr>
      <xdr:spPr bwMode="auto">
        <a:xfrm>
          <a:off x="190500" y="0"/>
          <a:ext cx="6000750" cy="7808595"/>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1" i="0" u="none" strike="noStrike" baseline="0">
              <a:solidFill>
                <a:srgbClr val="000000"/>
              </a:solidFill>
              <a:latin typeface="Arial"/>
              <a:cs typeface="Arial"/>
            </a:rPr>
            <a:t>When to use this spreadsheet</a:t>
          </a:r>
        </a:p>
        <a:p>
          <a:pPr algn="l" rtl="0">
            <a:defRPr sz="1000"/>
          </a:pPr>
          <a:endParaRPr lang="en-US" sz="800" b="1"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1) This spreadsheet allows the user to perform a complete Gage Repeatability and Reproducibility (GR&amp;R) study.  Both Analysis of Variance (ANOVA) and Xbar/Range calculations are performed.  Up to three operators, ten parts and three trials can be accommodated.  The GR&amp;R is reported in terms of percent of study variation and percent of tolerance.  The percentage of equipment variation, appraiser variation, part variation, and the number of distinct categories that can be distinguished are also displayed.</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Instructions for Data Entry</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1) Generally the coloring of the cells indicate their use.  White cells are for data entry, yellow cells provide instruction, turquoise cells are headings and light green cells display data that can't / shouldn't be changed.</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2) Enter the part number and / or name, the characteristic of the part being measured, the tolerance specification, the gage name, the gage number, the gage type, the name of the person conducting the study, the upper specification limit and the lower specification limit.  Both upper and lower specification limits are required.</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3) Determine the number of parts and the number of appraisers to be used.  Conduct the study and enter the data in the appropriate rows.  The spreadsheet will count the number of parts and appraisers automatically.</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Reading the Results</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1) The GR&amp;R results are displayed as a percentage of part variation and percentage of tolerance.  If no tolerance is entered, the Percent of Tolerance report will display "Enter Tol" in the data fields.  Be sure to enter a value for the upper and lower specification, including zero, to ensure a proper result.</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2) The percentage of equipment variation, appraiser variation, part variation, and the number of distinct categories that can be distinguished are displayed.  Generally, an acceptable gage will have lower values for the equipment and the appraiser and higher values for the parts.  In most industries, a GR&amp;R less than 10% of the tolerance is considered acceptable while a GR&amp;R greater than 30% is unacceptable.  A GR&amp;R between 10% and 30% should be investigated for improvement.  The Number of Distinct Categories should be 5 or greater.</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3) The Graphical Summary provides a full graphical analysis of the data.  An Xbar and R chart is shown as well as Multi-vari charts showing Part Variation, Operator Variation and Part - Operator Interaction.  A bar chart summarizes the total Gage R&amp;R, Repeatability and Reproducibility for % Contribution, % Study Variation and % Tolerance.  Guidance for using the Xbar and R charts follows:</a:t>
          </a:r>
        </a:p>
        <a:p>
          <a:pPr algn="l" rtl="0">
            <a:defRPr sz="1000"/>
          </a:pPr>
          <a:endParaRPr lang="en-US" sz="800" b="0" i="0" u="none" strike="noStrike" baseline="0">
            <a:solidFill>
              <a:srgbClr val="000000"/>
            </a:solidFill>
            <a:latin typeface="Arial"/>
            <a:cs typeface="Arial"/>
          </a:endParaRPr>
        </a:p>
        <a:p>
          <a:pPr algn="l" rtl="0">
            <a:defRPr sz="1000"/>
          </a:pPr>
          <a:r>
            <a:rPr lang="en-US" sz="800" b="0" i="0" u="sng" strike="noStrike" baseline="0">
              <a:solidFill>
                <a:srgbClr val="000000"/>
              </a:solidFill>
              <a:latin typeface="Arial"/>
              <a:cs typeface="Arial"/>
            </a:rPr>
            <a:t>Xbar Chart</a:t>
          </a:r>
          <a:r>
            <a:rPr lang="en-US" sz="800" b="0" i="0" u="none" strike="noStrike" baseline="0">
              <a:solidFill>
                <a:srgbClr val="000000"/>
              </a:solidFill>
              <a:latin typeface="Arial"/>
              <a:cs typeface="Arial"/>
            </a:rPr>
            <a:t>: The area between the control limits represents the measurement uncertainty and so at least half of the points should be outside the control limits.  </a:t>
          </a:r>
        </a:p>
        <a:p>
          <a:pPr algn="l" rtl="0">
            <a:defRPr sz="1000"/>
          </a:pPr>
          <a:endParaRPr lang="en-US" sz="800" b="0" i="0" u="none" strike="noStrike" baseline="0">
            <a:solidFill>
              <a:srgbClr val="000000"/>
            </a:solidFill>
            <a:latin typeface="Arial"/>
            <a:cs typeface="Arial"/>
          </a:endParaRPr>
        </a:p>
        <a:p>
          <a:pPr algn="l" rtl="0">
            <a:defRPr sz="1000"/>
          </a:pPr>
          <a:r>
            <a:rPr lang="en-US" sz="800" b="0" i="0" u="sng" strike="noStrike" baseline="0">
              <a:solidFill>
                <a:srgbClr val="000000"/>
              </a:solidFill>
              <a:latin typeface="Arial"/>
              <a:cs typeface="Arial"/>
            </a:rPr>
            <a:t>R Chart</a:t>
          </a:r>
          <a:r>
            <a:rPr lang="en-US" sz="800" b="0" i="0" u="none" strike="noStrike" baseline="0">
              <a:solidFill>
                <a:srgbClr val="000000"/>
              </a:solidFill>
              <a:latin typeface="Arial"/>
              <a:cs typeface="Arial"/>
            </a:rPr>
            <a:t>:  All points should be stable and in control.</a:t>
          </a: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4) The Numerical Summary displays the results of all calculations used in the ANOVA and Xbar/Range method of analysis.  The Variance, Standard Deviation and Percent of Variance for each variation component are displayed.  Gage R&amp;R for Percent of Study Variation and Percent of Tolerance are displayed.  The Percent of Tolerance is calculated using 5.15 standard deviations (99% of the variation) and 6.0 standard deviations (99.7% of the variation.)  Both 5.15 and 6.0 are commonly used and so both are displayed.  Also, the ANOVA table is displayed.</a:t>
          </a:r>
        </a:p>
        <a:p>
          <a:pPr algn="l" rtl="0">
            <a:defRPr sz="1000"/>
          </a:pPr>
          <a:endParaRPr lang="en-US" sz="800" b="0" i="0" u="none" strike="noStrike" baseline="0">
            <a:solidFill>
              <a:srgbClr val="000000"/>
            </a:solidFill>
            <a:latin typeface="Arial"/>
            <a:cs typeface="Arial"/>
          </a:endParaRPr>
        </a:p>
        <a:p>
          <a:pPr algn="l" rtl="0">
            <a:defRPr sz="1000"/>
          </a:pPr>
          <a:r>
            <a:rPr lang="en-US" sz="800" b="1" i="0" u="none" strike="noStrike" baseline="0">
              <a:solidFill>
                <a:srgbClr val="000000"/>
              </a:solidFill>
              <a:latin typeface="Arial"/>
              <a:cs typeface="Arial"/>
            </a:rPr>
            <a:t>A Special Note Regarding K Factors</a:t>
          </a: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1) All calculations are performed using the K factors outlined in revision three of the AIAG MSA manual.  The new K factors are just the old factors divided by 5.15 sigma.  The Percent of Tolerance report accounts for the new K factors by including 5.15 sigma in the calculations.</a:t>
          </a: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r>
            <a:rPr lang="en-US" sz="800" b="0" i="0" u="none" strike="noStrike" baseline="0">
              <a:solidFill>
                <a:srgbClr val="000000"/>
              </a:solidFill>
              <a:latin typeface="Arial"/>
              <a:cs typeface="Arial"/>
            </a:rPr>
            <a:t>End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333375</xdr:colOff>
      <xdr:row>1</xdr:row>
      <xdr:rowOff>0</xdr:rowOff>
    </xdr:from>
    <xdr:to>
      <xdr:col>7</xdr:col>
      <xdr:colOff>0</xdr:colOff>
      <xdr:row>2</xdr:row>
      <xdr:rowOff>0</xdr:rowOff>
    </xdr:to>
    <xdr:sp macro="" textlink="">
      <xdr:nvSpPr>
        <xdr:cNvPr id="2" name="Text Box 3">
          <a:extLst>
            <a:ext uri="{FF2B5EF4-FFF2-40B4-BE49-F238E27FC236}">
              <a16:creationId xmlns:a16="http://schemas.microsoft.com/office/drawing/2014/main" id="{7888BA64-CD11-435B-A66C-56AA5FA47B1A}"/>
            </a:ext>
          </a:extLst>
        </xdr:cNvPr>
        <xdr:cNvSpPr txBox="1">
          <a:spLocks noChangeArrowheads="1"/>
        </xdr:cNvSpPr>
      </xdr:nvSpPr>
      <xdr:spPr bwMode="auto">
        <a:xfrm>
          <a:off x="3522345" y="333375"/>
          <a:ext cx="1002030" cy="200025"/>
        </a:xfrm>
        <a:prstGeom prst="rect">
          <a:avLst/>
        </a:prstGeom>
        <a:solidFill>
          <a:srgbClr val="FFFF00"/>
        </a:solidFill>
        <a:ln w="9525">
          <a:solidFill>
            <a:srgbClr val="000000"/>
          </a:solidFill>
          <a:miter lim="800000"/>
          <a:headEnd/>
          <a:tailEnd/>
        </a:ln>
      </xdr:spPr>
      <xdr:txBody>
        <a:bodyPr vertOverflow="clip" wrap="square" lIns="0" tIns="22860" rIns="27432" bIns="22860" anchor="ctr" upright="1"/>
        <a:lstStyle/>
        <a:p>
          <a:pPr algn="r" rtl="0">
            <a:defRPr sz="1000"/>
          </a:pPr>
          <a:r>
            <a:rPr lang="en-US" sz="1000" b="0" i="0" u="none" strike="noStrike" baseline="0">
              <a:solidFill>
                <a:srgbClr val="000000"/>
              </a:solidFill>
              <a:latin typeface="Arial"/>
              <a:cs typeface="Arial"/>
            </a:rPr>
            <a:t>Gage Name: </a:t>
          </a:r>
        </a:p>
      </xdr:txBody>
    </xdr:sp>
    <xdr:clientData/>
  </xdr:twoCellAnchor>
  <xdr:twoCellAnchor>
    <xdr:from>
      <xdr:col>5</xdr:col>
      <xdr:colOff>333375</xdr:colOff>
      <xdr:row>2</xdr:row>
      <xdr:rowOff>0</xdr:rowOff>
    </xdr:from>
    <xdr:to>
      <xdr:col>7</xdr:col>
      <xdr:colOff>0</xdr:colOff>
      <xdr:row>3</xdr:row>
      <xdr:rowOff>0</xdr:rowOff>
    </xdr:to>
    <xdr:sp macro="" textlink="">
      <xdr:nvSpPr>
        <xdr:cNvPr id="3" name="Text Box 4">
          <a:extLst>
            <a:ext uri="{FF2B5EF4-FFF2-40B4-BE49-F238E27FC236}">
              <a16:creationId xmlns:a16="http://schemas.microsoft.com/office/drawing/2014/main" id="{1932FF37-320E-4D52-9B49-6DC9E1A0ABFC}"/>
            </a:ext>
          </a:extLst>
        </xdr:cNvPr>
        <xdr:cNvSpPr txBox="1">
          <a:spLocks noChangeArrowheads="1"/>
        </xdr:cNvSpPr>
      </xdr:nvSpPr>
      <xdr:spPr bwMode="auto">
        <a:xfrm>
          <a:off x="3522345" y="533400"/>
          <a:ext cx="1002030" cy="200025"/>
        </a:xfrm>
        <a:prstGeom prst="rect">
          <a:avLst/>
        </a:prstGeom>
        <a:solidFill>
          <a:srgbClr val="FFFF00"/>
        </a:solidFill>
        <a:ln w="9525">
          <a:solidFill>
            <a:srgbClr val="000000"/>
          </a:solidFill>
          <a:miter lim="800000"/>
          <a:headEnd/>
          <a:tailEnd/>
        </a:ln>
      </xdr:spPr>
      <xdr:txBody>
        <a:bodyPr vertOverflow="clip" wrap="square" lIns="0" tIns="22860" rIns="27432" bIns="22860" anchor="ctr" upright="1"/>
        <a:lstStyle/>
        <a:p>
          <a:pPr algn="r" rtl="0">
            <a:defRPr sz="1000"/>
          </a:pPr>
          <a:r>
            <a:rPr lang="en-US" sz="1000" b="0" i="0" u="none" strike="noStrike" baseline="0">
              <a:solidFill>
                <a:srgbClr val="000000"/>
              </a:solidFill>
              <a:latin typeface="Arial"/>
              <a:cs typeface="Arial"/>
            </a:rPr>
            <a:t>Gage Number:</a:t>
          </a:r>
        </a:p>
      </xdr:txBody>
    </xdr:sp>
    <xdr:clientData/>
  </xdr:twoCellAnchor>
  <xdr:twoCellAnchor>
    <xdr:from>
      <xdr:col>5</xdr:col>
      <xdr:colOff>333375</xdr:colOff>
      <xdr:row>3</xdr:row>
      <xdr:rowOff>0</xdr:rowOff>
    </xdr:from>
    <xdr:to>
      <xdr:col>7</xdr:col>
      <xdr:colOff>0</xdr:colOff>
      <xdr:row>4</xdr:row>
      <xdr:rowOff>0</xdr:rowOff>
    </xdr:to>
    <xdr:sp macro="" textlink="">
      <xdr:nvSpPr>
        <xdr:cNvPr id="4" name="Text Box 5">
          <a:extLst>
            <a:ext uri="{FF2B5EF4-FFF2-40B4-BE49-F238E27FC236}">
              <a16:creationId xmlns:a16="http://schemas.microsoft.com/office/drawing/2014/main" id="{0B27D333-B183-4F66-85CE-1E59EE835393}"/>
            </a:ext>
          </a:extLst>
        </xdr:cNvPr>
        <xdr:cNvSpPr txBox="1">
          <a:spLocks noChangeArrowheads="1"/>
        </xdr:cNvSpPr>
      </xdr:nvSpPr>
      <xdr:spPr bwMode="auto">
        <a:xfrm>
          <a:off x="3522345" y="733425"/>
          <a:ext cx="1002030" cy="200025"/>
        </a:xfrm>
        <a:prstGeom prst="rect">
          <a:avLst/>
        </a:prstGeom>
        <a:solidFill>
          <a:srgbClr val="FFFF00"/>
        </a:solidFill>
        <a:ln w="9525">
          <a:solidFill>
            <a:srgbClr val="000000"/>
          </a:solidFill>
          <a:miter lim="800000"/>
          <a:headEnd/>
          <a:tailEnd/>
        </a:ln>
      </xdr:spPr>
      <xdr:txBody>
        <a:bodyPr vertOverflow="clip" wrap="square" lIns="0" tIns="22860" rIns="27432" bIns="22860" anchor="ctr" upright="1"/>
        <a:lstStyle/>
        <a:p>
          <a:pPr algn="r" rtl="0">
            <a:defRPr sz="1000"/>
          </a:pPr>
          <a:r>
            <a:rPr lang="en-US" sz="1000" b="0" i="0" u="none" strike="noStrike" baseline="0">
              <a:solidFill>
                <a:srgbClr val="000000"/>
              </a:solidFill>
              <a:latin typeface="Arial"/>
              <a:cs typeface="Arial"/>
            </a:rPr>
            <a:t>Gage Type: </a:t>
          </a:r>
        </a:p>
      </xdr:txBody>
    </xdr:sp>
    <xdr:clientData/>
  </xdr:twoCellAnchor>
  <xdr:twoCellAnchor>
    <xdr:from>
      <xdr:col>10</xdr:col>
      <xdr:colOff>333375</xdr:colOff>
      <xdr:row>1</xdr:row>
      <xdr:rowOff>0</xdr:rowOff>
    </xdr:from>
    <xdr:to>
      <xdr:col>12</xdr:col>
      <xdr:colOff>0</xdr:colOff>
      <xdr:row>2</xdr:row>
      <xdr:rowOff>0</xdr:rowOff>
    </xdr:to>
    <xdr:sp macro="" textlink="">
      <xdr:nvSpPr>
        <xdr:cNvPr id="5" name="Text Box 6">
          <a:extLst>
            <a:ext uri="{FF2B5EF4-FFF2-40B4-BE49-F238E27FC236}">
              <a16:creationId xmlns:a16="http://schemas.microsoft.com/office/drawing/2014/main" id="{0012C7E3-DB22-4748-ACB1-AEA1450AB08B}"/>
            </a:ext>
          </a:extLst>
        </xdr:cNvPr>
        <xdr:cNvSpPr txBox="1">
          <a:spLocks noChangeArrowheads="1"/>
        </xdr:cNvSpPr>
      </xdr:nvSpPr>
      <xdr:spPr bwMode="auto">
        <a:xfrm>
          <a:off x="6856095" y="333375"/>
          <a:ext cx="1002030" cy="200025"/>
        </a:xfrm>
        <a:prstGeom prst="rect">
          <a:avLst/>
        </a:prstGeom>
        <a:solidFill>
          <a:srgbClr val="FFFF00"/>
        </a:solidFill>
        <a:ln w="9525">
          <a:solidFill>
            <a:srgbClr val="000000"/>
          </a:solidFill>
          <a:miter lim="800000"/>
          <a:headEnd/>
          <a:tailEnd/>
        </a:ln>
      </xdr:spPr>
      <xdr:txBody>
        <a:bodyPr vertOverflow="clip" wrap="square" lIns="0" tIns="22860" rIns="27432" bIns="22860" anchor="ctr" upright="1"/>
        <a:lstStyle/>
        <a:p>
          <a:pPr algn="r" rtl="0">
            <a:defRPr sz="1000"/>
          </a:pPr>
          <a:r>
            <a:rPr lang="en-US" sz="1000" b="0" i="0" u="none" strike="noStrike" baseline="0">
              <a:solidFill>
                <a:srgbClr val="000000"/>
              </a:solidFill>
              <a:latin typeface="Arial"/>
              <a:cs typeface="Arial"/>
            </a:rPr>
            <a:t>Date: </a:t>
          </a:r>
        </a:p>
      </xdr:txBody>
    </xdr:sp>
    <xdr:clientData/>
  </xdr:twoCellAnchor>
  <xdr:twoCellAnchor>
    <xdr:from>
      <xdr:col>10</xdr:col>
      <xdr:colOff>333375</xdr:colOff>
      <xdr:row>2</xdr:row>
      <xdr:rowOff>0</xdr:rowOff>
    </xdr:from>
    <xdr:to>
      <xdr:col>12</xdr:col>
      <xdr:colOff>0</xdr:colOff>
      <xdr:row>3</xdr:row>
      <xdr:rowOff>0</xdr:rowOff>
    </xdr:to>
    <xdr:sp macro="" textlink="">
      <xdr:nvSpPr>
        <xdr:cNvPr id="6" name="Text Box 7">
          <a:extLst>
            <a:ext uri="{FF2B5EF4-FFF2-40B4-BE49-F238E27FC236}">
              <a16:creationId xmlns:a16="http://schemas.microsoft.com/office/drawing/2014/main" id="{39957772-AE6B-4AC5-AEA6-BF201DA5313B}"/>
            </a:ext>
          </a:extLst>
        </xdr:cNvPr>
        <xdr:cNvSpPr txBox="1">
          <a:spLocks noChangeArrowheads="1"/>
        </xdr:cNvSpPr>
      </xdr:nvSpPr>
      <xdr:spPr bwMode="auto">
        <a:xfrm>
          <a:off x="6856095" y="533400"/>
          <a:ext cx="1002030" cy="200025"/>
        </a:xfrm>
        <a:prstGeom prst="rect">
          <a:avLst/>
        </a:prstGeom>
        <a:solidFill>
          <a:srgbClr val="FFFF00"/>
        </a:solidFill>
        <a:ln w="9525">
          <a:solidFill>
            <a:srgbClr val="000000"/>
          </a:solidFill>
          <a:miter lim="800000"/>
          <a:headEnd/>
          <a:tailEnd/>
        </a:ln>
      </xdr:spPr>
      <xdr:txBody>
        <a:bodyPr vertOverflow="clip" wrap="square" lIns="0" tIns="22860" rIns="27432" bIns="22860" anchor="ctr" upright="1"/>
        <a:lstStyle/>
        <a:p>
          <a:pPr algn="r" rtl="0">
            <a:defRPr sz="1000"/>
          </a:pPr>
          <a:r>
            <a:rPr lang="en-US" sz="1000" b="0" i="0" u="none" strike="noStrike" baseline="0">
              <a:solidFill>
                <a:srgbClr val="000000"/>
              </a:solidFill>
              <a:latin typeface="Arial"/>
              <a:cs typeface="Arial"/>
            </a:rPr>
            <a:t>Performed by: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31</xdr:row>
      <xdr:rowOff>0</xdr:rowOff>
    </xdr:from>
    <xdr:to>
      <xdr:col>17</xdr:col>
      <xdr:colOff>723900</xdr:colOff>
      <xdr:row>37</xdr:row>
      <xdr:rowOff>180975</xdr:rowOff>
    </xdr:to>
    <xdr:graphicFrame macro="">
      <xdr:nvGraphicFramePr>
        <xdr:cNvPr id="2" name="Chart 8">
          <a:extLst>
            <a:ext uri="{FF2B5EF4-FFF2-40B4-BE49-F238E27FC236}">
              <a16:creationId xmlns:a16="http://schemas.microsoft.com/office/drawing/2014/main" id="{0FF76D60-4136-4CB8-8631-EFB352C71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0</xdr:rowOff>
    </xdr:from>
    <xdr:to>
      <xdr:col>10</xdr:col>
      <xdr:colOff>0</xdr:colOff>
      <xdr:row>31</xdr:row>
      <xdr:rowOff>0</xdr:rowOff>
    </xdr:to>
    <xdr:graphicFrame macro="">
      <xdr:nvGraphicFramePr>
        <xdr:cNvPr id="3" name="Chart 1">
          <a:extLst>
            <a:ext uri="{FF2B5EF4-FFF2-40B4-BE49-F238E27FC236}">
              <a16:creationId xmlns:a16="http://schemas.microsoft.com/office/drawing/2014/main" id="{2CE6845B-0451-4B96-9145-40D4FBC9B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xdr:row>
      <xdr:rowOff>0</xdr:rowOff>
    </xdr:from>
    <xdr:to>
      <xdr:col>10</xdr:col>
      <xdr:colOff>0</xdr:colOff>
      <xdr:row>18</xdr:row>
      <xdr:rowOff>0</xdr:rowOff>
    </xdr:to>
    <xdr:graphicFrame macro="">
      <xdr:nvGraphicFramePr>
        <xdr:cNvPr id="4" name="Chart 2">
          <a:extLst>
            <a:ext uri="{FF2B5EF4-FFF2-40B4-BE49-F238E27FC236}">
              <a16:creationId xmlns:a16="http://schemas.microsoft.com/office/drawing/2014/main" id="{EF3DC2CF-8576-4E5A-B605-A8A82462F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31</xdr:row>
      <xdr:rowOff>0</xdr:rowOff>
    </xdr:from>
    <xdr:to>
      <xdr:col>10</xdr:col>
      <xdr:colOff>0</xdr:colOff>
      <xdr:row>45</xdr:row>
      <xdr:rowOff>0</xdr:rowOff>
    </xdr:to>
    <xdr:graphicFrame macro="">
      <xdr:nvGraphicFramePr>
        <xdr:cNvPr id="5" name="Chart 3">
          <a:extLst>
            <a:ext uri="{FF2B5EF4-FFF2-40B4-BE49-F238E27FC236}">
              <a16:creationId xmlns:a16="http://schemas.microsoft.com/office/drawing/2014/main" id="{495B038E-E292-4A5D-87FA-62D0F3D14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xdr:row>
      <xdr:rowOff>0</xdr:rowOff>
    </xdr:from>
    <xdr:to>
      <xdr:col>18</xdr:col>
      <xdr:colOff>0</xdr:colOff>
      <xdr:row>18</xdr:row>
      <xdr:rowOff>0</xdr:rowOff>
    </xdr:to>
    <xdr:graphicFrame macro="">
      <xdr:nvGraphicFramePr>
        <xdr:cNvPr id="6" name="Chart 4">
          <a:extLst>
            <a:ext uri="{FF2B5EF4-FFF2-40B4-BE49-F238E27FC236}">
              <a16:creationId xmlns:a16="http://schemas.microsoft.com/office/drawing/2014/main" id="{50F78DAC-8EBD-4882-B386-E0DF8F8EB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18</xdr:row>
      <xdr:rowOff>0</xdr:rowOff>
    </xdr:from>
    <xdr:to>
      <xdr:col>18</xdr:col>
      <xdr:colOff>0</xdr:colOff>
      <xdr:row>31</xdr:row>
      <xdr:rowOff>0</xdr:rowOff>
    </xdr:to>
    <xdr:graphicFrame macro="">
      <xdr:nvGraphicFramePr>
        <xdr:cNvPr id="7" name="Chart 5">
          <a:extLst>
            <a:ext uri="{FF2B5EF4-FFF2-40B4-BE49-F238E27FC236}">
              <a16:creationId xmlns:a16="http://schemas.microsoft.com/office/drawing/2014/main" id="{2F1022BB-31EB-41F2-9812-8A366D25F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723900</xdr:colOff>
      <xdr:row>37</xdr:row>
      <xdr:rowOff>142875</xdr:rowOff>
    </xdr:from>
    <xdr:to>
      <xdr:col>17</xdr:col>
      <xdr:colOff>723900</xdr:colOff>
      <xdr:row>45</xdr:row>
      <xdr:rowOff>0</xdr:rowOff>
    </xdr:to>
    <xdr:graphicFrame macro="">
      <xdr:nvGraphicFramePr>
        <xdr:cNvPr id="8" name="Chart 6">
          <a:extLst>
            <a:ext uri="{FF2B5EF4-FFF2-40B4-BE49-F238E27FC236}">
              <a16:creationId xmlns:a16="http://schemas.microsoft.com/office/drawing/2014/main" id="{A9948BC0-5369-4936-A5B9-6E8DDBBD8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0</xdr:row>
      <xdr:rowOff>0</xdr:rowOff>
    </xdr:from>
    <xdr:to>
      <xdr:col>17</xdr:col>
      <xdr:colOff>723900</xdr:colOff>
      <xdr:row>45</xdr:row>
      <xdr:rowOff>0</xdr:rowOff>
    </xdr:to>
    <xdr:sp macro="" textlink="">
      <xdr:nvSpPr>
        <xdr:cNvPr id="9" name="Rectangle 7">
          <a:extLst>
            <a:ext uri="{FF2B5EF4-FFF2-40B4-BE49-F238E27FC236}">
              <a16:creationId xmlns:a16="http://schemas.microsoft.com/office/drawing/2014/main" id="{DBE30497-4792-431D-87B8-29DFDAB604A9}"/>
            </a:ext>
          </a:extLst>
        </xdr:cNvPr>
        <xdr:cNvSpPr>
          <a:spLocks noChangeArrowheads="1"/>
        </xdr:cNvSpPr>
      </xdr:nvSpPr>
      <xdr:spPr bwMode="auto">
        <a:xfrm>
          <a:off x="0" y="0"/>
          <a:ext cx="14325600" cy="11430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0</xdr:colOff>
      <xdr:row>4</xdr:row>
      <xdr:rowOff>219075</xdr:rowOff>
    </xdr:from>
    <xdr:to>
      <xdr:col>17</xdr:col>
      <xdr:colOff>723900</xdr:colOff>
      <xdr:row>44</xdr:row>
      <xdr:rowOff>238125</xdr:rowOff>
    </xdr:to>
    <xdr:sp macro="" textlink="">
      <xdr:nvSpPr>
        <xdr:cNvPr id="10" name="Rectangle 9">
          <a:extLst>
            <a:ext uri="{FF2B5EF4-FFF2-40B4-BE49-F238E27FC236}">
              <a16:creationId xmlns:a16="http://schemas.microsoft.com/office/drawing/2014/main" id="{16165703-6C66-4E37-A414-512A5813849E}"/>
            </a:ext>
          </a:extLst>
        </xdr:cNvPr>
        <xdr:cNvSpPr>
          <a:spLocks noChangeArrowheads="1"/>
        </xdr:cNvSpPr>
      </xdr:nvSpPr>
      <xdr:spPr bwMode="auto">
        <a:xfrm>
          <a:off x="0" y="1131570"/>
          <a:ext cx="14325600" cy="10277475"/>
        </a:xfrm>
        <a:prstGeom prst="rect">
          <a:avLst/>
        </a:prstGeom>
        <a:noFill/>
        <a:ln w="9525">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47739</xdr:colOff>
      <xdr:row>36</xdr:row>
      <xdr:rowOff>47394</xdr:rowOff>
    </xdr:from>
    <xdr:to>
      <xdr:col>31</xdr:col>
      <xdr:colOff>447608</xdr:colOff>
      <xdr:row>1048576</xdr:row>
      <xdr:rowOff>125324</xdr:rowOff>
    </xdr:to>
    <xdr:sp macro="" textlink="">
      <xdr:nvSpPr>
        <xdr:cNvPr id="11" name="Rounded Rectangular Callout 10">
          <a:extLst>
            <a:ext uri="{FF2B5EF4-FFF2-40B4-BE49-F238E27FC236}">
              <a16:creationId xmlns:a16="http://schemas.microsoft.com/office/drawing/2014/main" id="{98684662-CC8A-40A2-99CA-6BD7B0B47A3C}"/>
            </a:ext>
          </a:extLst>
        </xdr:cNvPr>
        <xdr:cNvSpPr/>
      </xdr:nvSpPr>
      <xdr:spPr>
        <a:xfrm>
          <a:off x="15162009" y="9164724"/>
          <a:ext cx="8404679" cy="2388695"/>
        </a:xfrm>
        <a:prstGeom prst="wedgeRoundRectCallout">
          <a:avLst>
            <a:gd name="adj1" fmla="val -55247"/>
            <a:gd name="adj2" fmla="val 1828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r>
            <a:rPr lang="en-US" sz="1400" b="1" i="0">
              <a:solidFill>
                <a:srgbClr val="FFC000"/>
              </a:solidFill>
              <a:effectLst/>
              <a:latin typeface="+mn-lt"/>
              <a:ea typeface="+mn-ea"/>
              <a:cs typeface="+mn-cs"/>
            </a:rPr>
            <a:t>Components of Variation:</a:t>
          </a:r>
        </a:p>
        <a:p>
          <a:r>
            <a:rPr lang="en-US" sz="1100" b="1" i="0">
              <a:solidFill>
                <a:schemeClr val="lt1"/>
              </a:solidFill>
              <a:effectLst/>
              <a:latin typeface="+mn-lt"/>
              <a:ea typeface="+mn-ea"/>
              <a:cs typeface="+mn-cs"/>
            </a:rPr>
            <a:t>The Overall Gage R&amp;R</a:t>
          </a:r>
          <a:endParaRPr lang="en-US" sz="1100" b="0" i="0">
            <a:solidFill>
              <a:schemeClr val="lt1"/>
            </a:solidFill>
            <a:effectLst/>
            <a:latin typeface="+mn-lt"/>
            <a:ea typeface="+mn-ea"/>
            <a:cs typeface="+mn-cs"/>
          </a:endParaRPr>
        </a:p>
        <a:p>
          <a:pPr lvl="1"/>
          <a:r>
            <a:rPr lang="en-US" sz="1100" b="0" i="0">
              <a:solidFill>
                <a:schemeClr val="lt1"/>
              </a:solidFill>
              <a:effectLst/>
              <a:latin typeface="+mn-lt"/>
              <a:ea typeface="+mn-ea"/>
              <a:cs typeface="+mn-cs"/>
            </a:rPr>
            <a:t>Combination of Repeatability</a:t>
          </a:r>
          <a:r>
            <a:rPr lang="en-US" sz="1100" b="0" i="0" baseline="0">
              <a:solidFill>
                <a:schemeClr val="lt1"/>
              </a:solidFill>
              <a:effectLst/>
              <a:latin typeface="+mn-lt"/>
              <a:ea typeface="+mn-ea"/>
              <a:cs typeface="+mn-cs"/>
            </a:rPr>
            <a:t> </a:t>
          </a:r>
          <a:r>
            <a:rPr lang="en-US" sz="1100" b="0" i="0">
              <a:solidFill>
                <a:schemeClr val="lt1"/>
              </a:solidFill>
              <a:effectLst/>
              <a:latin typeface="+mn-lt"/>
              <a:ea typeface="+mn-ea"/>
              <a:cs typeface="+mn-cs"/>
            </a:rPr>
            <a:t> and Reproducibility</a:t>
          </a:r>
        </a:p>
        <a:p>
          <a:r>
            <a:rPr lang="en-US" sz="1100" b="1" i="0">
              <a:solidFill>
                <a:schemeClr val="lt1"/>
              </a:solidFill>
              <a:effectLst/>
              <a:latin typeface="+mn-lt"/>
              <a:ea typeface="+mn-ea"/>
              <a:cs typeface="+mn-cs"/>
            </a:rPr>
            <a:t>The Repeatability</a:t>
          </a:r>
          <a:endParaRPr lang="en-US" sz="1100" b="0" i="0">
            <a:solidFill>
              <a:schemeClr val="lt1"/>
            </a:solidFill>
            <a:effectLst/>
            <a:latin typeface="+mn-lt"/>
            <a:ea typeface="+mn-ea"/>
            <a:cs typeface="+mn-cs"/>
          </a:endParaRPr>
        </a:p>
        <a:p>
          <a:pPr lvl="1"/>
          <a:r>
            <a:rPr lang="en-US"/>
            <a:t>Variation that is observed when one operators repeat the same measurement, on the same part and characteristic, using the same gage. This </a:t>
          </a:r>
          <a:r>
            <a:rPr lang="en-US" sz="1100">
              <a:solidFill>
                <a:schemeClr val="lt1"/>
              </a:solidFill>
              <a:effectLst/>
              <a:latin typeface="+mn-lt"/>
              <a:ea typeface="+mn-ea"/>
              <a:cs typeface="+mn-cs"/>
            </a:rPr>
            <a:t>variation is  due to the measuring device</a:t>
          </a:r>
          <a:endParaRPr lang="en-US"/>
        </a:p>
        <a:p>
          <a:r>
            <a:rPr lang="en-US" sz="1100" b="1" i="0">
              <a:solidFill>
                <a:schemeClr val="lt1"/>
              </a:solidFill>
              <a:effectLst/>
              <a:latin typeface="+mn-lt"/>
              <a:ea typeface="+mn-ea"/>
              <a:cs typeface="+mn-cs"/>
            </a:rPr>
            <a:t>The Reproducibility</a:t>
          </a:r>
          <a:endParaRPr lang="en-US" sz="1100" b="0" i="0">
            <a:solidFill>
              <a:schemeClr val="lt1"/>
            </a:solidFill>
            <a:effectLst/>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Variation that is observed when different operators measure the same part using the same device. This</a:t>
          </a:r>
          <a:r>
            <a:rPr lang="en-US" sz="1100" baseline="0">
              <a:solidFill>
                <a:schemeClr val="lt1"/>
              </a:solidFill>
              <a:effectLst/>
              <a:latin typeface="+mn-lt"/>
              <a:ea typeface="+mn-ea"/>
              <a:cs typeface="+mn-cs"/>
            </a:rPr>
            <a:t> </a:t>
          </a:r>
          <a:r>
            <a:rPr lang="en-US" sz="1100">
              <a:solidFill>
                <a:schemeClr val="lt1"/>
              </a:solidFill>
              <a:effectLst/>
              <a:latin typeface="+mn-lt"/>
              <a:ea typeface="+mn-ea"/>
              <a:cs typeface="+mn-cs"/>
            </a:rPr>
            <a:t>variation is due to the measuring method or using different operators</a:t>
          </a:r>
          <a:endParaRPr lang="en-US" sz="1100" b="0" i="0">
            <a:solidFill>
              <a:schemeClr val="lt1"/>
            </a:solidFill>
            <a:effectLst/>
            <a:latin typeface="+mn-lt"/>
            <a:ea typeface="+mn-ea"/>
            <a:cs typeface="+mn-cs"/>
          </a:endParaRPr>
        </a:p>
        <a:p>
          <a:r>
            <a:rPr lang="en-US" sz="1100" b="1" i="0">
              <a:solidFill>
                <a:schemeClr val="lt1"/>
              </a:solidFill>
              <a:effectLst/>
              <a:latin typeface="+mn-lt"/>
              <a:ea typeface="+mn-ea"/>
              <a:cs typeface="+mn-cs"/>
            </a:rPr>
            <a:t>Part-to-Part Variation</a:t>
          </a:r>
          <a:endParaRPr lang="en-US" sz="1100" b="0" i="0">
            <a:solidFill>
              <a:schemeClr val="lt1"/>
            </a:solidFill>
            <a:effectLst/>
            <a:latin typeface="+mn-lt"/>
            <a:ea typeface="+mn-ea"/>
            <a:cs typeface="+mn-cs"/>
          </a:endParaRPr>
        </a:p>
        <a:p>
          <a:pPr lvl="1"/>
          <a:r>
            <a:rPr lang="en-US"/>
            <a:t>The</a:t>
          </a:r>
          <a:r>
            <a:rPr lang="en-US" baseline="0"/>
            <a:t> variation in measurement that is observed</a:t>
          </a:r>
          <a:r>
            <a:rPr lang="en-US"/>
            <a:t> across different parts.</a:t>
          </a:r>
        </a:p>
        <a:p>
          <a:pPr lvl="1"/>
          <a:r>
            <a:rPr lang="en-US" sz="1100" b="0" i="0">
              <a:solidFill>
                <a:schemeClr val="lt1"/>
              </a:solidFill>
              <a:effectLst/>
              <a:latin typeface="+mn-lt"/>
              <a:ea typeface="+mn-ea"/>
              <a:cs typeface="+mn-cs"/>
            </a:rPr>
            <a:t>Ideally, this should be the highest graph for a very good GR&amp;R</a:t>
          </a:r>
        </a:p>
      </xdr:txBody>
    </xdr:sp>
    <xdr:clientData/>
  </xdr:twoCellAnchor>
  <xdr:twoCellAnchor>
    <xdr:from>
      <xdr:col>19</xdr:col>
      <xdr:colOff>2059</xdr:colOff>
      <xdr:row>29</xdr:row>
      <xdr:rowOff>76623</xdr:rowOff>
    </xdr:from>
    <xdr:to>
      <xdr:col>31</xdr:col>
      <xdr:colOff>400445</xdr:colOff>
      <xdr:row>35</xdr:row>
      <xdr:rowOff>171449</xdr:rowOff>
    </xdr:to>
    <xdr:sp macro="" textlink="">
      <xdr:nvSpPr>
        <xdr:cNvPr id="12" name="Rounded Rectangular Callout 11">
          <a:extLst>
            <a:ext uri="{FF2B5EF4-FFF2-40B4-BE49-F238E27FC236}">
              <a16:creationId xmlns:a16="http://schemas.microsoft.com/office/drawing/2014/main" id="{8044A977-F31E-4A33-BCD3-E240A98B106E}"/>
            </a:ext>
          </a:extLst>
        </xdr:cNvPr>
        <xdr:cNvSpPr/>
      </xdr:nvSpPr>
      <xdr:spPr>
        <a:xfrm>
          <a:off x="15114424" y="7391823"/>
          <a:ext cx="8403196" cy="1637876"/>
        </a:xfrm>
        <a:prstGeom prst="wedgeRoundRectCallout">
          <a:avLst>
            <a:gd name="adj1" fmla="val -55182"/>
            <a:gd name="adj2" fmla="val 1994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r>
            <a:rPr lang="en-US" sz="1400" b="1" i="0">
              <a:solidFill>
                <a:srgbClr val="FFC000"/>
              </a:solidFill>
              <a:effectLst/>
              <a:latin typeface="+mn-lt"/>
              <a:ea typeface="+mn-ea"/>
              <a:cs typeface="+mn-cs"/>
            </a:rPr>
            <a:t>Operator Part interaction:</a:t>
          </a:r>
        </a:p>
        <a:p>
          <a:r>
            <a:rPr lang="en-US" sz="1100"/>
            <a:t>The</a:t>
          </a:r>
          <a:r>
            <a:rPr lang="en-US" sz="1100" baseline="0"/>
            <a:t> chart shows </a:t>
          </a:r>
          <a:r>
            <a:rPr lang="en-US" sz="1100"/>
            <a:t>the average measurements by each operator for each part. </a:t>
          </a:r>
        </a:p>
        <a:p>
          <a:r>
            <a:rPr lang="en-US" sz="1100"/>
            <a:t>Each line represents for a single operator</a:t>
          </a:r>
        </a:p>
        <a:p>
          <a:r>
            <a:rPr lang="en-US" sz="1100"/>
            <a:t>Patterns:</a:t>
          </a:r>
        </a:p>
        <a:p>
          <a:r>
            <a:rPr lang="en-US" sz="1100"/>
            <a:t>1)</a:t>
          </a:r>
          <a:r>
            <a:rPr lang="en-US" sz="1100" baseline="0"/>
            <a:t> If l</a:t>
          </a:r>
          <a:r>
            <a:rPr lang="en-US"/>
            <a:t>ines are virtually identical</a:t>
          </a:r>
          <a:r>
            <a:rPr lang="en-US" baseline="0"/>
            <a:t> the operators are measuring the parts similarly</a:t>
          </a:r>
        </a:p>
        <a:p>
          <a:r>
            <a:rPr lang="en-US" sz="1100">
              <a:solidFill>
                <a:schemeClr val="lt1"/>
              </a:solidFill>
              <a:latin typeface="+mn-lt"/>
              <a:ea typeface="+mn-ea"/>
              <a:cs typeface="+mn-cs"/>
            </a:rPr>
            <a:t>2)If</a:t>
          </a:r>
          <a:r>
            <a:rPr lang="en-US" sz="1100" baseline="0">
              <a:solidFill>
                <a:schemeClr val="lt1"/>
              </a:solidFill>
              <a:latin typeface="+mn-lt"/>
              <a:ea typeface="+mn-ea"/>
              <a:cs typeface="+mn-cs"/>
            </a:rPr>
            <a:t> l</a:t>
          </a:r>
          <a:r>
            <a:rPr lang="en-US" sz="1100">
              <a:solidFill>
                <a:schemeClr val="lt1"/>
              </a:solidFill>
              <a:latin typeface="+mn-lt"/>
              <a:ea typeface="+mn-ea"/>
              <a:cs typeface="+mn-cs"/>
            </a:rPr>
            <a:t>ines</a:t>
          </a:r>
          <a:r>
            <a:rPr lang="en-US" sz="1100" baseline="0">
              <a:solidFill>
                <a:schemeClr val="lt1"/>
              </a:solidFill>
              <a:latin typeface="+mn-lt"/>
              <a:ea typeface="+mn-ea"/>
              <a:cs typeface="+mn-cs"/>
            </a:rPr>
            <a:t> are</a:t>
          </a:r>
          <a:r>
            <a:rPr lang="en-US"/>
            <a:t> consistently higher or lower than one</a:t>
          </a:r>
          <a:r>
            <a:rPr lang="en-US" baseline="0"/>
            <a:t> an</a:t>
          </a:r>
          <a:r>
            <a:rPr lang="en-US"/>
            <a:t>other, The operators are consistently measuring the parts higher or lower than</a:t>
          </a:r>
          <a:r>
            <a:rPr lang="en-US" baseline="0"/>
            <a:t> each other.</a:t>
          </a:r>
        </a:p>
        <a:p>
          <a:r>
            <a:rPr lang="en-US" sz="1100" baseline="0">
              <a:solidFill>
                <a:schemeClr val="lt1"/>
              </a:solidFill>
              <a:latin typeface="+mn-lt"/>
              <a:ea typeface="+mn-ea"/>
              <a:cs typeface="+mn-cs"/>
            </a:rPr>
            <a:t>3)If the lines are non parallel or corssing, the</a:t>
          </a:r>
          <a:r>
            <a:rPr lang="en-US"/>
            <a:t> operator’s measurement depends on which part he/she is measuring.</a:t>
          </a:r>
          <a:endParaRPr lang="en-US" sz="1100" baseline="0">
            <a:solidFill>
              <a:schemeClr val="lt1"/>
            </a:solidFill>
            <a:latin typeface="+mn-lt"/>
            <a:ea typeface="+mn-ea"/>
            <a:cs typeface="+mn-cs"/>
          </a:endParaRPr>
        </a:p>
      </xdr:txBody>
    </xdr:sp>
    <xdr:clientData/>
  </xdr:twoCellAnchor>
  <xdr:twoCellAnchor>
    <xdr:from>
      <xdr:col>19</xdr:col>
      <xdr:colOff>2001</xdr:colOff>
      <xdr:row>25</xdr:row>
      <xdr:rowOff>999</xdr:rowOff>
    </xdr:from>
    <xdr:to>
      <xdr:col>31</xdr:col>
      <xdr:colOff>400387</xdr:colOff>
      <xdr:row>28</xdr:row>
      <xdr:rowOff>208970</xdr:rowOff>
    </xdr:to>
    <xdr:sp macro="" textlink="">
      <xdr:nvSpPr>
        <xdr:cNvPr id="13" name="Rounded Rectangular Callout 14">
          <a:extLst>
            <a:ext uri="{FF2B5EF4-FFF2-40B4-BE49-F238E27FC236}">
              <a16:creationId xmlns:a16="http://schemas.microsoft.com/office/drawing/2014/main" id="{BE53B650-F14A-480D-B58C-FA493A1CA43D}"/>
            </a:ext>
          </a:extLst>
        </xdr:cNvPr>
        <xdr:cNvSpPr/>
      </xdr:nvSpPr>
      <xdr:spPr>
        <a:xfrm>
          <a:off x="15114366" y="6287499"/>
          <a:ext cx="8403196" cy="979496"/>
        </a:xfrm>
        <a:prstGeom prst="wedgeRoundRectCallout">
          <a:avLst>
            <a:gd name="adj1" fmla="val -55182"/>
            <a:gd name="adj2" fmla="val 1994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r>
            <a:rPr lang="en-US" sz="1400" b="1" i="0">
              <a:solidFill>
                <a:srgbClr val="FFC000"/>
              </a:solidFill>
              <a:effectLst/>
              <a:latin typeface="+mn-lt"/>
              <a:ea typeface="+mn-ea"/>
              <a:cs typeface="+mn-cs"/>
            </a:rPr>
            <a:t>Operator:</a:t>
          </a:r>
        </a:p>
        <a:p>
          <a:r>
            <a:rPr lang="en-US" sz="1100"/>
            <a:t>The</a:t>
          </a:r>
          <a:r>
            <a:rPr lang="en-US" sz="1100" baseline="0"/>
            <a:t> operator plot shows all the measurements arranged by operator. </a:t>
          </a:r>
        </a:p>
        <a:p>
          <a:r>
            <a:rPr lang="en-US" sz="1100" baseline="0"/>
            <a:t>On this graph one can see if the overall variability of the part measurement  for each operator is  spread similarly or  not.</a:t>
          </a:r>
        </a:p>
        <a:p>
          <a:r>
            <a:rPr lang="en-US" sz="1100" baseline="0"/>
            <a:t>It could also be observed  if one operator is measuring lighter or lower than  others.</a:t>
          </a:r>
        </a:p>
      </xdr:txBody>
    </xdr:sp>
    <xdr:clientData/>
  </xdr:twoCellAnchor>
  <xdr:twoCellAnchor>
    <xdr:from>
      <xdr:col>19</xdr:col>
      <xdr:colOff>2020</xdr:colOff>
      <xdr:row>19</xdr:row>
      <xdr:rowOff>123939</xdr:rowOff>
    </xdr:from>
    <xdr:to>
      <xdr:col>31</xdr:col>
      <xdr:colOff>400406</xdr:colOff>
      <xdr:row>24</xdr:row>
      <xdr:rowOff>27689</xdr:rowOff>
    </xdr:to>
    <xdr:sp macro="" textlink="">
      <xdr:nvSpPr>
        <xdr:cNvPr id="14" name="Rounded Rectangular Callout 15">
          <a:extLst>
            <a:ext uri="{FF2B5EF4-FFF2-40B4-BE49-F238E27FC236}">
              <a16:creationId xmlns:a16="http://schemas.microsoft.com/office/drawing/2014/main" id="{F7B4DC76-DB15-4B62-86AF-17C1F90D6DD7}"/>
            </a:ext>
          </a:extLst>
        </xdr:cNvPr>
        <xdr:cNvSpPr/>
      </xdr:nvSpPr>
      <xdr:spPr>
        <a:xfrm>
          <a:off x="15114385" y="4865484"/>
          <a:ext cx="8403196" cy="1193435"/>
        </a:xfrm>
        <a:prstGeom prst="wedgeRoundRectCallout">
          <a:avLst>
            <a:gd name="adj1" fmla="val -55182"/>
            <a:gd name="adj2" fmla="val 1994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r>
            <a:rPr lang="en-US" sz="1400" b="1" i="0">
              <a:solidFill>
                <a:srgbClr val="FFC000"/>
              </a:solidFill>
              <a:effectLst/>
              <a:latin typeface="+mn-lt"/>
              <a:ea typeface="+mn-ea"/>
              <a:cs typeface="+mn-cs"/>
            </a:rPr>
            <a:t>Xbar</a:t>
          </a:r>
          <a:r>
            <a:rPr lang="en-US" sz="1400" b="1" i="0" baseline="0">
              <a:solidFill>
                <a:srgbClr val="FFC000"/>
              </a:solidFill>
              <a:effectLst/>
              <a:latin typeface="+mn-lt"/>
              <a:ea typeface="+mn-ea"/>
              <a:cs typeface="+mn-cs"/>
            </a:rPr>
            <a:t> Chart by Operator</a:t>
          </a:r>
          <a:r>
            <a:rPr lang="en-US" sz="1400" b="1" i="0">
              <a:solidFill>
                <a:srgbClr val="FFC000"/>
              </a:solidFill>
              <a:effectLst/>
              <a:latin typeface="+mn-lt"/>
              <a:ea typeface="+mn-ea"/>
              <a:cs typeface="+mn-cs"/>
            </a:rPr>
            <a:t>:</a:t>
          </a:r>
        </a:p>
        <a:p>
          <a:r>
            <a:rPr lang="en-US"/>
            <a:t>Each point represent</a:t>
          </a:r>
          <a:r>
            <a:rPr lang="en-US" baseline="0"/>
            <a:t> </a:t>
          </a:r>
          <a:r>
            <a:rPr lang="en-US"/>
            <a:t>the average measurement of each part.</a:t>
          </a:r>
        </a:p>
        <a:p>
          <a:r>
            <a:rPr lang="en-US"/>
            <a:t>On this</a:t>
          </a:r>
          <a:r>
            <a:rPr lang="en-US" baseline="0"/>
            <a:t> chart the more points below and above control limits the greater part-to-part variation is compared to the measurement device variation thus more out of control limit points are desirable.</a:t>
          </a:r>
          <a:endParaRPr lang="en-US"/>
        </a:p>
      </xdr:txBody>
    </xdr:sp>
    <xdr:clientData/>
  </xdr:twoCellAnchor>
  <xdr:twoCellAnchor>
    <xdr:from>
      <xdr:col>19</xdr:col>
      <xdr:colOff>577</xdr:colOff>
      <xdr:row>8</xdr:row>
      <xdr:rowOff>0</xdr:rowOff>
    </xdr:from>
    <xdr:to>
      <xdr:col>31</xdr:col>
      <xdr:colOff>398963</xdr:colOff>
      <xdr:row>12</xdr:row>
      <xdr:rowOff>115107</xdr:rowOff>
    </xdr:to>
    <xdr:sp macro="" textlink="">
      <xdr:nvSpPr>
        <xdr:cNvPr id="15" name="Rounded Rectangular Callout 16">
          <a:extLst>
            <a:ext uri="{FF2B5EF4-FFF2-40B4-BE49-F238E27FC236}">
              <a16:creationId xmlns:a16="http://schemas.microsoft.com/office/drawing/2014/main" id="{49C5E6EB-0AC7-4A5E-B9E2-BEEA1800D9CE}"/>
            </a:ext>
          </a:extLst>
        </xdr:cNvPr>
        <xdr:cNvSpPr/>
      </xdr:nvSpPr>
      <xdr:spPr>
        <a:xfrm>
          <a:off x="15116752" y="1914525"/>
          <a:ext cx="8399386" cy="1143807"/>
        </a:xfrm>
        <a:prstGeom prst="wedgeRoundRectCallout">
          <a:avLst>
            <a:gd name="adj1" fmla="val -55182"/>
            <a:gd name="adj2" fmla="val 1994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r>
            <a:rPr lang="en-US" sz="1400" b="1" i="0">
              <a:solidFill>
                <a:srgbClr val="FFC000"/>
              </a:solidFill>
              <a:effectLst/>
              <a:latin typeface="+mn-lt"/>
              <a:ea typeface="+mn-ea"/>
              <a:cs typeface="+mn-cs"/>
            </a:rPr>
            <a:t>Range Chart By Operator</a:t>
          </a:r>
        </a:p>
        <a:p>
          <a:r>
            <a:rPr lang="en-US"/>
            <a:t>Each</a:t>
          </a:r>
          <a:r>
            <a:rPr lang="en-US" baseline="0"/>
            <a:t> point represents </a:t>
          </a:r>
          <a:r>
            <a:rPr lang="en-US"/>
            <a:t>the difference between the largest and smallest measurements of each part. If the measurements are the same, the range value will be zero.</a:t>
          </a:r>
        </a:p>
        <a:p>
          <a:r>
            <a:rPr lang="en-US" sz="1100" baseline="0">
              <a:solidFill>
                <a:schemeClr val="lt1"/>
              </a:solidFill>
              <a:latin typeface="+mn-lt"/>
              <a:ea typeface="+mn-ea"/>
              <a:cs typeface="+mn-cs"/>
            </a:rPr>
            <a:t>Each line represents one operator.</a:t>
          </a:r>
        </a:p>
        <a:p>
          <a:r>
            <a:rPr lang="en-US" sz="1100" baseline="0">
              <a:solidFill>
                <a:schemeClr val="lt1"/>
              </a:solidFill>
              <a:latin typeface="+mn-lt"/>
              <a:ea typeface="+mn-ea"/>
              <a:cs typeface="+mn-cs"/>
            </a:rPr>
            <a:t>If values observed above  Upper Spec Limit (USL) ,means the operator is not constantly measuring the parts</a:t>
          </a:r>
        </a:p>
      </xdr:txBody>
    </xdr:sp>
    <xdr:clientData/>
  </xdr:twoCellAnchor>
  <xdr:twoCellAnchor>
    <xdr:from>
      <xdr:col>19</xdr:col>
      <xdr:colOff>0</xdr:colOff>
      <xdr:row>13</xdr:row>
      <xdr:rowOff>141199</xdr:rowOff>
    </xdr:from>
    <xdr:to>
      <xdr:col>31</xdr:col>
      <xdr:colOff>361671</xdr:colOff>
      <xdr:row>16</xdr:row>
      <xdr:rowOff>105409</xdr:rowOff>
    </xdr:to>
    <xdr:sp macro="" textlink="">
      <xdr:nvSpPr>
        <xdr:cNvPr id="16" name="Rounded Rectangular Callout 17">
          <a:extLst>
            <a:ext uri="{FF2B5EF4-FFF2-40B4-BE49-F238E27FC236}">
              <a16:creationId xmlns:a16="http://schemas.microsoft.com/office/drawing/2014/main" id="{5710B2F9-F627-4FE4-B1DA-ED78298A5260}"/>
            </a:ext>
          </a:extLst>
        </xdr:cNvPr>
        <xdr:cNvSpPr/>
      </xdr:nvSpPr>
      <xdr:spPr>
        <a:xfrm>
          <a:off x="15116175" y="3343504"/>
          <a:ext cx="8362671" cy="731925"/>
        </a:xfrm>
        <a:prstGeom prst="wedgeRoundRectCallout">
          <a:avLst>
            <a:gd name="adj1" fmla="val -55182"/>
            <a:gd name="adj2" fmla="val 1994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r>
            <a:rPr lang="en-US" sz="1400" b="1" i="0">
              <a:solidFill>
                <a:srgbClr val="FFC000"/>
              </a:solidFill>
              <a:effectLst/>
              <a:latin typeface="+mn-lt"/>
              <a:ea typeface="+mn-ea"/>
              <a:cs typeface="+mn-cs"/>
            </a:rPr>
            <a:t>Part:</a:t>
          </a:r>
        </a:p>
        <a:p>
          <a:r>
            <a:rPr lang="en-US"/>
            <a:t>Part</a:t>
          </a:r>
          <a:r>
            <a:rPr lang="en-US" baseline="0"/>
            <a:t> </a:t>
          </a:r>
          <a:r>
            <a:rPr lang="en-US"/>
            <a:t>plot shows all of the measurements grouped by part. </a:t>
          </a:r>
          <a:r>
            <a:rPr lang="en-US" baseline="0"/>
            <a:t> </a:t>
          </a:r>
          <a:r>
            <a:rPr lang="en-US"/>
            <a:t>Multiple measurements for each part should not have a large variation.</a:t>
          </a:r>
          <a:endParaRPr lang="en-US" sz="1100" baseline="0">
            <a:solidFill>
              <a:schemeClr val="lt1"/>
            </a:solidFill>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y%20of%20Black%20Belt%20Companion%20V3.1%20unprotected%20-%20feb%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lack%20Belt%20Companion%20V3.9%20draft%20VSM%20cos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aghayegh_rouzmeh/Desktop/C:/Users/shaghayegh_rouzmeh/Study/decision%20Making/C:/Users/brushe/AppData/Roaming/SPC%20for%20MS%20Excel/spcforexcelv4.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mmunication Plan"/>
      <sheetName val="Benefit vs Effort"/>
      <sheetName val="Trend over Time Data"/>
      <sheetName val="Trend Over Time Graph"/>
      <sheetName val="Risk Management"/>
      <sheetName val="SPC Selection Guide"/>
      <sheetName val="Oshin Kanri"/>
      <sheetName val="8 Waste Check list"/>
      <sheetName val="KPI Guide"/>
      <sheetName val="5S Standard process"/>
      <sheetName val="5S Audit"/>
      <sheetName val="Project Charter"/>
      <sheetName val="5W-2H"/>
      <sheetName val="8D"/>
      <sheetName val="OEE"/>
      <sheetName val="A3 Problem Solving  Template"/>
      <sheetName val="A3 Proposal Template"/>
      <sheetName val="att Instructions"/>
      <sheetName val="att Data Entry"/>
      <sheetName val="att Report"/>
      <sheetName val="att Statistical Report"/>
      <sheetName val="att Calculations"/>
      <sheetName val="Boxplot"/>
      <sheetName val="C chart Data and calculations"/>
      <sheetName val="c-chart"/>
      <sheetName val="Control plan"/>
      <sheetName val="Decision Matrix"/>
      <sheetName val="FMEA"/>
      <sheetName val="Force Field Analysis"/>
      <sheetName val="GanttChart"/>
      <sheetName val="GRR Instructions"/>
      <sheetName val="GRR AIAG GR&amp;R"/>
      <sheetName val="GRR Graphical Summary"/>
      <sheetName val="GRR Numerical Summary"/>
      <sheetName val="GRR Calculations"/>
      <sheetName val="Hist 10 bars"/>
      <sheetName val="Hist 20 bars"/>
      <sheetName val="IMR Data and calculations"/>
      <sheetName val="IMR chart"/>
      <sheetName val="Ishikawa"/>
      <sheetName val="np Data and calculations"/>
      <sheetName val="np-chart"/>
      <sheetName val="p Data and calculations"/>
      <sheetName val="p-chart"/>
      <sheetName val="p-chart (approx. ctl. limits)"/>
      <sheetName val="Pareto"/>
      <sheetName val="Pareto from raw data"/>
      <sheetName val="Proc. Cap Table"/>
      <sheetName val="Process Map"/>
      <sheetName val="Pugh Matrix"/>
      <sheetName val="Sigma Boxplot"/>
      <sheetName val="Simple data collection"/>
      <sheetName val="SIPOC"/>
      <sheetName val="t-test F-test CI"/>
      <sheetName val="To Do List"/>
      <sheetName val="Xbar R chart data"/>
      <sheetName val="X-bar R chart"/>
      <sheetName val="u Data and calculations"/>
      <sheetName val="u-chart"/>
      <sheetName val="VSM"/>
      <sheetName val="VSM example"/>
      <sheetName val="Kanban Quantities"/>
      <sheetName val="Sav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3">
          <cell r="S3">
            <v>4</v>
          </cell>
        </row>
        <row r="12">
          <cell r="X12">
            <v>2</v>
          </cell>
        </row>
        <row r="13">
          <cell r="X13">
            <v>5</v>
          </cell>
        </row>
        <row r="72">
          <cell r="AR72" t="str">
            <v>Op A</v>
          </cell>
          <cell r="AS72">
            <v>0.52100000000000002</v>
          </cell>
          <cell r="AT72">
            <v>0.52100000000000002</v>
          </cell>
          <cell r="AU72" t="e">
            <v>#N/A</v>
          </cell>
          <cell r="AV72">
            <v>0.52200000000000002</v>
          </cell>
          <cell r="AW72">
            <v>0.52300000000000002</v>
          </cell>
          <cell r="AX72" t="e">
            <v>#N/A</v>
          </cell>
          <cell r="AY72">
            <v>0.52300000000000002</v>
          </cell>
          <cell r="AZ72">
            <v>0.52100000000000002</v>
          </cell>
          <cell r="BA72" t="e">
            <v>#N/A</v>
          </cell>
          <cell r="BB72">
            <v>0.52100000000000002</v>
          </cell>
          <cell r="BC72">
            <v>0.52200000000000002</v>
          </cell>
          <cell r="BD72" t="e">
            <v>#N/A</v>
          </cell>
          <cell r="BE72">
            <v>0.52500000000000002</v>
          </cell>
          <cell r="BF72">
            <v>0.52400000000000002</v>
          </cell>
          <cell r="BG72" t="e">
            <v>#N/A</v>
          </cell>
          <cell r="BH72" t="e">
            <v>#N/A</v>
          </cell>
          <cell r="BI72" t="e">
            <v>#N/A</v>
          </cell>
          <cell r="BJ72" t="e">
            <v>#N/A</v>
          </cell>
          <cell r="BK72" t="e">
            <v>#N/A</v>
          </cell>
          <cell r="BL72" t="e">
            <v>#N/A</v>
          </cell>
          <cell r="BM72" t="e">
            <v>#N/A</v>
          </cell>
          <cell r="BN72" t="e">
            <v>#N/A</v>
          </cell>
          <cell r="BO72" t="e">
            <v>#N/A</v>
          </cell>
          <cell r="BP72" t="e">
            <v>#N/A</v>
          </cell>
          <cell r="BQ72" t="e">
            <v>#N/A</v>
          </cell>
          <cell r="BR72" t="e">
            <v>#N/A</v>
          </cell>
          <cell r="BS72" t="e">
            <v>#N/A</v>
          </cell>
          <cell r="BT72" t="e">
            <v>#N/A</v>
          </cell>
          <cell r="BU72" t="e">
            <v>#N/A</v>
          </cell>
          <cell r="BV72" t="e">
            <v>#N/A</v>
          </cell>
          <cell r="BW72" t="e">
            <v>#N/A</v>
          </cell>
        </row>
        <row r="74">
          <cell r="AF74">
            <v>0.52100000000000002</v>
          </cell>
          <cell r="AG74">
            <v>0.52100000000000002</v>
          </cell>
          <cell r="AH74" t="e">
            <v>#N/A</v>
          </cell>
          <cell r="AI74">
            <v>0.498</v>
          </cell>
          <cell r="AJ74">
            <v>0.45700000000000002</v>
          </cell>
          <cell r="AK74" t="e">
            <v>#N/A</v>
          </cell>
          <cell r="AL74" t="e">
            <v>#N/A</v>
          </cell>
          <cell r="AM74" t="e">
            <v>#N/A</v>
          </cell>
          <cell r="AN74" t="e">
            <v>#N/A</v>
          </cell>
          <cell r="AO74">
            <v>0.49925000000000003</v>
          </cell>
        </row>
        <row r="84">
          <cell r="AO84">
            <v>0.52100000000000002</v>
          </cell>
          <cell r="AP84">
            <v>0.47750000000000004</v>
          </cell>
          <cell r="AQ84" t="e">
            <v>#N/A</v>
          </cell>
        </row>
        <row r="108">
          <cell r="N108">
            <v>1</v>
          </cell>
          <cell r="O108">
            <v>0.52100000000000002</v>
          </cell>
          <cell r="P108" t="e">
            <v>#N/A</v>
          </cell>
          <cell r="Q108" t="e">
            <v>#N/A</v>
          </cell>
          <cell r="R108">
            <v>0</v>
          </cell>
          <cell r="S108" t="e">
            <v>#N/A</v>
          </cell>
          <cell r="T108" t="e">
            <v>#N/A</v>
          </cell>
          <cell r="V108">
            <v>0.51769999999999994</v>
          </cell>
          <cell r="W108">
            <v>4.7999999999999987E-3</v>
          </cell>
          <cell r="X108">
            <v>0.52672399999999997</v>
          </cell>
          <cell r="Y108">
            <v>0.50867599999999991</v>
          </cell>
          <cell r="Z108">
            <v>1.5695999999999995E-2</v>
          </cell>
        </row>
        <row r="111">
          <cell r="AC111">
            <v>10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5S Std Instruction"/>
      <sheetName val="5S Audit"/>
      <sheetName val="5W-2H"/>
      <sheetName val="8D"/>
      <sheetName val="A3 Template"/>
      <sheetName val="A3 Proposal"/>
      <sheetName val="Project Charter"/>
      <sheetName val="att Instructions"/>
      <sheetName val="att Data Entry"/>
      <sheetName val="att Report"/>
      <sheetName val="att Statistical Report"/>
      <sheetName val="att Calculations"/>
      <sheetName val="Benefit vs Effort"/>
      <sheetName val="Boxplot"/>
      <sheetName val="C chart Data and calculations"/>
      <sheetName val="c-chart"/>
      <sheetName val="Communication Plan"/>
      <sheetName val="Control plan"/>
      <sheetName val="Decision Matrix"/>
      <sheetName val="FMEA"/>
      <sheetName val="Force Field Analysis"/>
      <sheetName val="GanttChart"/>
      <sheetName val="GRR Calculations"/>
      <sheetName val="GRR Instructions"/>
      <sheetName val="GRR AIAG GR&amp;R"/>
      <sheetName val="GRR Graphical Summary"/>
      <sheetName val="GRR Numerical Summary"/>
      <sheetName val="Hist 10 bars"/>
      <sheetName val="Hist 20 bars"/>
      <sheetName val="Hoshin Kanri"/>
      <sheetName val="IMR Data and calculations"/>
      <sheetName val="IMR chart"/>
      <sheetName val="Ishikawa"/>
      <sheetName val="KPI Guide"/>
      <sheetName val="np Data and calculations"/>
      <sheetName val="np-chart"/>
      <sheetName val="p Data and calculations"/>
      <sheetName val="p-chart"/>
      <sheetName val="p-chart (approx. ctl. limits)"/>
      <sheetName val="Pareto"/>
      <sheetName val="Pareto from raw data"/>
      <sheetName val="Proc. Cap Table"/>
      <sheetName val="Process Map"/>
      <sheetName val="Pugh Matrix"/>
      <sheetName val="Sigma Boxplot"/>
      <sheetName val="Simple data collection"/>
      <sheetName val="SIPOC"/>
      <sheetName val="t-test F-test CI"/>
      <sheetName val="To Do List"/>
      <sheetName val="SPC Selection Guide"/>
      <sheetName val="Xbar R chart data"/>
      <sheetName val="X-bar R chart"/>
      <sheetName val="u Data and calculations"/>
      <sheetName val="u-chart"/>
      <sheetName val="VSM"/>
      <sheetName val="VSM example"/>
      <sheetName val="Kanban Quantities"/>
      <sheetName val="OEE"/>
      <sheetName val="Risk Management"/>
      <sheetName val="Savings"/>
      <sheetName val="Trend over Time Data"/>
      <sheetName val="Trend Over Time Graph"/>
      <sheetName val="Waste Id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2">
          <cell r="X12" t="e">
            <v>#REF!</v>
          </cell>
        </row>
        <row r="13">
          <cell r="X13" t="e">
            <v>#REF!</v>
          </cell>
        </row>
        <row r="72">
          <cell r="AR72" t="str">
            <v>Op A</v>
          </cell>
          <cell r="AS72" t="e">
            <v>#REF!</v>
          </cell>
          <cell r="AT72" t="e">
            <v>#REF!</v>
          </cell>
          <cell r="AU72" t="e">
            <v>#REF!</v>
          </cell>
          <cell r="AV72" t="e">
            <v>#REF!</v>
          </cell>
          <cell r="AW72" t="e">
            <v>#REF!</v>
          </cell>
          <cell r="AX72" t="e">
            <v>#REF!</v>
          </cell>
          <cell r="AY72" t="e">
            <v>#REF!</v>
          </cell>
          <cell r="AZ72" t="e">
            <v>#REF!</v>
          </cell>
          <cell r="BA72" t="e">
            <v>#REF!</v>
          </cell>
          <cell r="BB72" t="e">
            <v>#REF!</v>
          </cell>
          <cell r="BC72" t="e">
            <v>#REF!</v>
          </cell>
          <cell r="BD72" t="e">
            <v>#REF!</v>
          </cell>
          <cell r="BE72" t="e">
            <v>#REF!</v>
          </cell>
          <cell r="BF72" t="e">
            <v>#REF!</v>
          </cell>
          <cell r="BG72" t="e">
            <v>#REF!</v>
          </cell>
          <cell r="BH72" t="e">
            <v>#REF!</v>
          </cell>
          <cell r="BI72" t="e">
            <v>#REF!</v>
          </cell>
          <cell r="BJ72" t="e">
            <v>#REF!</v>
          </cell>
          <cell r="BK72" t="e">
            <v>#REF!</v>
          </cell>
          <cell r="BL72" t="e">
            <v>#REF!</v>
          </cell>
          <cell r="BM72" t="e">
            <v>#REF!</v>
          </cell>
          <cell r="BN72" t="e">
            <v>#REF!</v>
          </cell>
          <cell r="BO72" t="e">
            <v>#REF!</v>
          </cell>
          <cell r="BP72" t="e">
            <v>#REF!</v>
          </cell>
          <cell r="BQ72" t="e">
            <v>#REF!</v>
          </cell>
          <cell r="BR72" t="e">
            <v>#REF!</v>
          </cell>
          <cell r="BS72" t="e">
            <v>#REF!</v>
          </cell>
          <cell r="BT72" t="e">
            <v>#REF!</v>
          </cell>
          <cell r="BU72" t="e">
            <v>#REF!</v>
          </cell>
          <cell r="BV72" t="e">
            <v>#REF!</v>
          </cell>
          <cell r="BW72" t="e">
            <v>#REF!</v>
          </cell>
        </row>
        <row r="74">
          <cell r="AF74" t="e">
            <v>#REF!</v>
          </cell>
          <cell r="AG74" t="e">
            <v>#REF!</v>
          </cell>
          <cell r="AH74" t="e">
            <v>#REF!</v>
          </cell>
          <cell r="AI74" t="e">
            <v>#REF!</v>
          </cell>
          <cell r="AJ74" t="e">
            <v>#REF!</v>
          </cell>
          <cell r="AK74" t="e">
            <v>#REF!</v>
          </cell>
          <cell r="AL74" t="e">
            <v>#REF!</v>
          </cell>
          <cell r="AM74" t="e">
            <v>#REF!</v>
          </cell>
          <cell r="AN74" t="e">
            <v>#REF!</v>
          </cell>
          <cell r="AO74" t="e">
            <v>#REF!</v>
          </cell>
        </row>
        <row r="84">
          <cell r="AO84" t="e">
            <v>#REF!</v>
          </cell>
          <cell r="AP84" t="e">
            <v>#REF!</v>
          </cell>
          <cell r="AQ84" t="e">
            <v>#REF!</v>
          </cell>
        </row>
        <row r="108">
          <cell r="N108" t="e">
            <v>#REF!</v>
          </cell>
          <cell r="O108" t="e">
            <v>#REF!</v>
          </cell>
          <cell r="P108" t="e">
            <v>#REF!</v>
          </cell>
          <cell r="Q108" t="e">
            <v>#REF!</v>
          </cell>
          <cell r="R108" t="e">
            <v>#REF!</v>
          </cell>
          <cell r="S108" t="e">
            <v>#REF!</v>
          </cell>
          <cell r="T108" t="e">
            <v>#REF!</v>
          </cell>
          <cell r="V108" t="e">
            <v>#REF!</v>
          </cell>
          <cell r="W108" t="e">
            <v>#REF!</v>
          </cell>
          <cell r="X108" t="e">
            <v>#REF!</v>
          </cell>
          <cell r="Y108" t="e">
            <v>#REF!</v>
          </cell>
          <cell r="Z108" t="e">
            <v>#REF!</v>
          </cell>
        </row>
        <row r="111">
          <cell r="AC111" t="e">
            <v>#REF!</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bacusteam.ca/stor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1.xml"/><Relationship Id="rId1" Type="http://schemas.openxmlformats.org/officeDocument/2006/relationships/printerSettings" Target="../printerSettings/printerSettings27.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B1:K66"/>
  <sheetViews>
    <sheetView showGridLines="0" tabSelected="1" zoomScale="115" zoomScaleNormal="115" workbookViewId="0"/>
  </sheetViews>
  <sheetFormatPr defaultColWidth="8.88671875" defaultRowHeight="15.6" x14ac:dyDescent="0.3"/>
  <cols>
    <col min="1" max="1" width="6.44140625" customWidth="1"/>
    <col min="2" max="2" width="29.109375" style="199" customWidth="1"/>
    <col min="3" max="3" width="27.88671875" bestFit="1" customWidth="1"/>
    <col min="4" max="4" width="0.88671875" customWidth="1"/>
    <col min="5" max="5" width="51.6640625" customWidth="1"/>
    <col min="10" max="10" width="7.6640625" customWidth="1"/>
    <col min="11" max="11" width="7.109375" customWidth="1"/>
  </cols>
  <sheetData>
    <row r="1" spans="2:9" ht="57" customHeight="1" x14ac:dyDescent="0.3">
      <c r="B1" s="944" t="s">
        <v>1030</v>
      </c>
      <c r="C1" s="944"/>
      <c r="D1" s="944"/>
      <c r="E1" s="944"/>
      <c r="F1" s="944"/>
      <c r="G1" s="944"/>
      <c r="H1" s="944"/>
    </row>
    <row r="3" spans="2:9" ht="37.200000000000003" x14ac:dyDescent="1.3">
      <c r="E3" s="606" t="s">
        <v>158</v>
      </c>
    </row>
    <row r="4" spans="2:9" x14ac:dyDescent="0.3">
      <c r="E4" s="596"/>
    </row>
    <row r="5" spans="2:9" ht="14.4" x14ac:dyDescent="0.3">
      <c r="B5" s="948" t="s">
        <v>987</v>
      </c>
      <c r="C5" s="595" t="s">
        <v>989</v>
      </c>
      <c r="E5" s="755" t="s">
        <v>988</v>
      </c>
    </row>
    <row r="6" spans="2:9" ht="14.4" x14ac:dyDescent="0.3">
      <c r="B6" s="948"/>
      <c r="C6" s="595"/>
      <c r="E6" s="755" t="s">
        <v>1008</v>
      </c>
    </row>
    <row r="7" spans="2:9" ht="14.4" x14ac:dyDescent="0.3">
      <c r="B7" s="948"/>
      <c r="C7" s="595"/>
      <c r="E7" s="755" t="s">
        <v>994</v>
      </c>
    </row>
    <row r="8" spans="2:9" ht="14.4" x14ac:dyDescent="0.3">
      <c r="B8" s="948"/>
      <c r="E8" s="756"/>
    </row>
    <row r="9" spans="2:9" ht="15" customHeight="1" x14ac:dyDescent="0.3">
      <c r="B9" s="948"/>
      <c r="C9" s="595" t="s">
        <v>995</v>
      </c>
      <c r="D9" s="596"/>
      <c r="E9" s="755" t="s">
        <v>997</v>
      </c>
      <c r="F9" s="646"/>
    </row>
    <row r="10" spans="2:9" ht="15" customHeight="1" x14ac:dyDescent="0.3">
      <c r="B10" s="948"/>
      <c r="C10" s="595"/>
      <c r="D10" s="596"/>
      <c r="E10" s="755" t="s">
        <v>986</v>
      </c>
      <c r="F10" s="646"/>
    </row>
    <row r="11" spans="2:9" ht="15.75" customHeight="1" x14ac:dyDescent="0.3">
      <c r="B11" s="948"/>
      <c r="C11" s="595"/>
      <c r="D11" s="596"/>
      <c r="E11" s="595"/>
    </row>
    <row r="12" spans="2:9" ht="15.75" customHeight="1" x14ac:dyDescent="0.3">
      <c r="B12" s="948"/>
      <c r="C12" s="595" t="s">
        <v>157</v>
      </c>
      <c r="D12" s="596"/>
      <c r="E12" s="755" t="s">
        <v>157</v>
      </c>
      <c r="F12" s="646"/>
    </row>
    <row r="13" spans="2:9" ht="15.75" customHeight="1" x14ac:dyDescent="0.3">
      <c r="B13" s="948"/>
      <c r="C13" s="595"/>
      <c r="D13" s="596"/>
      <c r="E13" s="595"/>
    </row>
    <row r="14" spans="2:9" ht="15.75" customHeight="1" x14ac:dyDescent="0.3">
      <c r="B14" s="948"/>
      <c r="C14" s="595" t="s">
        <v>609</v>
      </c>
      <c r="D14" s="596"/>
      <c r="E14" s="755" t="s">
        <v>609</v>
      </c>
      <c r="G14" s="775" t="s">
        <v>1031</v>
      </c>
    </row>
    <row r="15" spans="2:9" ht="15.75" customHeight="1" x14ac:dyDescent="0.35">
      <c r="B15" s="948"/>
      <c r="C15" s="595"/>
      <c r="D15" s="596"/>
      <c r="E15" s="595"/>
      <c r="H15" s="603"/>
      <c r="I15" s="603"/>
    </row>
    <row r="16" spans="2:9" ht="15.75" customHeight="1" x14ac:dyDescent="0.35">
      <c r="B16" s="948"/>
      <c r="C16" s="595" t="s">
        <v>991</v>
      </c>
      <c r="D16" s="596"/>
      <c r="E16" s="755" t="s">
        <v>690</v>
      </c>
      <c r="F16" s="646"/>
      <c r="G16" s="605" t="s">
        <v>694</v>
      </c>
      <c r="H16" s="603"/>
      <c r="I16" s="603"/>
    </row>
    <row r="17" spans="2:11" ht="16.2" x14ac:dyDescent="0.35">
      <c r="C17" s="607"/>
      <c r="E17" s="173"/>
      <c r="G17" s="605" t="s">
        <v>159</v>
      </c>
      <c r="H17" s="603"/>
      <c r="I17" s="603"/>
    </row>
    <row r="18" spans="2:11" ht="16.2" x14ac:dyDescent="0.35">
      <c r="C18" s="607"/>
      <c r="E18" s="132"/>
      <c r="G18" s="605" t="s">
        <v>160</v>
      </c>
      <c r="H18" s="603"/>
      <c r="I18" s="603"/>
      <c r="J18" s="943" t="s">
        <v>19</v>
      </c>
      <c r="K18" s="943"/>
    </row>
    <row r="19" spans="2:11" ht="15" x14ac:dyDescent="0.35">
      <c r="B19" s="949" t="s">
        <v>96</v>
      </c>
      <c r="C19" s="594" t="s">
        <v>993</v>
      </c>
      <c r="E19" s="754" t="s">
        <v>992</v>
      </c>
      <c r="G19" s="605"/>
      <c r="H19" s="603"/>
      <c r="I19" s="603"/>
    </row>
    <row r="20" spans="2:11" ht="15" x14ac:dyDescent="0.35">
      <c r="B20" s="949"/>
      <c r="C20" s="594"/>
      <c r="E20" s="754" t="s">
        <v>58</v>
      </c>
      <c r="G20" s="605" t="s">
        <v>191</v>
      </c>
      <c r="H20" s="603"/>
      <c r="I20" s="603"/>
    </row>
    <row r="21" spans="2:11" ht="15" x14ac:dyDescent="0.35">
      <c r="B21" s="949"/>
      <c r="C21" s="594"/>
      <c r="E21" s="926" t="s">
        <v>1033</v>
      </c>
      <c r="G21" s="605"/>
      <c r="H21" s="603"/>
      <c r="I21" s="603"/>
    </row>
    <row r="22" spans="2:11" ht="14.4" x14ac:dyDescent="0.3">
      <c r="B22" s="949"/>
      <c r="C22" s="594"/>
      <c r="E22" s="754" t="s">
        <v>994</v>
      </c>
    </row>
    <row r="23" spans="2:11" ht="15.75" customHeight="1" x14ac:dyDescent="0.3">
      <c r="B23" s="949"/>
      <c r="C23" s="594"/>
      <c r="F23" s="646"/>
    </row>
    <row r="24" spans="2:11" ht="15.75" customHeight="1" x14ac:dyDescent="0.3">
      <c r="B24" s="949"/>
      <c r="C24" s="594" t="s">
        <v>50</v>
      </c>
      <c r="E24" s="754" t="s">
        <v>984</v>
      </c>
    </row>
    <row r="25" spans="2:11" ht="14.4" x14ac:dyDescent="0.3">
      <c r="B25" s="949"/>
      <c r="C25" s="594" t="s">
        <v>150</v>
      </c>
      <c r="E25" s="754" t="s">
        <v>1028</v>
      </c>
      <c r="F25" s="646"/>
    </row>
    <row r="26" spans="2:11" ht="15.75" customHeight="1" x14ac:dyDescent="0.3">
      <c r="B26" s="949"/>
      <c r="C26" s="594"/>
      <c r="E26" s="646"/>
      <c r="F26" s="646"/>
    </row>
    <row r="27" spans="2:11" ht="15.75" customHeight="1" x14ac:dyDescent="0.3">
      <c r="B27" s="949"/>
      <c r="C27" s="594" t="s">
        <v>985</v>
      </c>
      <c r="E27" s="754" t="s">
        <v>189</v>
      </c>
    </row>
    <row r="28" spans="2:11" ht="15.75" customHeight="1" x14ac:dyDescent="0.35">
      <c r="B28" s="949"/>
      <c r="C28" s="594"/>
      <c r="E28" s="608"/>
      <c r="G28" s="604"/>
      <c r="H28" s="603"/>
      <c r="I28" s="603"/>
    </row>
    <row r="29" spans="2:11" ht="15.75" customHeight="1" x14ac:dyDescent="0.3">
      <c r="B29" s="949"/>
      <c r="C29" s="594" t="s">
        <v>685</v>
      </c>
      <c r="E29" s="754" t="s">
        <v>337</v>
      </c>
    </row>
    <row r="30" spans="2:11" ht="15.75" customHeight="1" x14ac:dyDescent="0.3">
      <c r="B30" s="949"/>
      <c r="C30" s="594"/>
      <c r="E30" s="754" t="s">
        <v>592</v>
      </c>
    </row>
    <row r="31" spans="2:11" ht="15.75" customHeight="1" x14ac:dyDescent="0.3">
      <c r="B31" s="949"/>
      <c r="C31" s="594"/>
      <c r="E31" s="608"/>
    </row>
    <row r="32" spans="2:11" ht="15.75" customHeight="1" x14ac:dyDescent="0.3">
      <c r="B32" s="949"/>
      <c r="C32" s="594" t="s">
        <v>18</v>
      </c>
      <c r="E32" s="754" t="s">
        <v>48</v>
      </c>
      <c r="F32" s="695"/>
    </row>
    <row r="33" spans="2:5" ht="15.75" customHeight="1" x14ac:dyDescent="0.3">
      <c r="B33" s="949"/>
      <c r="C33" s="594"/>
      <c r="E33" s="754" t="s">
        <v>26</v>
      </c>
    </row>
    <row r="34" spans="2:5" x14ac:dyDescent="0.3">
      <c r="C34" s="12"/>
      <c r="E34" s="128"/>
    </row>
    <row r="35" spans="2:5" ht="15" customHeight="1" x14ac:dyDescent="0.3">
      <c r="B35" s="946" t="s">
        <v>97</v>
      </c>
      <c r="C35" s="597" t="s">
        <v>1003</v>
      </c>
      <c r="D35" s="598"/>
      <c r="E35" s="757" t="s">
        <v>1002</v>
      </c>
    </row>
    <row r="36" spans="2:5" ht="15" customHeight="1" x14ac:dyDescent="0.3">
      <c r="B36" s="946"/>
      <c r="C36" s="597"/>
      <c r="D36" s="598"/>
      <c r="E36" s="757" t="s">
        <v>46</v>
      </c>
    </row>
    <row r="37" spans="2:5" ht="15.75" customHeight="1" x14ac:dyDescent="0.3">
      <c r="B37" s="946"/>
      <c r="C37" s="597"/>
      <c r="D37" s="598"/>
      <c r="E37" s="758"/>
    </row>
    <row r="38" spans="2:5" ht="15.75" customHeight="1" x14ac:dyDescent="0.3">
      <c r="B38" s="946"/>
      <c r="C38" s="597" t="s">
        <v>1004</v>
      </c>
      <c r="D38" s="598"/>
      <c r="E38" s="757" t="s">
        <v>114</v>
      </c>
    </row>
    <row r="39" spans="2:5" x14ac:dyDescent="0.3">
      <c r="C39" s="12"/>
      <c r="E39" s="128"/>
    </row>
    <row r="40" spans="2:5" ht="14.4" x14ac:dyDescent="0.3">
      <c r="B40" s="947" t="s">
        <v>98</v>
      </c>
      <c r="C40" s="599" t="s">
        <v>74</v>
      </c>
      <c r="D40" s="600"/>
      <c r="E40" s="759" t="s">
        <v>74</v>
      </c>
    </row>
    <row r="41" spans="2:5" ht="15.75" customHeight="1" x14ac:dyDescent="0.3">
      <c r="B41" s="947"/>
      <c r="C41" s="599"/>
      <c r="D41" s="600"/>
      <c r="E41" s="599"/>
    </row>
    <row r="42" spans="2:5" ht="15.75" customHeight="1" x14ac:dyDescent="0.3">
      <c r="B42" s="947"/>
      <c r="C42" s="599" t="s">
        <v>177</v>
      </c>
      <c r="D42" s="600"/>
      <c r="E42" s="759" t="s">
        <v>173</v>
      </c>
    </row>
    <row r="43" spans="2:5" ht="15.75" customHeight="1" x14ac:dyDescent="0.3">
      <c r="B43" s="947"/>
      <c r="C43" s="599"/>
      <c r="D43" s="600"/>
      <c r="E43" s="760"/>
    </row>
    <row r="44" spans="2:5" ht="15.75" customHeight="1" x14ac:dyDescent="0.3">
      <c r="B44" s="947"/>
      <c r="C44" s="599" t="s">
        <v>50</v>
      </c>
      <c r="D44" s="600"/>
      <c r="E44" s="759" t="s">
        <v>984</v>
      </c>
    </row>
    <row r="45" spans="2:5" ht="15.75" customHeight="1" x14ac:dyDescent="0.3">
      <c r="B45" s="947"/>
      <c r="C45" s="599"/>
      <c r="D45" s="600"/>
      <c r="E45" s="760"/>
    </row>
    <row r="46" spans="2:5" ht="15.75" customHeight="1" x14ac:dyDescent="0.3">
      <c r="B46" s="947"/>
      <c r="C46" s="599" t="s">
        <v>150</v>
      </c>
      <c r="D46" s="600"/>
      <c r="E46" s="759" t="s">
        <v>1029</v>
      </c>
    </row>
    <row r="47" spans="2:5" x14ac:dyDescent="0.3">
      <c r="C47" s="12"/>
      <c r="E47" s="44"/>
    </row>
    <row r="48" spans="2:5" ht="14.4" x14ac:dyDescent="0.3">
      <c r="B48" s="945" t="s">
        <v>99</v>
      </c>
      <c r="C48" s="601" t="s">
        <v>75</v>
      </c>
      <c r="D48" s="602"/>
      <c r="E48" s="761" t="s">
        <v>25</v>
      </c>
    </row>
    <row r="49" spans="2:6" ht="14.4" x14ac:dyDescent="0.3">
      <c r="B49" s="945"/>
      <c r="C49" s="601"/>
      <c r="D49" s="602"/>
      <c r="E49" s="601"/>
    </row>
    <row r="50" spans="2:6" ht="14.4" x14ac:dyDescent="0.3">
      <c r="B50" s="945"/>
      <c r="C50" s="601" t="s">
        <v>362</v>
      </c>
      <c r="D50" s="602"/>
      <c r="E50" s="761" t="s">
        <v>996</v>
      </c>
    </row>
    <row r="51" spans="2:6" ht="15.75" customHeight="1" x14ac:dyDescent="0.3">
      <c r="B51" s="945"/>
      <c r="D51" s="602"/>
      <c r="E51" s="761" t="s">
        <v>247</v>
      </c>
      <c r="F51" s="695"/>
    </row>
    <row r="52" spans="2:6" ht="14.4" x14ac:dyDescent="0.3">
      <c r="B52" s="945"/>
      <c r="C52" s="601"/>
      <c r="D52" s="602"/>
      <c r="E52" s="761" t="s">
        <v>357</v>
      </c>
      <c r="F52" s="695"/>
    </row>
    <row r="53" spans="2:6" ht="14.4" x14ac:dyDescent="0.3">
      <c r="B53" s="945"/>
      <c r="C53" s="601"/>
      <c r="D53" s="602"/>
      <c r="E53" s="761" t="s">
        <v>358</v>
      </c>
      <c r="F53" s="695"/>
    </row>
    <row r="54" spans="2:6" ht="14.4" x14ac:dyDescent="0.3">
      <c r="B54" s="945"/>
      <c r="C54" s="601"/>
      <c r="D54" s="602"/>
      <c r="E54" s="761" t="s">
        <v>359</v>
      </c>
      <c r="F54" s="695"/>
    </row>
    <row r="55" spans="2:6" ht="14.4" x14ac:dyDescent="0.3">
      <c r="B55" s="945"/>
      <c r="C55" s="601"/>
      <c r="D55" s="602"/>
      <c r="E55" s="761" t="s">
        <v>360</v>
      </c>
      <c r="F55" s="695"/>
    </row>
    <row r="56" spans="2:6" ht="14.4" x14ac:dyDescent="0.3">
      <c r="B56" s="945"/>
      <c r="C56" s="601"/>
      <c r="D56" s="602"/>
      <c r="E56" s="761" t="s">
        <v>361</v>
      </c>
      <c r="F56" s="695"/>
    </row>
    <row r="57" spans="2:6" ht="14.4" x14ac:dyDescent="0.3">
      <c r="B57" s="270" t="s">
        <v>1027</v>
      </c>
      <c r="C57" s="12"/>
      <c r="E57" s="44"/>
    </row>
    <row r="58" spans="2:6" x14ac:dyDescent="0.3">
      <c r="E58" s="771" t="s">
        <v>1032</v>
      </c>
    </row>
    <row r="59" spans="2:6" x14ac:dyDescent="0.3">
      <c r="E59" s="44"/>
    </row>
    <row r="60" spans="2:6" x14ac:dyDescent="0.3">
      <c r="E60" s="44"/>
    </row>
    <row r="61" spans="2:6" x14ac:dyDescent="0.3">
      <c r="E61" s="44"/>
    </row>
    <row r="62" spans="2:6" x14ac:dyDescent="0.3">
      <c r="E62" s="44"/>
    </row>
    <row r="63" spans="2:6" x14ac:dyDescent="0.3">
      <c r="E63" s="44"/>
    </row>
    <row r="64" spans="2:6" x14ac:dyDescent="0.3">
      <c r="E64" s="44"/>
    </row>
    <row r="65" spans="5:5" x14ac:dyDescent="0.3">
      <c r="E65" s="44"/>
    </row>
    <row r="66" spans="5:5" x14ac:dyDescent="0.3">
      <c r="E66" s="44"/>
    </row>
  </sheetData>
  <sheetProtection algorithmName="SHA-512" hashValue="pjgrbrXyADruM/mowZ4V0u6RUQwsn26jB06ihSqIpi6hLcGBZMy2bIHXqR4asBLL6I6mQ01QfuLGDvjgn93mnA==" saltValue="kQW2LV9GEDoFsRHtNZ3NgQ==" spinCount="100000" sheet="1" objects="1" scenarios="1"/>
  <mergeCells count="7">
    <mergeCell ref="J18:K18"/>
    <mergeCell ref="B1:H1"/>
    <mergeCell ref="B48:B56"/>
    <mergeCell ref="B35:B38"/>
    <mergeCell ref="B40:B46"/>
    <mergeCell ref="B5:B16"/>
    <mergeCell ref="B19:B33"/>
  </mergeCells>
  <hyperlinks>
    <hyperlink ref="E38" location="Boxplot!A1" display="Standard Boxplot using quartiles" xr:uid="{00000000-0004-0000-0000-000003000000}"/>
    <hyperlink ref="E48" location="'Control plan'!A1" display="Control plan template" xr:uid="{00000000-0004-0000-0000-000005000000}"/>
    <hyperlink ref="E33" location="'Proc. Cap Table'!A1" display="Cpk,Ppk, Z level , Yield conversion table" xr:uid="{00000000-0004-0000-0000-000006000000}"/>
    <hyperlink ref="E32" location="'Hist 10 bars'!A1" display="Histogram - 10 bars" xr:uid="{00000000-0004-0000-0000-000007000000}"/>
    <hyperlink ref="E35" location="'Pie Chart'!A1" display="Pie Chat" xr:uid="{00000000-0004-0000-0000-000008000000}"/>
    <hyperlink ref="E24" location="'Process Map'!A1" display="Process Map" xr:uid="{00000000-0004-0000-0000-00000A000000}"/>
    <hyperlink ref="E20" location="Ishikawa!A1" display="Ishikawa - Cause and Effect Diagram" xr:uid="{00000000-0004-0000-0000-00000B000000}"/>
    <hyperlink ref="E40" location="'Decision Matrix'!A1" display="Decision Matrix" xr:uid="{00000000-0004-0000-0000-00000C000000}"/>
    <hyperlink ref="E51" location="'Xbar R chart data'!A1" display="Xbar R control chart " xr:uid="{00000000-0004-0000-0000-00000E000000}"/>
    <hyperlink ref="E25" location="VSM!A1" display="Value Stream Map" xr:uid="{00000000-0004-0000-0000-00000F000000}"/>
    <hyperlink ref="E44" location="'Process Map'!A1" display="Process Map" xr:uid="{00000000-0004-0000-0000-000010000000}"/>
    <hyperlink ref="E46" location="VSM!A1" display="Value Stream Map" xr:uid="{00000000-0004-0000-0000-000011000000}"/>
    <hyperlink ref="E12" location="SIPOC!A1" display="SIPOC" xr:uid="{00000000-0004-0000-0000-000013000000}"/>
    <hyperlink ref="J18" location="Menu!A1" display="Return to menu" xr:uid="{00000000-0004-0000-0000-000014000000}"/>
    <hyperlink ref="E42" location="'Pugh Matrix'!A1" display="Pugh matrix" xr:uid="{00000000-0004-0000-0000-000016000000}"/>
    <hyperlink ref="E29" location="'GRR Instructions'!Print_Area" display="Gauge R&amp;R continuous" xr:uid="{00000000-0004-0000-0000-000017000000}"/>
    <hyperlink ref="E27" location="FMEA!A1" display="Failure Modes and Effects Analysis" xr:uid="{00000000-0004-0000-0000-000018000000}"/>
    <hyperlink ref="E52" location="'IMR Data and calculations'!A1" display="I-MR Chart" xr:uid="{00000000-0004-0000-0000-00001A000000}"/>
    <hyperlink ref="E53" location="'C chart Data and calculations'!A1" display="C chart" xr:uid="{00000000-0004-0000-0000-00001B000000}"/>
    <hyperlink ref="E54" location="'np Data and calculations'!A1" display="np chart" xr:uid="{00000000-0004-0000-0000-00001C000000}"/>
    <hyperlink ref="E55" location="'p Data and calculations'!A1" display="p chart" xr:uid="{00000000-0004-0000-0000-00001D000000}"/>
    <hyperlink ref="E56" location="'u Data and calculations'!A1" display="u chart" xr:uid="{00000000-0004-0000-0000-00001E000000}"/>
    <hyperlink ref="E30" location="'att Instructions'!A1" display="Guage R&amp;R attribute (discrete)" xr:uid="{00000000-0004-0000-0000-000020000000}"/>
    <hyperlink ref="E14" location="'To Do List'!Print_Titles" display="To Do List" xr:uid="{00000000-0004-0000-0000-000021000000}"/>
    <hyperlink ref="E16" location="'Force Field Analysis'!A1" display="Force Field Analysis" xr:uid="{00000000-0004-0000-0000-000024000000}"/>
    <hyperlink ref="E10" location="'Project Charter'!A1" display="Project Charter" xr:uid="{00000000-0004-0000-0000-00002C000000}"/>
    <hyperlink ref="E5" location="'Hoshin Kanri'!A1" display="Hoshin Kanri Template" xr:uid="{00000000-0004-0000-0000-00002D000000}"/>
    <hyperlink ref="E50" location="'SPC Selection Guide'!A1" display="Control Chart Seletcion guide" xr:uid="{00000000-0004-0000-0000-00002E000000}"/>
    <hyperlink ref="E19" location="'5W-2H'!A1" display="5W 2H with is / Is not columns" xr:uid="{00000000-0004-0000-0000-000030000000}"/>
    <hyperlink ref="E22" location="'Benefit vs Effort'!A1" display="Impact vs Effort Matrix" xr:uid="{00000000-0004-0000-0000-000032000000}"/>
    <hyperlink ref="E9" location="'A3 Template'!Print_Area" display="A3 Template" xr:uid="{00000000-0004-0000-0000-000034000000}"/>
    <hyperlink ref="E36" location="Pareto!A1" display="Pareto Chart" xr:uid="{E4660438-4C59-4C0B-B882-E53470CCCDD8}"/>
    <hyperlink ref="E6" location="SWOT!A1" display="SWOT" xr:uid="{BC0D422C-F406-4929-97E4-81E5E8B86308}"/>
    <hyperlink ref="E58" r:id="rId1" xr:uid="{D93A7A62-3A5A-4DB5-B418-86CFAF3D3278}"/>
    <hyperlink ref="E7" location="'Benefit vs Effort'!A1" display="Impact vs Effort Matrix" xr:uid="{4555250F-5F4E-4AD0-8544-B337F94EC0B1}"/>
    <hyperlink ref="E21" location="'5 whys'!A1" display="5 Whys" xr:uid="{332C7E40-1233-446F-97FD-F1EB8FA2DA9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C1:AK115"/>
  <sheetViews>
    <sheetView workbookViewId="0">
      <selection activeCell="AJ1" sqref="AJ1:AL1"/>
    </sheetView>
  </sheetViews>
  <sheetFormatPr defaultColWidth="8.88671875" defaultRowHeight="13.2" x14ac:dyDescent="0.25"/>
  <cols>
    <col min="1" max="2" width="8.88671875" style="13"/>
    <col min="3" max="3" width="10.44140625" style="143" customWidth="1"/>
    <col min="4" max="4" width="10.44140625" style="159" customWidth="1"/>
    <col min="5" max="5" width="8.88671875" style="13"/>
    <col min="6" max="6" width="9.44140625" style="13" customWidth="1"/>
    <col min="7" max="8" width="9.109375" style="13" hidden="1" customWidth="1"/>
    <col min="9" max="10" width="8.88671875" style="13"/>
    <col min="11" max="12" width="9.109375" style="13" hidden="1" customWidth="1"/>
    <col min="13" max="14" width="8.88671875" style="13"/>
    <col min="15" max="16" width="9.109375" style="13" hidden="1" customWidth="1"/>
    <col min="17" max="19" width="8.88671875" style="40"/>
    <col min="20" max="23" width="8.44140625" style="40" hidden="1" customWidth="1"/>
    <col min="24" max="26" width="8.109375" style="40" hidden="1" customWidth="1"/>
    <col min="27" max="35" width="0" style="13" hidden="1" customWidth="1"/>
    <col min="36" max="36" width="8.88671875" style="13"/>
    <col min="37" max="37" width="20.6640625" style="13" bestFit="1" customWidth="1"/>
    <col min="38" max="258" width="8.88671875" style="13"/>
    <col min="259" max="260" width="10.44140625" style="13" customWidth="1"/>
    <col min="261" max="261" width="8.88671875" style="13"/>
    <col min="262" max="262" width="9.44140625" style="13" customWidth="1"/>
    <col min="263" max="264" width="0" style="13" hidden="1" customWidth="1"/>
    <col min="265" max="266" width="8.88671875" style="13"/>
    <col min="267" max="268" width="0" style="13" hidden="1" customWidth="1"/>
    <col min="269" max="270" width="8.88671875" style="13"/>
    <col min="271" max="272" width="0" style="13" hidden="1" customWidth="1"/>
    <col min="273" max="275" width="8.88671875" style="13"/>
    <col min="276" max="291" width="0" style="13" hidden="1" customWidth="1"/>
    <col min="292" max="514" width="8.88671875" style="13"/>
    <col min="515" max="516" width="10.44140625" style="13" customWidth="1"/>
    <col min="517" max="517" width="8.88671875" style="13"/>
    <col min="518" max="518" width="9.44140625" style="13" customWidth="1"/>
    <col min="519" max="520" width="0" style="13" hidden="1" customWidth="1"/>
    <col min="521" max="522" width="8.88671875" style="13"/>
    <col min="523" max="524" width="0" style="13" hidden="1" customWidth="1"/>
    <col min="525" max="526" width="8.88671875" style="13"/>
    <col min="527" max="528" width="0" style="13" hidden="1" customWidth="1"/>
    <col min="529" max="531" width="8.88671875" style="13"/>
    <col min="532" max="547" width="0" style="13" hidden="1" customWidth="1"/>
    <col min="548" max="770" width="8.88671875" style="13"/>
    <col min="771" max="772" width="10.44140625" style="13" customWidth="1"/>
    <col min="773" max="773" width="8.88671875" style="13"/>
    <col min="774" max="774" width="9.44140625" style="13" customWidth="1"/>
    <col min="775" max="776" width="0" style="13" hidden="1" customWidth="1"/>
    <col min="777" max="778" width="8.88671875" style="13"/>
    <col min="779" max="780" width="0" style="13" hidden="1" customWidth="1"/>
    <col min="781" max="782" width="8.88671875" style="13"/>
    <col min="783" max="784" width="0" style="13" hidden="1" customWidth="1"/>
    <col min="785" max="787" width="8.88671875" style="13"/>
    <col min="788" max="803" width="0" style="13" hidden="1" customWidth="1"/>
    <col min="804" max="1026" width="8.88671875" style="13"/>
    <col min="1027" max="1028" width="10.44140625" style="13" customWidth="1"/>
    <col min="1029" max="1029" width="8.88671875" style="13"/>
    <col min="1030" max="1030" width="9.44140625" style="13" customWidth="1"/>
    <col min="1031" max="1032" width="0" style="13" hidden="1" customWidth="1"/>
    <col min="1033" max="1034" width="8.88671875" style="13"/>
    <col min="1035" max="1036" width="0" style="13" hidden="1" customWidth="1"/>
    <col min="1037" max="1038" width="8.88671875" style="13"/>
    <col min="1039" max="1040" width="0" style="13" hidden="1" customWidth="1"/>
    <col min="1041" max="1043" width="8.88671875" style="13"/>
    <col min="1044" max="1059" width="0" style="13" hidden="1" customWidth="1"/>
    <col min="1060" max="1282" width="8.88671875" style="13"/>
    <col min="1283" max="1284" width="10.44140625" style="13" customWidth="1"/>
    <col min="1285" max="1285" width="8.88671875" style="13"/>
    <col min="1286" max="1286" width="9.44140625" style="13" customWidth="1"/>
    <col min="1287" max="1288" width="0" style="13" hidden="1" customWidth="1"/>
    <col min="1289" max="1290" width="8.88671875" style="13"/>
    <col min="1291" max="1292" width="0" style="13" hidden="1" customWidth="1"/>
    <col min="1293" max="1294" width="8.88671875" style="13"/>
    <col min="1295" max="1296" width="0" style="13" hidden="1" customWidth="1"/>
    <col min="1297" max="1299" width="8.88671875" style="13"/>
    <col min="1300" max="1315" width="0" style="13" hidden="1" customWidth="1"/>
    <col min="1316" max="1538" width="8.88671875" style="13"/>
    <col min="1539" max="1540" width="10.44140625" style="13" customWidth="1"/>
    <col min="1541" max="1541" width="8.88671875" style="13"/>
    <col min="1542" max="1542" width="9.44140625" style="13" customWidth="1"/>
    <col min="1543" max="1544" width="0" style="13" hidden="1" customWidth="1"/>
    <col min="1545" max="1546" width="8.88671875" style="13"/>
    <col min="1547" max="1548" width="0" style="13" hidden="1" customWidth="1"/>
    <col min="1549" max="1550" width="8.88671875" style="13"/>
    <col min="1551" max="1552" width="0" style="13" hidden="1" customWidth="1"/>
    <col min="1553" max="1555" width="8.88671875" style="13"/>
    <col min="1556" max="1571" width="0" style="13" hidden="1" customWidth="1"/>
    <col min="1572" max="1794" width="8.88671875" style="13"/>
    <col min="1795" max="1796" width="10.44140625" style="13" customWidth="1"/>
    <col min="1797" max="1797" width="8.88671875" style="13"/>
    <col min="1798" max="1798" width="9.44140625" style="13" customWidth="1"/>
    <col min="1799" max="1800" width="0" style="13" hidden="1" customWidth="1"/>
    <col min="1801" max="1802" width="8.88671875" style="13"/>
    <col min="1803" max="1804" width="0" style="13" hidden="1" customWidth="1"/>
    <col min="1805" max="1806" width="8.88671875" style="13"/>
    <col min="1807" max="1808" width="0" style="13" hidden="1" customWidth="1"/>
    <col min="1809" max="1811" width="8.88671875" style="13"/>
    <col min="1812" max="1827" width="0" style="13" hidden="1" customWidth="1"/>
    <col min="1828" max="2050" width="8.88671875" style="13"/>
    <col min="2051" max="2052" width="10.44140625" style="13" customWidth="1"/>
    <col min="2053" max="2053" width="8.88671875" style="13"/>
    <col min="2054" max="2054" width="9.44140625" style="13" customWidth="1"/>
    <col min="2055" max="2056" width="0" style="13" hidden="1" customWidth="1"/>
    <col min="2057" max="2058" width="8.88671875" style="13"/>
    <col min="2059" max="2060" width="0" style="13" hidden="1" customWidth="1"/>
    <col min="2061" max="2062" width="8.88671875" style="13"/>
    <col min="2063" max="2064" width="0" style="13" hidden="1" customWidth="1"/>
    <col min="2065" max="2067" width="8.88671875" style="13"/>
    <col min="2068" max="2083" width="0" style="13" hidden="1" customWidth="1"/>
    <col min="2084" max="2306" width="8.88671875" style="13"/>
    <col min="2307" max="2308" width="10.44140625" style="13" customWidth="1"/>
    <col min="2309" max="2309" width="8.88671875" style="13"/>
    <col min="2310" max="2310" width="9.44140625" style="13" customWidth="1"/>
    <col min="2311" max="2312" width="0" style="13" hidden="1" customWidth="1"/>
    <col min="2313" max="2314" width="8.88671875" style="13"/>
    <col min="2315" max="2316" width="0" style="13" hidden="1" customWidth="1"/>
    <col min="2317" max="2318" width="8.88671875" style="13"/>
    <col min="2319" max="2320" width="0" style="13" hidden="1" customWidth="1"/>
    <col min="2321" max="2323" width="8.88671875" style="13"/>
    <col min="2324" max="2339" width="0" style="13" hidden="1" customWidth="1"/>
    <col min="2340" max="2562" width="8.88671875" style="13"/>
    <col min="2563" max="2564" width="10.44140625" style="13" customWidth="1"/>
    <col min="2565" max="2565" width="8.88671875" style="13"/>
    <col min="2566" max="2566" width="9.44140625" style="13" customWidth="1"/>
    <col min="2567" max="2568" width="0" style="13" hidden="1" customWidth="1"/>
    <col min="2569" max="2570" width="8.88671875" style="13"/>
    <col min="2571" max="2572" width="0" style="13" hidden="1" customWidth="1"/>
    <col min="2573" max="2574" width="8.88671875" style="13"/>
    <col min="2575" max="2576" width="0" style="13" hidden="1" customWidth="1"/>
    <col min="2577" max="2579" width="8.88671875" style="13"/>
    <col min="2580" max="2595" width="0" style="13" hidden="1" customWidth="1"/>
    <col min="2596" max="2818" width="8.88671875" style="13"/>
    <col min="2819" max="2820" width="10.44140625" style="13" customWidth="1"/>
    <col min="2821" max="2821" width="8.88671875" style="13"/>
    <col min="2822" max="2822" width="9.44140625" style="13" customWidth="1"/>
    <col min="2823" max="2824" width="0" style="13" hidden="1" customWidth="1"/>
    <col min="2825" max="2826" width="8.88671875" style="13"/>
    <col min="2827" max="2828" width="0" style="13" hidden="1" customWidth="1"/>
    <col min="2829" max="2830" width="8.88671875" style="13"/>
    <col min="2831" max="2832" width="0" style="13" hidden="1" customWidth="1"/>
    <col min="2833" max="2835" width="8.88671875" style="13"/>
    <col min="2836" max="2851" width="0" style="13" hidden="1" customWidth="1"/>
    <col min="2852" max="3074" width="8.88671875" style="13"/>
    <col min="3075" max="3076" width="10.44140625" style="13" customWidth="1"/>
    <col min="3077" max="3077" width="8.88671875" style="13"/>
    <col min="3078" max="3078" width="9.44140625" style="13" customWidth="1"/>
    <col min="3079" max="3080" width="0" style="13" hidden="1" customWidth="1"/>
    <col min="3081" max="3082" width="8.88671875" style="13"/>
    <col min="3083" max="3084" width="0" style="13" hidden="1" customWidth="1"/>
    <col min="3085" max="3086" width="8.88671875" style="13"/>
    <col min="3087" max="3088" width="0" style="13" hidden="1" customWidth="1"/>
    <col min="3089" max="3091" width="8.88671875" style="13"/>
    <col min="3092" max="3107" width="0" style="13" hidden="1" customWidth="1"/>
    <col min="3108" max="3330" width="8.88671875" style="13"/>
    <col min="3331" max="3332" width="10.44140625" style="13" customWidth="1"/>
    <col min="3333" max="3333" width="8.88671875" style="13"/>
    <col min="3334" max="3334" width="9.44140625" style="13" customWidth="1"/>
    <col min="3335" max="3336" width="0" style="13" hidden="1" customWidth="1"/>
    <col min="3337" max="3338" width="8.88671875" style="13"/>
    <col min="3339" max="3340" width="0" style="13" hidden="1" customWidth="1"/>
    <col min="3341" max="3342" width="8.88671875" style="13"/>
    <col min="3343" max="3344" width="0" style="13" hidden="1" customWidth="1"/>
    <col min="3345" max="3347" width="8.88671875" style="13"/>
    <col min="3348" max="3363" width="0" style="13" hidden="1" customWidth="1"/>
    <col min="3364" max="3586" width="8.88671875" style="13"/>
    <col min="3587" max="3588" width="10.44140625" style="13" customWidth="1"/>
    <col min="3589" max="3589" width="8.88671875" style="13"/>
    <col min="3590" max="3590" width="9.44140625" style="13" customWidth="1"/>
    <col min="3591" max="3592" width="0" style="13" hidden="1" customWidth="1"/>
    <col min="3593" max="3594" width="8.88671875" style="13"/>
    <col min="3595" max="3596" width="0" style="13" hidden="1" customWidth="1"/>
    <col min="3597" max="3598" width="8.88671875" style="13"/>
    <col min="3599" max="3600" width="0" style="13" hidden="1" customWidth="1"/>
    <col min="3601" max="3603" width="8.88671875" style="13"/>
    <col min="3604" max="3619" width="0" style="13" hidden="1" customWidth="1"/>
    <col min="3620" max="3842" width="8.88671875" style="13"/>
    <col min="3843" max="3844" width="10.44140625" style="13" customWidth="1"/>
    <col min="3845" max="3845" width="8.88671875" style="13"/>
    <col min="3846" max="3846" width="9.44140625" style="13" customWidth="1"/>
    <col min="3847" max="3848" width="0" style="13" hidden="1" customWidth="1"/>
    <col min="3849" max="3850" width="8.88671875" style="13"/>
    <col min="3851" max="3852" width="0" style="13" hidden="1" customWidth="1"/>
    <col min="3853" max="3854" width="8.88671875" style="13"/>
    <col min="3855" max="3856" width="0" style="13" hidden="1" customWidth="1"/>
    <col min="3857" max="3859" width="8.88671875" style="13"/>
    <col min="3860" max="3875" width="0" style="13" hidden="1" customWidth="1"/>
    <col min="3876" max="4098" width="8.88671875" style="13"/>
    <col min="4099" max="4100" width="10.44140625" style="13" customWidth="1"/>
    <col min="4101" max="4101" width="8.88671875" style="13"/>
    <col min="4102" max="4102" width="9.44140625" style="13" customWidth="1"/>
    <col min="4103" max="4104" width="0" style="13" hidden="1" customWidth="1"/>
    <col min="4105" max="4106" width="8.88671875" style="13"/>
    <col min="4107" max="4108" width="0" style="13" hidden="1" customWidth="1"/>
    <col min="4109" max="4110" width="8.88671875" style="13"/>
    <col min="4111" max="4112" width="0" style="13" hidden="1" customWidth="1"/>
    <col min="4113" max="4115" width="8.88671875" style="13"/>
    <col min="4116" max="4131" width="0" style="13" hidden="1" customWidth="1"/>
    <col min="4132" max="4354" width="8.88671875" style="13"/>
    <col min="4355" max="4356" width="10.44140625" style="13" customWidth="1"/>
    <col min="4357" max="4357" width="8.88671875" style="13"/>
    <col min="4358" max="4358" width="9.44140625" style="13" customWidth="1"/>
    <col min="4359" max="4360" width="0" style="13" hidden="1" customWidth="1"/>
    <col min="4361" max="4362" width="8.88671875" style="13"/>
    <col min="4363" max="4364" width="0" style="13" hidden="1" customWidth="1"/>
    <col min="4365" max="4366" width="8.88671875" style="13"/>
    <col min="4367" max="4368" width="0" style="13" hidden="1" customWidth="1"/>
    <col min="4369" max="4371" width="8.88671875" style="13"/>
    <col min="4372" max="4387" width="0" style="13" hidden="1" customWidth="1"/>
    <col min="4388" max="4610" width="8.88671875" style="13"/>
    <col min="4611" max="4612" width="10.44140625" style="13" customWidth="1"/>
    <col min="4613" max="4613" width="8.88671875" style="13"/>
    <col min="4614" max="4614" width="9.44140625" style="13" customWidth="1"/>
    <col min="4615" max="4616" width="0" style="13" hidden="1" customWidth="1"/>
    <col min="4617" max="4618" width="8.88671875" style="13"/>
    <col min="4619" max="4620" width="0" style="13" hidden="1" customWidth="1"/>
    <col min="4621" max="4622" width="8.88671875" style="13"/>
    <col min="4623" max="4624" width="0" style="13" hidden="1" customWidth="1"/>
    <col min="4625" max="4627" width="8.88671875" style="13"/>
    <col min="4628" max="4643" width="0" style="13" hidden="1" customWidth="1"/>
    <col min="4644" max="4866" width="8.88671875" style="13"/>
    <col min="4867" max="4868" width="10.44140625" style="13" customWidth="1"/>
    <col min="4869" max="4869" width="8.88671875" style="13"/>
    <col min="4870" max="4870" width="9.44140625" style="13" customWidth="1"/>
    <col min="4871" max="4872" width="0" style="13" hidden="1" customWidth="1"/>
    <col min="4873" max="4874" width="8.88671875" style="13"/>
    <col min="4875" max="4876" width="0" style="13" hidden="1" customWidth="1"/>
    <col min="4877" max="4878" width="8.88671875" style="13"/>
    <col min="4879" max="4880" width="0" style="13" hidden="1" customWidth="1"/>
    <col min="4881" max="4883" width="8.88671875" style="13"/>
    <col min="4884" max="4899" width="0" style="13" hidden="1" customWidth="1"/>
    <col min="4900" max="5122" width="8.88671875" style="13"/>
    <col min="5123" max="5124" width="10.44140625" style="13" customWidth="1"/>
    <col min="5125" max="5125" width="8.88671875" style="13"/>
    <col min="5126" max="5126" width="9.44140625" style="13" customWidth="1"/>
    <col min="5127" max="5128" width="0" style="13" hidden="1" customWidth="1"/>
    <col min="5129" max="5130" width="8.88671875" style="13"/>
    <col min="5131" max="5132" width="0" style="13" hidden="1" customWidth="1"/>
    <col min="5133" max="5134" width="8.88671875" style="13"/>
    <col min="5135" max="5136" width="0" style="13" hidden="1" customWidth="1"/>
    <col min="5137" max="5139" width="8.88671875" style="13"/>
    <col min="5140" max="5155" width="0" style="13" hidden="1" customWidth="1"/>
    <col min="5156" max="5378" width="8.88671875" style="13"/>
    <col min="5379" max="5380" width="10.44140625" style="13" customWidth="1"/>
    <col min="5381" max="5381" width="8.88671875" style="13"/>
    <col min="5382" max="5382" width="9.44140625" style="13" customWidth="1"/>
    <col min="5383" max="5384" width="0" style="13" hidden="1" customWidth="1"/>
    <col min="5385" max="5386" width="8.88671875" style="13"/>
    <col min="5387" max="5388" width="0" style="13" hidden="1" customWidth="1"/>
    <col min="5389" max="5390" width="8.88671875" style="13"/>
    <col min="5391" max="5392" width="0" style="13" hidden="1" customWidth="1"/>
    <col min="5393" max="5395" width="8.88671875" style="13"/>
    <col min="5396" max="5411" width="0" style="13" hidden="1" customWidth="1"/>
    <col min="5412" max="5634" width="8.88671875" style="13"/>
    <col min="5635" max="5636" width="10.44140625" style="13" customWidth="1"/>
    <col min="5637" max="5637" width="8.88671875" style="13"/>
    <col min="5638" max="5638" width="9.44140625" style="13" customWidth="1"/>
    <col min="5639" max="5640" width="0" style="13" hidden="1" customWidth="1"/>
    <col min="5641" max="5642" width="8.88671875" style="13"/>
    <col min="5643" max="5644" width="0" style="13" hidden="1" customWidth="1"/>
    <col min="5645" max="5646" width="8.88671875" style="13"/>
    <col min="5647" max="5648" width="0" style="13" hidden="1" customWidth="1"/>
    <col min="5649" max="5651" width="8.88671875" style="13"/>
    <col min="5652" max="5667" width="0" style="13" hidden="1" customWidth="1"/>
    <col min="5668" max="5890" width="8.88671875" style="13"/>
    <col min="5891" max="5892" width="10.44140625" style="13" customWidth="1"/>
    <col min="5893" max="5893" width="8.88671875" style="13"/>
    <col min="5894" max="5894" width="9.44140625" style="13" customWidth="1"/>
    <col min="5895" max="5896" width="0" style="13" hidden="1" customWidth="1"/>
    <col min="5897" max="5898" width="8.88671875" style="13"/>
    <col min="5899" max="5900" width="0" style="13" hidden="1" customWidth="1"/>
    <col min="5901" max="5902" width="8.88671875" style="13"/>
    <col min="5903" max="5904" width="0" style="13" hidden="1" customWidth="1"/>
    <col min="5905" max="5907" width="8.88671875" style="13"/>
    <col min="5908" max="5923" width="0" style="13" hidden="1" customWidth="1"/>
    <col min="5924" max="6146" width="8.88671875" style="13"/>
    <col min="6147" max="6148" width="10.44140625" style="13" customWidth="1"/>
    <col min="6149" max="6149" width="8.88671875" style="13"/>
    <col min="6150" max="6150" width="9.44140625" style="13" customWidth="1"/>
    <col min="6151" max="6152" width="0" style="13" hidden="1" customWidth="1"/>
    <col min="6153" max="6154" width="8.88671875" style="13"/>
    <col min="6155" max="6156" width="0" style="13" hidden="1" customWidth="1"/>
    <col min="6157" max="6158" width="8.88671875" style="13"/>
    <col min="6159" max="6160" width="0" style="13" hidden="1" customWidth="1"/>
    <col min="6161" max="6163" width="8.88671875" style="13"/>
    <col min="6164" max="6179" width="0" style="13" hidden="1" customWidth="1"/>
    <col min="6180" max="6402" width="8.88671875" style="13"/>
    <col min="6403" max="6404" width="10.44140625" style="13" customWidth="1"/>
    <col min="6405" max="6405" width="8.88671875" style="13"/>
    <col min="6406" max="6406" width="9.44140625" style="13" customWidth="1"/>
    <col min="6407" max="6408" width="0" style="13" hidden="1" customWidth="1"/>
    <col min="6409" max="6410" width="8.88671875" style="13"/>
    <col min="6411" max="6412" width="0" style="13" hidden="1" customWidth="1"/>
    <col min="6413" max="6414" width="8.88671875" style="13"/>
    <col min="6415" max="6416" width="0" style="13" hidden="1" customWidth="1"/>
    <col min="6417" max="6419" width="8.88671875" style="13"/>
    <col min="6420" max="6435" width="0" style="13" hidden="1" customWidth="1"/>
    <col min="6436" max="6658" width="8.88671875" style="13"/>
    <col min="6659" max="6660" width="10.44140625" style="13" customWidth="1"/>
    <col min="6661" max="6661" width="8.88671875" style="13"/>
    <col min="6662" max="6662" width="9.44140625" style="13" customWidth="1"/>
    <col min="6663" max="6664" width="0" style="13" hidden="1" customWidth="1"/>
    <col min="6665" max="6666" width="8.88671875" style="13"/>
    <col min="6667" max="6668" width="0" style="13" hidden="1" customWidth="1"/>
    <col min="6669" max="6670" width="8.88671875" style="13"/>
    <col min="6671" max="6672" width="0" style="13" hidden="1" customWidth="1"/>
    <col min="6673" max="6675" width="8.88671875" style="13"/>
    <col min="6676" max="6691" width="0" style="13" hidden="1" customWidth="1"/>
    <col min="6692" max="6914" width="8.88671875" style="13"/>
    <col min="6915" max="6916" width="10.44140625" style="13" customWidth="1"/>
    <col min="6917" max="6917" width="8.88671875" style="13"/>
    <col min="6918" max="6918" width="9.44140625" style="13" customWidth="1"/>
    <col min="6919" max="6920" width="0" style="13" hidden="1" customWidth="1"/>
    <col min="6921" max="6922" width="8.88671875" style="13"/>
    <col min="6923" max="6924" width="0" style="13" hidden="1" customWidth="1"/>
    <col min="6925" max="6926" width="8.88671875" style="13"/>
    <col min="6927" max="6928" width="0" style="13" hidden="1" customWidth="1"/>
    <col min="6929" max="6931" width="8.88671875" style="13"/>
    <col min="6932" max="6947" width="0" style="13" hidden="1" customWidth="1"/>
    <col min="6948" max="7170" width="8.88671875" style="13"/>
    <col min="7171" max="7172" width="10.44140625" style="13" customWidth="1"/>
    <col min="7173" max="7173" width="8.88671875" style="13"/>
    <col min="7174" max="7174" width="9.44140625" style="13" customWidth="1"/>
    <col min="7175" max="7176" width="0" style="13" hidden="1" customWidth="1"/>
    <col min="7177" max="7178" width="8.88671875" style="13"/>
    <col min="7179" max="7180" width="0" style="13" hidden="1" customWidth="1"/>
    <col min="7181" max="7182" width="8.88671875" style="13"/>
    <col min="7183" max="7184" width="0" style="13" hidden="1" customWidth="1"/>
    <col min="7185" max="7187" width="8.88671875" style="13"/>
    <col min="7188" max="7203" width="0" style="13" hidden="1" customWidth="1"/>
    <col min="7204" max="7426" width="8.88671875" style="13"/>
    <col min="7427" max="7428" width="10.44140625" style="13" customWidth="1"/>
    <col min="7429" max="7429" width="8.88671875" style="13"/>
    <col min="7430" max="7430" width="9.44140625" style="13" customWidth="1"/>
    <col min="7431" max="7432" width="0" style="13" hidden="1" customWidth="1"/>
    <col min="7433" max="7434" width="8.88671875" style="13"/>
    <col min="7435" max="7436" width="0" style="13" hidden="1" customWidth="1"/>
    <col min="7437" max="7438" width="8.88671875" style="13"/>
    <col min="7439" max="7440" width="0" style="13" hidden="1" customWidth="1"/>
    <col min="7441" max="7443" width="8.88671875" style="13"/>
    <col min="7444" max="7459" width="0" style="13" hidden="1" customWidth="1"/>
    <col min="7460" max="7682" width="8.88671875" style="13"/>
    <col min="7683" max="7684" width="10.44140625" style="13" customWidth="1"/>
    <col min="7685" max="7685" width="8.88671875" style="13"/>
    <col min="7686" max="7686" width="9.44140625" style="13" customWidth="1"/>
    <col min="7687" max="7688" width="0" style="13" hidden="1" customWidth="1"/>
    <col min="7689" max="7690" width="8.88671875" style="13"/>
    <col min="7691" max="7692" width="0" style="13" hidden="1" customWidth="1"/>
    <col min="7693" max="7694" width="8.88671875" style="13"/>
    <col min="7695" max="7696" width="0" style="13" hidden="1" customWidth="1"/>
    <col min="7697" max="7699" width="8.88671875" style="13"/>
    <col min="7700" max="7715" width="0" style="13" hidden="1" customWidth="1"/>
    <col min="7716" max="7938" width="8.88671875" style="13"/>
    <col min="7939" max="7940" width="10.44140625" style="13" customWidth="1"/>
    <col min="7941" max="7941" width="8.88671875" style="13"/>
    <col min="7942" max="7942" width="9.44140625" style="13" customWidth="1"/>
    <col min="7943" max="7944" width="0" style="13" hidden="1" customWidth="1"/>
    <col min="7945" max="7946" width="8.88671875" style="13"/>
    <col min="7947" max="7948" width="0" style="13" hidden="1" customWidth="1"/>
    <col min="7949" max="7950" width="8.88671875" style="13"/>
    <col min="7951" max="7952" width="0" style="13" hidden="1" customWidth="1"/>
    <col min="7953" max="7955" width="8.88671875" style="13"/>
    <col min="7956" max="7971" width="0" style="13" hidden="1" customWidth="1"/>
    <col min="7972" max="8194" width="8.88671875" style="13"/>
    <col min="8195" max="8196" width="10.44140625" style="13" customWidth="1"/>
    <col min="8197" max="8197" width="8.88671875" style="13"/>
    <col min="8198" max="8198" width="9.44140625" style="13" customWidth="1"/>
    <col min="8199" max="8200" width="0" style="13" hidden="1" customWidth="1"/>
    <col min="8201" max="8202" width="8.88671875" style="13"/>
    <col min="8203" max="8204" width="0" style="13" hidden="1" customWidth="1"/>
    <col min="8205" max="8206" width="8.88671875" style="13"/>
    <col min="8207" max="8208" width="0" style="13" hidden="1" customWidth="1"/>
    <col min="8209" max="8211" width="8.88671875" style="13"/>
    <col min="8212" max="8227" width="0" style="13" hidden="1" customWidth="1"/>
    <col min="8228" max="8450" width="8.88671875" style="13"/>
    <col min="8451" max="8452" width="10.44140625" style="13" customWidth="1"/>
    <col min="8453" max="8453" width="8.88671875" style="13"/>
    <col min="8454" max="8454" width="9.44140625" style="13" customWidth="1"/>
    <col min="8455" max="8456" width="0" style="13" hidden="1" customWidth="1"/>
    <col min="8457" max="8458" width="8.88671875" style="13"/>
    <col min="8459" max="8460" width="0" style="13" hidden="1" customWidth="1"/>
    <col min="8461" max="8462" width="8.88671875" style="13"/>
    <col min="8463" max="8464" width="0" style="13" hidden="1" customWidth="1"/>
    <col min="8465" max="8467" width="8.88671875" style="13"/>
    <col min="8468" max="8483" width="0" style="13" hidden="1" customWidth="1"/>
    <col min="8484" max="8706" width="8.88671875" style="13"/>
    <col min="8707" max="8708" width="10.44140625" style="13" customWidth="1"/>
    <col min="8709" max="8709" width="8.88671875" style="13"/>
    <col min="8710" max="8710" width="9.44140625" style="13" customWidth="1"/>
    <col min="8711" max="8712" width="0" style="13" hidden="1" customWidth="1"/>
    <col min="8713" max="8714" width="8.88671875" style="13"/>
    <col min="8715" max="8716" width="0" style="13" hidden="1" customWidth="1"/>
    <col min="8717" max="8718" width="8.88671875" style="13"/>
    <col min="8719" max="8720" width="0" style="13" hidden="1" customWidth="1"/>
    <col min="8721" max="8723" width="8.88671875" style="13"/>
    <col min="8724" max="8739" width="0" style="13" hidden="1" customWidth="1"/>
    <col min="8740" max="8962" width="8.88671875" style="13"/>
    <col min="8963" max="8964" width="10.44140625" style="13" customWidth="1"/>
    <col min="8965" max="8965" width="8.88671875" style="13"/>
    <col min="8966" max="8966" width="9.44140625" style="13" customWidth="1"/>
    <col min="8967" max="8968" width="0" style="13" hidden="1" customWidth="1"/>
    <col min="8969" max="8970" width="8.88671875" style="13"/>
    <col min="8971" max="8972" width="0" style="13" hidden="1" customWidth="1"/>
    <col min="8973" max="8974" width="8.88671875" style="13"/>
    <col min="8975" max="8976" width="0" style="13" hidden="1" customWidth="1"/>
    <col min="8977" max="8979" width="8.88671875" style="13"/>
    <col min="8980" max="8995" width="0" style="13" hidden="1" customWidth="1"/>
    <col min="8996" max="9218" width="8.88671875" style="13"/>
    <col min="9219" max="9220" width="10.44140625" style="13" customWidth="1"/>
    <col min="9221" max="9221" width="8.88671875" style="13"/>
    <col min="9222" max="9222" width="9.44140625" style="13" customWidth="1"/>
    <col min="9223" max="9224" width="0" style="13" hidden="1" customWidth="1"/>
    <col min="9225" max="9226" width="8.88671875" style="13"/>
    <col min="9227" max="9228" width="0" style="13" hidden="1" customWidth="1"/>
    <col min="9229" max="9230" width="8.88671875" style="13"/>
    <col min="9231" max="9232" width="0" style="13" hidden="1" customWidth="1"/>
    <col min="9233" max="9235" width="8.88671875" style="13"/>
    <col min="9236" max="9251" width="0" style="13" hidden="1" customWidth="1"/>
    <col min="9252" max="9474" width="8.88671875" style="13"/>
    <col min="9475" max="9476" width="10.44140625" style="13" customWidth="1"/>
    <col min="9477" max="9477" width="8.88671875" style="13"/>
    <col min="9478" max="9478" width="9.44140625" style="13" customWidth="1"/>
    <col min="9479" max="9480" width="0" style="13" hidden="1" customWidth="1"/>
    <col min="9481" max="9482" width="8.88671875" style="13"/>
    <col min="9483" max="9484" width="0" style="13" hidden="1" customWidth="1"/>
    <col min="9485" max="9486" width="8.88671875" style="13"/>
    <col min="9487" max="9488" width="0" style="13" hidden="1" customWidth="1"/>
    <col min="9489" max="9491" width="8.88671875" style="13"/>
    <col min="9492" max="9507" width="0" style="13" hidden="1" customWidth="1"/>
    <col min="9508" max="9730" width="8.88671875" style="13"/>
    <col min="9731" max="9732" width="10.44140625" style="13" customWidth="1"/>
    <col min="9733" max="9733" width="8.88671875" style="13"/>
    <col min="9734" max="9734" width="9.44140625" style="13" customWidth="1"/>
    <col min="9735" max="9736" width="0" style="13" hidden="1" customWidth="1"/>
    <col min="9737" max="9738" width="8.88671875" style="13"/>
    <col min="9739" max="9740" width="0" style="13" hidden="1" customWidth="1"/>
    <col min="9741" max="9742" width="8.88671875" style="13"/>
    <col min="9743" max="9744" width="0" style="13" hidden="1" customWidth="1"/>
    <col min="9745" max="9747" width="8.88671875" style="13"/>
    <col min="9748" max="9763" width="0" style="13" hidden="1" customWidth="1"/>
    <col min="9764" max="9986" width="8.88671875" style="13"/>
    <col min="9987" max="9988" width="10.44140625" style="13" customWidth="1"/>
    <col min="9989" max="9989" width="8.88671875" style="13"/>
    <col min="9990" max="9990" width="9.44140625" style="13" customWidth="1"/>
    <col min="9991" max="9992" width="0" style="13" hidden="1" customWidth="1"/>
    <col min="9993" max="9994" width="8.88671875" style="13"/>
    <col min="9995" max="9996" width="0" style="13" hidden="1" customWidth="1"/>
    <col min="9997" max="9998" width="8.88671875" style="13"/>
    <col min="9999" max="10000" width="0" style="13" hidden="1" customWidth="1"/>
    <col min="10001" max="10003" width="8.88671875" style="13"/>
    <col min="10004" max="10019" width="0" style="13" hidden="1" customWidth="1"/>
    <col min="10020" max="10242" width="8.88671875" style="13"/>
    <col min="10243" max="10244" width="10.44140625" style="13" customWidth="1"/>
    <col min="10245" max="10245" width="8.88671875" style="13"/>
    <col min="10246" max="10246" width="9.44140625" style="13" customWidth="1"/>
    <col min="10247" max="10248" width="0" style="13" hidden="1" customWidth="1"/>
    <col min="10249" max="10250" width="8.88671875" style="13"/>
    <col min="10251" max="10252" width="0" style="13" hidden="1" customWidth="1"/>
    <col min="10253" max="10254" width="8.88671875" style="13"/>
    <col min="10255" max="10256" width="0" style="13" hidden="1" customWidth="1"/>
    <col min="10257" max="10259" width="8.88671875" style="13"/>
    <col min="10260" max="10275" width="0" style="13" hidden="1" customWidth="1"/>
    <col min="10276" max="10498" width="8.88671875" style="13"/>
    <col min="10499" max="10500" width="10.44140625" style="13" customWidth="1"/>
    <col min="10501" max="10501" width="8.88671875" style="13"/>
    <col min="10502" max="10502" width="9.44140625" style="13" customWidth="1"/>
    <col min="10503" max="10504" width="0" style="13" hidden="1" customWidth="1"/>
    <col min="10505" max="10506" width="8.88671875" style="13"/>
    <col min="10507" max="10508" width="0" style="13" hidden="1" customWidth="1"/>
    <col min="10509" max="10510" width="8.88671875" style="13"/>
    <col min="10511" max="10512" width="0" style="13" hidden="1" customWidth="1"/>
    <col min="10513" max="10515" width="8.88671875" style="13"/>
    <col min="10516" max="10531" width="0" style="13" hidden="1" customWidth="1"/>
    <col min="10532" max="10754" width="8.88671875" style="13"/>
    <col min="10755" max="10756" width="10.44140625" style="13" customWidth="1"/>
    <col min="10757" max="10757" width="8.88671875" style="13"/>
    <col min="10758" max="10758" width="9.44140625" style="13" customWidth="1"/>
    <col min="10759" max="10760" width="0" style="13" hidden="1" customWidth="1"/>
    <col min="10761" max="10762" width="8.88671875" style="13"/>
    <col min="10763" max="10764" width="0" style="13" hidden="1" customWidth="1"/>
    <col min="10765" max="10766" width="8.88671875" style="13"/>
    <col min="10767" max="10768" width="0" style="13" hidden="1" customWidth="1"/>
    <col min="10769" max="10771" width="8.88671875" style="13"/>
    <col min="10772" max="10787" width="0" style="13" hidden="1" customWidth="1"/>
    <col min="10788" max="11010" width="8.88671875" style="13"/>
    <col min="11011" max="11012" width="10.44140625" style="13" customWidth="1"/>
    <col min="11013" max="11013" width="8.88671875" style="13"/>
    <col min="11014" max="11014" width="9.44140625" style="13" customWidth="1"/>
    <col min="11015" max="11016" width="0" style="13" hidden="1" customWidth="1"/>
    <col min="11017" max="11018" width="8.88671875" style="13"/>
    <col min="11019" max="11020" width="0" style="13" hidden="1" customWidth="1"/>
    <col min="11021" max="11022" width="8.88671875" style="13"/>
    <col min="11023" max="11024" width="0" style="13" hidden="1" customWidth="1"/>
    <col min="11025" max="11027" width="8.88671875" style="13"/>
    <col min="11028" max="11043" width="0" style="13" hidden="1" customWidth="1"/>
    <col min="11044" max="11266" width="8.88671875" style="13"/>
    <col min="11267" max="11268" width="10.44140625" style="13" customWidth="1"/>
    <col min="11269" max="11269" width="8.88671875" style="13"/>
    <col min="11270" max="11270" width="9.44140625" style="13" customWidth="1"/>
    <col min="11271" max="11272" width="0" style="13" hidden="1" customWidth="1"/>
    <col min="11273" max="11274" width="8.88671875" style="13"/>
    <col min="11275" max="11276" width="0" style="13" hidden="1" customWidth="1"/>
    <col min="11277" max="11278" width="8.88671875" style="13"/>
    <col min="11279" max="11280" width="0" style="13" hidden="1" customWidth="1"/>
    <col min="11281" max="11283" width="8.88671875" style="13"/>
    <col min="11284" max="11299" width="0" style="13" hidden="1" customWidth="1"/>
    <col min="11300" max="11522" width="8.88671875" style="13"/>
    <col min="11523" max="11524" width="10.44140625" style="13" customWidth="1"/>
    <col min="11525" max="11525" width="8.88671875" style="13"/>
    <col min="11526" max="11526" width="9.44140625" style="13" customWidth="1"/>
    <col min="11527" max="11528" width="0" style="13" hidden="1" customWidth="1"/>
    <col min="11529" max="11530" width="8.88671875" style="13"/>
    <col min="11531" max="11532" width="0" style="13" hidden="1" customWidth="1"/>
    <col min="11533" max="11534" width="8.88671875" style="13"/>
    <col min="11535" max="11536" width="0" style="13" hidden="1" customWidth="1"/>
    <col min="11537" max="11539" width="8.88671875" style="13"/>
    <col min="11540" max="11555" width="0" style="13" hidden="1" customWidth="1"/>
    <col min="11556" max="11778" width="8.88671875" style="13"/>
    <col min="11779" max="11780" width="10.44140625" style="13" customWidth="1"/>
    <col min="11781" max="11781" width="8.88671875" style="13"/>
    <col min="11782" max="11782" width="9.44140625" style="13" customWidth="1"/>
    <col min="11783" max="11784" width="0" style="13" hidden="1" customWidth="1"/>
    <col min="11785" max="11786" width="8.88671875" style="13"/>
    <col min="11787" max="11788" width="0" style="13" hidden="1" customWidth="1"/>
    <col min="11789" max="11790" width="8.88671875" style="13"/>
    <col min="11791" max="11792" width="0" style="13" hidden="1" customWidth="1"/>
    <col min="11793" max="11795" width="8.88671875" style="13"/>
    <col min="11796" max="11811" width="0" style="13" hidden="1" customWidth="1"/>
    <col min="11812" max="12034" width="8.88671875" style="13"/>
    <col min="12035" max="12036" width="10.44140625" style="13" customWidth="1"/>
    <col min="12037" max="12037" width="8.88671875" style="13"/>
    <col min="12038" max="12038" width="9.44140625" style="13" customWidth="1"/>
    <col min="12039" max="12040" width="0" style="13" hidden="1" customWidth="1"/>
    <col min="12041" max="12042" width="8.88671875" style="13"/>
    <col min="12043" max="12044" width="0" style="13" hidden="1" customWidth="1"/>
    <col min="12045" max="12046" width="8.88671875" style="13"/>
    <col min="12047" max="12048" width="0" style="13" hidden="1" customWidth="1"/>
    <col min="12049" max="12051" width="8.88671875" style="13"/>
    <col min="12052" max="12067" width="0" style="13" hidden="1" customWidth="1"/>
    <col min="12068" max="12290" width="8.88671875" style="13"/>
    <col min="12291" max="12292" width="10.44140625" style="13" customWidth="1"/>
    <col min="12293" max="12293" width="8.88671875" style="13"/>
    <col min="12294" max="12294" width="9.44140625" style="13" customWidth="1"/>
    <col min="12295" max="12296" width="0" style="13" hidden="1" customWidth="1"/>
    <col min="12297" max="12298" width="8.88671875" style="13"/>
    <col min="12299" max="12300" width="0" style="13" hidden="1" customWidth="1"/>
    <col min="12301" max="12302" width="8.88671875" style="13"/>
    <col min="12303" max="12304" width="0" style="13" hidden="1" customWidth="1"/>
    <col min="12305" max="12307" width="8.88671875" style="13"/>
    <col min="12308" max="12323" width="0" style="13" hidden="1" customWidth="1"/>
    <col min="12324" max="12546" width="8.88671875" style="13"/>
    <col min="12547" max="12548" width="10.44140625" style="13" customWidth="1"/>
    <col min="12549" max="12549" width="8.88671875" style="13"/>
    <col min="12550" max="12550" width="9.44140625" style="13" customWidth="1"/>
    <col min="12551" max="12552" width="0" style="13" hidden="1" customWidth="1"/>
    <col min="12553" max="12554" width="8.88671875" style="13"/>
    <col min="12555" max="12556" width="0" style="13" hidden="1" customWidth="1"/>
    <col min="12557" max="12558" width="8.88671875" style="13"/>
    <col min="12559" max="12560" width="0" style="13" hidden="1" customWidth="1"/>
    <col min="12561" max="12563" width="8.88671875" style="13"/>
    <col min="12564" max="12579" width="0" style="13" hidden="1" customWidth="1"/>
    <col min="12580" max="12802" width="8.88671875" style="13"/>
    <col min="12803" max="12804" width="10.44140625" style="13" customWidth="1"/>
    <col min="12805" max="12805" width="8.88671875" style="13"/>
    <col min="12806" max="12806" width="9.44140625" style="13" customWidth="1"/>
    <col min="12807" max="12808" width="0" style="13" hidden="1" customWidth="1"/>
    <col min="12809" max="12810" width="8.88671875" style="13"/>
    <col min="12811" max="12812" width="0" style="13" hidden="1" customWidth="1"/>
    <col min="12813" max="12814" width="8.88671875" style="13"/>
    <col min="12815" max="12816" width="0" style="13" hidden="1" customWidth="1"/>
    <col min="12817" max="12819" width="8.88671875" style="13"/>
    <col min="12820" max="12835" width="0" style="13" hidden="1" customWidth="1"/>
    <col min="12836" max="13058" width="8.88671875" style="13"/>
    <col min="13059" max="13060" width="10.44140625" style="13" customWidth="1"/>
    <col min="13061" max="13061" width="8.88671875" style="13"/>
    <col min="13062" max="13062" width="9.44140625" style="13" customWidth="1"/>
    <col min="13063" max="13064" width="0" style="13" hidden="1" customWidth="1"/>
    <col min="13065" max="13066" width="8.88671875" style="13"/>
    <col min="13067" max="13068" width="0" style="13" hidden="1" customWidth="1"/>
    <col min="13069" max="13070" width="8.88671875" style="13"/>
    <col min="13071" max="13072" width="0" style="13" hidden="1" customWidth="1"/>
    <col min="13073" max="13075" width="8.88671875" style="13"/>
    <col min="13076" max="13091" width="0" style="13" hidden="1" customWidth="1"/>
    <col min="13092" max="13314" width="8.88671875" style="13"/>
    <col min="13315" max="13316" width="10.44140625" style="13" customWidth="1"/>
    <col min="13317" max="13317" width="8.88671875" style="13"/>
    <col min="13318" max="13318" width="9.44140625" style="13" customWidth="1"/>
    <col min="13319" max="13320" width="0" style="13" hidden="1" customWidth="1"/>
    <col min="13321" max="13322" width="8.88671875" style="13"/>
    <col min="13323" max="13324" width="0" style="13" hidden="1" customWidth="1"/>
    <col min="13325" max="13326" width="8.88671875" style="13"/>
    <col min="13327" max="13328" width="0" style="13" hidden="1" customWidth="1"/>
    <col min="13329" max="13331" width="8.88671875" style="13"/>
    <col min="13332" max="13347" width="0" style="13" hidden="1" customWidth="1"/>
    <col min="13348" max="13570" width="8.88671875" style="13"/>
    <col min="13571" max="13572" width="10.44140625" style="13" customWidth="1"/>
    <col min="13573" max="13573" width="8.88671875" style="13"/>
    <col min="13574" max="13574" width="9.44140625" style="13" customWidth="1"/>
    <col min="13575" max="13576" width="0" style="13" hidden="1" customWidth="1"/>
    <col min="13577" max="13578" width="8.88671875" style="13"/>
    <col min="13579" max="13580" width="0" style="13" hidden="1" customWidth="1"/>
    <col min="13581" max="13582" width="8.88671875" style="13"/>
    <col min="13583" max="13584" width="0" style="13" hidden="1" customWidth="1"/>
    <col min="13585" max="13587" width="8.88671875" style="13"/>
    <col min="13588" max="13603" width="0" style="13" hidden="1" customWidth="1"/>
    <col min="13604" max="13826" width="8.88671875" style="13"/>
    <col min="13827" max="13828" width="10.44140625" style="13" customWidth="1"/>
    <col min="13829" max="13829" width="8.88671875" style="13"/>
    <col min="13830" max="13830" width="9.44140625" style="13" customWidth="1"/>
    <col min="13831" max="13832" width="0" style="13" hidden="1" customWidth="1"/>
    <col min="13833" max="13834" width="8.88671875" style="13"/>
    <col min="13835" max="13836" width="0" style="13" hidden="1" customWidth="1"/>
    <col min="13837" max="13838" width="8.88671875" style="13"/>
    <col min="13839" max="13840" width="0" style="13" hidden="1" customWidth="1"/>
    <col min="13841" max="13843" width="8.88671875" style="13"/>
    <col min="13844" max="13859" width="0" style="13" hidden="1" customWidth="1"/>
    <col min="13860" max="14082" width="8.88671875" style="13"/>
    <col min="14083" max="14084" width="10.44140625" style="13" customWidth="1"/>
    <col min="14085" max="14085" width="8.88671875" style="13"/>
    <col min="14086" max="14086" width="9.44140625" style="13" customWidth="1"/>
    <col min="14087" max="14088" width="0" style="13" hidden="1" customWidth="1"/>
    <col min="14089" max="14090" width="8.88671875" style="13"/>
    <col min="14091" max="14092" width="0" style="13" hidden="1" customWidth="1"/>
    <col min="14093" max="14094" width="8.88671875" style="13"/>
    <col min="14095" max="14096" width="0" style="13" hidden="1" customWidth="1"/>
    <col min="14097" max="14099" width="8.88671875" style="13"/>
    <col min="14100" max="14115" width="0" style="13" hidden="1" customWidth="1"/>
    <col min="14116" max="14338" width="8.88671875" style="13"/>
    <col min="14339" max="14340" width="10.44140625" style="13" customWidth="1"/>
    <col min="14341" max="14341" width="8.88671875" style="13"/>
    <col min="14342" max="14342" width="9.44140625" style="13" customWidth="1"/>
    <col min="14343" max="14344" width="0" style="13" hidden="1" customWidth="1"/>
    <col min="14345" max="14346" width="8.88671875" style="13"/>
    <col min="14347" max="14348" width="0" style="13" hidden="1" customWidth="1"/>
    <col min="14349" max="14350" width="8.88671875" style="13"/>
    <col min="14351" max="14352" width="0" style="13" hidden="1" customWidth="1"/>
    <col min="14353" max="14355" width="8.88671875" style="13"/>
    <col min="14356" max="14371" width="0" style="13" hidden="1" customWidth="1"/>
    <col min="14372" max="14594" width="8.88671875" style="13"/>
    <col min="14595" max="14596" width="10.44140625" style="13" customWidth="1"/>
    <col min="14597" max="14597" width="8.88671875" style="13"/>
    <col min="14598" max="14598" width="9.44140625" style="13" customWidth="1"/>
    <col min="14599" max="14600" width="0" style="13" hidden="1" customWidth="1"/>
    <col min="14601" max="14602" width="8.88671875" style="13"/>
    <col min="14603" max="14604" width="0" style="13" hidden="1" customWidth="1"/>
    <col min="14605" max="14606" width="8.88671875" style="13"/>
    <col min="14607" max="14608" width="0" style="13" hidden="1" customWidth="1"/>
    <col min="14609" max="14611" width="8.88671875" style="13"/>
    <col min="14612" max="14627" width="0" style="13" hidden="1" customWidth="1"/>
    <col min="14628" max="14850" width="8.88671875" style="13"/>
    <col min="14851" max="14852" width="10.44140625" style="13" customWidth="1"/>
    <col min="14853" max="14853" width="8.88671875" style="13"/>
    <col min="14854" max="14854" width="9.44140625" style="13" customWidth="1"/>
    <col min="14855" max="14856" width="0" style="13" hidden="1" customWidth="1"/>
    <col min="14857" max="14858" width="8.88671875" style="13"/>
    <col min="14859" max="14860" width="0" style="13" hidden="1" customWidth="1"/>
    <col min="14861" max="14862" width="8.88671875" style="13"/>
    <col min="14863" max="14864" width="0" style="13" hidden="1" customWidth="1"/>
    <col min="14865" max="14867" width="8.88671875" style="13"/>
    <col min="14868" max="14883" width="0" style="13" hidden="1" customWidth="1"/>
    <col min="14884" max="15106" width="8.88671875" style="13"/>
    <col min="15107" max="15108" width="10.44140625" style="13" customWidth="1"/>
    <col min="15109" max="15109" width="8.88671875" style="13"/>
    <col min="15110" max="15110" width="9.44140625" style="13" customWidth="1"/>
    <col min="15111" max="15112" width="0" style="13" hidden="1" customWidth="1"/>
    <col min="15113" max="15114" width="8.88671875" style="13"/>
    <col min="15115" max="15116" width="0" style="13" hidden="1" customWidth="1"/>
    <col min="15117" max="15118" width="8.88671875" style="13"/>
    <col min="15119" max="15120" width="0" style="13" hidden="1" customWidth="1"/>
    <col min="15121" max="15123" width="8.88671875" style="13"/>
    <col min="15124" max="15139" width="0" style="13" hidden="1" customWidth="1"/>
    <col min="15140" max="15362" width="8.88671875" style="13"/>
    <col min="15363" max="15364" width="10.44140625" style="13" customWidth="1"/>
    <col min="15365" max="15365" width="8.88671875" style="13"/>
    <col min="15366" max="15366" width="9.44140625" style="13" customWidth="1"/>
    <col min="15367" max="15368" width="0" style="13" hidden="1" customWidth="1"/>
    <col min="15369" max="15370" width="8.88671875" style="13"/>
    <col min="15371" max="15372" width="0" style="13" hidden="1" customWidth="1"/>
    <col min="15373" max="15374" width="8.88671875" style="13"/>
    <col min="15375" max="15376" width="0" style="13" hidden="1" customWidth="1"/>
    <col min="15377" max="15379" width="8.88671875" style="13"/>
    <col min="15380" max="15395" width="0" style="13" hidden="1" customWidth="1"/>
    <col min="15396" max="15618" width="8.88671875" style="13"/>
    <col min="15619" max="15620" width="10.44140625" style="13" customWidth="1"/>
    <col min="15621" max="15621" width="8.88671875" style="13"/>
    <col min="15622" max="15622" width="9.44140625" style="13" customWidth="1"/>
    <col min="15623" max="15624" width="0" style="13" hidden="1" customWidth="1"/>
    <col min="15625" max="15626" width="8.88671875" style="13"/>
    <col min="15627" max="15628" width="0" style="13" hidden="1" customWidth="1"/>
    <col min="15629" max="15630" width="8.88671875" style="13"/>
    <col min="15631" max="15632" width="0" style="13" hidden="1" customWidth="1"/>
    <col min="15633" max="15635" width="8.88671875" style="13"/>
    <col min="15636" max="15651" width="0" style="13" hidden="1" customWidth="1"/>
    <col min="15652" max="15874" width="8.88671875" style="13"/>
    <col min="15875" max="15876" width="10.44140625" style="13" customWidth="1"/>
    <col min="15877" max="15877" width="8.88671875" style="13"/>
    <col min="15878" max="15878" width="9.44140625" style="13" customWidth="1"/>
    <col min="15879" max="15880" width="0" style="13" hidden="1" customWidth="1"/>
    <col min="15881" max="15882" width="8.88671875" style="13"/>
    <col min="15883" max="15884" width="0" style="13" hidden="1" customWidth="1"/>
    <col min="15885" max="15886" width="8.88671875" style="13"/>
    <col min="15887" max="15888" width="0" style="13" hidden="1" customWidth="1"/>
    <col min="15889" max="15891" width="8.88671875" style="13"/>
    <col min="15892" max="15907" width="0" style="13" hidden="1" customWidth="1"/>
    <col min="15908" max="16130" width="8.88671875" style="13"/>
    <col min="16131" max="16132" width="10.44140625" style="13" customWidth="1"/>
    <col min="16133" max="16133" width="8.88671875" style="13"/>
    <col min="16134" max="16134" width="9.44140625" style="13" customWidth="1"/>
    <col min="16135" max="16136" width="0" style="13" hidden="1" customWidth="1"/>
    <col min="16137" max="16138" width="8.88671875" style="13"/>
    <col min="16139" max="16140" width="0" style="13" hidden="1" customWidth="1"/>
    <col min="16141" max="16142" width="8.88671875" style="13"/>
    <col min="16143" max="16144" width="0" style="13" hidden="1" customWidth="1"/>
    <col min="16145" max="16147" width="8.88671875" style="13"/>
    <col min="16148" max="16163" width="0" style="13" hidden="1" customWidth="1"/>
    <col min="16164" max="16384" width="8.88671875" style="13"/>
  </cols>
  <sheetData>
    <row r="1" spans="3:37" ht="21" x14ac:dyDescent="0.4">
      <c r="AK1" s="7" t="s">
        <v>19</v>
      </c>
    </row>
    <row r="4" spans="3:37" ht="15.6" x14ac:dyDescent="0.3">
      <c r="C4" s="13"/>
      <c r="D4" s="13"/>
      <c r="Q4" s="13"/>
      <c r="R4" s="13"/>
      <c r="AJ4" s="454" t="s">
        <v>342</v>
      </c>
    </row>
    <row r="5" spans="3:37" x14ac:dyDescent="0.25">
      <c r="C5" s="13"/>
      <c r="D5" s="13"/>
      <c r="Q5" s="13"/>
      <c r="R5" s="13"/>
    </row>
    <row r="6" spans="3:37" x14ac:dyDescent="0.25">
      <c r="C6" s="13"/>
      <c r="D6" s="13"/>
      <c r="Q6" s="13"/>
      <c r="R6" s="13"/>
    </row>
    <row r="7" spans="3:37" x14ac:dyDescent="0.25">
      <c r="C7" s="13"/>
      <c r="D7" s="13"/>
      <c r="Q7" s="13"/>
      <c r="R7" s="13"/>
    </row>
    <row r="8" spans="3:37" ht="13.8" thickBot="1" x14ac:dyDescent="0.3">
      <c r="C8" s="13"/>
      <c r="D8" s="13"/>
      <c r="Q8" s="13"/>
      <c r="R8" s="13"/>
    </row>
    <row r="9" spans="3:37" x14ac:dyDescent="0.25">
      <c r="C9" s="428" t="s">
        <v>295</v>
      </c>
      <c r="D9" s="272"/>
      <c r="E9" s="429" t="s">
        <v>325</v>
      </c>
      <c r="F9" s="430"/>
      <c r="G9" s="429"/>
      <c r="H9" s="430"/>
      <c r="I9" s="429" t="s">
        <v>326</v>
      </c>
      <c r="J9" s="430"/>
      <c r="K9" s="429"/>
      <c r="L9" s="430"/>
      <c r="M9" s="429" t="s">
        <v>327</v>
      </c>
      <c r="N9" s="429"/>
      <c r="O9" s="431"/>
      <c r="P9" s="431"/>
      <c r="Q9" s="432" t="s">
        <v>310</v>
      </c>
      <c r="R9" s="433" t="s">
        <v>310</v>
      </c>
    </row>
    <row r="10" spans="3:37" ht="13.8" thickBot="1" x14ac:dyDescent="0.3">
      <c r="C10" s="434" t="s">
        <v>174</v>
      </c>
      <c r="D10" s="435" t="s">
        <v>300</v>
      </c>
      <c r="E10" s="436" t="s">
        <v>301</v>
      </c>
      <c r="F10" s="437" t="s">
        <v>302</v>
      </c>
      <c r="G10" s="436" t="s">
        <v>328</v>
      </c>
      <c r="H10" s="437" t="s">
        <v>329</v>
      </c>
      <c r="I10" s="436" t="s">
        <v>301</v>
      </c>
      <c r="J10" s="437" t="s">
        <v>302</v>
      </c>
      <c r="K10" s="436" t="s">
        <v>328</v>
      </c>
      <c r="L10" s="437" t="s">
        <v>329</v>
      </c>
      <c r="M10" s="436" t="s">
        <v>301</v>
      </c>
      <c r="N10" s="436" t="s">
        <v>302</v>
      </c>
      <c r="O10" s="436" t="s">
        <v>328</v>
      </c>
      <c r="P10" s="436" t="s">
        <v>329</v>
      </c>
      <c r="Q10" s="438" t="s">
        <v>311</v>
      </c>
      <c r="R10" s="439" t="s">
        <v>311</v>
      </c>
      <c r="T10" s="40">
        <v>2</v>
      </c>
      <c r="U10" s="40">
        <v>3</v>
      </c>
      <c r="V10" s="40">
        <v>2</v>
      </c>
      <c r="W10" s="40">
        <v>3</v>
      </c>
      <c r="X10" s="40" t="s">
        <v>330</v>
      </c>
      <c r="Y10" s="40" t="s">
        <v>331</v>
      </c>
      <c r="Z10" s="40" t="s">
        <v>332</v>
      </c>
      <c r="AA10" s="40" t="s">
        <v>333</v>
      </c>
      <c r="AB10" s="40" t="s">
        <v>334</v>
      </c>
      <c r="AC10" s="40" t="s">
        <v>320</v>
      </c>
      <c r="AD10" s="40" t="s">
        <v>333</v>
      </c>
      <c r="AE10" s="40" t="s">
        <v>334</v>
      </c>
      <c r="AF10" s="40" t="s">
        <v>320</v>
      </c>
      <c r="AG10" s="40" t="s">
        <v>333</v>
      </c>
      <c r="AH10" s="40" t="s">
        <v>334</v>
      </c>
      <c r="AI10" s="40" t="s">
        <v>320</v>
      </c>
    </row>
    <row r="11" spans="3:37" x14ac:dyDescent="0.25">
      <c r="C11" s="158">
        <v>1</v>
      </c>
      <c r="D11" s="440">
        <f>IF('att Data Entry'!D14="","",IF('att Data Entry'!D14='att Data Entry'!$D$8,'att Data Entry'!$C$8,'att Data Entry'!$C$9))</f>
        <v>1</v>
      </c>
      <c r="E11" s="40">
        <f>IF('att Data Entry'!E14="","",IF('att Data Entry'!E14='att Data Entry'!$D$8,'att Data Entry'!$C$8,'att Data Entry'!$C$9))</f>
        <v>1</v>
      </c>
      <c r="F11" s="162">
        <f>IF('att Data Entry'!F14="","",IF('att Data Entry'!F14='att Data Entry'!$D$8,'att Data Entry'!$C$8,'att Data Entry'!$C$9))</f>
        <v>1</v>
      </c>
      <c r="G11" s="40">
        <f t="shared" ref="G11:G74" si="0">IF(E11="","",IF(E11=F11,1,0))</f>
        <v>1</v>
      </c>
      <c r="H11" s="162">
        <f>IF('att Data Entry'!$D14="","",IF(X11="TRUE",1,0))</f>
        <v>1</v>
      </c>
      <c r="I11" s="40">
        <f>IF('att Data Entry'!I14="","",IF('att Data Entry'!H14='att Data Entry'!$D$8,'att Data Entry'!$C$8,'att Data Entry'!$C$9))</f>
        <v>1</v>
      </c>
      <c r="J11" s="162">
        <f>IF('att Data Entry'!H14="","",IF('att Data Entry'!I14='att Data Entry'!$D$8,'att Data Entry'!$C$8,'att Data Entry'!$C$9))</f>
        <v>1</v>
      </c>
      <c r="K11" s="40">
        <f t="shared" ref="K11:K74" si="1">IF(I11="","",IF(I11=J11,1,0))</f>
        <v>1</v>
      </c>
      <c r="L11" s="162">
        <f>IF('att Data Entry'!$D14="","",IF(Y11="TRUE",1,0))</f>
        <v>1</v>
      </c>
      <c r="M11" s="40">
        <f>IF('att Data Entry'!L14="","",IF('att Data Entry'!K14='att Data Entry'!$D$8,'att Data Entry'!$C$8,'att Data Entry'!$C$9))</f>
        <v>1</v>
      </c>
      <c r="N11" s="40">
        <f>IF('att Data Entry'!K14="","",IF('att Data Entry'!L14='att Data Entry'!$D$8,'att Data Entry'!$C$8,'att Data Entry'!$C$9))</f>
        <v>1</v>
      </c>
      <c r="O11" s="40">
        <f t="shared" ref="O11:O74" si="2">IF(M11="","",IF(M11=N11,1,0))</f>
        <v>1</v>
      </c>
      <c r="P11" s="162">
        <f>IF('att Data Entry'!$D14="","",IF(Z11="TRUE",1,0))</f>
        <v>1</v>
      </c>
      <c r="Q11" s="441" t="str">
        <f>IF('att Data Entry'!H14="","",IF(M11="",T11,U11))</f>
        <v>TRUE</v>
      </c>
      <c r="R11" s="441" t="str">
        <f>IF('att Data Entry'!H14="","",IF(M11="",V11,W11))</f>
        <v>TRUE</v>
      </c>
      <c r="T11" s="40" t="str">
        <f>IF('att Data Entry'!H14="","",IF($E11+$F11+$I11+$J11=4,"TRUE",IF($E11+$F11+$I11+$J11=8,"TRUE","FALSE")))</f>
        <v>TRUE</v>
      </c>
      <c r="U11" s="40" t="str">
        <f>IF('att Data Entry'!K14="","",IF($E11+$F11+$I11+$J11+$M11+$N11=6,"TRUE",IF($E11+$F11+$I11+$J11+$M11+$N11=12,"TRUE","FALSE")))</f>
        <v>TRUE</v>
      </c>
      <c r="V11" s="40" t="str">
        <f>IF('att Data Entry'!H14="","",IF($E11+$F11+$I11+$J11+$D11=5,"TRUE",IF($E11+$F11+$I11+$J11+$D11=10,"TRUE","FALSE")))</f>
        <v>TRUE</v>
      </c>
      <c r="W11" s="40" t="str">
        <f>IF('att Data Entry'!K14="","",IF($E11+$F11+$I11+$J11+$M11+$N11+$D11=7,"TRUE",IF($E11+$F11+$I11+$J11+$M11+$N11+$D11=14,"TRUE","FALSE")))</f>
        <v>TRUE</v>
      </c>
      <c r="X11" s="40" t="str">
        <f>IF('att Data Entry'!D14="","",IF('att Calculations'!D11+'att Calculations'!E11+'att Calculations'!F11=3, "TRUE",IF('att Calculations'!D11+'att Calculations'!E11+'att Calculations'!F11=6,"TRUE","FALSE")))</f>
        <v>TRUE</v>
      </c>
      <c r="Y11" s="40" t="str">
        <f>IF('att Data Entry'!$D14="","",IF($D11+I11+J11=3, "TRUE",IF($D11+I11+J11=6,"TRUE","FALSE")))</f>
        <v>TRUE</v>
      </c>
      <c r="Z11" s="13" t="str">
        <f>IF('att Data Entry'!K14="","",IF('att Data Entry'!$D14="","",IF($D11+M11+N11=3, "TRUE",IF($D11+M11+N11=6,"TRUE","FALSE"))))</f>
        <v>TRUE</v>
      </c>
      <c r="AA11" s="442">
        <f>IF($D11&lt;&gt;"",IF($D11=1,IF(E11=2,IF(F11=2,1,0),0),0),"")</f>
        <v>0</v>
      </c>
      <c r="AB11" s="442">
        <f>IF($D11&lt;&gt;"",IF($D11=2,IF(F11=1,IF(G11=1,1,0),0),0),"")</f>
        <v>0</v>
      </c>
      <c r="AC11" s="442">
        <f>IF($D11&lt;&gt;"",IF(E11&lt;&gt;F11,1,0),"")</f>
        <v>0</v>
      </c>
      <c r="AD11" s="442">
        <f>IF($D11&lt;&gt;"",IF($D11=1,IF(I11=2,IF(J11=2,1,0),0),0),"")</f>
        <v>0</v>
      </c>
      <c r="AE11" s="442">
        <f>IF($D11&lt;&gt;"",IF($D11=2,IF(I11=1,IF(J11=1,1,0),0),0),"")</f>
        <v>0</v>
      </c>
      <c r="AF11" s="442">
        <f>IF($D11&lt;&gt;"",IF(I11&lt;&gt;J11,1,0),"")</f>
        <v>0</v>
      </c>
      <c r="AG11" s="442">
        <f>IF($D11&lt;&gt;"",IF($D11=1,IF(M11=2,IF(N11=2,1,0),0),0),"")</f>
        <v>0</v>
      </c>
      <c r="AH11" s="442">
        <f>IF($D11&lt;&gt;"",IF($D11=2,IF(M11=1,IF(N11=1,1,0),0),0),"")</f>
        <v>0</v>
      </c>
      <c r="AI11" s="442">
        <f>IF($D11&lt;&gt;"",IF(M11&lt;&gt;N11,1,0),"")</f>
        <v>0</v>
      </c>
    </row>
    <row r="12" spans="3:37" x14ac:dyDescent="0.25">
      <c r="C12" s="158">
        <v>2</v>
      </c>
      <c r="D12" s="440">
        <f>IF('att Data Entry'!D15="","",IF('att Data Entry'!D15='att Data Entry'!$D$8,'att Data Entry'!$C$8,'att Data Entry'!$C$9))</f>
        <v>1</v>
      </c>
      <c r="E12" s="40">
        <f>IF('att Data Entry'!E15="","",IF('att Data Entry'!E15='att Data Entry'!$D$8,'att Data Entry'!$C$8,'att Data Entry'!$C$9))</f>
        <v>1</v>
      </c>
      <c r="F12" s="162">
        <f>IF('att Data Entry'!F15="","",IF('att Data Entry'!F15='att Data Entry'!$D$8,'att Data Entry'!$C$8,'att Data Entry'!$C$9))</f>
        <v>1</v>
      </c>
      <c r="G12" s="40">
        <f t="shared" si="0"/>
        <v>1</v>
      </c>
      <c r="H12" s="162">
        <f>IF('att Data Entry'!$D15="","",IF(X12="TRUE",1,0))</f>
        <v>1</v>
      </c>
      <c r="I12" s="40">
        <f>IF('att Data Entry'!I15="","",IF('att Data Entry'!H15='att Data Entry'!$D$8,'att Data Entry'!$C$8,'att Data Entry'!$C$9))</f>
        <v>1</v>
      </c>
      <c r="J12" s="162">
        <f>IF('att Data Entry'!H15="","",IF('att Data Entry'!I15='att Data Entry'!$D$8,'att Data Entry'!$C$8,'att Data Entry'!$C$9))</f>
        <v>1</v>
      </c>
      <c r="K12" s="40">
        <f t="shared" si="1"/>
        <v>1</v>
      </c>
      <c r="L12" s="162">
        <f>IF('att Data Entry'!$D15="","",IF(Y12="TRUE",1,0))</f>
        <v>1</v>
      </c>
      <c r="M12" s="40">
        <f>IF('att Data Entry'!L15="","",IF('att Data Entry'!K15='att Data Entry'!$D$8,'att Data Entry'!$C$8,'att Data Entry'!$C$9))</f>
        <v>1</v>
      </c>
      <c r="N12" s="40">
        <f>IF('att Data Entry'!K15="","",IF('att Data Entry'!L15='att Data Entry'!$D$8,'att Data Entry'!$C$8,'att Data Entry'!$C$9))</f>
        <v>1</v>
      </c>
      <c r="O12" s="40">
        <f t="shared" si="2"/>
        <v>1</v>
      </c>
      <c r="P12" s="162">
        <f>IF('att Data Entry'!$D15="","",IF(Z12="TRUE",1,0))</f>
        <v>1</v>
      </c>
      <c r="Q12" s="441" t="str">
        <f>IF('att Data Entry'!H15="","",IF(M12="",T12,U12))</f>
        <v>TRUE</v>
      </c>
      <c r="R12" s="441" t="str">
        <f>IF('att Data Entry'!H15="","",IF(M12="",V12,W12))</f>
        <v>TRUE</v>
      </c>
      <c r="T12" s="40" t="str">
        <f>IF('att Data Entry'!H15="","",IF($E12+$F12+$I12+$J12=4,"TRUE",IF($E12+$F12+$I12+$J12=8,"TRUE","FALSE")))</f>
        <v>TRUE</v>
      </c>
      <c r="U12" s="40" t="str">
        <f>IF('att Data Entry'!K15="","",IF($E12+$F12+$I12+$J12+$M12+$N12=6,"TRUE",IF($E12+$F12+$I12+$J12+$M12+$N12=12,"TRUE","FALSE")))</f>
        <v>TRUE</v>
      </c>
      <c r="V12" s="40" t="str">
        <f>IF('att Data Entry'!H15="","",IF($E12+$F12+$I12+$J12+$D12=5,"TRUE",IF($E12+$F12+$I12+$J12+$D12=10,"TRUE","FALSE")))</f>
        <v>TRUE</v>
      </c>
      <c r="W12" s="40" t="str">
        <f>IF('att Data Entry'!K15="","",IF($E12+$F12+$I12+$J12+$M12+$N12+$D12=7,"TRUE",IF($E12+$F12+$I12+$J12+$M12+$N12+$D12=14,"TRUE","FALSE")))</f>
        <v>TRUE</v>
      </c>
      <c r="X12" s="40" t="str">
        <f>IF('att Data Entry'!D15="","",IF('att Calculations'!D12+'att Calculations'!E12+'att Calculations'!F12=3, "TRUE",IF('att Calculations'!D12+'att Calculations'!E12+'att Calculations'!F12=6,"TRUE","FALSE")))</f>
        <v>TRUE</v>
      </c>
      <c r="Y12" s="40" t="str">
        <f>IF('att Data Entry'!$D15="","",IF($D12+I12+J12=3, "TRUE",IF($D12+I12+J12=6,"TRUE","FALSE")))</f>
        <v>TRUE</v>
      </c>
      <c r="Z12" s="13" t="str">
        <f>IF('att Data Entry'!K15="","",IF('att Data Entry'!$D15="","",IF($D12+M12+N12=3, "TRUE",IF($D12+M12+N12=6,"TRUE","FALSE"))))</f>
        <v>TRUE</v>
      </c>
      <c r="AA12" s="443">
        <f t="shared" ref="AA12:AA75" si="3">IF($D12&lt;&gt;"",IF($D12=1,IF(E12=2,IF(F12=2,1,0),0),0),"")</f>
        <v>0</v>
      </c>
      <c r="AB12" s="443">
        <f t="shared" ref="AB12:AB75" si="4">IF($D12&lt;&gt;"",IF($D12=2,IF(F12=1,IF(G12=1,1,0),0),0),"")</f>
        <v>0</v>
      </c>
      <c r="AC12" s="443">
        <f t="shared" ref="AC12:AC75" si="5">IF($D12&lt;&gt;"",IF(E12&lt;&gt;F12,1,0),"")</f>
        <v>0</v>
      </c>
      <c r="AD12" s="443">
        <f t="shared" ref="AD12:AD75" si="6">IF($D12&lt;&gt;"",IF($D12=1,IF(I12=2,IF(J12=2,1,0),0),0),"")</f>
        <v>0</v>
      </c>
      <c r="AE12" s="443">
        <f t="shared" ref="AE12:AE75" si="7">IF($D12&lt;&gt;"",IF($D12=2,IF(I12=1,IF(J12=1,1,0),0),0),"")</f>
        <v>0</v>
      </c>
      <c r="AF12" s="443">
        <f>IF(D12&lt;&gt;"",IF(I12&lt;&gt;J12,1,0),"")</f>
        <v>0</v>
      </c>
      <c r="AG12" s="443">
        <f t="shared" ref="AG12:AG75" si="8">IF($D12&lt;&gt;"",IF($D12=1,IF(M12=2,IF(N12=2,1,0),0),0),"")</f>
        <v>0</v>
      </c>
      <c r="AH12" s="443">
        <f t="shared" ref="AH12:AH75" si="9">IF($D12&lt;&gt;"",IF($D12=2,IF(M12=1,IF(N12=1,1,0),0),0),"")</f>
        <v>0</v>
      </c>
      <c r="AI12" s="443">
        <f t="shared" ref="AI12:AI75" si="10">IF($D12&lt;&gt;"",IF(M12&lt;&gt;N12,1,0),"")</f>
        <v>0</v>
      </c>
    </row>
    <row r="13" spans="3:37" x14ac:dyDescent="0.25">
      <c r="C13" s="158">
        <v>3</v>
      </c>
      <c r="D13" s="440">
        <f>IF('att Data Entry'!D16="","",IF('att Data Entry'!D16='att Data Entry'!$D$8,'att Data Entry'!$C$8,'att Data Entry'!$C$9))</f>
        <v>2</v>
      </c>
      <c r="E13" s="40">
        <f>IF('att Data Entry'!E16="","",IF('att Data Entry'!E16='att Data Entry'!$D$8,'att Data Entry'!$C$8,'att Data Entry'!$C$9))</f>
        <v>1</v>
      </c>
      <c r="F13" s="162">
        <f>IF('att Data Entry'!F16="","",IF('att Data Entry'!F16='att Data Entry'!$D$8,'att Data Entry'!$C$8,'att Data Entry'!$C$9))</f>
        <v>1</v>
      </c>
      <c r="G13" s="40">
        <f t="shared" si="0"/>
        <v>1</v>
      </c>
      <c r="H13" s="162">
        <f>IF('att Data Entry'!$D16="","",IF(X13="TRUE",1,0))</f>
        <v>0</v>
      </c>
      <c r="I13" s="40">
        <f>IF('att Data Entry'!I16="","",IF('att Data Entry'!H16='att Data Entry'!$D$8,'att Data Entry'!$C$8,'att Data Entry'!$C$9))</f>
        <v>1</v>
      </c>
      <c r="J13" s="162">
        <f>IF('att Data Entry'!H16="","",IF('att Data Entry'!I16='att Data Entry'!$D$8,'att Data Entry'!$C$8,'att Data Entry'!$C$9))</f>
        <v>1</v>
      </c>
      <c r="K13" s="40">
        <f t="shared" si="1"/>
        <v>1</v>
      </c>
      <c r="L13" s="162">
        <f>IF('att Data Entry'!$D16="","",IF(Y13="TRUE",1,0))</f>
        <v>0</v>
      </c>
      <c r="M13" s="40">
        <f>IF('att Data Entry'!L16="","",IF('att Data Entry'!K16='att Data Entry'!$D$8,'att Data Entry'!$C$8,'att Data Entry'!$C$9))</f>
        <v>1</v>
      </c>
      <c r="N13" s="40">
        <f>IF('att Data Entry'!K16="","",IF('att Data Entry'!L16='att Data Entry'!$D$8,'att Data Entry'!$C$8,'att Data Entry'!$C$9))</f>
        <v>1</v>
      </c>
      <c r="O13" s="40">
        <f t="shared" si="2"/>
        <v>1</v>
      </c>
      <c r="P13" s="162">
        <f>IF('att Data Entry'!$D16="","",IF(Z13="TRUE",1,0))</f>
        <v>0</v>
      </c>
      <c r="Q13" s="441" t="str">
        <f>IF('att Data Entry'!H16="","",IF(M13="",T13,U13))</f>
        <v>TRUE</v>
      </c>
      <c r="R13" s="441" t="str">
        <f>IF('att Data Entry'!H16="","",IF(M13="",V13,W13))</f>
        <v>FALSE</v>
      </c>
      <c r="T13" s="40" t="str">
        <f>IF('att Data Entry'!H16="","",IF($E13+$F13+$I13+$J13=4,"TRUE",IF($E13+$F13+$I13+$J13=8,"TRUE","FALSE")))</f>
        <v>TRUE</v>
      </c>
      <c r="U13" s="40" t="str">
        <f>IF('att Data Entry'!K16="","",IF($E13+$F13+$I13+$J13+$M13+$N13=6,"TRUE",IF($E13+$F13+$I13+$J13+$M13+$N13=12,"TRUE","FALSE")))</f>
        <v>TRUE</v>
      </c>
      <c r="V13" s="40" t="str">
        <f>IF('att Data Entry'!H16="","",IF($E13+$F13+$I13+$J13+$D13=5,"TRUE",IF($E13+$F13+$I13+$J13+$D13=10,"TRUE","FALSE")))</f>
        <v>FALSE</v>
      </c>
      <c r="W13" s="40" t="str">
        <f>IF('att Data Entry'!K16="","",IF($E13+$F13+$I13+$J13+$M13+$N13+$D13=7,"TRUE",IF($E13+$F13+$I13+$J13+$M13+$N13+$D13=14,"TRUE","FALSE")))</f>
        <v>FALSE</v>
      </c>
      <c r="X13" s="40" t="str">
        <f>IF('att Data Entry'!D16="","",IF('att Calculations'!D13+'att Calculations'!E13+'att Calculations'!F13=3, "TRUE",IF('att Calculations'!D13+'att Calculations'!E13+'att Calculations'!F13=6,"TRUE","FALSE")))</f>
        <v>FALSE</v>
      </c>
      <c r="Y13" s="40" t="str">
        <f>IF('att Data Entry'!$D16="","",IF($D13+I13+J13=3, "TRUE",IF($D13+I13+J13=6,"TRUE","FALSE")))</f>
        <v>FALSE</v>
      </c>
      <c r="Z13" s="13" t="str">
        <f>IF('att Data Entry'!K16="","",IF('att Data Entry'!$D16="","",IF($D13+M13+N13=3, "TRUE",IF($D13+M13+N13=6,"TRUE","FALSE"))))</f>
        <v>FALSE</v>
      </c>
      <c r="AA13" s="443">
        <f t="shared" si="3"/>
        <v>0</v>
      </c>
      <c r="AB13" s="443">
        <f t="shared" si="4"/>
        <v>1</v>
      </c>
      <c r="AC13" s="443">
        <f t="shared" si="5"/>
        <v>0</v>
      </c>
      <c r="AD13" s="443">
        <f t="shared" si="6"/>
        <v>0</v>
      </c>
      <c r="AE13" s="443">
        <f t="shared" si="7"/>
        <v>1</v>
      </c>
      <c r="AF13" s="443">
        <f>IF(D13&lt;&gt;"",IF(I13&lt;&gt;J13,1,0),"")</f>
        <v>0</v>
      </c>
      <c r="AG13" s="443">
        <f t="shared" si="8"/>
        <v>0</v>
      </c>
      <c r="AH13" s="443">
        <f t="shared" si="9"/>
        <v>1</v>
      </c>
      <c r="AI13" s="443">
        <f t="shared" si="10"/>
        <v>0</v>
      </c>
    </row>
    <row r="14" spans="3:37" x14ac:dyDescent="0.25">
      <c r="C14" s="158">
        <v>4</v>
      </c>
      <c r="D14" s="440">
        <f>IF('att Data Entry'!D17="","",IF('att Data Entry'!D17='att Data Entry'!$D$8,'att Data Entry'!$C$8,'att Data Entry'!$C$9))</f>
        <v>1</v>
      </c>
      <c r="E14" s="40">
        <f>IF('att Data Entry'!E17="","",IF('att Data Entry'!E17='att Data Entry'!$D$8,'att Data Entry'!$C$8,'att Data Entry'!$C$9))</f>
        <v>1</v>
      </c>
      <c r="F14" s="162">
        <f>IF('att Data Entry'!F17="","",IF('att Data Entry'!F17='att Data Entry'!$D$8,'att Data Entry'!$C$8,'att Data Entry'!$C$9))</f>
        <v>1</v>
      </c>
      <c r="G14" s="40">
        <f t="shared" si="0"/>
        <v>1</v>
      </c>
      <c r="H14" s="162">
        <f>IF('att Data Entry'!$D17="","",IF(X14="TRUE",1,0))</f>
        <v>1</v>
      </c>
      <c r="I14" s="40">
        <f>IF('att Data Entry'!I17="","",IF('att Data Entry'!H17='att Data Entry'!$D$8,'att Data Entry'!$C$8,'att Data Entry'!$C$9))</f>
        <v>1</v>
      </c>
      <c r="J14" s="162">
        <f>IF('att Data Entry'!H17="","",IF('att Data Entry'!I17='att Data Entry'!$D$8,'att Data Entry'!$C$8,'att Data Entry'!$C$9))</f>
        <v>1</v>
      </c>
      <c r="K14" s="40">
        <f t="shared" si="1"/>
        <v>1</v>
      </c>
      <c r="L14" s="162">
        <f>IF('att Data Entry'!$D17="","",IF(Y14="TRUE",1,0))</f>
        <v>1</v>
      </c>
      <c r="M14" s="40">
        <f>IF('att Data Entry'!L17="","",IF('att Data Entry'!K17='att Data Entry'!$D$8,'att Data Entry'!$C$8,'att Data Entry'!$C$9))</f>
        <v>1</v>
      </c>
      <c r="N14" s="40">
        <f>IF('att Data Entry'!K17="","",IF('att Data Entry'!L17='att Data Entry'!$D$8,'att Data Entry'!$C$8,'att Data Entry'!$C$9))</f>
        <v>1</v>
      </c>
      <c r="O14" s="40">
        <f t="shared" si="2"/>
        <v>1</v>
      </c>
      <c r="P14" s="162">
        <f>IF('att Data Entry'!$D17="","",IF(Z14="TRUE",1,0))</f>
        <v>1</v>
      </c>
      <c r="Q14" s="441" t="str">
        <f>IF('att Data Entry'!H17="","",IF(M14="",T14,U14))</f>
        <v>TRUE</v>
      </c>
      <c r="R14" s="441" t="str">
        <f>IF('att Data Entry'!H17="","",IF(M14="",V14,W14))</f>
        <v>TRUE</v>
      </c>
      <c r="T14" s="40" t="str">
        <f>IF('att Data Entry'!H17="","",IF($E14+$F14+$I14+$J14=4,"TRUE",IF($E14+$F14+$I14+$J14=8,"TRUE","FALSE")))</f>
        <v>TRUE</v>
      </c>
      <c r="U14" s="40" t="str">
        <f>IF('att Data Entry'!K17="","",IF($E14+$F14+$I14+$J14+$M14+$N14=6,"TRUE",IF($E14+$F14+$I14+$J14+$M14+$N14=12,"TRUE","FALSE")))</f>
        <v>TRUE</v>
      </c>
      <c r="V14" s="40" t="str">
        <f>IF('att Data Entry'!H17="","",IF($E14+$F14+$I14+$J14+$D14=5,"TRUE",IF($E14+$F14+$I14+$J14+$D14=10,"TRUE","FALSE")))</f>
        <v>TRUE</v>
      </c>
      <c r="W14" s="40" t="str">
        <f>IF('att Data Entry'!K17="","",IF($E14+$F14+$I14+$J14+$M14+$N14+$D14=7,"TRUE",IF($E14+$F14+$I14+$J14+$M14+$N14+$D14=14,"TRUE","FALSE")))</f>
        <v>TRUE</v>
      </c>
      <c r="X14" s="40" t="str">
        <f>IF('att Data Entry'!D17="","",IF('att Calculations'!D14+'att Calculations'!E14+'att Calculations'!F14=3, "TRUE",IF('att Calculations'!D14+'att Calculations'!E14+'att Calculations'!F14=6,"TRUE","FALSE")))</f>
        <v>TRUE</v>
      </c>
      <c r="Y14" s="40" t="str">
        <f>IF('att Data Entry'!$D17="","",IF($D14+I14+J14=3, "TRUE",IF($D14+I14+J14=6,"TRUE","FALSE")))</f>
        <v>TRUE</v>
      </c>
      <c r="Z14" s="13" t="str">
        <f>IF('att Data Entry'!K17="","",IF('att Data Entry'!$D17="","",IF($D14+M14+N14=3, "TRUE",IF($D14+M14+N14=6,"TRUE","FALSE"))))</f>
        <v>TRUE</v>
      </c>
      <c r="AA14" s="443">
        <f t="shared" si="3"/>
        <v>0</v>
      </c>
      <c r="AB14" s="443">
        <f t="shared" si="4"/>
        <v>0</v>
      </c>
      <c r="AC14" s="443">
        <f t="shared" si="5"/>
        <v>0</v>
      </c>
      <c r="AD14" s="443">
        <f t="shared" si="6"/>
        <v>0</v>
      </c>
      <c r="AE14" s="443">
        <f t="shared" si="7"/>
        <v>0</v>
      </c>
      <c r="AF14" s="443">
        <f t="shared" ref="AF14:AF77" si="11">IF(D14&lt;&gt;"",IF(I14&lt;&gt;J14,1,0),"")</f>
        <v>0</v>
      </c>
      <c r="AG14" s="443">
        <f t="shared" si="8"/>
        <v>0</v>
      </c>
      <c r="AH14" s="443">
        <f t="shared" si="9"/>
        <v>0</v>
      </c>
      <c r="AI14" s="443">
        <f t="shared" si="10"/>
        <v>0</v>
      </c>
    </row>
    <row r="15" spans="3:37" x14ac:dyDescent="0.25">
      <c r="C15" s="158">
        <v>5</v>
      </c>
      <c r="D15" s="440">
        <f>IF('att Data Entry'!D18="","",IF('att Data Entry'!D18='att Data Entry'!$D$8,'att Data Entry'!$C$8,'att Data Entry'!$C$9))</f>
        <v>1</v>
      </c>
      <c r="E15" s="40">
        <f>IF('att Data Entry'!E18="","",IF('att Data Entry'!E18='att Data Entry'!$D$8,'att Data Entry'!$C$8,'att Data Entry'!$C$9))</f>
        <v>1</v>
      </c>
      <c r="F15" s="162">
        <f>IF('att Data Entry'!F18="","",IF('att Data Entry'!F18='att Data Entry'!$D$8,'att Data Entry'!$C$8,'att Data Entry'!$C$9))</f>
        <v>1</v>
      </c>
      <c r="G15" s="40">
        <f t="shared" si="0"/>
        <v>1</v>
      </c>
      <c r="H15" s="162">
        <f>IF('att Data Entry'!$D18="","",IF(X15="TRUE",1,0))</f>
        <v>1</v>
      </c>
      <c r="I15" s="40">
        <f>IF('att Data Entry'!I18="","",IF('att Data Entry'!H18='att Data Entry'!$D$8,'att Data Entry'!$C$8,'att Data Entry'!$C$9))</f>
        <v>1</v>
      </c>
      <c r="J15" s="162">
        <f>IF('att Data Entry'!H18="","",IF('att Data Entry'!I18='att Data Entry'!$D$8,'att Data Entry'!$C$8,'att Data Entry'!$C$9))</f>
        <v>1</v>
      </c>
      <c r="K15" s="40">
        <f t="shared" si="1"/>
        <v>1</v>
      </c>
      <c r="L15" s="162">
        <f>IF('att Data Entry'!$D18="","",IF(Y15="TRUE",1,0))</f>
        <v>1</v>
      </c>
      <c r="M15" s="40">
        <f>IF('att Data Entry'!L18="","",IF('att Data Entry'!K18='att Data Entry'!$D$8,'att Data Entry'!$C$8,'att Data Entry'!$C$9))</f>
        <v>1</v>
      </c>
      <c r="N15" s="40">
        <f>IF('att Data Entry'!K18="","",IF('att Data Entry'!L18='att Data Entry'!$D$8,'att Data Entry'!$C$8,'att Data Entry'!$C$9))</f>
        <v>1</v>
      </c>
      <c r="O15" s="40">
        <f t="shared" si="2"/>
        <v>1</v>
      </c>
      <c r="P15" s="162">
        <f>IF('att Data Entry'!$D18="","",IF(Z15="TRUE",1,0))</f>
        <v>1</v>
      </c>
      <c r="Q15" s="441" t="str">
        <f>IF('att Data Entry'!H18="","",IF(M15="",T15,U15))</f>
        <v>TRUE</v>
      </c>
      <c r="R15" s="441" t="str">
        <f>IF('att Data Entry'!H18="","",IF(M15="",V15,W15))</f>
        <v>TRUE</v>
      </c>
      <c r="T15" s="40" t="str">
        <f>IF('att Data Entry'!H18="","",IF($E15+$F15+$I15+$J15=4,"TRUE",IF($E15+$F15+$I15+$J15=8,"TRUE","FALSE")))</f>
        <v>TRUE</v>
      </c>
      <c r="U15" s="40" t="str">
        <f>IF('att Data Entry'!K18="","",IF($E15+$F15+$I15+$J15+$M15+$N15=6,"TRUE",IF($E15+$F15+$I15+$J15+$M15+$N15=12,"TRUE","FALSE")))</f>
        <v>TRUE</v>
      </c>
      <c r="V15" s="40" t="str">
        <f>IF('att Data Entry'!H18="","",IF($E15+$F15+$I15+$J15+$D15=5,"TRUE",IF($E15+$F15+$I15+$J15+$D15=10,"TRUE","FALSE")))</f>
        <v>TRUE</v>
      </c>
      <c r="W15" s="40" t="str">
        <f>IF('att Data Entry'!K18="","",IF($E15+$F15+$I15+$J15+$M15+$N15+$D15=7,"TRUE",IF($E15+$F15+$I15+$J15+$M15+$N15+$D15=14,"TRUE","FALSE")))</f>
        <v>TRUE</v>
      </c>
      <c r="X15" s="40" t="str">
        <f>IF('att Data Entry'!D18="","",IF('att Calculations'!D15+'att Calculations'!E15+'att Calculations'!F15=3, "TRUE",IF('att Calculations'!D15+'att Calculations'!E15+'att Calculations'!F15=6,"TRUE","FALSE")))</f>
        <v>TRUE</v>
      </c>
      <c r="Y15" s="40" t="str">
        <f>IF('att Data Entry'!$D18="","",IF($D15+I15+J15=3, "TRUE",IF($D15+I15+J15=6,"TRUE","FALSE")))</f>
        <v>TRUE</v>
      </c>
      <c r="Z15" s="13" t="str">
        <f>IF('att Data Entry'!K18="","",IF('att Data Entry'!$D18="","",IF($D15+M15+N15=3, "TRUE",IF($D15+M15+N15=6,"TRUE","FALSE"))))</f>
        <v>TRUE</v>
      </c>
      <c r="AA15" s="443">
        <f t="shared" si="3"/>
        <v>0</v>
      </c>
      <c r="AB15" s="443">
        <f t="shared" si="4"/>
        <v>0</v>
      </c>
      <c r="AC15" s="443">
        <f t="shared" si="5"/>
        <v>0</v>
      </c>
      <c r="AD15" s="443">
        <f t="shared" si="6"/>
        <v>0</v>
      </c>
      <c r="AE15" s="443">
        <f t="shared" si="7"/>
        <v>0</v>
      </c>
      <c r="AF15" s="443">
        <f t="shared" si="11"/>
        <v>0</v>
      </c>
      <c r="AG15" s="443">
        <f t="shared" si="8"/>
        <v>0</v>
      </c>
      <c r="AH15" s="443">
        <f t="shared" si="9"/>
        <v>0</v>
      </c>
      <c r="AI15" s="443">
        <f t="shared" si="10"/>
        <v>0</v>
      </c>
    </row>
    <row r="16" spans="3:37" x14ac:dyDescent="0.25">
      <c r="C16" s="158">
        <v>6</v>
      </c>
      <c r="D16" s="440">
        <f>IF('att Data Entry'!D19="","",IF('att Data Entry'!D19='att Data Entry'!$D$8,'att Data Entry'!$C$8,'att Data Entry'!$C$9))</f>
        <v>2</v>
      </c>
      <c r="E16" s="40">
        <f>IF('att Data Entry'!E19="","",IF('att Data Entry'!E19='att Data Entry'!$D$8,'att Data Entry'!$C$8,'att Data Entry'!$C$9))</f>
        <v>1</v>
      </c>
      <c r="F16" s="162">
        <f>IF('att Data Entry'!F19="","",IF('att Data Entry'!F19='att Data Entry'!$D$8,'att Data Entry'!$C$8,'att Data Entry'!$C$9))</f>
        <v>1</v>
      </c>
      <c r="G16" s="40">
        <f t="shared" si="0"/>
        <v>1</v>
      </c>
      <c r="H16" s="162">
        <f>IF('att Data Entry'!$D19="","",IF(X16="TRUE",1,0))</f>
        <v>0</v>
      </c>
      <c r="I16" s="40">
        <f>IF('att Data Entry'!I19="","",IF('att Data Entry'!H19='att Data Entry'!$D$8,'att Data Entry'!$C$8,'att Data Entry'!$C$9))</f>
        <v>1</v>
      </c>
      <c r="J16" s="162">
        <f>IF('att Data Entry'!H19="","",IF('att Data Entry'!I19='att Data Entry'!$D$8,'att Data Entry'!$C$8,'att Data Entry'!$C$9))</f>
        <v>1</v>
      </c>
      <c r="K16" s="40">
        <f t="shared" si="1"/>
        <v>1</v>
      </c>
      <c r="L16" s="162">
        <f>IF('att Data Entry'!$D19="","",IF(Y16="TRUE",1,0))</f>
        <v>0</v>
      </c>
      <c r="M16" s="40">
        <f>IF('att Data Entry'!L19="","",IF('att Data Entry'!K19='att Data Entry'!$D$8,'att Data Entry'!$C$8,'att Data Entry'!$C$9))</f>
        <v>1</v>
      </c>
      <c r="N16" s="40">
        <f>IF('att Data Entry'!K19="","",IF('att Data Entry'!L19='att Data Entry'!$D$8,'att Data Entry'!$C$8,'att Data Entry'!$C$9))</f>
        <v>1</v>
      </c>
      <c r="O16" s="40">
        <f t="shared" si="2"/>
        <v>1</v>
      </c>
      <c r="P16" s="162">
        <f>IF('att Data Entry'!$D19="","",IF(Z16="TRUE",1,0))</f>
        <v>0</v>
      </c>
      <c r="Q16" s="441" t="str">
        <f>IF('att Data Entry'!H19="","",IF(M16="",T16,U16))</f>
        <v>TRUE</v>
      </c>
      <c r="R16" s="441" t="str">
        <f>IF('att Data Entry'!H19="","",IF(M16="",V16,W16))</f>
        <v>FALSE</v>
      </c>
      <c r="T16" s="40" t="str">
        <f>IF('att Data Entry'!H19="","",IF($E16+$F16+$I16+$J16=4,"TRUE",IF($E16+$F16+$I16+$J16=8,"TRUE","FALSE")))</f>
        <v>TRUE</v>
      </c>
      <c r="U16" s="40" t="str">
        <f>IF('att Data Entry'!K19="","",IF($E16+$F16+$I16+$J16+$M16+$N16=6,"TRUE",IF($E16+$F16+$I16+$J16+$M16+$N16=12,"TRUE","FALSE")))</f>
        <v>TRUE</v>
      </c>
      <c r="V16" s="40" t="str">
        <f>IF('att Data Entry'!H19="","",IF($E16+$F16+$I16+$J16+$D16=5,"TRUE",IF($E16+$F16+$I16+$J16+$D16=10,"TRUE","FALSE")))</f>
        <v>FALSE</v>
      </c>
      <c r="W16" s="40" t="str">
        <f>IF('att Data Entry'!K19="","",IF($E16+$F16+$I16+$J16+$M16+$N16+$D16=7,"TRUE",IF($E16+$F16+$I16+$J16+$M16+$N16+$D16=14,"TRUE","FALSE")))</f>
        <v>FALSE</v>
      </c>
      <c r="X16" s="40" t="str">
        <f>IF('att Data Entry'!D19="","",IF('att Calculations'!D16+'att Calculations'!E16+'att Calculations'!F16=3, "TRUE",IF('att Calculations'!D16+'att Calculations'!E16+'att Calculations'!F16=6,"TRUE","FALSE")))</f>
        <v>FALSE</v>
      </c>
      <c r="Y16" s="40" t="str">
        <f>IF('att Data Entry'!$D19="","",IF($D16+I16+J16=3, "TRUE",IF($D16+I16+J16=6,"TRUE","FALSE")))</f>
        <v>FALSE</v>
      </c>
      <c r="Z16" s="13" t="str">
        <f>IF('att Data Entry'!K19="","",IF('att Data Entry'!$D19="","",IF($D16+M16+N16=3, "TRUE",IF($D16+M16+N16=6,"TRUE","FALSE"))))</f>
        <v>FALSE</v>
      </c>
      <c r="AA16" s="443">
        <f t="shared" si="3"/>
        <v>0</v>
      </c>
      <c r="AB16" s="443">
        <f t="shared" si="4"/>
        <v>1</v>
      </c>
      <c r="AC16" s="443">
        <f t="shared" si="5"/>
        <v>0</v>
      </c>
      <c r="AD16" s="443">
        <f t="shared" si="6"/>
        <v>0</v>
      </c>
      <c r="AE16" s="443">
        <f t="shared" si="7"/>
        <v>1</v>
      </c>
      <c r="AF16" s="443">
        <f t="shared" si="11"/>
        <v>0</v>
      </c>
      <c r="AG16" s="443">
        <f t="shared" si="8"/>
        <v>0</v>
      </c>
      <c r="AH16" s="443">
        <f t="shared" si="9"/>
        <v>1</v>
      </c>
      <c r="AI16" s="443">
        <f t="shared" si="10"/>
        <v>0</v>
      </c>
    </row>
    <row r="17" spans="3:35" x14ac:dyDescent="0.25">
      <c r="C17" s="158">
        <v>7</v>
      </c>
      <c r="D17" s="440">
        <f>IF('att Data Entry'!D20="","",IF('att Data Entry'!D20='att Data Entry'!$D$8,'att Data Entry'!$C$8,'att Data Entry'!$C$9))</f>
        <v>1</v>
      </c>
      <c r="E17" s="40">
        <f>IF('att Data Entry'!E20="","",IF('att Data Entry'!E20='att Data Entry'!$D$8,'att Data Entry'!$C$8,'att Data Entry'!$C$9))</f>
        <v>1</v>
      </c>
      <c r="F17" s="162">
        <f>IF('att Data Entry'!F20="","",IF('att Data Entry'!F20='att Data Entry'!$D$8,'att Data Entry'!$C$8,'att Data Entry'!$C$9))</f>
        <v>1</v>
      </c>
      <c r="G17" s="40">
        <f t="shared" si="0"/>
        <v>1</v>
      </c>
      <c r="H17" s="162">
        <f>IF('att Data Entry'!$D20="","",IF(X17="TRUE",1,0))</f>
        <v>1</v>
      </c>
      <c r="I17" s="40">
        <f>IF('att Data Entry'!I20="","",IF('att Data Entry'!H20='att Data Entry'!$D$8,'att Data Entry'!$C$8,'att Data Entry'!$C$9))</f>
        <v>1</v>
      </c>
      <c r="J17" s="162">
        <f>IF('att Data Entry'!H20="","",IF('att Data Entry'!I20='att Data Entry'!$D$8,'att Data Entry'!$C$8,'att Data Entry'!$C$9))</f>
        <v>1</v>
      </c>
      <c r="K17" s="40">
        <f t="shared" si="1"/>
        <v>1</v>
      </c>
      <c r="L17" s="162">
        <f>IF('att Data Entry'!$D20="","",IF(Y17="TRUE",1,0))</f>
        <v>1</v>
      </c>
      <c r="M17" s="40">
        <f>IF('att Data Entry'!L20="","",IF('att Data Entry'!K20='att Data Entry'!$D$8,'att Data Entry'!$C$8,'att Data Entry'!$C$9))</f>
        <v>1</v>
      </c>
      <c r="N17" s="40">
        <f>IF('att Data Entry'!K20="","",IF('att Data Entry'!L20='att Data Entry'!$D$8,'att Data Entry'!$C$8,'att Data Entry'!$C$9))</f>
        <v>1</v>
      </c>
      <c r="O17" s="40">
        <f t="shared" si="2"/>
        <v>1</v>
      </c>
      <c r="P17" s="162">
        <f>IF('att Data Entry'!$D20="","",IF(Z17="TRUE",1,0))</f>
        <v>1</v>
      </c>
      <c r="Q17" s="441" t="str">
        <f>IF('att Data Entry'!H20="","",IF(M17="",T17,U17))</f>
        <v>TRUE</v>
      </c>
      <c r="R17" s="441" t="str">
        <f>IF('att Data Entry'!H20="","",IF(M17="",V17,W17))</f>
        <v>TRUE</v>
      </c>
      <c r="T17" s="40" t="str">
        <f>IF('att Data Entry'!H20="","",IF($E17+$F17+$I17+$J17=4,"TRUE",IF($E17+$F17+$I17+$J17=8,"TRUE","FALSE")))</f>
        <v>TRUE</v>
      </c>
      <c r="U17" s="40" t="str">
        <f>IF('att Data Entry'!K20="","",IF($E17+$F17+$I17+$J17+$M17+$N17=6,"TRUE",IF($E17+$F17+$I17+$J17+$M17+$N17=12,"TRUE","FALSE")))</f>
        <v>TRUE</v>
      </c>
      <c r="V17" s="40" t="str">
        <f>IF('att Data Entry'!H20="","",IF($E17+$F17+$I17+$J17+$D17=5,"TRUE",IF($E17+$F17+$I17+$J17+$D17=10,"TRUE","FALSE")))</f>
        <v>TRUE</v>
      </c>
      <c r="W17" s="40" t="str">
        <f>IF('att Data Entry'!K20="","",IF($E17+$F17+$I17+$J17+$M17+$N17+$D17=7,"TRUE",IF($E17+$F17+$I17+$J17+$M17+$N17+$D17=14,"TRUE","FALSE")))</f>
        <v>TRUE</v>
      </c>
      <c r="X17" s="40" t="str">
        <f>IF('att Data Entry'!D20="","",IF('att Calculations'!D17+'att Calculations'!E17+'att Calculations'!F17=3, "TRUE",IF('att Calculations'!D17+'att Calculations'!E17+'att Calculations'!F17=6,"TRUE","FALSE")))</f>
        <v>TRUE</v>
      </c>
      <c r="Y17" s="40" t="str">
        <f>IF('att Data Entry'!$D20="","",IF($D17+I17+J17=3, "TRUE",IF($D17+I17+J17=6,"TRUE","FALSE")))</f>
        <v>TRUE</v>
      </c>
      <c r="Z17" s="13" t="str">
        <f>IF('att Data Entry'!K20="","",IF('att Data Entry'!$D20="","",IF($D17+M17+N17=3, "TRUE",IF($D17+M17+N17=6,"TRUE","FALSE"))))</f>
        <v>TRUE</v>
      </c>
      <c r="AA17" s="443">
        <f t="shared" si="3"/>
        <v>0</v>
      </c>
      <c r="AB17" s="443">
        <f t="shared" si="4"/>
        <v>0</v>
      </c>
      <c r="AC17" s="443">
        <f t="shared" si="5"/>
        <v>0</v>
      </c>
      <c r="AD17" s="443">
        <f t="shared" si="6"/>
        <v>0</v>
      </c>
      <c r="AE17" s="443">
        <f t="shared" si="7"/>
        <v>0</v>
      </c>
      <c r="AF17" s="443">
        <f t="shared" si="11"/>
        <v>0</v>
      </c>
      <c r="AG17" s="443">
        <f t="shared" si="8"/>
        <v>0</v>
      </c>
      <c r="AH17" s="443">
        <f t="shared" si="9"/>
        <v>0</v>
      </c>
      <c r="AI17" s="443">
        <f t="shared" si="10"/>
        <v>0</v>
      </c>
    </row>
    <row r="18" spans="3:35" x14ac:dyDescent="0.25">
      <c r="C18" s="158">
        <v>8</v>
      </c>
      <c r="D18" s="440">
        <f>IF('att Data Entry'!D21="","",IF('att Data Entry'!D21='att Data Entry'!$D$8,'att Data Entry'!$C$8,'att Data Entry'!$C$9))</f>
        <v>1</v>
      </c>
      <c r="E18" s="40">
        <f>IF('att Data Entry'!E21="","",IF('att Data Entry'!E21='att Data Entry'!$D$8,'att Data Entry'!$C$8,'att Data Entry'!$C$9))</f>
        <v>1</v>
      </c>
      <c r="F18" s="162">
        <f>IF('att Data Entry'!F21="","",IF('att Data Entry'!F21='att Data Entry'!$D$8,'att Data Entry'!$C$8,'att Data Entry'!$C$9))</f>
        <v>1</v>
      </c>
      <c r="G18" s="40">
        <f t="shared" si="0"/>
        <v>1</v>
      </c>
      <c r="H18" s="162">
        <f>IF('att Data Entry'!$D21="","",IF(X18="TRUE",1,0))</f>
        <v>1</v>
      </c>
      <c r="I18" s="40">
        <f>IF('att Data Entry'!I21="","",IF('att Data Entry'!H21='att Data Entry'!$D$8,'att Data Entry'!$C$8,'att Data Entry'!$C$9))</f>
        <v>1</v>
      </c>
      <c r="J18" s="162">
        <f>IF('att Data Entry'!H21="","",IF('att Data Entry'!I21='att Data Entry'!$D$8,'att Data Entry'!$C$8,'att Data Entry'!$C$9))</f>
        <v>1</v>
      </c>
      <c r="K18" s="40">
        <f t="shared" si="1"/>
        <v>1</v>
      </c>
      <c r="L18" s="162">
        <f>IF('att Data Entry'!$D21="","",IF(Y18="TRUE",1,0))</f>
        <v>1</v>
      </c>
      <c r="M18" s="40">
        <f>IF('att Data Entry'!L21="","",IF('att Data Entry'!K21='att Data Entry'!$D$8,'att Data Entry'!$C$8,'att Data Entry'!$C$9))</f>
        <v>1</v>
      </c>
      <c r="N18" s="40">
        <f>IF('att Data Entry'!K21="","",IF('att Data Entry'!L21='att Data Entry'!$D$8,'att Data Entry'!$C$8,'att Data Entry'!$C$9))</f>
        <v>1</v>
      </c>
      <c r="O18" s="40">
        <f t="shared" si="2"/>
        <v>1</v>
      </c>
      <c r="P18" s="162">
        <f>IF('att Data Entry'!$D21="","",IF(Z18="TRUE",1,0))</f>
        <v>1</v>
      </c>
      <c r="Q18" s="441" t="str">
        <f>IF('att Data Entry'!H21="","",IF(M18="",T18,U18))</f>
        <v>TRUE</v>
      </c>
      <c r="R18" s="441" t="str">
        <f>IF('att Data Entry'!H21="","",IF(M18="",V18,W18))</f>
        <v>TRUE</v>
      </c>
      <c r="T18" s="40" t="str">
        <f>IF('att Data Entry'!H21="","",IF($E18+$F18+$I18+$J18=4,"TRUE",IF($E18+$F18+$I18+$J18=8,"TRUE","FALSE")))</f>
        <v>TRUE</v>
      </c>
      <c r="U18" s="40" t="str">
        <f>IF('att Data Entry'!K21="","",IF($E18+$F18+$I18+$J18+$M18+$N18=6,"TRUE",IF($E18+$F18+$I18+$J18+$M18+$N18=12,"TRUE","FALSE")))</f>
        <v>TRUE</v>
      </c>
      <c r="V18" s="40" t="str">
        <f>IF('att Data Entry'!H21="","",IF($E18+$F18+$I18+$J18+$D18=5,"TRUE",IF($E18+$F18+$I18+$J18+$D18=10,"TRUE","FALSE")))</f>
        <v>TRUE</v>
      </c>
      <c r="W18" s="40" t="str">
        <f>IF('att Data Entry'!K21="","",IF($E18+$F18+$I18+$J18+$M18+$N18+$D18=7,"TRUE",IF($E18+$F18+$I18+$J18+$M18+$N18+$D18=14,"TRUE","FALSE")))</f>
        <v>TRUE</v>
      </c>
      <c r="X18" s="40" t="str">
        <f>IF('att Data Entry'!D21="","",IF('att Calculations'!D18+'att Calculations'!E18+'att Calculations'!F18=3, "TRUE",IF('att Calculations'!D18+'att Calculations'!E18+'att Calculations'!F18=6,"TRUE","FALSE")))</f>
        <v>TRUE</v>
      </c>
      <c r="Y18" s="40" t="str">
        <f>IF('att Data Entry'!$D21="","",IF($D18+I18+J18=3, "TRUE",IF($D18+I18+J18=6,"TRUE","FALSE")))</f>
        <v>TRUE</v>
      </c>
      <c r="Z18" s="13" t="str">
        <f>IF('att Data Entry'!K21="","",IF('att Data Entry'!$D21="","",IF($D18+M18+N18=3, "TRUE",IF($D18+M18+N18=6,"TRUE","FALSE"))))</f>
        <v>TRUE</v>
      </c>
      <c r="AA18" s="443">
        <f t="shared" si="3"/>
        <v>0</v>
      </c>
      <c r="AB18" s="443">
        <f t="shared" si="4"/>
        <v>0</v>
      </c>
      <c r="AC18" s="443">
        <f t="shared" si="5"/>
        <v>0</v>
      </c>
      <c r="AD18" s="443">
        <f t="shared" si="6"/>
        <v>0</v>
      </c>
      <c r="AE18" s="443">
        <f t="shared" si="7"/>
        <v>0</v>
      </c>
      <c r="AF18" s="443">
        <f t="shared" si="11"/>
        <v>0</v>
      </c>
      <c r="AG18" s="443">
        <f t="shared" si="8"/>
        <v>0</v>
      </c>
      <c r="AH18" s="443">
        <f t="shared" si="9"/>
        <v>0</v>
      </c>
      <c r="AI18" s="443">
        <f t="shared" si="10"/>
        <v>0</v>
      </c>
    </row>
    <row r="19" spans="3:35" x14ac:dyDescent="0.25">
      <c r="C19" s="158">
        <v>9</v>
      </c>
      <c r="D19" s="440">
        <f>IF('att Data Entry'!D22="","",IF('att Data Entry'!D22='att Data Entry'!$D$8,'att Data Entry'!$C$8,'att Data Entry'!$C$9))</f>
        <v>1</v>
      </c>
      <c r="E19" s="40">
        <f>IF('att Data Entry'!E22="","",IF('att Data Entry'!E22='att Data Entry'!$D$8,'att Data Entry'!$C$8,'att Data Entry'!$C$9))</f>
        <v>1</v>
      </c>
      <c r="F19" s="162">
        <f>IF('att Data Entry'!F22="","",IF('att Data Entry'!F22='att Data Entry'!$D$8,'att Data Entry'!$C$8,'att Data Entry'!$C$9))</f>
        <v>1</v>
      </c>
      <c r="G19" s="40">
        <f t="shared" si="0"/>
        <v>1</v>
      </c>
      <c r="H19" s="162">
        <f>IF('att Data Entry'!$D22="","",IF(X19="TRUE",1,0))</f>
        <v>1</v>
      </c>
      <c r="I19" s="40">
        <f>IF('att Data Entry'!I22="","",IF('att Data Entry'!H22='att Data Entry'!$D$8,'att Data Entry'!$C$8,'att Data Entry'!$C$9))</f>
        <v>1</v>
      </c>
      <c r="J19" s="162">
        <f>IF('att Data Entry'!H22="","",IF('att Data Entry'!I22='att Data Entry'!$D$8,'att Data Entry'!$C$8,'att Data Entry'!$C$9))</f>
        <v>1</v>
      </c>
      <c r="K19" s="40">
        <f t="shared" si="1"/>
        <v>1</v>
      </c>
      <c r="L19" s="162">
        <f>IF('att Data Entry'!$D22="","",IF(Y19="TRUE",1,0))</f>
        <v>1</v>
      </c>
      <c r="M19" s="40">
        <f>IF('att Data Entry'!L22="","",IF('att Data Entry'!K22='att Data Entry'!$D$8,'att Data Entry'!$C$8,'att Data Entry'!$C$9))</f>
        <v>1</v>
      </c>
      <c r="N19" s="40">
        <f>IF('att Data Entry'!K22="","",IF('att Data Entry'!L22='att Data Entry'!$D$8,'att Data Entry'!$C$8,'att Data Entry'!$C$9))</f>
        <v>1</v>
      </c>
      <c r="O19" s="40">
        <f t="shared" si="2"/>
        <v>1</v>
      </c>
      <c r="P19" s="162">
        <f>IF('att Data Entry'!$D22="","",IF(Z19="TRUE",1,0))</f>
        <v>1</v>
      </c>
      <c r="Q19" s="441" t="str">
        <f>IF('att Data Entry'!H22="","",IF(M19="",T19,U19))</f>
        <v>TRUE</v>
      </c>
      <c r="R19" s="441" t="str">
        <f>IF('att Data Entry'!H22="","",IF(M19="",V19,W19))</f>
        <v>TRUE</v>
      </c>
      <c r="T19" s="40" t="str">
        <f>IF('att Data Entry'!H22="","",IF($E19+$F19+$I19+$J19=4,"TRUE",IF($E19+$F19+$I19+$J19=8,"TRUE","FALSE")))</f>
        <v>TRUE</v>
      </c>
      <c r="U19" s="40" t="str">
        <f>IF('att Data Entry'!K22="","",IF($E19+$F19+$I19+$J19+$M19+$N19=6,"TRUE",IF($E19+$F19+$I19+$J19+$M19+$N19=12,"TRUE","FALSE")))</f>
        <v>TRUE</v>
      </c>
      <c r="V19" s="40" t="str">
        <f>IF('att Data Entry'!H22="","",IF($E19+$F19+$I19+$J19+$D19=5,"TRUE",IF($E19+$F19+$I19+$J19+$D19=10,"TRUE","FALSE")))</f>
        <v>TRUE</v>
      </c>
      <c r="W19" s="40" t="str">
        <f>IF('att Data Entry'!K22="","",IF($E19+$F19+$I19+$J19+$M19+$N19+$D19=7,"TRUE",IF($E19+$F19+$I19+$J19+$M19+$N19+$D19=14,"TRUE","FALSE")))</f>
        <v>TRUE</v>
      </c>
      <c r="X19" s="40" t="str">
        <f>IF('att Data Entry'!D22="","",IF('att Calculations'!D19+'att Calculations'!E19+'att Calculations'!F19=3, "TRUE",IF('att Calculations'!D19+'att Calculations'!E19+'att Calculations'!F19=6,"TRUE","FALSE")))</f>
        <v>TRUE</v>
      </c>
      <c r="Y19" s="40" t="str">
        <f>IF('att Data Entry'!$D22="","",IF($D19+I19+J19=3, "TRUE",IF($D19+I19+J19=6,"TRUE","FALSE")))</f>
        <v>TRUE</v>
      </c>
      <c r="Z19" s="13" t="str">
        <f>IF('att Data Entry'!K22="","",IF('att Data Entry'!$D22="","",IF($D19+M19+N19=3, "TRUE",IF($D19+M19+N19=6,"TRUE","FALSE"))))</f>
        <v>TRUE</v>
      </c>
      <c r="AA19" s="443">
        <f t="shared" si="3"/>
        <v>0</v>
      </c>
      <c r="AB19" s="443">
        <f t="shared" si="4"/>
        <v>0</v>
      </c>
      <c r="AC19" s="443">
        <f t="shared" si="5"/>
        <v>0</v>
      </c>
      <c r="AD19" s="443">
        <f t="shared" si="6"/>
        <v>0</v>
      </c>
      <c r="AE19" s="443">
        <f t="shared" si="7"/>
        <v>0</v>
      </c>
      <c r="AF19" s="443">
        <f t="shared" si="11"/>
        <v>0</v>
      </c>
      <c r="AG19" s="443">
        <f t="shared" si="8"/>
        <v>0</v>
      </c>
      <c r="AH19" s="443">
        <f t="shared" si="9"/>
        <v>0</v>
      </c>
      <c r="AI19" s="443">
        <f t="shared" si="10"/>
        <v>0</v>
      </c>
    </row>
    <row r="20" spans="3:35" x14ac:dyDescent="0.25">
      <c r="C20" s="158">
        <v>10</v>
      </c>
      <c r="D20" s="440">
        <f>IF('att Data Entry'!D23="","",IF('att Data Entry'!D23='att Data Entry'!$D$8,'att Data Entry'!$C$8,'att Data Entry'!$C$9))</f>
        <v>2</v>
      </c>
      <c r="E20" s="40">
        <f>IF('att Data Entry'!E23="","",IF('att Data Entry'!E23='att Data Entry'!$D$8,'att Data Entry'!$C$8,'att Data Entry'!$C$9))</f>
        <v>1</v>
      </c>
      <c r="F20" s="162">
        <f>IF('att Data Entry'!F23="","",IF('att Data Entry'!F23='att Data Entry'!$D$8,'att Data Entry'!$C$8,'att Data Entry'!$C$9))</f>
        <v>1</v>
      </c>
      <c r="G20" s="40">
        <f t="shared" si="0"/>
        <v>1</v>
      </c>
      <c r="H20" s="162">
        <f>IF('att Data Entry'!$D23="","",IF(X20="TRUE",1,0))</f>
        <v>0</v>
      </c>
      <c r="I20" s="40">
        <f>IF('att Data Entry'!I23="","",IF('att Data Entry'!H23='att Data Entry'!$D$8,'att Data Entry'!$C$8,'att Data Entry'!$C$9))</f>
        <v>1</v>
      </c>
      <c r="J20" s="162">
        <f>IF('att Data Entry'!H23="","",IF('att Data Entry'!I23='att Data Entry'!$D$8,'att Data Entry'!$C$8,'att Data Entry'!$C$9))</f>
        <v>1</v>
      </c>
      <c r="K20" s="40">
        <f t="shared" si="1"/>
        <v>1</v>
      </c>
      <c r="L20" s="162">
        <f>IF('att Data Entry'!$D23="","",IF(Y20="TRUE",1,0))</f>
        <v>0</v>
      </c>
      <c r="M20" s="40">
        <f>IF('att Data Entry'!L23="","",IF('att Data Entry'!K23='att Data Entry'!$D$8,'att Data Entry'!$C$8,'att Data Entry'!$C$9))</f>
        <v>1</v>
      </c>
      <c r="N20" s="40">
        <f>IF('att Data Entry'!K23="","",IF('att Data Entry'!L23='att Data Entry'!$D$8,'att Data Entry'!$C$8,'att Data Entry'!$C$9))</f>
        <v>1</v>
      </c>
      <c r="O20" s="40">
        <f t="shared" si="2"/>
        <v>1</v>
      </c>
      <c r="P20" s="162">
        <f>IF('att Data Entry'!$D23="","",IF(Z20="TRUE",1,0))</f>
        <v>0</v>
      </c>
      <c r="Q20" s="441" t="str">
        <f>IF('att Data Entry'!H23="","",IF(M20="",T20,U20))</f>
        <v>TRUE</v>
      </c>
      <c r="R20" s="441" t="str">
        <f>IF('att Data Entry'!H23="","",IF(M20="",V20,W20))</f>
        <v>FALSE</v>
      </c>
      <c r="T20" s="40" t="str">
        <f>IF('att Data Entry'!H23="","",IF($E20+$F20+$I20+$J20=4,"TRUE",IF($E20+$F20+$I20+$J20=8,"TRUE","FALSE")))</f>
        <v>TRUE</v>
      </c>
      <c r="U20" s="40" t="str">
        <f>IF('att Data Entry'!K23="","",IF($E20+$F20+$I20+$J20+$M20+$N20=6,"TRUE",IF($E20+$F20+$I20+$J20+$M20+$N20=12,"TRUE","FALSE")))</f>
        <v>TRUE</v>
      </c>
      <c r="V20" s="40" t="str">
        <f>IF('att Data Entry'!H23="","",IF($E20+$F20+$I20+$J20+$D20=5,"TRUE",IF($E20+$F20+$I20+$J20+$D20=10,"TRUE","FALSE")))</f>
        <v>FALSE</v>
      </c>
      <c r="W20" s="40" t="str">
        <f>IF('att Data Entry'!K23="","",IF($E20+$F20+$I20+$J20+$M20+$N20+$D20=7,"TRUE",IF($E20+$F20+$I20+$J20+$M20+$N20+$D20=14,"TRUE","FALSE")))</f>
        <v>FALSE</v>
      </c>
      <c r="X20" s="40" t="str">
        <f>IF('att Data Entry'!D23="","",IF('att Calculations'!D20+'att Calculations'!E20+'att Calculations'!F20=3, "TRUE",IF('att Calculations'!D20+'att Calculations'!E20+'att Calculations'!F20=6,"TRUE","FALSE")))</f>
        <v>FALSE</v>
      </c>
      <c r="Y20" s="40" t="str">
        <f>IF('att Data Entry'!$D23="","",IF($D20+I20+J20=3, "TRUE",IF($D20+I20+J20=6,"TRUE","FALSE")))</f>
        <v>FALSE</v>
      </c>
      <c r="Z20" s="13" t="str">
        <f>IF('att Data Entry'!K23="","",IF('att Data Entry'!$D23="","",IF($D20+M20+N20=3, "TRUE",IF($D20+M20+N20=6,"TRUE","FALSE"))))</f>
        <v>FALSE</v>
      </c>
      <c r="AA20" s="443">
        <f t="shared" si="3"/>
        <v>0</v>
      </c>
      <c r="AB20" s="443">
        <f t="shared" si="4"/>
        <v>1</v>
      </c>
      <c r="AC20" s="443">
        <f t="shared" si="5"/>
        <v>0</v>
      </c>
      <c r="AD20" s="443">
        <f t="shared" si="6"/>
        <v>0</v>
      </c>
      <c r="AE20" s="443">
        <f t="shared" si="7"/>
        <v>1</v>
      </c>
      <c r="AF20" s="443">
        <f t="shared" si="11"/>
        <v>0</v>
      </c>
      <c r="AG20" s="443">
        <f t="shared" si="8"/>
        <v>0</v>
      </c>
      <c r="AH20" s="443">
        <f t="shared" si="9"/>
        <v>1</v>
      </c>
      <c r="AI20" s="443">
        <f t="shared" si="10"/>
        <v>0</v>
      </c>
    </row>
    <row r="21" spans="3:35" x14ac:dyDescent="0.25">
      <c r="C21" s="158">
        <v>11</v>
      </c>
      <c r="D21" s="440" t="str">
        <f>IF('att Data Entry'!D24="","",IF('att Data Entry'!D24='att Data Entry'!$D$8,'att Data Entry'!$C$8,'att Data Entry'!$C$9))</f>
        <v/>
      </c>
      <c r="E21" s="40" t="str">
        <f>IF('att Data Entry'!E24="","",IF('att Data Entry'!E24='att Data Entry'!$D$8,'att Data Entry'!$C$8,'att Data Entry'!$C$9))</f>
        <v/>
      </c>
      <c r="F21" s="162" t="str">
        <f>IF('att Data Entry'!F24="","",IF('att Data Entry'!F24='att Data Entry'!$D$8,'att Data Entry'!$C$8,'att Data Entry'!$C$9))</f>
        <v/>
      </c>
      <c r="G21" s="40" t="str">
        <f t="shared" si="0"/>
        <v/>
      </c>
      <c r="H21" s="162" t="str">
        <f>IF('att Data Entry'!$D24="","",IF(X21="TRUE",1,0))</f>
        <v/>
      </c>
      <c r="I21" s="40" t="str">
        <f>IF('att Data Entry'!I24="","",IF('att Data Entry'!H24='att Data Entry'!$D$8,'att Data Entry'!$C$8,'att Data Entry'!$C$9))</f>
        <v/>
      </c>
      <c r="J21" s="162" t="str">
        <f>IF('att Data Entry'!H24="","",IF('att Data Entry'!I24='att Data Entry'!$D$8,'att Data Entry'!$C$8,'att Data Entry'!$C$9))</f>
        <v/>
      </c>
      <c r="K21" s="40" t="str">
        <f t="shared" si="1"/>
        <v/>
      </c>
      <c r="L21" s="162" t="str">
        <f>IF('att Data Entry'!$D24="","",IF(Y21="TRUE",1,0))</f>
        <v/>
      </c>
      <c r="M21" s="40" t="str">
        <f>IF('att Data Entry'!L24="","",IF('att Data Entry'!K24='att Data Entry'!$D$8,'att Data Entry'!$C$8,'att Data Entry'!$C$9))</f>
        <v/>
      </c>
      <c r="N21" s="40" t="str">
        <f>IF('att Data Entry'!K24="","",IF('att Data Entry'!L24='att Data Entry'!$D$8,'att Data Entry'!$C$8,'att Data Entry'!$C$9))</f>
        <v/>
      </c>
      <c r="O21" s="40" t="str">
        <f t="shared" si="2"/>
        <v/>
      </c>
      <c r="P21" s="162" t="str">
        <f>IF('att Data Entry'!$D24="","",IF(Z21="TRUE",1,0))</f>
        <v/>
      </c>
      <c r="Q21" s="441" t="str">
        <f>IF('att Data Entry'!H24="","",IF(M21="",T21,U21))</f>
        <v/>
      </c>
      <c r="R21" s="441" t="str">
        <f>IF('att Data Entry'!H24="","",IF(M21="",V21,W21))</f>
        <v/>
      </c>
      <c r="T21" s="40" t="str">
        <f>IF('att Data Entry'!H24="","",IF($E21+$F21+$I21+$J21=4,"TRUE",IF($E21+$F21+$I21+$J21=8,"TRUE","FALSE")))</f>
        <v/>
      </c>
      <c r="U21" s="40" t="str">
        <f>IF('att Data Entry'!K24="","",IF($E21+$F21+$I21+$J21+$M21+$N21=6,"TRUE",IF($E21+$F21+$I21+$J21+$M21+$N21=12,"TRUE","FALSE")))</f>
        <v/>
      </c>
      <c r="V21" s="40" t="str">
        <f>IF('att Data Entry'!H24="","",IF($E21+$F21+$I21+$J21+$D21=5,"TRUE",IF($E21+$F21+$I21+$J21+$D21=10,"TRUE","FALSE")))</f>
        <v/>
      </c>
      <c r="W21" s="40" t="str">
        <f>IF('att Data Entry'!K24="","",IF($E21+$F21+$I21+$J21+$M21+$N21+$D21=7,"TRUE",IF($E21+$F21+$I21+$J21+$M21+$N21+$D21=14,"TRUE","FALSE")))</f>
        <v/>
      </c>
      <c r="X21" s="40" t="str">
        <f>IF('att Data Entry'!D24="","",IF('att Calculations'!D21+'att Calculations'!E21+'att Calculations'!F21=3, "TRUE",IF('att Calculations'!D21+'att Calculations'!E21+'att Calculations'!F21=6,"TRUE","FALSE")))</f>
        <v/>
      </c>
      <c r="Y21" s="40" t="str">
        <f>IF('att Data Entry'!$D24="","",IF($D21+I21+J21=3, "TRUE",IF($D21+I21+J21=6,"TRUE","FALSE")))</f>
        <v/>
      </c>
      <c r="Z21" s="13" t="str">
        <f>IF('att Data Entry'!K24="","",IF('att Data Entry'!$D24="","",IF($D21+M21+N21=3, "TRUE",IF($D21+M21+N21=6,"TRUE","FALSE"))))</f>
        <v/>
      </c>
      <c r="AA21" s="443" t="str">
        <f t="shared" si="3"/>
        <v/>
      </c>
      <c r="AB21" s="443" t="str">
        <f t="shared" si="4"/>
        <v/>
      </c>
      <c r="AC21" s="443" t="str">
        <f t="shared" si="5"/>
        <v/>
      </c>
      <c r="AD21" s="443" t="str">
        <f t="shared" si="6"/>
        <v/>
      </c>
      <c r="AE21" s="443" t="str">
        <f t="shared" si="7"/>
        <v/>
      </c>
      <c r="AF21" s="443" t="str">
        <f t="shared" si="11"/>
        <v/>
      </c>
      <c r="AG21" s="443" t="str">
        <f t="shared" si="8"/>
        <v/>
      </c>
      <c r="AH21" s="443" t="str">
        <f t="shared" si="9"/>
        <v/>
      </c>
      <c r="AI21" s="443" t="str">
        <f t="shared" si="10"/>
        <v/>
      </c>
    </row>
    <row r="22" spans="3:35" x14ac:dyDescent="0.25">
      <c r="C22" s="158">
        <v>12</v>
      </c>
      <c r="D22" s="440" t="str">
        <f>IF('att Data Entry'!D25="","",IF('att Data Entry'!D25='att Data Entry'!$D$8,'att Data Entry'!$C$8,'att Data Entry'!$C$9))</f>
        <v/>
      </c>
      <c r="E22" s="40" t="str">
        <f>IF('att Data Entry'!E25="","",IF('att Data Entry'!E25='att Data Entry'!$D$8,'att Data Entry'!$C$8,'att Data Entry'!$C$9))</f>
        <v/>
      </c>
      <c r="F22" s="162" t="str">
        <f>IF('att Data Entry'!F25="","",IF('att Data Entry'!F25='att Data Entry'!$D$8,'att Data Entry'!$C$8,'att Data Entry'!$C$9))</f>
        <v/>
      </c>
      <c r="G22" s="40" t="str">
        <f t="shared" si="0"/>
        <v/>
      </c>
      <c r="H22" s="162" t="str">
        <f>IF('att Data Entry'!$D25="","",IF(X22="TRUE",1,0))</f>
        <v/>
      </c>
      <c r="I22" s="40" t="str">
        <f>IF('att Data Entry'!I25="","",IF('att Data Entry'!H25='att Data Entry'!$D$8,'att Data Entry'!$C$8,'att Data Entry'!$C$9))</f>
        <v/>
      </c>
      <c r="J22" s="162" t="str">
        <f>IF('att Data Entry'!H25="","",IF('att Data Entry'!I25='att Data Entry'!$D$8,'att Data Entry'!$C$8,'att Data Entry'!$C$9))</f>
        <v/>
      </c>
      <c r="K22" s="40" t="str">
        <f t="shared" si="1"/>
        <v/>
      </c>
      <c r="L22" s="162" t="str">
        <f>IF('att Data Entry'!$D25="","",IF(Y22="TRUE",1,0))</f>
        <v/>
      </c>
      <c r="M22" s="40" t="str">
        <f>IF('att Data Entry'!L25="","",IF('att Data Entry'!K25='att Data Entry'!$D$8,'att Data Entry'!$C$8,'att Data Entry'!$C$9))</f>
        <v/>
      </c>
      <c r="N22" s="40" t="str">
        <f>IF('att Data Entry'!K25="","",IF('att Data Entry'!L25='att Data Entry'!$D$8,'att Data Entry'!$C$8,'att Data Entry'!$C$9))</f>
        <v/>
      </c>
      <c r="O22" s="40" t="str">
        <f t="shared" si="2"/>
        <v/>
      </c>
      <c r="P22" s="162" t="str">
        <f>IF('att Data Entry'!$D25="","",IF(Z22="TRUE",1,0))</f>
        <v/>
      </c>
      <c r="Q22" s="441" t="str">
        <f>IF('att Data Entry'!H25="","",IF(M22="",T22,U22))</f>
        <v/>
      </c>
      <c r="R22" s="441" t="str">
        <f>IF('att Data Entry'!H25="","",IF(M22="",V22,W22))</f>
        <v/>
      </c>
      <c r="T22" s="40" t="str">
        <f>IF('att Data Entry'!H25="","",IF($E22+$F22+$I22+$J22=4,"TRUE",IF($E22+$F22+$I22+$J22=8,"TRUE","FALSE")))</f>
        <v/>
      </c>
      <c r="U22" s="40" t="str">
        <f>IF('att Data Entry'!K25="","",IF($E22+$F22+$I22+$J22+$M22+$N22=6,"TRUE",IF($E22+$F22+$I22+$J22+$M22+$N22=12,"TRUE","FALSE")))</f>
        <v/>
      </c>
      <c r="V22" s="40" t="str">
        <f>IF('att Data Entry'!H25="","",IF($E22+$F22+$I22+$J22+$D22=5,"TRUE",IF($E22+$F22+$I22+$J22+$D22=10,"TRUE","FALSE")))</f>
        <v/>
      </c>
      <c r="W22" s="40" t="str">
        <f>IF('att Data Entry'!K25="","",IF($E22+$F22+$I22+$J22+$M22+$N22+$D22=7,"TRUE",IF($E22+$F22+$I22+$J22+$M22+$N22+$D22=14,"TRUE","FALSE")))</f>
        <v/>
      </c>
      <c r="X22" s="40" t="str">
        <f>IF('att Data Entry'!D25="","",IF('att Calculations'!D22+'att Calculations'!E22+'att Calculations'!F22=3, "TRUE",IF('att Calculations'!D22+'att Calculations'!E22+'att Calculations'!F22=6,"TRUE","FALSE")))</f>
        <v/>
      </c>
      <c r="Y22" s="40" t="str">
        <f>IF('att Data Entry'!$D25="","",IF($D22+I22+J22=3, "TRUE",IF($D22+I22+J22=6,"TRUE","FALSE")))</f>
        <v/>
      </c>
      <c r="Z22" s="13" t="str">
        <f>IF('att Data Entry'!K25="","",IF('att Data Entry'!$D25="","",IF($D22+M22+N22=3, "TRUE",IF($D22+M22+N22=6,"TRUE","FALSE"))))</f>
        <v/>
      </c>
      <c r="AA22" s="443" t="str">
        <f t="shared" si="3"/>
        <v/>
      </c>
      <c r="AB22" s="443" t="str">
        <f t="shared" si="4"/>
        <v/>
      </c>
      <c r="AC22" s="443" t="str">
        <f t="shared" si="5"/>
        <v/>
      </c>
      <c r="AD22" s="443" t="str">
        <f t="shared" si="6"/>
        <v/>
      </c>
      <c r="AE22" s="443" t="str">
        <f t="shared" si="7"/>
        <v/>
      </c>
      <c r="AF22" s="443" t="str">
        <f t="shared" si="11"/>
        <v/>
      </c>
      <c r="AG22" s="443" t="str">
        <f t="shared" si="8"/>
        <v/>
      </c>
      <c r="AH22" s="443" t="str">
        <f t="shared" si="9"/>
        <v/>
      </c>
      <c r="AI22" s="443" t="str">
        <f t="shared" si="10"/>
        <v/>
      </c>
    </row>
    <row r="23" spans="3:35" x14ac:dyDescent="0.25">
      <c r="C23" s="158">
        <v>13</v>
      </c>
      <c r="D23" s="440" t="str">
        <f>IF('att Data Entry'!D26="","",IF('att Data Entry'!D26='att Data Entry'!$D$8,'att Data Entry'!$C$8,'att Data Entry'!$C$9))</f>
        <v/>
      </c>
      <c r="E23" s="40" t="str">
        <f>IF('att Data Entry'!E26="","",IF('att Data Entry'!E26='att Data Entry'!$D$8,'att Data Entry'!$C$8,'att Data Entry'!$C$9))</f>
        <v/>
      </c>
      <c r="F23" s="162" t="str">
        <f>IF('att Data Entry'!F26="","",IF('att Data Entry'!F26='att Data Entry'!$D$8,'att Data Entry'!$C$8,'att Data Entry'!$C$9))</f>
        <v/>
      </c>
      <c r="G23" s="40" t="str">
        <f t="shared" si="0"/>
        <v/>
      </c>
      <c r="H23" s="162" t="str">
        <f>IF('att Data Entry'!$D26="","",IF(X23="TRUE",1,0))</f>
        <v/>
      </c>
      <c r="I23" s="40" t="str">
        <f>IF('att Data Entry'!I26="","",IF('att Data Entry'!H26='att Data Entry'!$D$8,'att Data Entry'!$C$8,'att Data Entry'!$C$9))</f>
        <v/>
      </c>
      <c r="J23" s="162" t="str">
        <f>IF('att Data Entry'!H26="","",IF('att Data Entry'!I26='att Data Entry'!$D$8,'att Data Entry'!$C$8,'att Data Entry'!$C$9))</f>
        <v/>
      </c>
      <c r="K23" s="40" t="str">
        <f t="shared" si="1"/>
        <v/>
      </c>
      <c r="L23" s="162" t="str">
        <f>IF('att Data Entry'!$D26="","",IF(Y23="TRUE",1,0))</f>
        <v/>
      </c>
      <c r="M23" s="40" t="str">
        <f>IF('att Data Entry'!L26="","",IF('att Data Entry'!K26='att Data Entry'!$D$8,'att Data Entry'!$C$8,'att Data Entry'!$C$9))</f>
        <v/>
      </c>
      <c r="N23" s="40" t="str">
        <f>IF('att Data Entry'!K26="","",IF('att Data Entry'!L26='att Data Entry'!$D$8,'att Data Entry'!$C$8,'att Data Entry'!$C$9))</f>
        <v/>
      </c>
      <c r="O23" s="40" t="str">
        <f t="shared" si="2"/>
        <v/>
      </c>
      <c r="P23" s="162" t="str">
        <f>IF('att Data Entry'!$D26="","",IF(Z23="TRUE",1,0))</f>
        <v/>
      </c>
      <c r="Q23" s="441" t="str">
        <f>IF('att Data Entry'!H26="","",IF(M23="",T23,U23))</f>
        <v/>
      </c>
      <c r="R23" s="441" t="str">
        <f>IF('att Data Entry'!H26="","",IF(M23="",V23,W23))</f>
        <v/>
      </c>
      <c r="T23" s="40" t="str">
        <f>IF('att Data Entry'!H26="","",IF($E23+$F23+$I23+$J23=4,"TRUE",IF($E23+$F23+$I23+$J23=8,"TRUE","FALSE")))</f>
        <v/>
      </c>
      <c r="U23" s="40" t="str">
        <f>IF('att Data Entry'!K26="","",IF($E23+$F23+$I23+$J23+$M23+$N23=6,"TRUE",IF($E23+$F23+$I23+$J23+$M23+$N23=12,"TRUE","FALSE")))</f>
        <v/>
      </c>
      <c r="V23" s="40" t="str">
        <f>IF('att Data Entry'!H26="","",IF($E23+$F23+$I23+$J23+$D23=5,"TRUE",IF($E23+$F23+$I23+$J23+$D23=10,"TRUE","FALSE")))</f>
        <v/>
      </c>
      <c r="W23" s="40" t="str">
        <f>IF('att Data Entry'!K26="","",IF($E23+$F23+$I23+$J23+$M23+$N23+$D23=7,"TRUE",IF($E23+$F23+$I23+$J23+$M23+$N23+$D23=14,"TRUE","FALSE")))</f>
        <v/>
      </c>
      <c r="X23" s="40" t="str">
        <f>IF('att Data Entry'!D26="","",IF('att Calculations'!D23+'att Calculations'!E23+'att Calculations'!F23=3, "TRUE",IF('att Calculations'!D23+'att Calculations'!E23+'att Calculations'!F23=6,"TRUE","FALSE")))</f>
        <v/>
      </c>
      <c r="Y23" s="40" t="str">
        <f>IF('att Data Entry'!$D26="","",IF($D23+I23+J23=3, "TRUE",IF($D23+I23+J23=6,"TRUE","FALSE")))</f>
        <v/>
      </c>
      <c r="Z23" s="13" t="str">
        <f>IF('att Data Entry'!K26="","",IF('att Data Entry'!$D26="","",IF($D23+M23+N23=3, "TRUE",IF($D23+M23+N23=6,"TRUE","FALSE"))))</f>
        <v/>
      </c>
      <c r="AA23" s="443" t="str">
        <f t="shared" si="3"/>
        <v/>
      </c>
      <c r="AB23" s="443" t="str">
        <f t="shared" si="4"/>
        <v/>
      </c>
      <c r="AC23" s="443" t="str">
        <f t="shared" si="5"/>
        <v/>
      </c>
      <c r="AD23" s="443" t="str">
        <f t="shared" si="6"/>
        <v/>
      </c>
      <c r="AE23" s="443" t="str">
        <f t="shared" si="7"/>
        <v/>
      </c>
      <c r="AF23" s="443" t="str">
        <f t="shared" si="11"/>
        <v/>
      </c>
      <c r="AG23" s="443" t="str">
        <f t="shared" si="8"/>
        <v/>
      </c>
      <c r="AH23" s="443" t="str">
        <f t="shared" si="9"/>
        <v/>
      </c>
      <c r="AI23" s="443" t="str">
        <f t="shared" si="10"/>
        <v/>
      </c>
    </row>
    <row r="24" spans="3:35" x14ac:dyDescent="0.25">
      <c r="C24" s="158">
        <v>14</v>
      </c>
      <c r="D24" s="440" t="str">
        <f>IF('att Data Entry'!D27="","",IF('att Data Entry'!D27='att Data Entry'!$D$8,'att Data Entry'!$C$8,'att Data Entry'!$C$9))</f>
        <v/>
      </c>
      <c r="E24" s="40" t="str">
        <f>IF('att Data Entry'!E27="","",IF('att Data Entry'!E27='att Data Entry'!$D$8,'att Data Entry'!$C$8,'att Data Entry'!$C$9))</f>
        <v/>
      </c>
      <c r="F24" s="162" t="str">
        <f>IF('att Data Entry'!F27="","",IF('att Data Entry'!F27='att Data Entry'!$D$8,'att Data Entry'!$C$8,'att Data Entry'!$C$9))</f>
        <v/>
      </c>
      <c r="G24" s="40" t="str">
        <f t="shared" si="0"/>
        <v/>
      </c>
      <c r="H24" s="162" t="str">
        <f>IF('att Data Entry'!$D27="","",IF(X24="TRUE",1,0))</f>
        <v/>
      </c>
      <c r="I24" s="40" t="str">
        <f>IF('att Data Entry'!I27="","",IF('att Data Entry'!H27='att Data Entry'!$D$8,'att Data Entry'!$C$8,'att Data Entry'!$C$9))</f>
        <v/>
      </c>
      <c r="J24" s="162" t="str">
        <f>IF('att Data Entry'!H27="","",IF('att Data Entry'!I27='att Data Entry'!$D$8,'att Data Entry'!$C$8,'att Data Entry'!$C$9))</f>
        <v/>
      </c>
      <c r="K24" s="40" t="str">
        <f t="shared" si="1"/>
        <v/>
      </c>
      <c r="L24" s="162" t="str">
        <f>IF('att Data Entry'!$D27="","",IF(Y24="TRUE",1,0))</f>
        <v/>
      </c>
      <c r="M24" s="40" t="str">
        <f>IF('att Data Entry'!L27="","",IF('att Data Entry'!K27='att Data Entry'!$D$8,'att Data Entry'!$C$8,'att Data Entry'!$C$9))</f>
        <v/>
      </c>
      <c r="N24" s="40" t="str">
        <f>IF('att Data Entry'!K27="","",IF('att Data Entry'!L27='att Data Entry'!$D$8,'att Data Entry'!$C$8,'att Data Entry'!$C$9))</f>
        <v/>
      </c>
      <c r="O24" s="40" t="str">
        <f t="shared" si="2"/>
        <v/>
      </c>
      <c r="P24" s="162" t="str">
        <f>IF('att Data Entry'!$D27="","",IF(Z24="TRUE",1,0))</f>
        <v/>
      </c>
      <c r="Q24" s="441" t="str">
        <f>IF('att Data Entry'!H27="","",IF(M24="",T24,U24))</f>
        <v/>
      </c>
      <c r="R24" s="441" t="str">
        <f>IF('att Data Entry'!H27="","",IF(M24="",V24,W24))</f>
        <v/>
      </c>
      <c r="T24" s="40" t="str">
        <f>IF('att Data Entry'!H27="","",IF($E24+$F24+$I24+$J24=4,"TRUE",IF($E24+$F24+$I24+$J24=8,"TRUE","FALSE")))</f>
        <v/>
      </c>
      <c r="U24" s="40" t="str">
        <f>IF('att Data Entry'!K27="","",IF($E24+$F24+$I24+$J24+$M24+$N24=6,"TRUE",IF($E24+$F24+$I24+$J24+$M24+$N24=12,"TRUE","FALSE")))</f>
        <v/>
      </c>
      <c r="V24" s="40" t="str">
        <f>IF('att Data Entry'!H27="","",IF($E24+$F24+$I24+$J24+$D24=5,"TRUE",IF($E24+$F24+$I24+$J24+$D24=10,"TRUE","FALSE")))</f>
        <v/>
      </c>
      <c r="W24" s="40" t="str">
        <f>IF('att Data Entry'!K27="","",IF($E24+$F24+$I24+$J24+$M24+$N24+$D24=7,"TRUE",IF($E24+$F24+$I24+$J24+$M24+$N24+$D24=14,"TRUE","FALSE")))</f>
        <v/>
      </c>
      <c r="X24" s="40" t="str">
        <f>IF('att Data Entry'!D27="","",IF('att Calculations'!D24+'att Calculations'!E24+'att Calculations'!F24=3, "TRUE",IF('att Calculations'!D24+'att Calculations'!E24+'att Calculations'!F24=6,"TRUE","FALSE")))</f>
        <v/>
      </c>
      <c r="Y24" s="40" t="str">
        <f>IF('att Data Entry'!$D27="","",IF($D24+I24+J24=3, "TRUE",IF($D24+I24+J24=6,"TRUE","FALSE")))</f>
        <v/>
      </c>
      <c r="Z24" s="13" t="str">
        <f>IF('att Data Entry'!K27="","",IF('att Data Entry'!$D27="","",IF($D24+M24+N24=3, "TRUE",IF($D24+M24+N24=6,"TRUE","FALSE"))))</f>
        <v/>
      </c>
      <c r="AA24" s="443" t="str">
        <f t="shared" si="3"/>
        <v/>
      </c>
      <c r="AB24" s="443" t="str">
        <f t="shared" si="4"/>
        <v/>
      </c>
      <c r="AC24" s="443" t="str">
        <f t="shared" si="5"/>
        <v/>
      </c>
      <c r="AD24" s="443" t="str">
        <f t="shared" si="6"/>
        <v/>
      </c>
      <c r="AE24" s="443" t="str">
        <f t="shared" si="7"/>
        <v/>
      </c>
      <c r="AF24" s="443" t="str">
        <f t="shared" si="11"/>
        <v/>
      </c>
      <c r="AG24" s="443" t="str">
        <f t="shared" si="8"/>
        <v/>
      </c>
      <c r="AH24" s="443" t="str">
        <f t="shared" si="9"/>
        <v/>
      </c>
      <c r="AI24" s="443" t="str">
        <f t="shared" si="10"/>
        <v/>
      </c>
    </row>
    <row r="25" spans="3:35" x14ac:dyDescent="0.25">
      <c r="C25" s="158">
        <v>15</v>
      </c>
      <c r="D25" s="440" t="str">
        <f>IF('att Data Entry'!D28="","",IF('att Data Entry'!D28='att Data Entry'!$D$8,'att Data Entry'!$C$8,'att Data Entry'!$C$9))</f>
        <v/>
      </c>
      <c r="E25" s="40" t="str">
        <f>IF('att Data Entry'!E28="","",IF('att Data Entry'!E28='att Data Entry'!$D$8,'att Data Entry'!$C$8,'att Data Entry'!$C$9))</f>
        <v/>
      </c>
      <c r="F25" s="162" t="str">
        <f>IF('att Data Entry'!F28="","",IF('att Data Entry'!F28='att Data Entry'!$D$8,'att Data Entry'!$C$8,'att Data Entry'!$C$9))</f>
        <v/>
      </c>
      <c r="G25" s="40" t="str">
        <f t="shared" si="0"/>
        <v/>
      </c>
      <c r="H25" s="162" t="str">
        <f>IF('att Data Entry'!$D28="","",IF(X25="TRUE",1,0))</f>
        <v/>
      </c>
      <c r="I25" s="40" t="str">
        <f>IF('att Data Entry'!I28="","",IF('att Data Entry'!H28='att Data Entry'!$D$8,'att Data Entry'!$C$8,'att Data Entry'!$C$9))</f>
        <v/>
      </c>
      <c r="J25" s="162" t="str">
        <f>IF('att Data Entry'!H28="","",IF('att Data Entry'!I28='att Data Entry'!$D$8,'att Data Entry'!$C$8,'att Data Entry'!$C$9))</f>
        <v/>
      </c>
      <c r="K25" s="40" t="str">
        <f t="shared" si="1"/>
        <v/>
      </c>
      <c r="L25" s="162" t="str">
        <f>IF('att Data Entry'!$D28="","",IF(Y25="TRUE",1,0))</f>
        <v/>
      </c>
      <c r="M25" s="40" t="str">
        <f>IF('att Data Entry'!L28="","",IF('att Data Entry'!K28='att Data Entry'!$D$8,'att Data Entry'!$C$8,'att Data Entry'!$C$9))</f>
        <v/>
      </c>
      <c r="N25" s="40" t="str">
        <f>IF('att Data Entry'!K28="","",IF('att Data Entry'!L28='att Data Entry'!$D$8,'att Data Entry'!$C$8,'att Data Entry'!$C$9))</f>
        <v/>
      </c>
      <c r="O25" s="40" t="str">
        <f t="shared" si="2"/>
        <v/>
      </c>
      <c r="P25" s="162" t="str">
        <f>IF('att Data Entry'!$D28="","",IF(Z25="TRUE",1,0))</f>
        <v/>
      </c>
      <c r="Q25" s="441" t="str">
        <f>IF('att Data Entry'!H28="","",IF(M25="",T25,U25))</f>
        <v/>
      </c>
      <c r="R25" s="441" t="str">
        <f>IF('att Data Entry'!H28="","",IF(M25="",V25,W25))</f>
        <v/>
      </c>
      <c r="T25" s="40" t="str">
        <f>IF('att Data Entry'!H28="","",IF($E25+$F25+$I25+$J25=4,"TRUE",IF($E25+$F25+$I25+$J25=8,"TRUE","FALSE")))</f>
        <v/>
      </c>
      <c r="U25" s="40" t="str">
        <f>IF('att Data Entry'!K28="","",IF($E25+$F25+$I25+$J25+$M25+$N25=6,"TRUE",IF($E25+$F25+$I25+$J25+$M25+$N25=12,"TRUE","FALSE")))</f>
        <v/>
      </c>
      <c r="V25" s="40" t="str">
        <f>IF('att Data Entry'!H28="","",IF($E25+$F25+$I25+$J25+$D25=5,"TRUE",IF($E25+$F25+$I25+$J25+$D25=10,"TRUE","FALSE")))</f>
        <v/>
      </c>
      <c r="W25" s="40" t="str">
        <f>IF('att Data Entry'!K28="","",IF($E25+$F25+$I25+$J25+$M25+$N25+$D25=7,"TRUE",IF($E25+$F25+$I25+$J25+$M25+$N25+$D25=14,"TRUE","FALSE")))</f>
        <v/>
      </c>
      <c r="X25" s="40" t="str">
        <f>IF('att Data Entry'!D28="","",IF('att Calculations'!D25+'att Calculations'!E25+'att Calculations'!F25=3, "TRUE",IF('att Calculations'!D25+'att Calculations'!E25+'att Calculations'!F25=6,"TRUE","FALSE")))</f>
        <v/>
      </c>
      <c r="Y25" s="40" t="str">
        <f>IF('att Data Entry'!$D28="","",IF($D25+I25+J25=3, "TRUE",IF($D25+I25+J25=6,"TRUE","FALSE")))</f>
        <v/>
      </c>
      <c r="Z25" s="13" t="str">
        <f>IF('att Data Entry'!K28="","",IF('att Data Entry'!$D28="","",IF($D25+M25+N25=3, "TRUE",IF($D25+M25+N25=6,"TRUE","FALSE"))))</f>
        <v/>
      </c>
      <c r="AA25" s="443" t="str">
        <f t="shared" si="3"/>
        <v/>
      </c>
      <c r="AB25" s="443" t="str">
        <f t="shared" si="4"/>
        <v/>
      </c>
      <c r="AC25" s="443" t="str">
        <f t="shared" si="5"/>
        <v/>
      </c>
      <c r="AD25" s="443" t="str">
        <f t="shared" si="6"/>
        <v/>
      </c>
      <c r="AE25" s="443" t="str">
        <f t="shared" si="7"/>
        <v/>
      </c>
      <c r="AF25" s="443" t="str">
        <f t="shared" si="11"/>
        <v/>
      </c>
      <c r="AG25" s="443" t="str">
        <f t="shared" si="8"/>
        <v/>
      </c>
      <c r="AH25" s="443" t="str">
        <f t="shared" si="9"/>
        <v/>
      </c>
      <c r="AI25" s="443" t="str">
        <f t="shared" si="10"/>
        <v/>
      </c>
    </row>
    <row r="26" spans="3:35" x14ac:dyDescent="0.25">
      <c r="C26" s="158">
        <v>16</v>
      </c>
      <c r="D26" s="440" t="str">
        <f>IF('att Data Entry'!D29="","",IF('att Data Entry'!D29='att Data Entry'!$D$8,'att Data Entry'!$C$8,'att Data Entry'!$C$9))</f>
        <v/>
      </c>
      <c r="E26" s="40" t="str">
        <f>IF('att Data Entry'!E29="","",IF('att Data Entry'!E29='att Data Entry'!$D$8,'att Data Entry'!$C$8,'att Data Entry'!$C$9))</f>
        <v/>
      </c>
      <c r="F26" s="162" t="str">
        <f>IF('att Data Entry'!F29="","",IF('att Data Entry'!F29='att Data Entry'!$D$8,'att Data Entry'!$C$8,'att Data Entry'!$C$9))</f>
        <v/>
      </c>
      <c r="G26" s="40" t="str">
        <f t="shared" si="0"/>
        <v/>
      </c>
      <c r="H26" s="162" t="str">
        <f>IF('att Data Entry'!$D29="","",IF(X26="TRUE",1,0))</f>
        <v/>
      </c>
      <c r="I26" s="40" t="str">
        <f>IF('att Data Entry'!I29="","",IF('att Data Entry'!H29='att Data Entry'!$D$8,'att Data Entry'!$C$8,'att Data Entry'!$C$9))</f>
        <v/>
      </c>
      <c r="J26" s="162" t="str">
        <f>IF('att Data Entry'!H29="","",IF('att Data Entry'!I29='att Data Entry'!$D$8,'att Data Entry'!$C$8,'att Data Entry'!$C$9))</f>
        <v/>
      </c>
      <c r="K26" s="40" t="str">
        <f t="shared" si="1"/>
        <v/>
      </c>
      <c r="L26" s="162" t="str">
        <f>IF('att Data Entry'!$D29="","",IF(Y26="TRUE",1,0))</f>
        <v/>
      </c>
      <c r="M26" s="40" t="str">
        <f>IF('att Data Entry'!L29="","",IF('att Data Entry'!K29='att Data Entry'!$D$8,'att Data Entry'!$C$8,'att Data Entry'!$C$9))</f>
        <v/>
      </c>
      <c r="N26" s="40" t="str">
        <f>IF('att Data Entry'!K29="","",IF('att Data Entry'!L29='att Data Entry'!$D$8,'att Data Entry'!$C$8,'att Data Entry'!$C$9))</f>
        <v/>
      </c>
      <c r="O26" s="40" t="str">
        <f t="shared" si="2"/>
        <v/>
      </c>
      <c r="P26" s="162" t="str">
        <f>IF('att Data Entry'!$D29="","",IF(Z26="TRUE",1,0))</f>
        <v/>
      </c>
      <c r="Q26" s="441" t="str">
        <f>IF('att Data Entry'!H29="","",IF(M26="",T26,U26))</f>
        <v/>
      </c>
      <c r="R26" s="441" t="str">
        <f>IF('att Data Entry'!H29="","",IF(M26="",V26,W26))</f>
        <v/>
      </c>
      <c r="T26" s="40" t="str">
        <f>IF('att Data Entry'!H29="","",IF($E26+$F26+$I26+$J26=4,"TRUE",IF($E26+$F26+$I26+$J26=8,"TRUE","FALSE")))</f>
        <v/>
      </c>
      <c r="U26" s="40" t="str">
        <f>IF('att Data Entry'!K29="","",IF($E26+$F26+$I26+$J26+$M26+$N26=6,"TRUE",IF($E26+$F26+$I26+$J26+$M26+$N26=12,"TRUE","FALSE")))</f>
        <v/>
      </c>
      <c r="V26" s="40" t="str">
        <f>IF('att Data Entry'!H29="","",IF($E26+$F26+$I26+$J26+$D26=5,"TRUE",IF($E26+$F26+$I26+$J26+$D26=10,"TRUE","FALSE")))</f>
        <v/>
      </c>
      <c r="W26" s="40" t="str">
        <f>IF('att Data Entry'!K29="","",IF($E26+$F26+$I26+$J26+$M26+$N26+$D26=7,"TRUE",IF($E26+$F26+$I26+$J26+$M26+$N26+$D26=14,"TRUE","FALSE")))</f>
        <v/>
      </c>
      <c r="X26" s="40" t="str">
        <f>IF('att Data Entry'!D29="","",IF('att Calculations'!D26+'att Calculations'!E26+'att Calculations'!F26=3, "TRUE",IF('att Calculations'!D26+'att Calculations'!E26+'att Calculations'!F26=6,"TRUE","FALSE")))</f>
        <v/>
      </c>
      <c r="Y26" s="40" t="str">
        <f>IF('att Data Entry'!$D29="","",IF($D26+I26+J26=3, "TRUE",IF($D26+I26+J26=6,"TRUE","FALSE")))</f>
        <v/>
      </c>
      <c r="Z26" s="13" t="str">
        <f>IF('att Data Entry'!K29="","",IF('att Data Entry'!$D29="","",IF($D26+M26+N26=3, "TRUE",IF($D26+M26+N26=6,"TRUE","FALSE"))))</f>
        <v/>
      </c>
      <c r="AA26" s="443" t="str">
        <f t="shared" si="3"/>
        <v/>
      </c>
      <c r="AB26" s="443" t="str">
        <f t="shared" si="4"/>
        <v/>
      </c>
      <c r="AC26" s="443" t="str">
        <f t="shared" si="5"/>
        <v/>
      </c>
      <c r="AD26" s="443" t="str">
        <f t="shared" si="6"/>
        <v/>
      </c>
      <c r="AE26" s="443" t="str">
        <f t="shared" si="7"/>
        <v/>
      </c>
      <c r="AF26" s="443" t="str">
        <f t="shared" si="11"/>
        <v/>
      </c>
      <c r="AG26" s="443" t="str">
        <f t="shared" si="8"/>
        <v/>
      </c>
      <c r="AH26" s="443" t="str">
        <f t="shared" si="9"/>
        <v/>
      </c>
      <c r="AI26" s="443" t="str">
        <f t="shared" si="10"/>
        <v/>
      </c>
    </row>
    <row r="27" spans="3:35" x14ac:dyDescent="0.25">
      <c r="C27" s="158">
        <v>17</v>
      </c>
      <c r="D27" s="440" t="str">
        <f>IF('att Data Entry'!D30="","",IF('att Data Entry'!D30='att Data Entry'!$D$8,'att Data Entry'!$C$8,'att Data Entry'!$C$9))</f>
        <v/>
      </c>
      <c r="E27" s="40" t="str">
        <f>IF('att Data Entry'!E30="","",IF('att Data Entry'!E30='att Data Entry'!$D$8,'att Data Entry'!$C$8,'att Data Entry'!$C$9))</f>
        <v/>
      </c>
      <c r="F27" s="162" t="str">
        <f>IF('att Data Entry'!F30="","",IF('att Data Entry'!F30='att Data Entry'!$D$8,'att Data Entry'!$C$8,'att Data Entry'!$C$9))</f>
        <v/>
      </c>
      <c r="G27" s="40" t="str">
        <f t="shared" si="0"/>
        <v/>
      </c>
      <c r="H27" s="162" t="str">
        <f>IF('att Data Entry'!$D30="","",IF(X27="TRUE",1,0))</f>
        <v/>
      </c>
      <c r="I27" s="40" t="str">
        <f>IF('att Data Entry'!I30="","",IF('att Data Entry'!H30='att Data Entry'!$D$8,'att Data Entry'!$C$8,'att Data Entry'!$C$9))</f>
        <v/>
      </c>
      <c r="J27" s="162" t="str">
        <f>IF('att Data Entry'!H30="","",IF('att Data Entry'!I30='att Data Entry'!$D$8,'att Data Entry'!$C$8,'att Data Entry'!$C$9))</f>
        <v/>
      </c>
      <c r="K27" s="40" t="str">
        <f t="shared" si="1"/>
        <v/>
      </c>
      <c r="L27" s="162" t="str">
        <f>IF('att Data Entry'!$D30="","",IF(Y27="TRUE",1,0))</f>
        <v/>
      </c>
      <c r="M27" s="40" t="str">
        <f>IF('att Data Entry'!L30="","",IF('att Data Entry'!K30='att Data Entry'!$D$8,'att Data Entry'!$C$8,'att Data Entry'!$C$9))</f>
        <v/>
      </c>
      <c r="N27" s="40" t="str">
        <f>IF('att Data Entry'!K30="","",IF('att Data Entry'!L30='att Data Entry'!$D$8,'att Data Entry'!$C$8,'att Data Entry'!$C$9))</f>
        <v/>
      </c>
      <c r="O27" s="40" t="str">
        <f t="shared" si="2"/>
        <v/>
      </c>
      <c r="P27" s="162" t="str">
        <f>IF('att Data Entry'!$D30="","",IF(Z27="TRUE",1,0))</f>
        <v/>
      </c>
      <c r="Q27" s="441" t="str">
        <f>IF('att Data Entry'!H30="","",IF(M27="",T27,U27))</f>
        <v/>
      </c>
      <c r="R27" s="441" t="str">
        <f>IF('att Data Entry'!H30="","",IF(M27="",V27,W27))</f>
        <v/>
      </c>
      <c r="T27" s="40" t="str">
        <f>IF('att Data Entry'!H30="","",IF($E27+$F27+$I27+$J27=4,"TRUE",IF($E27+$F27+$I27+$J27=8,"TRUE","FALSE")))</f>
        <v/>
      </c>
      <c r="U27" s="40" t="str">
        <f>IF('att Data Entry'!K30="","",IF($E27+$F27+$I27+$J27+$M27+$N27=6,"TRUE",IF($E27+$F27+$I27+$J27+$M27+$N27=12,"TRUE","FALSE")))</f>
        <v/>
      </c>
      <c r="V27" s="40" t="str">
        <f>IF('att Data Entry'!H30="","",IF($E27+$F27+$I27+$J27+$D27=5,"TRUE",IF($E27+$F27+$I27+$J27+$D27=10,"TRUE","FALSE")))</f>
        <v/>
      </c>
      <c r="W27" s="40" t="str">
        <f>IF('att Data Entry'!K30="","",IF($E27+$F27+$I27+$J27+$M27+$N27+$D27=7,"TRUE",IF($E27+$F27+$I27+$J27+$M27+$N27+$D27=14,"TRUE","FALSE")))</f>
        <v/>
      </c>
      <c r="X27" s="40" t="str">
        <f>IF('att Data Entry'!D30="","",IF('att Calculations'!D27+'att Calculations'!E27+'att Calculations'!F27=3, "TRUE",IF('att Calculations'!D27+'att Calculations'!E27+'att Calculations'!F27=6,"TRUE","FALSE")))</f>
        <v/>
      </c>
      <c r="Y27" s="40" t="str">
        <f>IF('att Data Entry'!$D30="","",IF($D27+I27+J27=3, "TRUE",IF($D27+I27+J27=6,"TRUE","FALSE")))</f>
        <v/>
      </c>
      <c r="Z27" s="13" t="str">
        <f>IF('att Data Entry'!K30="","",IF('att Data Entry'!$D30="","",IF($D27+M27+N27=3, "TRUE",IF($D27+M27+N27=6,"TRUE","FALSE"))))</f>
        <v/>
      </c>
      <c r="AA27" s="443" t="str">
        <f t="shared" si="3"/>
        <v/>
      </c>
      <c r="AB27" s="443" t="str">
        <f t="shared" si="4"/>
        <v/>
      </c>
      <c r="AC27" s="443" t="str">
        <f t="shared" si="5"/>
        <v/>
      </c>
      <c r="AD27" s="443" t="str">
        <f t="shared" si="6"/>
        <v/>
      </c>
      <c r="AE27" s="443" t="str">
        <f t="shared" si="7"/>
        <v/>
      </c>
      <c r="AF27" s="443" t="str">
        <f t="shared" si="11"/>
        <v/>
      </c>
      <c r="AG27" s="443" t="str">
        <f t="shared" si="8"/>
        <v/>
      </c>
      <c r="AH27" s="443" t="str">
        <f t="shared" si="9"/>
        <v/>
      </c>
      <c r="AI27" s="443" t="str">
        <f t="shared" si="10"/>
        <v/>
      </c>
    </row>
    <row r="28" spans="3:35" x14ac:dyDescent="0.25">
      <c r="C28" s="158">
        <v>18</v>
      </c>
      <c r="D28" s="440" t="str">
        <f>IF('att Data Entry'!D31="","",IF('att Data Entry'!D31='att Data Entry'!$D$8,'att Data Entry'!$C$8,'att Data Entry'!$C$9))</f>
        <v/>
      </c>
      <c r="E28" s="40" t="str">
        <f>IF('att Data Entry'!E31="","",IF('att Data Entry'!E31='att Data Entry'!$D$8,'att Data Entry'!$C$8,'att Data Entry'!$C$9))</f>
        <v/>
      </c>
      <c r="F28" s="162" t="str">
        <f>IF('att Data Entry'!F31="","",IF('att Data Entry'!F31='att Data Entry'!$D$8,'att Data Entry'!$C$8,'att Data Entry'!$C$9))</f>
        <v/>
      </c>
      <c r="G28" s="40" t="str">
        <f t="shared" si="0"/>
        <v/>
      </c>
      <c r="H28" s="162" t="str">
        <f>IF('att Data Entry'!$D31="","",IF(X28="TRUE",1,0))</f>
        <v/>
      </c>
      <c r="I28" s="40" t="str">
        <f>IF('att Data Entry'!I31="","",IF('att Data Entry'!H31='att Data Entry'!$D$8,'att Data Entry'!$C$8,'att Data Entry'!$C$9))</f>
        <v/>
      </c>
      <c r="J28" s="162" t="str">
        <f>IF('att Data Entry'!H31="","",IF('att Data Entry'!I31='att Data Entry'!$D$8,'att Data Entry'!$C$8,'att Data Entry'!$C$9))</f>
        <v/>
      </c>
      <c r="K28" s="40" t="str">
        <f t="shared" si="1"/>
        <v/>
      </c>
      <c r="L28" s="162" t="str">
        <f>IF('att Data Entry'!$D31="","",IF(Y28="TRUE",1,0))</f>
        <v/>
      </c>
      <c r="M28" s="40" t="str">
        <f>IF('att Data Entry'!L31="","",IF('att Data Entry'!K31='att Data Entry'!$D$8,'att Data Entry'!$C$8,'att Data Entry'!$C$9))</f>
        <v/>
      </c>
      <c r="N28" s="40" t="str">
        <f>IF('att Data Entry'!K31="","",IF('att Data Entry'!L31='att Data Entry'!$D$8,'att Data Entry'!$C$8,'att Data Entry'!$C$9))</f>
        <v/>
      </c>
      <c r="O28" s="40" t="str">
        <f t="shared" si="2"/>
        <v/>
      </c>
      <c r="P28" s="162" t="str">
        <f>IF('att Data Entry'!$D31="","",IF(Z28="TRUE",1,0))</f>
        <v/>
      </c>
      <c r="Q28" s="441" t="str">
        <f>IF('att Data Entry'!H31="","",IF(M28="",T28,U28))</f>
        <v/>
      </c>
      <c r="R28" s="441" t="str">
        <f>IF('att Data Entry'!H31="","",IF(M28="",V28,W28))</f>
        <v/>
      </c>
      <c r="T28" s="40" t="str">
        <f>IF('att Data Entry'!H31="","",IF($E28+$F28+$I28+$J28=4,"TRUE",IF($E28+$F28+$I28+$J28=8,"TRUE","FALSE")))</f>
        <v/>
      </c>
      <c r="U28" s="40" t="str">
        <f>IF('att Data Entry'!K31="","",IF($E28+$F28+$I28+$J28+$M28+$N28=6,"TRUE",IF($E28+$F28+$I28+$J28+$M28+$N28=12,"TRUE","FALSE")))</f>
        <v/>
      </c>
      <c r="V28" s="40" t="str">
        <f>IF('att Data Entry'!H31="","",IF($E28+$F28+$I28+$J28+$D28=5,"TRUE",IF($E28+$F28+$I28+$J28+$D28=10,"TRUE","FALSE")))</f>
        <v/>
      </c>
      <c r="W28" s="40" t="str">
        <f>IF('att Data Entry'!K31="","",IF($E28+$F28+$I28+$J28+$M28+$N28+$D28=7,"TRUE",IF($E28+$F28+$I28+$J28+$M28+$N28+$D28=14,"TRUE","FALSE")))</f>
        <v/>
      </c>
      <c r="X28" s="40" t="str">
        <f>IF('att Data Entry'!D31="","",IF('att Calculations'!D28+'att Calculations'!E28+'att Calculations'!F28=3, "TRUE",IF('att Calculations'!D28+'att Calculations'!E28+'att Calculations'!F28=6,"TRUE","FALSE")))</f>
        <v/>
      </c>
      <c r="Y28" s="40" t="str">
        <f>IF('att Data Entry'!$D31="","",IF($D28+I28+J28=3, "TRUE",IF($D28+I28+J28=6,"TRUE","FALSE")))</f>
        <v/>
      </c>
      <c r="Z28" s="13" t="str">
        <f>IF('att Data Entry'!K31="","",IF('att Data Entry'!$D31="","",IF($D28+M28+N28=3, "TRUE",IF($D28+M28+N28=6,"TRUE","FALSE"))))</f>
        <v/>
      </c>
      <c r="AA28" s="443" t="str">
        <f t="shared" si="3"/>
        <v/>
      </c>
      <c r="AB28" s="443" t="str">
        <f t="shared" si="4"/>
        <v/>
      </c>
      <c r="AC28" s="443" t="str">
        <f t="shared" si="5"/>
        <v/>
      </c>
      <c r="AD28" s="443" t="str">
        <f t="shared" si="6"/>
        <v/>
      </c>
      <c r="AE28" s="443" t="str">
        <f t="shared" si="7"/>
        <v/>
      </c>
      <c r="AF28" s="443" t="str">
        <f t="shared" si="11"/>
        <v/>
      </c>
      <c r="AG28" s="443" t="str">
        <f t="shared" si="8"/>
        <v/>
      </c>
      <c r="AH28" s="443" t="str">
        <f t="shared" si="9"/>
        <v/>
      </c>
      <c r="AI28" s="443" t="str">
        <f t="shared" si="10"/>
        <v/>
      </c>
    </row>
    <row r="29" spans="3:35" x14ac:dyDescent="0.25">
      <c r="C29" s="158">
        <v>19</v>
      </c>
      <c r="D29" s="440" t="str">
        <f>IF('att Data Entry'!D32="","",IF('att Data Entry'!D32='att Data Entry'!$D$8,'att Data Entry'!$C$8,'att Data Entry'!$C$9))</f>
        <v/>
      </c>
      <c r="E29" s="40" t="str">
        <f>IF('att Data Entry'!E32="","",IF('att Data Entry'!E32='att Data Entry'!$D$8,'att Data Entry'!$C$8,'att Data Entry'!$C$9))</f>
        <v/>
      </c>
      <c r="F29" s="162" t="str">
        <f>IF('att Data Entry'!F32="","",IF('att Data Entry'!F32='att Data Entry'!$D$8,'att Data Entry'!$C$8,'att Data Entry'!$C$9))</f>
        <v/>
      </c>
      <c r="G29" s="40" t="str">
        <f t="shared" si="0"/>
        <v/>
      </c>
      <c r="H29" s="162" t="str">
        <f>IF('att Data Entry'!$D32="","",IF(X29="TRUE",1,0))</f>
        <v/>
      </c>
      <c r="I29" s="40" t="str">
        <f>IF('att Data Entry'!I32="","",IF('att Data Entry'!H32='att Data Entry'!$D$8,'att Data Entry'!$C$8,'att Data Entry'!$C$9))</f>
        <v/>
      </c>
      <c r="J29" s="162" t="str">
        <f>IF('att Data Entry'!H32="","",IF('att Data Entry'!I32='att Data Entry'!$D$8,'att Data Entry'!$C$8,'att Data Entry'!$C$9))</f>
        <v/>
      </c>
      <c r="K29" s="40" t="str">
        <f t="shared" si="1"/>
        <v/>
      </c>
      <c r="L29" s="162" t="str">
        <f>IF('att Data Entry'!$D32="","",IF(Y29="TRUE",1,0))</f>
        <v/>
      </c>
      <c r="M29" s="40" t="str">
        <f>IF('att Data Entry'!L32="","",IF('att Data Entry'!K32='att Data Entry'!$D$8,'att Data Entry'!$C$8,'att Data Entry'!$C$9))</f>
        <v/>
      </c>
      <c r="N29" s="40" t="str">
        <f>IF('att Data Entry'!K32="","",IF('att Data Entry'!L32='att Data Entry'!$D$8,'att Data Entry'!$C$8,'att Data Entry'!$C$9))</f>
        <v/>
      </c>
      <c r="O29" s="40" t="str">
        <f t="shared" si="2"/>
        <v/>
      </c>
      <c r="P29" s="162" t="str">
        <f>IF('att Data Entry'!$D32="","",IF(Z29="TRUE",1,0))</f>
        <v/>
      </c>
      <c r="Q29" s="441" t="str">
        <f>IF('att Data Entry'!H32="","",IF(M29="",T29,U29))</f>
        <v/>
      </c>
      <c r="R29" s="441" t="str">
        <f>IF('att Data Entry'!H32="","",IF(M29="",V29,W29))</f>
        <v/>
      </c>
      <c r="T29" s="40" t="str">
        <f>IF('att Data Entry'!H32="","",IF($E29+$F29+$I29+$J29=4,"TRUE",IF($E29+$F29+$I29+$J29=8,"TRUE","FALSE")))</f>
        <v/>
      </c>
      <c r="U29" s="40" t="str">
        <f>IF('att Data Entry'!K32="","",IF($E29+$F29+$I29+$J29+$M29+$N29=6,"TRUE",IF($E29+$F29+$I29+$J29+$M29+$N29=12,"TRUE","FALSE")))</f>
        <v/>
      </c>
      <c r="V29" s="40" t="str">
        <f>IF('att Data Entry'!H32="","",IF($E29+$F29+$I29+$J29+$D29=5,"TRUE",IF($E29+$F29+$I29+$J29+$D29=10,"TRUE","FALSE")))</f>
        <v/>
      </c>
      <c r="W29" s="40" t="str">
        <f>IF('att Data Entry'!K32="","",IF($E29+$F29+$I29+$J29+$M29+$N29+$D29=7,"TRUE",IF($E29+$F29+$I29+$J29+$M29+$N29+$D29=14,"TRUE","FALSE")))</f>
        <v/>
      </c>
      <c r="X29" s="40" t="str">
        <f>IF('att Data Entry'!D32="","",IF('att Calculations'!D29+'att Calculations'!E29+'att Calculations'!F29=3, "TRUE",IF('att Calculations'!D29+'att Calculations'!E29+'att Calculations'!F29=6,"TRUE","FALSE")))</f>
        <v/>
      </c>
      <c r="Y29" s="40" t="str">
        <f>IF('att Data Entry'!$D32="","",IF($D29+I29+J29=3, "TRUE",IF($D29+I29+J29=6,"TRUE","FALSE")))</f>
        <v/>
      </c>
      <c r="Z29" s="13" t="str">
        <f>IF('att Data Entry'!K32="","",IF('att Data Entry'!$D32="","",IF($D29+M29+N29=3, "TRUE",IF($D29+M29+N29=6,"TRUE","FALSE"))))</f>
        <v/>
      </c>
      <c r="AA29" s="443" t="str">
        <f t="shared" si="3"/>
        <v/>
      </c>
      <c r="AB29" s="443" t="str">
        <f t="shared" si="4"/>
        <v/>
      </c>
      <c r="AC29" s="443" t="str">
        <f t="shared" si="5"/>
        <v/>
      </c>
      <c r="AD29" s="443" t="str">
        <f t="shared" si="6"/>
        <v/>
      </c>
      <c r="AE29" s="443" t="str">
        <f t="shared" si="7"/>
        <v/>
      </c>
      <c r="AF29" s="443" t="str">
        <f t="shared" si="11"/>
        <v/>
      </c>
      <c r="AG29" s="443" t="str">
        <f t="shared" si="8"/>
        <v/>
      </c>
      <c r="AH29" s="443" t="str">
        <f t="shared" si="9"/>
        <v/>
      </c>
      <c r="AI29" s="443" t="str">
        <f t="shared" si="10"/>
        <v/>
      </c>
    </row>
    <row r="30" spans="3:35" x14ac:dyDescent="0.25">
      <c r="C30" s="158">
        <v>20</v>
      </c>
      <c r="D30" s="440" t="str">
        <f>IF('att Data Entry'!D33="","",IF('att Data Entry'!D33='att Data Entry'!$D$8,'att Data Entry'!$C$8,'att Data Entry'!$C$9))</f>
        <v/>
      </c>
      <c r="E30" s="40" t="str">
        <f>IF('att Data Entry'!E33="","",IF('att Data Entry'!E33='att Data Entry'!$D$8,'att Data Entry'!$C$8,'att Data Entry'!$C$9))</f>
        <v/>
      </c>
      <c r="F30" s="162" t="str">
        <f>IF('att Data Entry'!F33="","",IF('att Data Entry'!F33='att Data Entry'!$D$8,'att Data Entry'!$C$8,'att Data Entry'!$C$9))</f>
        <v/>
      </c>
      <c r="G30" s="40" t="str">
        <f t="shared" si="0"/>
        <v/>
      </c>
      <c r="H30" s="162" t="str">
        <f>IF('att Data Entry'!$D33="","",IF(X30="TRUE",1,0))</f>
        <v/>
      </c>
      <c r="I30" s="40" t="str">
        <f>IF('att Data Entry'!I33="","",IF('att Data Entry'!H33='att Data Entry'!$D$8,'att Data Entry'!$C$8,'att Data Entry'!$C$9))</f>
        <v/>
      </c>
      <c r="J30" s="162" t="str">
        <f>IF('att Data Entry'!H33="","",IF('att Data Entry'!I33='att Data Entry'!$D$8,'att Data Entry'!$C$8,'att Data Entry'!$C$9))</f>
        <v/>
      </c>
      <c r="K30" s="40" t="str">
        <f t="shared" si="1"/>
        <v/>
      </c>
      <c r="L30" s="162" t="str">
        <f>IF('att Data Entry'!$D33="","",IF(Y30="TRUE",1,0))</f>
        <v/>
      </c>
      <c r="M30" s="40" t="str">
        <f>IF('att Data Entry'!L33="","",IF('att Data Entry'!K33='att Data Entry'!$D$8,'att Data Entry'!$C$8,'att Data Entry'!$C$9))</f>
        <v/>
      </c>
      <c r="N30" s="40" t="str">
        <f>IF('att Data Entry'!K33="","",IF('att Data Entry'!L33='att Data Entry'!$D$8,'att Data Entry'!$C$8,'att Data Entry'!$C$9))</f>
        <v/>
      </c>
      <c r="O30" s="40" t="str">
        <f t="shared" si="2"/>
        <v/>
      </c>
      <c r="P30" s="162" t="str">
        <f>IF('att Data Entry'!$D33="","",IF(Z30="TRUE",1,0))</f>
        <v/>
      </c>
      <c r="Q30" s="441" t="str">
        <f>IF('att Data Entry'!H33="","",IF(M30="",T30,U30))</f>
        <v/>
      </c>
      <c r="R30" s="441" t="str">
        <f>IF('att Data Entry'!H33="","",IF(M30="",V30,W30))</f>
        <v/>
      </c>
      <c r="T30" s="40" t="str">
        <f>IF('att Data Entry'!H33="","",IF($E30+$F30+$I30+$J30=4,"TRUE",IF($E30+$F30+$I30+$J30=8,"TRUE","FALSE")))</f>
        <v/>
      </c>
      <c r="U30" s="40" t="str">
        <f>IF('att Data Entry'!K33="","",IF($E30+$F30+$I30+$J30+$M30+$N30=6,"TRUE",IF($E30+$F30+$I30+$J30+$M30+$N30=12,"TRUE","FALSE")))</f>
        <v/>
      </c>
      <c r="V30" s="40" t="str">
        <f>IF('att Data Entry'!H33="","",IF($E30+$F30+$I30+$J30+$D30=5,"TRUE",IF($E30+$F30+$I30+$J30+$D30=10,"TRUE","FALSE")))</f>
        <v/>
      </c>
      <c r="W30" s="40" t="str">
        <f>IF('att Data Entry'!K33="","",IF($E30+$F30+$I30+$J30+$M30+$N30+$D30=7,"TRUE",IF($E30+$F30+$I30+$J30+$M30+$N30+$D30=14,"TRUE","FALSE")))</f>
        <v/>
      </c>
      <c r="X30" s="40" t="str">
        <f>IF('att Data Entry'!D33="","",IF('att Calculations'!D30+'att Calculations'!E30+'att Calculations'!F30=3, "TRUE",IF('att Calculations'!D30+'att Calculations'!E30+'att Calculations'!F30=6,"TRUE","FALSE")))</f>
        <v/>
      </c>
      <c r="Y30" s="40" t="str">
        <f>IF('att Data Entry'!$D33="","",IF($D30+I30+J30=3, "TRUE",IF($D30+I30+J30=6,"TRUE","FALSE")))</f>
        <v/>
      </c>
      <c r="Z30" s="13" t="str">
        <f>IF('att Data Entry'!K33="","",IF('att Data Entry'!$D33="","",IF($D30+M30+N30=3, "TRUE",IF($D30+M30+N30=6,"TRUE","FALSE"))))</f>
        <v/>
      </c>
      <c r="AA30" s="443" t="str">
        <f t="shared" si="3"/>
        <v/>
      </c>
      <c r="AB30" s="443" t="str">
        <f t="shared" si="4"/>
        <v/>
      </c>
      <c r="AC30" s="443" t="str">
        <f t="shared" si="5"/>
        <v/>
      </c>
      <c r="AD30" s="443" t="str">
        <f t="shared" si="6"/>
        <v/>
      </c>
      <c r="AE30" s="443" t="str">
        <f t="shared" si="7"/>
        <v/>
      </c>
      <c r="AF30" s="443" t="str">
        <f t="shared" si="11"/>
        <v/>
      </c>
      <c r="AG30" s="443" t="str">
        <f t="shared" si="8"/>
        <v/>
      </c>
      <c r="AH30" s="443" t="str">
        <f t="shared" si="9"/>
        <v/>
      </c>
      <c r="AI30" s="443" t="str">
        <f t="shared" si="10"/>
        <v/>
      </c>
    </row>
    <row r="31" spans="3:35" x14ac:dyDescent="0.25">
      <c r="C31" s="158">
        <v>21</v>
      </c>
      <c r="D31" s="440" t="str">
        <f>IF('att Data Entry'!D34="","",IF('att Data Entry'!D34='att Data Entry'!$D$8,'att Data Entry'!$C$8,'att Data Entry'!$C$9))</f>
        <v/>
      </c>
      <c r="E31" s="40" t="str">
        <f>IF('att Data Entry'!E34="","",IF('att Data Entry'!E34='att Data Entry'!$D$8,'att Data Entry'!$C$8,'att Data Entry'!$C$9))</f>
        <v/>
      </c>
      <c r="F31" s="162" t="str">
        <f>IF('att Data Entry'!F34="","",IF('att Data Entry'!F34='att Data Entry'!$D$8,'att Data Entry'!$C$8,'att Data Entry'!$C$9))</f>
        <v/>
      </c>
      <c r="G31" s="40" t="str">
        <f t="shared" si="0"/>
        <v/>
      </c>
      <c r="H31" s="162" t="str">
        <f>IF('att Data Entry'!$D34="","",IF(X31="TRUE",1,0))</f>
        <v/>
      </c>
      <c r="I31" s="40" t="str">
        <f>IF('att Data Entry'!I34="","",IF('att Data Entry'!H34='att Data Entry'!$D$8,'att Data Entry'!$C$8,'att Data Entry'!$C$9))</f>
        <v/>
      </c>
      <c r="J31" s="162" t="str">
        <f>IF('att Data Entry'!H34="","",IF('att Data Entry'!I34='att Data Entry'!$D$8,'att Data Entry'!$C$8,'att Data Entry'!$C$9))</f>
        <v/>
      </c>
      <c r="K31" s="40" t="str">
        <f t="shared" si="1"/>
        <v/>
      </c>
      <c r="L31" s="162" t="str">
        <f>IF('att Data Entry'!$D34="","",IF(Y31="TRUE",1,0))</f>
        <v/>
      </c>
      <c r="M31" s="40" t="str">
        <f>IF('att Data Entry'!L34="","",IF('att Data Entry'!K34='att Data Entry'!$D$8,'att Data Entry'!$C$8,'att Data Entry'!$C$9))</f>
        <v/>
      </c>
      <c r="N31" s="40" t="str">
        <f>IF('att Data Entry'!K34="","",IF('att Data Entry'!L34='att Data Entry'!$D$8,'att Data Entry'!$C$8,'att Data Entry'!$C$9))</f>
        <v/>
      </c>
      <c r="O31" s="40" t="str">
        <f t="shared" si="2"/>
        <v/>
      </c>
      <c r="P31" s="162" t="str">
        <f>IF('att Data Entry'!$D34="","",IF(Z31="TRUE",1,0))</f>
        <v/>
      </c>
      <c r="Q31" s="441" t="str">
        <f>IF('att Data Entry'!H34="","",IF(M31="",T31,U31))</f>
        <v/>
      </c>
      <c r="R31" s="441" t="str">
        <f>IF('att Data Entry'!H34="","",IF(M31="",V31,W31))</f>
        <v/>
      </c>
      <c r="T31" s="40" t="str">
        <f>IF('att Data Entry'!H34="","",IF($E31+$F31+$I31+$J31=4,"TRUE",IF($E31+$F31+$I31+$J31=8,"TRUE","FALSE")))</f>
        <v/>
      </c>
      <c r="U31" s="40" t="str">
        <f>IF('att Data Entry'!K34="","",IF($E31+$F31+$I31+$J31+$M31+$N31=6,"TRUE",IF($E31+$F31+$I31+$J31+$M31+$N31=12,"TRUE","FALSE")))</f>
        <v/>
      </c>
      <c r="V31" s="40" t="str">
        <f>IF('att Data Entry'!H34="","",IF($E31+$F31+$I31+$J31+$D31=5,"TRUE",IF($E31+$F31+$I31+$J31+$D31=10,"TRUE","FALSE")))</f>
        <v/>
      </c>
      <c r="W31" s="40" t="str">
        <f>IF('att Data Entry'!K34="","",IF($E31+$F31+$I31+$J31+$M31+$N31+$D31=7,"TRUE",IF($E31+$F31+$I31+$J31+$M31+$N31+$D31=14,"TRUE","FALSE")))</f>
        <v/>
      </c>
      <c r="X31" s="40" t="str">
        <f>IF('att Data Entry'!D34="","",IF('att Calculations'!D31+'att Calculations'!E31+'att Calculations'!F31=3, "TRUE",IF('att Calculations'!D31+'att Calculations'!E31+'att Calculations'!F31=6,"TRUE","FALSE")))</f>
        <v/>
      </c>
      <c r="Y31" s="40" t="str">
        <f>IF('att Data Entry'!$D34="","",IF($D31+I31+J31=3, "TRUE",IF($D31+I31+J31=6,"TRUE","FALSE")))</f>
        <v/>
      </c>
      <c r="Z31" s="13" t="str">
        <f>IF('att Data Entry'!K34="","",IF('att Data Entry'!$D34="","",IF($D31+M31+N31=3, "TRUE",IF($D31+M31+N31=6,"TRUE","FALSE"))))</f>
        <v/>
      </c>
      <c r="AA31" s="443" t="str">
        <f t="shared" si="3"/>
        <v/>
      </c>
      <c r="AB31" s="443" t="str">
        <f t="shared" si="4"/>
        <v/>
      </c>
      <c r="AC31" s="443" t="str">
        <f t="shared" si="5"/>
        <v/>
      </c>
      <c r="AD31" s="443" t="str">
        <f t="shared" si="6"/>
        <v/>
      </c>
      <c r="AE31" s="443" t="str">
        <f t="shared" si="7"/>
        <v/>
      </c>
      <c r="AF31" s="443" t="str">
        <f t="shared" si="11"/>
        <v/>
      </c>
      <c r="AG31" s="443" t="str">
        <f t="shared" si="8"/>
        <v/>
      </c>
      <c r="AH31" s="443" t="str">
        <f t="shared" si="9"/>
        <v/>
      </c>
      <c r="AI31" s="443" t="str">
        <f t="shared" si="10"/>
        <v/>
      </c>
    </row>
    <row r="32" spans="3:35" x14ac:dyDescent="0.25">
      <c r="C32" s="158">
        <v>22</v>
      </c>
      <c r="D32" s="440" t="str">
        <f>IF('att Data Entry'!D35="","",IF('att Data Entry'!D35='att Data Entry'!$D$8,'att Data Entry'!$C$8,'att Data Entry'!$C$9))</f>
        <v/>
      </c>
      <c r="E32" s="40" t="str">
        <f>IF('att Data Entry'!E35="","",IF('att Data Entry'!E35='att Data Entry'!$D$8,'att Data Entry'!$C$8,'att Data Entry'!$C$9))</f>
        <v/>
      </c>
      <c r="F32" s="162" t="str">
        <f>IF('att Data Entry'!F35="","",IF('att Data Entry'!F35='att Data Entry'!$D$8,'att Data Entry'!$C$8,'att Data Entry'!$C$9))</f>
        <v/>
      </c>
      <c r="G32" s="40" t="str">
        <f t="shared" si="0"/>
        <v/>
      </c>
      <c r="H32" s="162" t="str">
        <f>IF('att Data Entry'!$D35="","",IF(X32="TRUE",1,0))</f>
        <v/>
      </c>
      <c r="I32" s="40" t="str">
        <f>IF('att Data Entry'!I35="","",IF('att Data Entry'!H35='att Data Entry'!$D$8,'att Data Entry'!$C$8,'att Data Entry'!$C$9))</f>
        <v/>
      </c>
      <c r="J32" s="162" t="str">
        <f>IF('att Data Entry'!H35="","",IF('att Data Entry'!I35='att Data Entry'!$D$8,'att Data Entry'!$C$8,'att Data Entry'!$C$9))</f>
        <v/>
      </c>
      <c r="K32" s="40" t="str">
        <f t="shared" si="1"/>
        <v/>
      </c>
      <c r="L32" s="162" t="str">
        <f>IF('att Data Entry'!$D35="","",IF(Y32="TRUE",1,0))</f>
        <v/>
      </c>
      <c r="M32" s="40" t="str">
        <f>IF('att Data Entry'!L35="","",IF('att Data Entry'!K35='att Data Entry'!$D$8,'att Data Entry'!$C$8,'att Data Entry'!$C$9))</f>
        <v/>
      </c>
      <c r="N32" s="40" t="str">
        <f>IF('att Data Entry'!K35="","",IF('att Data Entry'!L35='att Data Entry'!$D$8,'att Data Entry'!$C$8,'att Data Entry'!$C$9))</f>
        <v/>
      </c>
      <c r="O32" s="40" t="str">
        <f t="shared" si="2"/>
        <v/>
      </c>
      <c r="P32" s="162" t="str">
        <f>IF('att Data Entry'!$D35="","",IF(Z32="TRUE",1,0))</f>
        <v/>
      </c>
      <c r="Q32" s="441" t="str">
        <f>IF('att Data Entry'!H35="","",IF(M32="",T32,U32))</f>
        <v/>
      </c>
      <c r="R32" s="441" t="str">
        <f>IF('att Data Entry'!H35="","",IF(M32="",V32,W32))</f>
        <v/>
      </c>
      <c r="T32" s="40" t="str">
        <f>IF('att Data Entry'!H35="","",IF($E32+$F32+$I32+$J32=4,"TRUE",IF($E32+$F32+$I32+$J32=8,"TRUE","FALSE")))</f>
        <v/>
      </c>
      <c r="U32" s="40" t="str">
        <f>IF('att Data Entry'!K35="","",IF($E32+$F32+$I32+$J32+$M32+$N32=6,"TRUE",IF($E32+$F32+$I32+$J32+$M32+$N32=12,"TRUE","FALSE")))</f>
        <v/>
      </c>
      <c r="V32" s="40" t="str">
        <f>IF('att Data Entry'!H35="","",IF($E32+$F32+$I32+$J32+$D32=5,"TRUE",IF($E32+$F32+$I32+$J32+$D32=10,"TRUE","FALSE")))</f>
        <v/>
      </c>
      <c r="W32" s="40" t="str">
        <f>IF('att Data Entry'!K35="","",IF($E32+$F32+$I32+$J32+$M32+$N32+$D32=7,"TRUE",IF($E32+$F32+$I32+$J32+$M32+$N32+$D32=14,"TRUE","FALSE")))</f>
        <v/>
      </c>
      <c r="X32" s="40" t="str">
        <f>IF('att Data Entry'!D35="","",IF('att Calculations'!D32+'att Calculations'!E32+'att Calculations'!F32=3, "TRUE",IF('att Calculations'!D32+'att Calculations'!E32+'att Calculations'!F32=6,"TRUE","FALSE")))</f>
        <v/>
      </c>
      <c r="Y32" s="40" t="str">
        <f>IF('att Data Entry'!$D35="","",IF($D32+I32+J32=3, "TRUE",IF($D32+I32+J32=6,"TRUE","FALSE")))</f>
        <v/>
      </c>
      <c r="Z32" s="13" t="str">
        <f>IF('att Data Entry'!K35="","",IF('att Data Entry'!$D35="","",IF($D32+M32+N32=3, "TRUE",IF($D32+M32+N32=6,"TRUE","FALSE"))))</f>
        <v/>
      </c>
      <c r="AA32" s="443" t="str">
        <f t="shared" si="3"/>
        <v/>
      </c>
      <c r="AB32" s="443" t="str">
        <f t="shared" si="4"/>
        <v/>
      </c>
      <c r="AC32" s="443" t="str">
        <f t="shared" si="5"/>
        <v/>
      </c>
      <c r="AD32" s="443" t="str">
        <f t="shared" si="6"/>
        <v/>
      </c>
      <c r="AE32" s="443" t="str">
        <f t="shared" si="7"/>
        <v/>
      </c>
      <c r="AF32" s="443" t="str">
        <f t="shared" si="11"/>
        <v/>
      </c>
      <c r="AG32" s="443" t="str">
        <f t="shared" si="8"/>
        <v/>
      </c>
      <c r="AH32" s="443" t="str">
        <f t="shared" si="9"/>
        <v/>
      </c>
      <c r="AI32" s="443" t="str">
        <f t="shared" si="10"/>
        <v/>
      </c>
    </row>
    <row r="33" spans="3:35" x14ac:dyDescent="0.25">
      <c r="C33" s="158">
        <v>23</v>
      </c>
      <c r="D33" s="440" t="str">
        <f>IF('att Data Entry'!D36="","",IF('att Data Entry'!D36='att Data Entry'!$D$8,'att Data Entry'!$C$8,'att Data Entry'!$C$9))</f>
        <v/>
      </c>
      <c r="E33" s="40" t="str">
        <f>IF('att Data Entry'!E36="","",IF('att Data Entry'!E36='att Data Entry'!$D$8,'att Data Entry'!$C$8,'att Data Entry'!$C$9))</f>
        <v/>
      </c>
      <c r="F33" s="162" t="str">
        <f>IF('att Data Entry'!F36="","",IF('att Data Entry'!F36='att Data Entry'!$D$8,'att Data Entry'!$C$8,'att Data Entry'!$C$9))</f>
        <v/>
      </c>
      <c r="G33" s="40" t="str">
        <f t="shared" si="0"/>
        <v/>
      </c>
      <c r="H33" s="162" t="str">
        <f>IF('att Data Entry'!$D36="","",IF(X33="TRUE",1,0))</f>
        <v/>
      </c>
      <c r="I33" s="40" t="str">
        <f>IF('att Data Entry'!I36="","",IF('att Data Entry'!H36='att Data Entry'!$D$8,'att Data Entry'!$C$8,'att Data Entry'!$C$9))</f>
        <v/>
      </c>
      <c r="J33" s="162" t="str">
        <f>IF('att Data Entry'!H36="","",IF('att Data Entry'!I36='att Data Entry'!$D$8,'att Data Entry'!$C$8,'att Data Entry'!$C$9))</f>
        <v/>
      </c>
      <c r="K33" s="40" t="str">
        <f t="shared" si="1"/>
        <v/>
      </c>
      <c r="L33" s="162" t="str">
        <f>IF('att Data Entry'!$D36="","",IF(Y33="TRUE",1,0))</f>
        <v/>
      </c>
      <c r="M33" s="40" t="str">
        <f>IF('att Data Entry'!L36="","",IF('att Data Entry'!K36='att Data Entry'!$D$8,'att Data Entry'!$C$8,'att Data Entry'!$C$9))</f>
        <v/>
      </c>
      <c r="N33" s="40" t="str">
        <f>IF('att Data Entry'!K36="","",IF('att Data Entry'!L36='att Data Entry'!$D$8,'att Data Entry'!$C$8,'att Data Entry'!$C$9))</f>
        <v/>
      </c>
      <c r="O33" s="40" t="str">
        <f t="shared" si="2"/>
        <v/>
      </c>
      <c r="P33" s="162" t="str">
        <f>IF('att Data Entry'!$D36="","",IF(Z33="TRUE",1,0))</f>
        <v/>
      </c>
      <c r="Q33" s="441" t="str">
        <f>IF('att Data Entry'!H36="","",IF(M33="",T33,U33))</f>
        <v/>
      </c>
      <c r="R33" s="441" t="str">
        <f>IF('att Data Entry'!H36="","",IF(M33="",V33,W33))</f>
        <v/>
      </c>
      <c r="T33" s="40" t="str">
        <f>IF('att Data Entry'!H36="","",IF($E33+$F33+$I33+$J33=4,"TRUE",IF($E33+$F33+$I33+$J33=8,"TRUE","FALSE")))</f>
        <v/>
      </c>
      <c r="U33" s="40" t="str">
        <f>IF('att Data Entry'!K36="","",IF($E33+$F33+$I33+$J33+$M33+$N33=6,"TRUE",IF($E33+$F33+$I33+$J33+$M33+$N33=12,"TRUE","FALSE")))</f>
        <v/>
      </c>
      <c r="V33" s="40" t="str">
        <f>IF('att Data Entry'!H36="","",IF($E33+$F33+$I33+$J33+$D33=5,"TRUE",IF($E33+$F33+$I33+$J33+$D33=10,"TRUE","FALSE")))</f>
        <v/>
      </c>
      <c r="W33" s="40" t="str">
        <f>IF('att Data Entry'!K36="","",IF($E33+$F33+$I33+$J33+$M33+$N33+$D33=7,"TRUE",IF($E33+$F33+$I33+$J33+$M33+$N33+$D33=14,"TRUE","FALSE")))</f>
        <v/>
      </c>
      <c r="X33" s="40" t="str">
        <f>IF('att Data Entry'!D36="","",IF('att Calculations'!D33+'att Calculations'!E33+'att Calculations'!F33=3, "TRUE",IF('att Calculations'!D33+'att Calculations'!E33+'att Calculations'!F33=6,"TRUE","FALSE")))</f>
        <v/>
      </c>
      <c r="Y33" s="40" t="str">
        <f>IF('att Data Entry'!$D36="","",IF($D33+I33+J33=3, "TRUE",IF($D33+I33+J33=6,"TRUE","FALSE")))</f>
        <v/>
      </c>
      <c r="Z33" s="13" t="str">
        <f>IF('att Data Entry'!K36="","",IF('att Data Entry'!$D36="","",IF($D33+M33+N33=3, "TRUE",IF($D33+M33+N33=6,"TRUE","FALSE"))))</f>
        <v/>
      </c>
      <c r="AA33" s="443" t="str">
        <f t="shared" si="3"/>
        <v/>
      </c>
      <c r="AB33" s="443" t="str">
        <f t="shared" si="4"/>
        <v/>
      </c>
      <c r="AC33" s="443" t="str">
        <f t="shared" si="5"/>
        <v/>
      </c>
      <c r="AD33" s="443" t="str">
        <f t="shared" si="6"/>
        <v/>
      </c>
      <c r="AE33" s="443" t="str">
        <f t="shared" si="7"/>
        <v/>
      </c>
      <c r="AF33" s="443" t="str">
        <f t="shared" si="11"/>
        <v/>
      </c>
      <c r="AG33" s="443" t="str">
        <f t="shared" si="8"/>
        <v/>
      </c>
      <c r="AH33" s="443" t="str">
        <f t="shared" si="9"/>
        <v/>
      </c>
      <c r="AI33" s="443" t="str">
        <f t="shared" si="10"/>
        <v/>
      </c>
    </row>
    <row r="34" spans="3:35" x14ac:dyDescent="0.25">
      <c r="C34" s="158">
        <v>24</v>
      </c>
      <c r="D34" s="440" t="str">
        <f>IF('att Data Entry'!D37="","",IF('att Data Entry'!D37='att Data Entry'!$D$8,'att Data Entry'!$C$8,'att Data Entry'!$C$9))</f>
        <v/>
      </c>
      <c r="E34" s="40" t="str">
        <f>IF('att Data Entry'!E37="","",IF('att Data Entry'!E37='att Data Entry'!$D$8,'att Data Entry'!$C$8,'att Data Entry'!$C$9))</f>
        <v/>
      </c>
      <c r="F34" s="162" t="str">
        <f>IF('att Data Entry'!F37="","",IF('att Data Entry'!F37='att Data Entry'!$D$8,'att Data Entry'!$C$8,'att Data Entry'!$C$9))</f>
        <v/>
      </c>
      <c r="G34" s="40" t="str">
        <f t="shared" si="0"/>
        <v/>
      </c>
      <c r="H34" s="162" t="str">
        <f>IF('att Data Entry'!$D37="","",IF(X34="TRUE",1,0))</f>
        <v/>
      </c>
      <c r="I34" s="40" t="str">
        <f>IF('att Data Entry'!I37="","",IF('att Data Entry'!H37='att Data Entry'!$D$8,'att Data Entry'!$C$8,'att Data Entry'!$C$9))</f>
        <v/>
      </c>
      <c r="J34" s="162" t="str">
        <f>IF('att Data Entry'!H37="","",IF('att Data Entry'!I37='att Data Entry'!$D$8,'att Data Entry'!$C$8,'att Data Entry'!$C$9))</f>
        <v/>
      </c>
      <c r="K34" s="40" t="str">
        <f t="shared" si="1"/>
        <v/>
      </c>
      <c r="L34" s="162" t="str">
        <f>IF('att Data Entry'!$D37="","",IF(Y34="TRUE",1,0))</f>
        <v/>
      </c>
      <c r="M34" s="40" t="str">
        <f>IF('att Data Entry'!L37="","",IF('att Data Entry'!K37='att Data Entry'!$D$8,'att Data Entry'!$C$8,'att Data Entry'!$C$9))</f>
        <v/>
      </c>
      <c r="N34" s="40" t="str">
        <f>IF('att Data Entry'!K37="","",IF('att Data Entry'!L37='att Data Entry'!$D$8,'att Data Entry'!$C$8,'att Data Entry'!$C$9))</f>
        <v/>
      </c>
      <c r="O34" s="40" t="str">
        <f t="shared" si="2"/>
        <v/>
      </c>
      <c r="P34" s="162" t="str">
        <f>IF('att Data Entry'!$D37="","",IF(Z34="TRUE",1,0))</f>
        <v/>
      </c>
      <c r="Q34" s="441" t="str">
        <f>IF('att Data Entry'!H37="","",IF(M34="",T34,U34))</f>
        <v/>
      </c>
      <c r="R34" s="441" t="str">
        <f>IF('att Data Entry'!H37="","",IF(M34="",V34,W34))</f>
        <v/>
      </c>
      <c r="T34" s="40" t="str">
        <f>IF('att Data Entry'!H37="","",IF($E34+$F34+$I34+$J34=4,"TRUE",IF($E34+$F34+$I34+$J34=8,"TRUE","FALSE")))</f>
        <v/>
      </c>
      <c r="U34" s="40" t="str">
        <f>IF('att Data Entry'!K37="","",IF($E34+$F34+$I34+$J34+$M34+$N34=6,"TRUE",IF($E34+$F34+$I34+$J34+$M34+$N34=12,"TRUE","FALSE")))</f>
        <v/>
      </c>
      <c r="V34" s="40" t="str">
        <f>IF('att Data Entry'!H37="","",IF($E34+$F34+$I34+$J34+$D34=5,"TRUE",IF($E34+$F34+$I34+$J34+$D34=10,"TRUE","FALSE")))</f>
        <v/>
      </c>
      <c r="W34" s="40" t="str">
        <f>IF('att Data Entry'!K37="","",IF($E34+$F34+$I34+$J34+$M34+$N34+$D34=7,"TRUE",IF($E34+$F34+$I34+$J34+$M34+$N34+$D34=14,"TRUE","FALSE")))</f>
        <v/>
      </c>
      <c r="X34" s="40" t="str">
        <f>IF('att Data Entry'!D37="","",IF('att Calculations'!D34+'att Calculations'!E34+'att Calculations'!F34=3, "TRUE",IF('att Calculations'!D34+'att Calculations'!E34+'att Calculations'!F34=6,"TRUE","FALSE")))</f>
        <v/>
      </c>
      <c r="Y34" s="40" t="str">
        <f>IF('att Data Entry'!$D37="","",IF($D34+I34+J34=3, "TRUE",IF($D34+I34+J34=6,"TRUE","FALSE")))</f>
        <v/>
      </c>
      <c r="Z34" s="13" t="str">
        <f>IF('att Data Entry'!K37="","",IF('att Data Entry'!$D37="","",IF($D34+M34+N34=3, "TRUE",IF($D34+M34+N34=6,"TRUE","FALSE"))))</f>
        <v/>
      </c>
      <c r="AA34" s="443" t="str">
        <f t="shared" si="3"/>
        <v/>
      </c>
      <c r="AB34" s="443" t="str">
        <f t="shared" si="4"/>
        <v/>
      </c>
      <c r="AC34" s="443" t="str">
        <f t="shared" si="5"/>
        <v/>
      </c>
      <c r="AD34" s="443" t="str">
        <f t="shared" si="6"/>
        <v/>
      </c>
      <c r="AE34" s="443" t="str">
        <f t="shared" si="7"/>
        <v/>
      </c>
      <c r="AF34" s="443" t="str">
        <f t="shared" si="11"/>
        <v/>
      </c>
      <c r="AG34" s="443" t="str">
        <f t="shared" si="8"/>
        <v/>
      </c>
      <c r="AH34" s="443" t="str">
        <f t="shared" si="9"/>
        <v/>
      </c>
      <c r="AI34" s="443" t="str">
        <f t="shared" si="10"/>
        <v/>
      </c>
    </row>
    <row r="35" spans="3:35" x14ac:dyDescent="0.25">
      <c r="C35" s="158">
        <v>25</v>
      </c>
      <c r="D35" s="440" t="str">
        <f>IF('att Data Entry'!D38="","",IF('att Data Entry'!D38='att Data Entry'!$D$8,'att Data Entry'!$C$8,'att Data Entry'!$C$9))</f>
        <v/>
      </c>
      <c r="E35" s="40" t="str">
        <f>IF('att Data Entry'!E38="","",IF('att Data Entry'!E38='att Data Entry'!$D$8,'att Data Entry'!$C$8,'att Data Entry'!$C$9))</f>
        <v/>
      </c>
      <c r="F35" s="162" t="str">
        <f>IF('att Data Entry'!F38="","",IF('att Data Entry'!F38='att Data Entry'!$D$8,'att Data Entry'!$C$8,'att Data Entry'!$C$9))</f>
        <v/>
      </c>
      <c r="G35" s="40" t="str">
        <f t="shared" si="0"/>
        <v/>
      </c>
      <c r="H35" s="162" t="str">
        <f>IF('att Data Entry'!$D38="","",IF(X35="TRUE",1,0))</f>
        <v/>
      </c>
      <c r="I35" s="40" t="str">
        <f>IF('att Data Entry'!I38="","",IF('att Data Entry'!H38='att Data Entry'!$D$8,'att Data Entry'!$C$8,'att Data Entry'!$C$9))</f>
        <v/>
      </c>
      <c r="J35" s="162" t="str">
        <f>IF('att Data Entry'!H38="","",IF('att Data Entry'!I38='att Data Entry'!$D$8,'att Data Entry'!$C$8,'att Data Entry'!$C$9))</f>
        <v/>
      </c>
      <c r="K35" s="40" t="str">
        <f t="shared" si="1"/>
        <v/>
      </c>
      <c r="L35" s="162" t="str">
        <f>IF('att Data Entry'!$D38="","",IF(Y35="TRUE",1,0))</f>
        <v/>
      </c>
      <c r="M35" s="40" t="str">
        <f>IF('att Data Entry'!L38="","",IF('att Data Entry'!K38='att Data Entry'!$D$8,'att Data Entry'!$C$8,'att Data Entry'!$C$9))</f>
        <v/>
      </c>
      <c r="N35" s="40" t="str">
        <f>IF('att Data Entry'!K38="","",IF('att Data Entry'!L38='att Data Entry'!$D$8,'att Data Entry'!$C$8,'att Data Entry'!$C$9))</f>
        <v/>
      </c>
      <c r="O35" s="40" t="str">
        <f t="shared" si="2"/>
        <v/>
      </c>
      <c r="P35" s="162" t="str">
        <f>IF('att Data Entry'!$D38="","",IF(Z35="TRUE",1,0))</f>
        <v/>
      </c>
      <c r="Q35" s="441" t="str">
        <f>IF('att Data Entry'!H38="","",IF(M35="",T35,U35))</f>
        <v/>
      </c>
      <c r="R35" s="441" t="str">
        <f>IF('att Data Entry'!H38="","",IF(M35="",V35,W35))</f>
        <v/>
      </c>
      <c r="T35" s="40" t="str">
        <f>IF('att Data Entry'!H38="","",IF($E35+$F35+$I35+$J35=4,"TRUE",IF($E35+$F35+$I35+$J35=8,"TRUE","FALSE")))</f>
        <v/>
      </c>
      <c r="U35" s="40" t="str">
        <f>IF('att Data Entry'!K38="","",IF($E35+$F35+$I35+$J35+$M35+$N35=6,"TRUE",IF($E35+$F35+$I35+$J35+$M35+$N35=12,"TRUE","FALSE")))</f>
        <v/>
      </c>
      <c r="V35" s="40" t="str">
        <f>IF('att Data Entry'!H38="","",IF($E35+$F35+$I35+$J35+$D35=5,"TRUE",IF($E35+$F35+$I35+$J35+$D35=10,"TRUE","FALSE")))</f>
        <v/>
      </c>
      <c r="W35" s="40" t="str">
        <f>IF('att Data Entry'!K38="","",IF($E35+$F35+$I35+$J35+$M35+$N35+$D35=7,"TRUE",IF($E35+$F35+$I35+$J35+$M35+$N35+$D35=14,"TRUE","FALSE")))</f>
        <v/>
      </c>
      <c r="X35" s="40" t="str">
        <f>IF('att Data Entry'!D38="","",IF('att Calculations'!D35+'att Calculations'!E35+'att Calculations'!F35=3, "TRUE",IF('att Calculations'!D35+'att Calculations'!E35+'att Calculations'!F35=6,"TRUE","FALSE")))</f>
        <v/>
      </c>
      <c r="Y35" s="40" t="str">
        <f>IF('att Data Entry'!$D38="","",IF($D35+I35+J35=3, "TRUE",IF($D35+I35+J35=6,"TRUE","FALSE")))</f>
        <v/>
      </c>
      <c r="Z35" s="13" t="str">
        <f>IF('att Data Entry'!K38="","",IF('att Data Entry'!$D38="","",IF($D35+M35+N35=3, "TRUE",IF($D35+M35+N35=6,"TRUE","FALSE"))))</f>
        <v/>
      </c>
      <c r="AA35" s="443" t="str">
        <f t="shared" si="3"/>
        <v/>
      </c>
      <c r="AB35" s="443" t="str">
        <f t="shared" si="4"/>
        <v/>
      </c>
      <c r="AC35" s="443" t="str">
        <f t="shared" si="5"/>
        <v/>
      </c>
      <c r="AD35" s="443" t="str">
        <f t="shared" si="6"/>
        <v/>
      </c>
      <c r="AE35" s="443" t="str">
        <f t="shared" si="7"/>
        <v/>
      </c>
      <c r="AF35" s="443" t="str">
        <f t="shared" si="11"/>
        <v/>
      </c>
      <c r="AG35" s="443" t="str">
        <f t="shared" si="8"/>
        <v/>
      </c>
      <c r="AH35" s="443" t="str">
        <f t="shared" si="9"/>
        <v/>
      </c>
      <c r="AI35" s="443" t="str">
        <f t="shared" si="10"/>
        <v/>
      </c>
    </row>
    <row r="36" spans="3:35" x14ac:dyDescent="0.25">
      <c r="C36" s="158">
        <v>26</v>
      </c>
      <c r="D36" s="440" t="str">
        <f>IF('att Data Entry'!D39="","",IF('att Data Entry'!D39='att Data Entry'!$D$8,'att Data Entry'!$C$8,'att Data Entry'!$C$9))</f>
        <v/>
      </c>
      <c r="E36" s="40" t="str">
        <f>IF('att Data Entry'!E39="","",IF('att Data Entry'!E39='att Data Entry'!$D$8,'att Data Entry'!$C$8,'att Data Entry'!$C$9))</f>
        <v/>
      </c>
      <c r="F36" s="162" t="str">
        <f>IF('att Data Entry'!F39="","",IF('att Data Entry'!F39='att Data Entry'!$D$8,'att Data Entry'!$C$8,'att Data Entry'!$C$9))</f>
        <v/>
      </c>
      <c r="G36" s="40" t="str">
        <f t="shared" si="0"/>
        <v/>
      </c>
      <c r="H36" s="162" t="str">
        <f>IF('att Data Entry'!$D39="","",IF(X36="TRUE",1,0))</f>
        <v/>
      </c>
      <c r="I36" s="40" t="str">
        <f>IF('att Data Entry'!I39="","",IF('att Data Entry'!H39='att Data Entry'!$D$8,'att Data Entry'!$C$8,'att Data Entry'!$C$9))</f>
        <v/>
      </c>
      <c r="J36" s="162" t="str">
        <f>IF('att Data Entry'!H39="","",IF('att Data Entry'!I39='att Data Entry'!$D$8,'att Data Entry'!$C$8,'att Data Entry'!$C$9))</f>
        <v/>
      </c>
      <c r="K36" s="40" t="str">
        <f t="shared" si="1"/>
        <v/>
      </c>
      <c r="L36" s="162" t="str">
        <f>IF('att Data Entry'!$D39="","",IF(Y36="TRUE",1,0))</f>
        <v/>
      </c>
      <c r="M36" s="40" t="str">
        <f>IF('att Data Entry'!L39="","",IF('att Data Entry'!K39='att Data Entry'!$D$8,'att Data Entry'!$C$8,'att Data Entry'!$C$9))</f>
        <v/>
      </c>
      <c r="N36" s="40" t="str">
        <f>IF('att Data Entry'!K39="","",IF('att Data Entry'!L39='att Data Entry'!$D$8,'att Data Entry'!$C$8,'att Data Entry'!$C$9))</f>
        <v/>
      </c>
      <c r="O36" s="40" t="str">
        <f t="shared" si="2"/>
        <v/>
      </c>
      <c r="P36" s="162" t="str">
        <f>IF('att Data Entry'!$D39="","",IF(Z36="TRUE",1,0))</f>
        <v/>
      </c>
      <c r="Q36" s="441" t="str">
        <f>IF('att Data Entry'!H39="","",IF(M36="",T36,U36))</f>
        <v/>
      </c>
      <c r="R36" s="441" t="str">
        <f>IF('att Data Entry'!H39="","",IF(M36="",V36,W36))</f>
        <v/>
      </c>
      <c r="T36" s="40" t="str">
        <f>IF('att Data Entry'!H39="","",IF($E36+$F36+$I36+$J36=4,"TRUE",IF($E36+$F36+$I36+$J36=8,"TRUE","FALSE")))</f>
        <v/>
      </c>
      <c r="U36" s="40" t="str">
        <f>IF('att Data Entry'!K39="","",IF($E36+$F36+$I36+$J36+$M36+$N36=6,"TRUE",IF($E36+$F36+$I36+$J36+$M36+$N36=12,"TRUE","FALSE")))</f>
        <v/>
      </c>
      <c r="V36" s="40" t="str">
        <f>IF('att Data Entry'!H39="","",IF($E36+$F36+$I36+$J36+$D36=5,"TRUE",IF($E36+$F36+$I36+$J36+$D36=10,"TRUE","FALSE")))</f>
        <v/>
      </c>
      <c r="W36" s="40" t="str">
        <f>IF('att Data Entry'!K39="","",IF($E36+$F36+$I36+$J36+$M36+$N36+$D36=7,"TRUE",IF($E36+$F36+$I36+$J36+$M36+$N36+$D36=14,"TRUE","FALSE")))</f>
        <v/>
      </c>
      <c r="X36" s="40" t="str">
        <f>IF('att Data Entry'!D39="","",IF('att Calculations'!D36+'att Calculations'!E36+'att Calculations'!F36=3, "TRUE",IF('att Calculations'!D36+'att Calculations'!E36+'att Calculations'!F36=6,"TRUE","FALSE")))</f>
        <v/>
      </c>
      <c r="Y36" s="40" t="str">
        <f>IF('att Data Entry'!$D39="","",IF($D36+I36+J36=3, "TRUE",IF($D36+I36+J36=6,"TRUE","FALSE")))</f>
        <v/>
      </c>
      <c r="Z36" s="13" t="str">
        <f>IF('att Data Entry'!K39="","",IF('att Data Entry'!$D39="","",IF($D36+M36+N36=3, "TRUE",IF($D36+M36+N36=6,"TRUE","FALSE"))))</f>
        <v/>
      </c>
      <c r="AA36" s="443" t="str">
        <f t="shared" si="3"/>
        <v/>
      </c>
      <c r="AB36" s="443" t="str">
        <f t="shared" si="4"/>
        <v/>
      </c>
      <c r="AC36" s="443" t="str">
        <f t="shared" si="5"/>
        <v/>
      </c>
      <c r="AD36" s="443" t="str">
        <f t="shared" si="6"/>
        <v/>
      </c>
      <c r="AE36" s="443" t="str">
        <f t="shared" si="7"/>
        <v/>
      </c>
      <c r="AF36" s="443" t="str">
        <f t="shared" si="11"/>
        <v/>
      </c>
      <c r="AG36" s="443" t="str">
        <f t="shared" si="8"/>
        <v/>
      </c>
      <c r="AH36" s="443" t="str">
        <f t="shared" si="9"/>
        <v/>
      </c>
      <c r="AI36" s="443" t="str">
        <f t="shared" si="10"/>
        <v/>
      </c>
    </row>
    <row r="37" spans="3:35" x14ac:dyDescent="0.25">
      <c r="C37" s="158">
        <v>27</v>
      </c>
      <c r="D37" s="440" t="str">
        <f>IF('att Data Entry'!D40="","",IF('att Data Entry'!D40='att Data Entry'!$D$8,'att Data Entry'!$C$8,'att Data Entry'!$C$9))</f>
        <v/>
      </c>
      <c r="E37" s="40" t="str">
        <f>IF('att Data Entry'!E40="","",IF('att Data Entry'!E40='att Data Entry'!$D$8,'att Data Entry'!$C$8,'att Data Entry'!$C$9))</f>
        <v/>
      </c>
      <c r="F37" s="162" t="str">
        <f>IF('att Data Entry'!F40="","",IF('att Data Entry'!F40='att Data Entry'!$D$8,'att Data Entry'!$C$8,'att Data Entry'!$C$9))</f>
        <v/>
      </c>
      <c r="G37" s="40" t="str">
        <f t="shared" si="0"/>
        <v/>
      </c>
      <c r="H37" s="162" t="str">
        <f>IF('att Data Entry'!$D40="","",IF(X37="TRUE",1,0))</f>
        <v/>
      </c>
      <c r="I37" s="40" t="str">
        <f>IF('att Data Entry'!I40="","",IF('att Data Entry'!H40='att Data Entry'!$D$8,'att Data Entry'!$C$8,'att Data Entry'!$C$9))</f>
        <v/>
      </c>
      <c r="J37" s="162" t="str">
        <f>IF('att Data Entry'!H40="","",IF('att Data Entry'!I40='att Data Entry'!$D$8,'att Data Entry'!$C$8,'att Data Entry'!$C$9))</f>
        <v/>
      </c>
      <c r="K37" s="40" t="str">
        <f t="shared" si="1"/>
        <v/>
      </c>
      <c r="L37" s="162" t="str">
        <f>IF('att Data Entry'!$D40="","",IF(Y37="TRUE",1,0))</f>
        <v/>
      </c>
      <c r="M37" s="40" t="str">
        <f>IF('att Data Entry'!L40="","",IF('att Data Entry'!K40='att Data Entry'!$D$8,'att Data Entry'!$C$8,'att Data Entry'!$C$9))</f>
        <v/>
      </c>
      <c r="N37" s="40" t="str">
        <f>IF('att Data Entry'!K40="","",IF('att Data Entry'!L40='att Data Entry'!$D$8,'att Data Entry'!$C$8,'att Data Entry'!$C$9))</f>
        <v/>
      </c>
      <c r="O37" s="40" t="str">
        <f t="shared" si="2"/>
        <v/>
      </c>
      <c r="P37" s="162" t="str">
        <f>IF('att Data Entry'!$D40="","",IF(Z37="TRUE",1,0))</f>
        <v/>
      </c>
      <c r="Q37" s="441" t="str">
        <f>IF('att Data Entry'!H40="","",IF(M37="",T37,U37))</f>
        <v/>
      </c>
      <c r="R37" s="441" t="str">
        <f>IF('att Data Entry'!H40="","",IF(M37="",V37,W37))</f>
        <v/>
      </c>
      <c r="T37" s="40" t="str">
        <f>IF('att Data Entry'!H40="","",IF($E37+$F37+$I37+$J37=4,"TRUE",IF($E37+$F37+$I37+$J37=8,"TRUE","FALSE")))</f>
        <v/>
      </c>
      <c r="U37" s="40" t="str">
        <f>IF('att Data Entry'!K40="","",IF($E37+$F37+$I37+$J37+$M37+$N37=6,"TRUE",IF($E37+$F37+$I37+$J37+$M37+$N37=12,"TRUE","FALSE")))</f>
        <v/>
      </c>
      <c r="V37" s="40" t="str">
        <f>IF('att Data Entry'!H40="","",IF($E37+$F37+$I37+$J37+$D37=5,"TRUE",IF($E37+$F37+$I37+$J37+$D37=10,"TRUE","FALSE")))</f>
        <v/>
      </c>
      <c r="W37" s="40" t="str">
        <f>IF('att Data Entry'!K40="","",IF($E37+$F37+$I37+$J37+$M37+$N37+$D37=7,"TRUE",IF($E37+$F37+$I37+$J37+$M37+$N37+$D37=14,"TRUE","FALSE")))</f>
        <v/>
      </c>
      <c r="X37" s="40" t="str">
        <f>IF('att Data Entry'!D40="","",IF('att Calculations'!D37+'att Calculations'!E37+'att Calculations'!F37=3, "TRUE",IF('att Calculations'!D37+'att Calculations'!E37+'att Calculations'!F37=6,"TRUE","FALSE")))</f>
        <v/>
      </c>
      <c r="Y37" s="40" t="str">
        <f>IF('att Data Entry'!$D40="","",IF($D37+I37+J37=3, "TRUE",IF($D37+I37+J37=6,"TRUE","FALSE")))</f>
        <v/>
      </c>
      <c r="Z37" s="13" t="str">
        <f>IF('att Data Entry'!K40="","",IF('att Data Entry'!$D40="","",IF($D37+M37+N37=3, "TRUE",IF($D37+M37+N37=6,"TRUE","FALSE"))))</f>
        <v/>
      </c>
      <c r="AA37" s="443" t="str">
        <f t="shared" si="3"/>
        <v/>
      </c>
      <c r="AB37" s="443" t="str">
        <f t="shared" si="4"/>
        <v/>
      </c>
      <c r="AC37" s="443" t="str">
        <f t="shared" si="5"/>
        <v/>
      </c>
      <c r="AD37" s="443" t="str">
        <f t="shared" si="6"/>
        <v/>
      </c>
      <c r="AE37" s="443" t="str">
        <f t="shared" si="7"/>
        <v/>
      </c>
      <c r="AF37" s="443" t="str">
        <f t="shared" si="11"/>
        <v/>
      </c>
      <c r="AG37" s="443" t="str">
        <f t="shared" si="8"/>
        <v/>
      </c>
      <c r="AH37" s="443" t="str">
        <f t="shared" si="9"/>
        <v/>
      </c>
      <c r="AI37" s="443" t="str">
        <f t="shared" si="10"/>
        <v/>
      </c>
    </row>
    <row r="38" spans="3:35" x14ac:dyDescent="0.25">
      <c r="C38" s="158">
        <v>28</v>
      </c>
      <c r="D38" s="440" t="str">
        <f>IF('att Data Entry'!D41="","",IF('att Data Entry'!D41='att Data Entry'!$D$8,'att Data Entry'!$C$8,'att Data Entry'!$C$9))</f>
        <v/>
      </c>
      <c r="E38" s="40" t="str">
        <f>IF('att Data Entry'!E41="","",IF('att Data Entry'!E41='att Data Entry'!$D$8,'att Data Entry'!$C$8,'att Data Entry'!$C$9))</f>
        <v/>
      </c>
      <c r="F38" s="162" t="str">
        <f>IF('att Data Entry'!F41="","",IF('att Data Entry'!F41='att Data Entry'!$D$8,'att Data Entry'!$C$8,'att Data Entry'!$C$9))</f>
        <v/>
      </c>
      <c r="G38" s="40" t="str">
        <f t="shared" si="0"/>
        <v/>
      </c>
      <c r="H38" s="162" t="str">
        <f>IF('att Data Entry'!$D41="","",IF(X38="TRUE",1,0))</f>
        <v/>
      </c>
      <c r="I38" s="40" t="str">
        <f>IF('att Data Entry'!I41="","",IF('att Data Entry'!H41='att Data Entry'!$D$8,'att Data Entry'!$C$8,'att Data Entry'!$C$9))</f>
        <v/>
      </c>
      <c r="J38" s="162" t="str">
        <f>IF('att Data Entry'!H41="","",IF('att Data Entry'!I41='att Data Entry'!$D$8,'att Data Entry'!$C$8,'att Data Entry'!$C$9))</f>
        <v/>
      </c>
      <c r="K38" s="40" t="str">
        <f t="shared" si="1"/>
        <v/>
      </c>
      <c r="L38" s="162" t="str">
        <f>IF('att Data Entry'!$D41="","",IF(Y38="TRUE",1,0))</f>
        <v/>
      </c>
      <c r="M38" s="40" t="str">
        <f>IF('att Data Entry'!L41="","",IF('att Data Entry'!K41='att Data Entry'!$D$8,'att Data Entry'!$C$8,'att Data Entry'!$C$9))</f>
        <v/>
      </c>
      <c r="N38" s="40" t="str">
        <f>IF('att Data Entry'!K41="","",IF('att Data Entry'!L41='att Data Entry'!$D$8,'att Data Entry'!$C$8,'att Data Entry'!$C$9))</f>
        <v/>
      </c>
      <c r="O38" s="40" t="str">
        <f t="shared" si="2"/>
        <v/>
      </c>
      <c r="P38" s="162" t="str">
        <f>IF('att Data Entry'!$D41="","",IF(Z38="TRUE",1,0))</f>
        <v/>
      </c>
      <c r="Q38" s="441" t="str">
        <f>IF('att Data Entry'!H41="","",IF(M38="",T38,U38))</f>
        <v/>
      </c>
      <c r="R38" s="441" t="str">
        <f>IF('att Data Entry'!H41="","",IF(M38="",V38,W38))</f>
        <v/>
      </c>
      <c r="T38" s="40" t="str">
        <f>IF('att Data Entry'!H41="","",IF($E38+$F38+$I38+$J38=4,"TRUE",IF($E38+$F38+$I38+$J38=8,"TRUE","FALSE")))</f>
        <v/>
      </c>
      <c r="U38" s="40" t="str">
        <f>IF('att Data Entry'!K41="","",IF($E38+$F38+$I38+$J38+$M38+$N38=6,"TRUE",IF($E38+$F38+$I38+$J38+$M38+$N38=12,"TRUE","FALSE")))</f>
        <v/>
      </c>
      <c r="V38" s="40" t="str">
        <f>IF('att Data Entry'!H41="","",IF($E38+$F38+$I38+$J38+$D38=5,"TRUE",IF($E38+$F38+$I38+$J38+$D38=10,"TRUE","FALSE")))</f>
        <v/>
      </c>
      <c r="W38" s="40" t="str">
        <f>IF('att Data Entry'!K41="","",IF($E38+$F38+$I38+$J38+$M38+$N38+$D38=7,"TRUE",IF($E38+$F38+$I38+$J38+$M38+$N38+$D38=14,"TRUE","FALSE")))</f>
        <v/>
      </c>
      <c r="X38" s="40" t="str">
        <f>IF('att Data Entry'!D41="","",IF('att Calculations'!D38+'att Calculations'!E38+'att Calculations'!F38=3, "TRUE",IF('att Calculations'!D38+'att Calculations'!E38+'att Calculations'!F38=6,"TRUE","FALSE")))</f>
        <v/>
      </c>
      <c r="Y38" s="40" t="str">
        <f>IF('att Data Entry'!$D41="","",IF($D38+I38+J38=3, "TRUE",IF($D38+I38+J38=6,"TRUE","FALSE")))</f>
        <v/>
      </c>
      <c r="Z38" s="13" t="str">
        <f>IF('att Data Entry'!K41="","",IF('att Data Entry'!$D41="","",IF($D38+M38+N38=3, "TRUE",IF($D38+M38+N38=6,"TRUE","FALSE"))))</f>
        <v/>
      </c>
      <c r="AA38" s="443" t="str">
        <f t="shared" si="3"/>
        <v/>
      </c>
      <c r="AB38" s="443" t="str">
        <f t="shared" si="4"/>
        <v/>
      </c>
      <c r="AC38" s="443" t="str">
        <f t="shared" si="5"/>
        <v/>
      </c>
      <c r="AD38" s="443" t="str">
        <f t="shared" si="6"/>
        <v/>
      </c>
      <c r="AE38" s="443" t="str">
        <f t="shared" si="7"/>
        <v/>
      </c>
      <c r="AF38" s="443" t="str">
        <f t="shared" si="11"/>
        <v/>
      </c>
      <c r="AG38" s="443" t="str">
        <f t="shared" si="8"/>
        <v/>
      </c>
      <c r="AH38" s="443" t="str">
        <f t="shared" si="9"/>
        <v/>
      </c>
      <c r="AI38" s="443" t="str">
        <f t="shared" si="10"/>
        <v/>
      </c>
    </row>
    <row r="39" spans="3:35" x14ac:dyDescent="0.25">
      <c r="C39" s="158">
        <v>29</v>
      </c>
      <c r="D39" s="440" t="str">
        <f>IF('att Data Entry'!D42="","",IF('att Data Entry'!D42='att Data Entry'!$D$8,'att Data Entry'!$C$8,'att Data Entry'!$C$9))</f>
        <v/>
      </c>
      <c r="E39" s="40" t="str">
        <f>IF('att Data Entry'!E42="","",IF('att Data Entry'!E42='att Data Entry'!$D$8,'att Data Entry'!$C$8,'att Data Entry'!$C$9))</f>
        <v/>
      </c>
      <c r="F39" s="162" t="str">
        <f>IF('att Data Entry'!F42="","",IF('att Data Entry'!F42='att Data Entry'!$D$8,'att Data Entry'!$C$8,'att Data Entry'!$C$9))</f>
        <v/>
      </c>
      <c r="G39" s="40" t="str">
        <f t="shared" si="0"/>
        <v/>
      </c>
      <c r="H39" s="162" t="str">
        <f>IF('att Data Entry'!$D42="","",IF(X39="TRUE",1,0))</f>
        <v/>
      </c>
      <c r="I39" s="40" t="str">
        <f>IF('att Data Entry'!I42="","",IF('att Data Entry'!H42='att Data Entry'!$D$8,'att Data Entry'!$C$8,'att Data Entry'!$C$9))</f>
        <v/>
      </c>
      <c r="J39" s="162" t="str">
        <f>IF('att Data Entry'!H42="","",IF('att Data Entry'!I42='att Data Entry'!$D$8,'att Data Entry'!$C$8,'att Data Entry'!$C$9))</f>
        <v/>
      </c>
      <c r="K39" s="40" t="str">
        <f t="shared" si="1"/>
        <v/>
      </c>
      <c r="L39" s="162" t="str">
        <f>IF('att Data Entry'!$D42="","",IF(Y39="TRUE",1,0))</f>
        <v/>
      </c>
      <c r="M39" s="40" t="str">
        <f>IF('att Data Entry'!L42="","",IF('att Data Entry'!K42='att Data Entry'!$D$8,'att Data Entry'!$C$8,'att Data Entry'!$C$9))</f>
        <v/>
      </c>
      <c r="N39" s="40" t="str">
        <f>IF('att Data Entry'!K42="","",IF('att Data Entry'!L42='att Data Entry'!$D$8,'att Data Entry'!$C$8,'att Data Entry'!$C$9))</f>
        <v/>
      </c>
      <c r="O39" s="40" t="str">
        <f t="shared" si="2"/>
        <v/>
      </c>
      <c r="P39" s="162" t="str">
        <f>IF('att Data Entry'!$D42="","",IF(Z39="TRUE",1,0))</f>
        <v/>
      </c>
      <c r="Q39" s="441" t="str">
        <f>IF('att Data Entry'!H42="","",IF(M39="",T39,U39))</f>
        <v/>
      </c>
      <c r="R39" s="441" t="str">
        <f>IF('att Data Entry'!H42="","",IF(M39="",V39,W39))</f>
        <v/>
      </c>
      <c r="T39" s="40" t="str">
        <f>IF('att Data Entry'!H42="","",IF($E39+$F39+$I39+$J39=4,"TRUE",IF($E39+$F39+$I39+$J39=8,"TRUE","FALSE")))</f>
        <v/>
      </c>
      <c r="U39" s="40" t="str">
        <f>IF('att Data Entry'!K42="","",IF($E39+$F39+$I39+$J39+$M39+$N39=6,"TRUE",IF($E39+$F39+$I39+$J39+$M39+$N39=12,"TRUE","FALSE")))</f>
        <v/>
      </c>
      <c r="V39" s="40" t="str">
        <f>IF('att Data Entry'!H42="","",IF($E39+$F39+$I39+$J39+$D39=5,"TRUE",IF($E39+$F39+$I39+$J39+$D39=10,"TRUE","FALSE")))</f>
        <v/>
      </c>
      <c r="W39" s="40" t="str">
        <f>IF('att Data Entry'!K42="","",IF($E39+$F39+$I39+$J39+$M39+$N39+$D39=7,"TRUE",IF($E39+$F39+$I39+$J39+$M39+$N39+$D39=14,"TRUE","FALSE")))</f>
        <v/>
      </c>
      <c r="X39" s="40" t="str">
        <f>IF('att Data Entry'!D42="","",IF('att Calculations'!D39+'att Calculations'!E39+'att Calculations'!F39=3, "TRUE",IF('att Calculations'!D39+'att Calculations'!E39+'att Calculations'!F39=6,"TRUE","FALSE")))</f>
        <v/>
      </c>
      <c r="Y39" s="40" t="str">
        <f>IF('att Data Entry'!$D42="","",IF($D39+I39+J39=3, "TRUE",IF($D39+I39+J39=6,"TRUE","FALSE")))</f>
        <v/>
      </c>
      <c r="Z39" s="13" t="str">
        <f>IF('att Data Entry'!K42="","",IF('att Data Entry'!$D42="","",IF($D39+M39+N39=3, "TRUE",IF($D39+M39+N39=6,"TRUE","FALSE"))))</f>
        <v/>
      </c>
      <c r="AA39" s="443" t="str">
        <f t="shared" si="3"/>
        <v/>
      </c>
      <c r="AB39" s="443" t="str">
        <f t="shared" si="4"/>
        <v/>
      </c>
      <c r="AC39" s="443" t="str">
        <f t="shared" si="5"/>
        <v/>
      </c>
      <c r="AD39" s="443" t="str">
        <f t="shared" si="6"/>
        <v/>
      </c>
      <c r="AE39" s="443" t="str">
        <f t="shared" si="7"/>
        <v/>
      </c>
      <c r="AF39" s="443" t="str">
        <f t="shared" si="11"/>
        <v/>
      </c>
      <c r="AG39" s="443" t="str">
        <f t="shared" si="8"/>
        <v/>
      </c>
      <c r="AH39" s="443" t="str">
        <f t="shared" si="9"/>
        <v/>
      </c>
      <c r="AI39" s="443" t="str">
        <f t="shared" si="10"/>
        <v/>
      </c>
    </row>
    <row r="40" spans="3:35" x14ac:dyDescent="0.25">
      <c r="C40" s="158">
        <v>30</v>
      </c>
      <c r="D40" s="440" t="str">
        <f>IF('att Data Entry'!D43="","",IF('att Data Entry'!D43='att Data Entry'!$D$8,'att Data Entry'!$C$8,'att Data Entry'!$C$9))</f>
        <v/>
      </c>
      <c r="E40" s="40" t="str">
        <f>IF('att Data Entry'!E43="","",IF('att Data Entry'!E43='att Data Entry'!$D$8,'att Data Entry'!$C$8,'att Data Entry'!$C$9))</f>
        <v/>
      </c>
      <c r="F40" s="162" t="str">
        <f>IF('att Data Entry'!F43="","",IF('att Data Entry'!F43='att Data Entry'!$D$8,'att Data Entry'!$C$8,'att Data Entry'!$C$9))</f>
        <v/>
      </c>
      <c r="G40" s="40" t="str">
        <f t="shared" si="0"/>
        <v/>
      </c>
      <c r="H40" s="162" t="str">
        <f>IF('att Data Entry'!$D43="","",IF(X40="TRUE",1,0))</f>
        <v/>
      </c>
      <c r="I40" s="40" t="str">
        <f>IF('att Data Entry'!I43="","",IF('att Data Entry'!H43='att Data Entry'!$D$8,'att Data Entry'!$C$8,'att Data Entry'!$C$9))</f>
        <v/>
      </c>
      <c r="J40" s="162" t="str">
        <f>IF('att Data Entry'!H43="","",IF('att Data Entry'!I43='att Data Entry'!$D$8,'att Data Entry'!$C$8,'att Data Entry'!$C$9))</f>
        <v/>
      </c>
      <c r="K40" s="40" t="str">
        <f t="shared" si="1"/>
        <v/>
      </c>
      <c r="L40" s="162" t="str">
        <f>IF('att Data Entry'!$D43="","",IF(Y40="TRUE",1,0))</f>
        <v/>
      </c>
      <c r="M40" s="40" t="str">
        <f>IF('att Data Entry'!L43="","",IF('att Data Entry'!K43='att Data Entry'!$D$8,'att Data Entry'!$C$8,'att Data Entry'!$C$9))</f>
        <v/>
      </c>
      <c r="N40" s="40" t="str">
        <f>IF('att Data Entry'!K43="","",IF('att Data Entry'!L43='att Data Entry'!$D$8,'att Data Entry'!$C$8,'att Data Entry'!$C$9))</f>
        <v/>
      </c>
      <c r="O40" s="40" t="str">
        <f t="shared" si="2"/>
        <v/>
      </c>
      <c r="P40" s="162" t="str">
        <f>IF('att Data Entry'!$D43="","",IF(Z40="TRUE",1,0))</f>
        <v/>
      </c>
      <c r="Q40" s="441" t="str">
        <f>IF('att Data Entry'!H43="","",IF(M40="",T40,U40))</f>
        <v/>
      </c>
      <c r="R40" s="441" t="str">
        <f>IF('att Data Entry'!H43="","",IF(M40="",V40,W40))</f>
        <v/>
      </c>
      <c r="T40" s="40" t="str">
        <f>IF('att Data Entry'!H43="","",IF($E40+$F40+$I40+$J40=4,"TRUE",IF($E40+$F40+$I40+$J40=8,"TRUE","FALSE")))</f>
        <v/>
      </c>
      <c r="U40" s="40" t="str">
        <f>IF('att Data Entry'!K43="","",IF($E40+$F40+$I40+$J40+$M40+$N40=6,"TRUE",IF($E40+$F40+$I40+$J40+$M40+$N40=12,"TRUE","FALSE")))</f>
        <v/>
      </c>
      <c r="V40" s="40" t="str">
        <f>IF('att Data Entry'!H43="","",IF($E40+$F40+$I40+$J40+$D40=5,"TRUE",IF($E40+$F40+$I40+$J40+$D40=10,"TRUE","FALSE")))</f>
        <v/>
      </c>
      <c r="W40" s="40" t="str">
        <f>IF('att Data Entry'!K43="","",IF($E40+$F40+$I40+$J40+$M40+$N40+$D40=7,"TRUE",IF($E40+$F40+$I40+$J40+$M40+$N40+$D40=14,"TRUE","FALSE")))</f>
        <v/>
      </c>
      <c r="X40" s="40" t="str">
        <f>IF('att Data Entry'!D43="","",IF('att Calculations'!D40+'att Calculations'!E40+'att Calculations'!F40=3, "TRUE",IF('att Calculations'!D40+'att Calculations'!E40+'att Calculations'!F40=6,"TRUE","FALSE")))</f>
        <v/>
      </c>
      <c r="Y40" s="40" t="str">
        <f>IF('att Data Entry'!$D43="","",IF($D40+I40+J40=3, "TRUE",IF($D40+I40+J40=6,"TRUE","FALSE")))</f>
        <v/>
      </c>
      <c r="Z40" s="13" t="str">
        <f>IF('att Data Entry'!K43="","",IF('att Data Entry'!$D43="","",IF($D40+M40+N40=3, "TRUE",IF($D40+M40+N40=6,"TRUE","FALSE"))))</f>
        <v/>
      </c>
      <c r="AA40" s="443" t="str">
        <f t="shared" si="3"/>
        <v/>
      </c>
      <c r="AB40" s="443" t="str">
        <f t="shared" si="4"/>
        <v/>
      </c>
      <c r="AC40" s="443" t="str">
        <f t="shared" si="5"/>
        <v/>
      </c>
      <c r="AD40" s="443" t="str">
        <f t="shared" si="6"/>
        <v/>
      </c>
      <c r="AE40" s="443" t="str">
        <f t="shared" si="7"/>
        <v/>
      </c>
      <c r="AF40" s="443" t="str">
        <f t="shared" si="11"/>
        <v/>
      </c>
      <c r="AG40" s="443" t="str">
        <f t="shared" si="8"/>
        <v/>
      </c>
      <c r="AH40" s="443" t="str">
        <f t="shared" si="9"/>
        <v/>
      </c>
      <c r="AI40" s="443" t="str">
        <f t="shared" si="10"/>
        <v/>
      </c>
    </row>
    <row r="41" spans="3:35" x14ac:dyDescent="0.25">
      <c r="C41" s="158">
        <v>31</v>
      </c>
      <c r="D41" s="440" t="str">
        <f>IF('att Data Entry'!D44="","",IF('att Data Entry'!D44='att Data Entry'!$D$8,'att Data Entry'!$C$8,'att Data Entry'!$C$9))</f>
        <v/>
      </c>
      <c r="E41" s="40" t="str">
        <f>IF('att Data Entry'!E44="","",IF('att Data Entry'!E44='att Data Entry'!$D$8,'att Data Entry'!$C$8,'att Data Entry'!$C$9))</f>
        <v/>
      </c>
      <c r="F41" s="162" t="str">
        <f>IF('att Data Entry'!F44="","",IF('att Data Entry'!F44='att Data Entry'!$D$8,'att Data Entry'!$C$8,'att Data Entry'!$C$9))</f>
        <v/>
      </c>
      <c r="G41" s="40" t="str">
        <f t="shared" si="0"/>
        <v/>
      </c>
      <c r="H41" s="162" t="str">
        <f>IF('att Data Entry'!$D44="","",IF(X41="TRUE",1,0))</f>
        <v/>
      </c>
      <c r="I41" s="40" t="str">
        <f>IF('att Data Entry'!I44="","",IF('att Data Entry'!H44='att Data Entry'!$D$8,'att Data Entry'!$C$8,'att Data Entry'!$C$9))</f>
        <v/>
      </c>
      <c r="J41" s="162" t="str">
        <f>IF('att Data Entry'!H44="","",IF('att Data Entry'!I44='att Data Entry'!$D$8,'att Data Entry'!$C$8,'att Data Entry'!$C$9))</f>
        <v/>
      </c>
      <c r="K41" s="40" t="str">
        <f t="shared" si="1"/>
        <v/>
      </c>
      <c r="L41" s="162" t="str">
        <f>IF('att Data Entry'!$D44="","",IF(Y41="TRUE",1,0))</f>
        <v/>
      </c>
      <c r="M41" s="40" t="str">
        <f>IF('att Data Entry'!L44="","",IF('att Data Entry'!K44='att Data Entry'!$D$8,'att Data Entry'!$C$8,'att Data Entry'!$C$9))</f>
        <v/>
      </c>
      <c r="N41" s="40" t="str">
        <f>IF('att Data Entry'!K44="","",IF('att Data Entry'!L44='att Data Entry'!$D$8,'att Data Entry'!$C$8,'att Data Entry'!$C$9))</f>
        <v/>
      </c>
      <c r="O41" s="40" t="str">
        <f t="shared" si="2"/>
        <v/>
      </c>
      <c r="P41" s="162" t="str">
        <f>IF('att Data Entry'!$D44="","",IF(Z41="TRUE",1,0))</f>
        <v/>
      </c>
      <c r="Q41" s="441" t="str">
        <f>IF('att Data Entry'!H44="","",IF(M41="",T41,U41))</f>
        <v/>
      </c>
      <c r="R41" s="441" t="str">
        <f>IF('att Data Entry'!H44="","",IF(M41="",V41,W41))</f>
        <v/>
      </c>
      <c r="T41" s="40" t="str">
        <f>IF('att Data Entry'!H44="","",IF($E41+$F41+$I41+$J41=4,"TRUE",IF($E41+$F41+$I41+$J41=8,"TRUE","FALSE")))</f>
        <v/>
      </c>
      <c r="U41" s="40" t="str">
        <f>IF('att Data Entry'!K44="","",IF($E41+$F41+$I41+$J41+$M41+$N41=6,"TRUE",IF($E41+$F41+$I41+$J41+$M41+$N41=12,"TRUE","FALSE")))</f>
        <v/>
      </c>
      <c r="V41" s="40" t="str">
        <f>IF('att Data Entry'!H44="","",IF($E41+$F41+$I41+$J41+$D41=5,"TRUE",IF($E41+$F41+$I41+$J41+$D41=10,"TRUE","FALSE")))</f>
        <v/>
      </c>
      <c r="W41" s="40" t="str">
        <f>IF('att Data Entry'!K44="","",IF($E41+$F41+$I41+$J41+$M41+$N41+$D41=7,"TRUE",IF($E41+$F41+$I41+$J41+$M41+$N41+$D41=14,"TRUE","FALSE")))</f>
        <v/>
      </c>
      <c r="X41" s="40" t="str">
        <f>IF('att Data Entry'!D44="","",IF('att Calculations'!D41+'att Calculations'!E41+'att Calculations'!F41=3, "TRUE",IF('att Calculations'!D41+'att Calculations'!E41+'att Calculations'!F41=6,"TRUE","FALSE")))</f>
        <v/>
      </c>
      <c r="Y41" s="40" t="str">
        <f>IF('att Data Entry'!$D44="","",IF($D41+I41+J41=3, "TRUE",IF($D41+I41+J41=6,"TRUE","FALSE")))</f>
        <v/>
      </c>
      <c r="Z41" s="13" t="str">
        <f>IF('att Data Entry'!K44="","",IF('att Data Entry'!$D44="","",IF($D41+M41+N41=3, "TRUE",IF($D41+M41+N41=6,"TRUE","FALSE"))))</f>
        <v/>
      </c>
      <c r="AA41" s="443" t="str">
        <f t="shared" si="3"/>
        <v/>
      </c>
      <c r="AB41" s="443" t="str">
        <f t="shared" si="4"/>
        <v/>
      </c>
      <c r="AC41" s="443" t="str">
        <f t="shared" si="5"/>
        <v/>
      </c>
      <c r="AD41" s="443" t="str">
        <f t="shared" si="6"/>
        <v/>
      </c>
      <c r="AE41" s="443" t="str">
        <f t="shared" si="7"/>
        <v/>
      </c>
      <c r="AF41" s="443" t="str">
        <f t="shared" si="11"/>
        <v/>
      </c>
      <c r="AG41" s="443" t="str">
        <f t="shared" si="8"/>
        <v/>
      </c>
      <c r="AH41" s="443" t="str">
        <f t="shared" si="9"/>
        <v/>
      </c>
      <c r="AI41" s="443" t="str">
        <f t="shared" si="10"/>
        <v/>
      </c>
    </row>
    <row r="42" spans="3:35" x14ac:dyDescent="0.25">
      <c r="C42" s="158">
        <v>32</v>
      </c>
      <c r="D42" s="440" t="str">
        <f>IF('att Data Entry'!D45="","",IF('att Data Entry'!D45='att Data Entry'!$D$8,'att Data Entry'!$C$8,'att Data Entry'!$C$9))</f>
        <v/>
      </c>
      <c r="E42" s="40" t="str">
        <f>IF('att Data Entry'!E45="","",IF('att Data Entry'!E45='att Data Entry'!$D$8,'att Data Entry'!$C$8,'att Data Entry'!$C$9))</f>
        <v/>
      </c>
      <c r="F42" s="162" t="str">
        <f>IF('att Data Entry'!F45="","",IF('att Data Entry'!F45='att Data Entry'!$D$8,'att Data Entry'!$C$8,'att Data Entry'!$C$9))</f>
        <v/>
      </c>
      <c r="G42" s="40" t="str">
        <f t="shared" si="0"/>
        <v/>
      </c>
      <c r="H42" s="162" t="str">
        <f>IF('att Data Entry'!$D45="","",IF(X42="TRUE",1,0))</f>
        <v/>
      </c>
      <c r="I42" s="40" t="str">
        <f>IF('att Data Entry'!I45="","",IF('att Data Entry'!H45='att Data Entry'!$D$8,'att Data Entry'!$C$8,'att Data Entry'!$C$9))</f>
        <v/>
      </c>
      <c r="J42" s="162" t="str">
        <f>IF('att Data Entry'!H45="","",IF('att Data Entry'!I45='att Data Entry'!$D$8,'att Data Entry'!$C$8,'att Data Entry'!$C$9))</f>
        <v/>
      </c>
      <c r="K42" s="40" t="str">
        <f t="shared" si="1"/>
        <v/>
      </c>
      <c r="L42" s="162" t="str">
        <f>IF('att Data Entry'!$D45="","",IF(Y42="TRUE",1,0))</f>
        <v/>
      </c>
      <c r="M42" s="40" t="str">
        <f>IF('att Data Entry'!L45="","",IF('att Data Entry'!K45='att Data Entry'!$D$8,'att Data Entry'!$C$8,'att Data Entry'!$C$9))</f>
        <v/>
      </c>
      <c r="N42" s="40" t="str">
        <f>IF('att Data Entry'!K45="","",IF('att Data Entry'!L45='att Data Entry'!$D$8,'att Data Entry'!$C$8,'att Data Entry'!$C$9))</f>
        <v/>
      </c>
      <c r="O42" s="40" t="str">
        <f t="shared" si="2"/>
        <v/>
      </c>
      <c r="P42" s="162" t="str">
        <f>IF('att Data Entry'!$D45="","",IF(Z42="TRUE",1,0))</f>
        <v/>
      </c>
      <c r="Q42" s="441" t="str">
        <f>IF('att Data Entry'!H45="","",IF(M42="",T42,U42))</f>
        <v/>
      </c>
      <c r="R42" s="441" t="str">
        <f>IF('att Data Entry'!H45="","",IF(M42="",V42,W42))</f>
        <v/>
      </c>
      <c r="T42" s="40" t="str">
        <f>IF('att Data Entry'!H45="","",IF($E42+$F42+$I42+$J42=4,"TRUE",IF($E42+$F42+$I42+$J42=8,"TRUE","FALSE")))</f>
        <v/>
      </c>
      <c r="U42" s="40" t="str">
        <f>IF('att Data Entry'!K45="","",IF($E42+$F42+$I42+$J42+$M42+$N42=6,"TRUE",IF($E42+$F42+$I42+$J42+$M42+$N42=12,"TRUE","FALSE")))</f>
        <v/>
      </c>
      <c r="V42" s="40" t="str">
        <f>IF('att Data Entry'!H45="","",IF($E42+$F42+$I42+$J42+$D42=5,"TRUE",IF($E42+$F42+$I42+$J42+$D42=10,"TRUE","FALSE")))</f>
        <v/>
      </c>
      <c r="W42" s="40" t="str">
        <f>IF('att Data Entry'!K45="","",IF($E42+$F42+$I42+$J42+$M42+$N42+$D42=7,"TRUE",IF($E42+$F42+$I42+$J42+$M42+$N42+$D42=14,"TRUE","FALSE")))</f>
        <v/>
      </c>
      <c r="X42" s="40" t="str">
        <f>IF('att Data Entry'!D45="","",IF('att Calculations'!D42+'att Calculations'!E42+'att Calculations'!F42=3, "TRUE",IF('att Calculations'!D42+'att Calculations'!E42+'att Calculations'!F42=6,"TRUE","FALSE")))</f>
        <v/>
      </c>
      <c r="Y42" s="40" t="str">
        <f>IF('att Data Entry'!$D45="","",IF($D42+I42+J42=3, "TRUE",IF($D42+I42+J42=6,"TRUE","FALSE")))</f>
        <v/>
      </c>
      <c r="Z42" s="13" t="str">
        <f>IF('att Data Entry'!K45="","",IF('att Data Entry'!$D45="","",IF($D42+M42+N42=3, "TRUE",IF($D42+M42+N42=6,"TRUE","FALSE"))))</f>
        <v/>
      </c>
      <c r="AA42" s="443" t="str">
        <f t="shared" si="3"/>
        <v/>
      </c>
      <c r="AB42" s="443" t="str">
        <f t="shared" si="4"/>
        <v/>
      </c>
      <c r="AC42" s="443" t="str">
        <f t="shared" si="5"/>
        <v/>
      </c>
      <c r="AD42" s="443" t="str">
        <f t="shared" si="6"/>
        <v/>
      </c>
      <c r="AE42" s="443" t="str">
        <f t="shared" si="7"/>
        <v/>
      </c>
      <c r="AF42" s="443" t="str">
        <f t="shared" si="11"/>
        <v/>
      </c>
      <c r="AG42" s="443" t="str">
        <f t="shared" si="8"/>
        <v/>
      </c>
      <c r="AH42" s="443" t="str">
        <f t="shared" si="9"/>
        <v/>
      </c>
      <c r="AI42" s="443" t="str">
        <f t="shared" si="10"/>
        <v/>
      </c>
    </row>
    <row r="43" spans="3:35" x14ac:dyDescent="0.25">
      <c r="C43" s="158">
        <v>33</v>
      </c>
      <c r="D43" s="440" t="str">
        <f>IF('att Data Entry'!D46="","",IF('att Data Entry'!D46='att Data Entry'!$D$8,'att Data Entry'!$C$8,'att Data Entry'!$C$9))</f>
        <v/>
      </c>
      <c r="E43" s="40" t="str">
        <f>IF('att Data Entry'!E46="","",IF('att Data Entry'!E46='att Data Entry'!$D$8,'att Data Entry'!$C$8,'att Data Entry'!$C$9))</f>
        <v/>
      </c>
      <c r="F43" s="162" t="str">
        <f>IF('att Data Entry'!F46="","",IF('att Data Entry'!F46='att Data Entry'!$D$8,'att Data Entry'!$C$8,'att Data Entry'!$C$9))</f>
        <v/>
      </c>
      <c r="G43" s="40" t="str">
        <f t="shared" si="0"/>
        <v/>
      </c>
      <c r="H43" s="162" t="str">
        <f>IF('att Data Entry'!$D46="","",IF(X43="TRUE",1,0))</f>
        <v/>
      </c>
      <c r="I43" s="40" t="str">
        <f>IF('att Data Entry'!I46="","",IF('att Data Entry'!H46='att Data Entry'!$D$8,'att Data Entry'!$C$8,'att Data Entry'!$C$9))</f>
        <v/>
      </c>
      <c r="J43" s="162" t="str">
        <f>IF('att Data Entry'!H46="","",IF('att Data Entry'!I46='att Data Entry'!$D$8,'att Data Entry'!$C$8,'att Data Entry'!$C$9))</f>
        <v/>
      </c>
      <c r="K43" s="40" t="str">
        <f t="shared" si="1"/>
        <v/>
      </c>
      <c r="L43" s="162" t="str">
        <f>IF('att Data Entry'!$D46="","",IF(Y43="TRUE",1,0))</f>
        <v/>
      </c>
      <c r="M43" s="40" t="str">
        <f>IF('att Data Entry'!L46="","",IF('att Data Entry'!K46='att Data Entry'!$D$8,'att Data Entry'!$C$8,'att Data Entry'!$C$9))</f>
        <v/>
      </c>
      <c r="N43" s="40" t="str">
        <f>IF('att Data Entry'!K46="","",IF('att Data Entry'!L46='att Data Entry'!$D$8,'att Data Entry'!$C$8,'att Data Entry'!$C$9))</f>
        <v/>
      </c>
      <c r="O43" s="40" t="str">
        <f t="shared" si="2"/>
        <v/>
      </c>
      <c r="P43" s="162" t="str">
        <f>IF('att Data Entry'!$D46="","",IF(Z43="TRUE",1,0))</f>
        <v/>
      </c>
      <c r="Q43" s="441" t="str">
        <f>IF('att Data Entry'!H46="","",IF(M43="",T43,U43))</f>
        <v/>
      </c>
      <c r="R43" s="441" t="str">
        <f>IF('att Data Entry'!H46="","",IF(M43="",V43,W43))</f>
        <v/>
      </c>
      <c r="T43" s="40" t="str">
        <f>IF('att Data Entry'!H46="","",IF($E43+$F43+$I43+$J43=4,"TRUE",IF($E43+$F43+$I43+$J43=8,"TRUE","FALSE")))</f>
        <v/>
      </c>
      <c r="U43" s="40" t="str">
        <f>IF('att Data Entry'!K46="","",IF($E43+$F43+$I43+$J43+$M43+$N43=6,"TRUE",IF($E43+$F43+$I43+$J43+$M43+$N43=12,"TRUE","FALSE")))</f>
        <v/>
      </c>
      <c r="V43" s="40" t="str">
        <f>IF('att Data Entry'!H46="","",IF($E43+$F43+$I43+$J43+$D43=5,"TRUE",IF($E43+$F43+$I43+$J43+$D43=10,"TRUE","FALSE")))</f>
        <v/>
      </c>
      <c r="W43" s="40" t="str">
        <f>IF('att Data Entry'!K46="","",IF($E43+$F43+$I43+$J43+$M43+$N43+$D43=7,"TRUE",IF($E43+$F43+$I43+$J43+$M43+$N43+$D43=14,"TRUE","FALSE")))</f>
        <v/>
      </c>
      <c r="X43" s="40" t="str">
        <f>IF('att Data Entry'!D46="","",IF('att Calculations'!D43+'att Calculations'!E43+'att Calculations'!F43=3, "TRUE",IF('att Calculations'!D43+'att Calculations'!E43+'att Calculations'!F43=6,"TRUE","FALSE")))</f>
        <v/>
      </c>
      <c r="Y43" s="40" t="str">
        <f>IF('att Data Entry'!$D46="","",IF($D43+I43+J43=3, "TRUE",IF($D43+I43+J43=6,"TRUE","FALSE")))</f>
        <v/>
      </c>
      <c r="Z43" s="13" t="str">
        <f>IF('att Data Entry'!K46="","",IF('att Data Entry'!$D46="","",IF($D43+M43+N43=3, "TRUE",IF($D43+M43+N43=6,"TRUE","FALSE"))))</f>
        <v/>
      </c>
      <c r="AA43" s="443" t="str">
        <f t="shared" si="3"/>
        <v/>
      </c>
      <c r="AB43" s="443" t="str">
        <f t="shared" si="4"/>
        <v/>
      </c>
      <c r="AC43" s="443" t="str">
        <f t="shared" si="5"/>
        <v/>
      </c>
      <c r="AD43" s="443" t="str">
        <f t="shared" si="6"/>
        <v/>
      </c>
      <c r="AE43" s="443" t="str">
        <f t="shared" si="7"/>
        <v/>
      </c>
      <c r="AF43" s="443" t="str">
        <f t="shared" si="11"/>
        <v/>
      </c>
      <c r="AG43" s="443" t="str">
        <f t="shared" si="8"/>
        <v/>
      </c>
      <c r="AH43" s="443" t="str">
        <f t="shared" si="9"/>
        <v/>
      </c>
      <c r="AI43" s="443" t="str">
        <f t="shared" si="10"/>
        <v/>
      </c>
    </row>
    <row r="44" spans="3:35" x14ac:dyDescent="0.25">
      <c r="C44" s="158">
        <v>34</v>
      </c>
      <c r="D44" s="440" t="str">
        <f>IF('att Data Entry'!D47="","",IF('att Data Entry'!D47='att Data Entry'!$D$8,'att Data Entry'!$C$8,'att Data Entry'!$C$9))</f>
        <v/>
      </c>
      <c r="E44" s="40" t="str">
        <f>IF('att Data Entry'!E47="","",IF('att Data Entry'!E47='att Data Entry'!$D$8,'att Data Entry'!$C$8,'att Data Entry'!$C$9))</f>
        <v/>
      </c>
      <c r="F44" s="162" t="str">
        <f>IF('att Data Entry'!F47="","",IF('att Data Entry'!F47='att Data Entry'!$D$8,'att Data Entry'!$C$8,'att Data Entry'!$C$9))</f>
        <v/>
      </c>
      <c r="G44" s="40" t="str">
        <f t="shared" si="0"/>
        <v/>
      </c>
      <c r="H44" s="162" t="str">
        <f>IF('att Data Entry'!$D47="","",IF(X44="TRUE",1,0))</f>
        <v/>
      </c>
      <c r="I44" s="40" t="str">
        <f>IF('att Data Entry'!I47="","",IF('att Data Entry'!H47='att Data Entry'!$D$8,'att Data Entry'!$C$8,'att Data Entry'!$C$9))</f>
        <v/>
      </c>
      <c r="J44" s="162" t="str">
        <f>IF('att Data Entry'!H47="","",IF('att Data Entry'!I47='att Data Entry'!$D$8,'att Data Entry'!$C$8,'att Data Entry'!$C$9))</f>
        <v/>
      </c>
      <c r="K44" s="40" t="str">
        <f t="shared" si="1"/>
        <v/>
      </c>
      <c r="L44" s="162" t="str">
        <f>IF('att Data Entry'!$D47="","",IF(Y44="TRUE",1,0))</f>
        <v/>
      </c>
      <c r="M44" s="40" t="str">
        <f>IF('att Data Entry'!L47="","",IF('att Data Entry'!K47='att Data Entry'!$D$8,'att Data Entry'!$C$8,'att Data Entry'!$C$9))</f>
        <v/>
      </c>
      <c r="N44" s="40" t="str">
        <f>IF('att Data Entry'!K47="","",IF('att Data Entry'!L47='att Data Entry'!$D$8,'att Data Entry'!$C$8,'att Data Entry'!$C$9))</f>
        <v/>
      </c>
      <c r="O44" s="40" t="str">
        <f t="shared" si="2"/>
        <v/>
      </c>
      <c r="P44" s="162" t="str">
        <f>IF('att Data Entry'!$D47="","",IF(Z44="TRUE",1,0))</f>
        <v/>
      </c>
      <c r="Q44" s="441" t="str">
        <f>IF('att Data Entry'!H47="","",IF(M44="",T44,U44))</f>
        <v/>
      </c>
      <c r="R44" s="441" t="str">
        <f>IF('att Data Entry'!H47="","",IF(M44="",V44,W44))</f>
        <v/>
      </c>
      <c r="T44" s="40" t="str">
        <f>IF('att Data Entry'!H47="","",IF($E44+$F44+$I44+$J44=4,"TRUE",IF($E44+$F44+$I44+$J44=8,"TRUE","FALSE")))</f>
        <v/>
      </c>
      <c r="U44" s="40" t="str">
        <f>IF('att Data Entry'!K47="","",IF($E44+$F44+$I44+$J44+$M44+$N44=6,"TRUE",IF($E44+$F44+$I44+$J44+$M44+$N44=12,"TRUE","FALSE")))</f>
        <v/>
      </c>
      <c r="V44" s="40" t="str">
        <f>IF('att Data Entry'!H47="","",IF($E44+$F44+$I44+$J44+$D44=5,"TRUE",IF($E44+$F44+$I44+$J44+$D44=10,"TRUE","FALSE")))</f>
        <v/>
      </c>
      <c r="W44" s="40" t="str">
        <f>IF('att Data Entry'!K47="","",IF($E44+$F44+$I44+$J44+$M44+$N44+$D44=7,"TRUE",IF($E44+$F44+$I44+$J44+$M44+$N44+$D44=14,"TRUE","FALSE")))</f>
        <v/>
      </c>
      <c r="X44" s="40" t="str">
        <f>IF('att Data Entry'!D47="","",IF('att Calculations'!D44+'att Calculations'!E44+'att Calculations'!F44=3, "TRUE",IF('att Calculations'!D44+'att Calculations'!E44+'att Calculations'!F44=6,"TRUE","FALSE")))</f>
        <v/>
      </c>
      <c r="Y44" s="40" t="str">
        <f>IF('att Data Entry'!$D47="","",IF($D44+I44+J44=3, "TRUE",IF($D44+I44+J44=6,"TRUE","FALSE")))</f>
        <v/>
      </c>
      <c r="Z44" s="13" t="str">
        <f>IF('att Data Entry'!K47="","",IF('att Data Entry'!$D47="","",IF($D44+M44+N44=3, "TRUE",IF($D44+M44+N44=6,"TRUE","FALSE"))))</f>
        <v/>
      </c>
      <c r="AA44" s="443" t="str">
        <f t="shared" si="3"/>
        <v/>
      </c>
      <c r="AB44" s="443" t="str">
        <f t="shared" si="4"/>
        <v/>
      </c>
      <c r="AC44" s="443" t="str">
        <f t="shared" si="5"/>
        <v/>
      </c>
      <c r="AD44" s="443" t="str">
        <f t="shared" si="6"/>
        <v/>
      </c>
      <c r="AE44" s="443" t="str">
        <f t="shared" si="7"/>
        <v/>
      </c>
      <c r="AF44" s="443" t="str">
        <f t="shared" si="11"/>
        <v/>
      </c>
      <c r="AG44" s="443" t="str">
        <f t="shared" si="8"/>
        <v/>
      </c>
      <c r="AH44" s="443" t="str">
        <f t="shared" si="9"/>
        <v/>
      </c>
      <c r="AI44" s="443" t="str">
        <f t="shared" si="10"/>
        <v/>
      </c>
    </row>
    <row r="45" spans="3:35" x14ac:dyDescent="0.25">
      <c r="C45" s="158">
        <v>35</v>
      </c>
      <c r="D45" s="440" t="str">
        <f>IF('att Data Entry'!D48="","",IF('att Data Entry'!D48='att Data Entry'!$D$8,'att Data Entry'!$C$8,'att Data Entry'!$C$9))</f>
        <v/>
      </c>
      <c r="E45" s="40" t="str">
        <f>IF('att Data Entry'!E48="","",IF('att Data Entry'!E48='att Data Entry'!$D$8,'att Data Entry'!$C$8,'att Data Entry'!$C$9))</f>
        <v/>
      </c>
      <c r="F45" s="162" t="str">
        <f>IF('att Data Entry'!F48="","",IF('att Data Entry'!F48='att Data Entry'!$D$8,'att Data Entry'!$C$8,'att Data Entry'!$C$9))</f>
        <v/>
      </c>
      <c r="G45" s="40" t="str">
        <f t="shared" si="0"/>
        <v/>
      </c>
      <c r="H45" s="162" t="str">
        <f>IF('att Data Entry'!$D48="","",IF(X45="TRUE",1,0))</f>
        <v/>
      </c>
      <c r="I45" s="40" t="str">
        <f>IF('att Data Entry'!I48="","",IF('att Data Entry'!H48='att Data Entry'!$D$8,'att Data Entry'!$C$8,'att Data Entry'!$C$9))</f>
        <v/>
      </c>
      <c r="J45" s="162" t="str">
        <f>IF('att Data Entry'!H48="","",IF('att Data Entry'!I48='att Data Entry'!$D$8,'att Data Entry'!$C$8,'att Data Entry'!$C$9))</f>
        <v/>
      </c>
      <c r="K45" s="40" t="str">
        <f t="shared" si="1"/>
        <v/>
      </c>
      <c r="L45" s="162" t="str">
        <f>IF('att Data Entry'!$D48="","",IF(Y45="TRUE",1,0))</f>
        <v/>
      </c>
      <c r="M45" s="40" t="str">
        <f>IF('att Data Entry'!L48="","",IF('att Data Entry'!K48='att Data Entry'!$D$8,'att Data Entry'!$C$8,'att Data Entry'!$C$9))</f>
        <v/>
      </c>
      <c r="N45" s="40" t="str">
        <f>IF('att Data Entry'!K48="","",IF('att Data Entry'!L48='att Data Entry'!$D$8,'att Data Entry'!$C$8,'att Data Entry'!$C$9))</f>
        <v/>
      </c>
      <c r="O45" s="40" t="str">
        <f t="shared" si="2"/>
        <v/>
      </c>
      <c r="P45" s="162" t="str">
        <f>IF('att Data Entry'!$D48="","",IF(Z45="TRUE",1,0))</f>
        <v/>
      </c>
      <c r="Q45" s="441" t="str">
        <f>IF('att Data Entry'!H48="","",IF(M45="",T45,U45))</f>
        <v/>
      </c>
      <c r="R45" s="441" t="str">
        <f>IF('att Data Entry'!H48="","",IF(M45="",V45,W45))</f>
        <v/>
      </c>
      <c r="T45" s="40" t="str">
        <f>IF('att Data Entry'!H48="","",IF($E45+$F45+$I45+$J45=4,"TRUE",IF($E45+$F45+$I45+$J45=8,"TRUE","FALSE")))</f>
        <v/>
      </c>
      <c r="U45" s="40" t="str">
        <f>IF('att Data Entry'!K48="","",IF($E45+$F45+$I45+$J45+$M45+$N45=6,"TRUE",IF($E45+$F45+$I45+$J45+$M45+$N45=12,"TRUE","FALSE")))</f>
        <v/>
      </c>
      <c r="V45" s="40" t="str">
        <f>IF('att Data Entry'!H48="","",IF($E45+$F45+$I45+$J45+$D45=5,"TRUE",IF($E45+$F45+$I45+$J45+$D45=10,"TRUE","FALSE")))</f>
        <v/>
      </c>
      <c r="W45" s="40" t="str">
        <f>IF('att Data Entry'!K48="","",IF($E45+$F45+$I45+$J45+$M45+$N45+$D45=7,"TRUE",IF($E45+$F45+$I45+$J45+$M45+$N45+$D45=14,"TRUE","FALSE")))</f>
        <v/>
      </c>
      <c r="X45" s="40" t="str">
        <f>IF('att Data Entry'!D48="","",IF('att Calculations'!D45+'att Calculations'!E45+'att Calculations'!F45=3, "TRUE",IF('att Calculations'!D45+'att Calculations'!E45+'att Calculations'!F45=6,"TRUE","FALSE")))</f>
        <v/>
      </c>
      <c r="Y45" s="40" t="str">
        <f>IF('att Data Entry'!$D48="","",IF($D45+I45+J45=3, "TRUE",IF($D45+I45+J45=6,"TRUE","FALSE")))</f>
        <v/>
      </c>
      <c r="Z45" s="13" t="str">
        <f>IF('att Data Entry'!K48="","",IF('att Data Entry'!$D48="","",IF($D45+M45+N45=3, "TRUE",IF($D45+M45+N45=6,"TRUE","FALSE"))))</f>
        <v/>
      </c>
      <c r="AA45" s="443" t="str">
        <f t="shared" si="3"/>
        <v/>
      </c>
      <c r="AB45" s="443" t="str">
        <f t="shared" si="4"/>
        <v/>
      </c>
      <c r="AC45" s="443" t="str">
        <f t="shared" si="5"/>
        <v/>
      </c>
      <c r="AD45" s="443" t="str">
        <f t="shared" si="6"/>
        <v/>
      </c>
      <c r="AE45" s="443" t="str">
        <f t="shared" si="7"/>
        <v/>
      </c>
      <c r="AF45" s="443" t="str">
        <f t="shared" si="11"/>
        <v/>
      </c>
      <c r="AG45" s="443" t="str">
        <f t="shared" si="8"/>
        <v/>
      </c>
      <c r="AH45" s="443" t="str">
        <f t="shared" si="9"/>
        <v/>
      </c>
      <c r="AI45" s="443" t="str">
        <f t="shared" si="10"/>
        <v/>
      </c>
    </row>
    <row r="46" spans="3:35" x14ac:dyDescent="0.25">
      <c r="C46" s="158">
        <v>36</v>
      </c>
      <c r="D46" s="440" t="str">
        <f>IF('att Data Entry'!D49="","",IF('att Data Entry'!D49='att Data Entry'!$D$8,'att Data Entry'!$C$8,'att Data Entry'!$C$9))</f>
        <v/>
      </c>
      <c r="E46" s="40" t="str">
        <f>IF('att Data Entry'!E49="","",IF('att Data Entry'!E49='att Data Entry'!$D$8,'att Data Entry'!$C$8,'att Data Entry'!$C$9))</f>
        <v/>
      </c>
      <c r="F46" s="162" t="str">
        <f>IF('att Data Entry'!F49="","",IF('att Data Entry'!F49='att Data Entry'!$D$8,'att Data Entry'!$C$8,'att Data Entry'!$C$9))</f>
        <v/>
      </c>
      <c r="G46" s="40" t="str">
        <f t="shared" si="0"/>
        <v/>
      </c>
      <c r="H46" s="162" t="str">
        <f>IF('att Data Entry'!$D49="","",IF(X46="TRUE",1,0))</f>
        <v/>
      </c>
      <c r="I46" s="40" t="str">
        <f>IF('att Data Entry'!I49="","",IF('att Data Entry'!H49='att Data Entry'!$D$8,'att Data Entry'!$C$8,'att Data Entry'!$C$9))</f>
        <v/>
      </c>
      <c r="J46" s="162" t="str">
        <f>IF('att Data Entry'!H49="","",IF('att Data Entry'!I49='att Data Entry'!$D$8,'att Data Entry'!$C$8,'att Data Entry'!$C$9))</f>
        <v/>
      </c>
      <c r="K46" s="40" t="str">
        <f t="shared" si="1"/>
        <v/>
      </c>
      <c r="L46" s="162" t="str">
        <f>IF('att Data Entry'!$D49="","",IF(Y46="TRUE",1,0))</f>
        <v/>
      </c>
      <c r="M46" s="40" t="str">
        <f>IF('att Data Entry'!L49="","",IF('att Data Entry'!K49='att Data Entry'!$D$8,'att Data Entry'!$C$8,'att Data Entry'!$C$9))</f>
        <v/>
      </c>
      <c r="N46" s="40" t="str">
        <f>IF('att Data Entry'!K49="","",IF('att Data Entry'!L49='att Data Entry'!$D$8,'att Data Entry'!$C$8,'att Data Entry'!$C$9))</f>
        <v/>
      </c>
      <c r="O46" s="40" t="str">
        <f t="shared" si="2"/>
        <v/>
      </c>
      <c r="P46" s="162" t="str">
        <f>IF('att Data Entry'!$D49="","",IF(Z46="TRUE",1,0))</f>
        <v/>
      </c>
      <c r="Q46" s="441" t="str">
        <f>IF('att Data Entry'!H49="","",IF(M46="",T46,U46))</f>
        <v/>
      </c>
      <c r="R46" s="441" t="str">
        <f>IF('att Data Entry'!H49="","",IF(M46="",V46,W46))</f>
        <v/>
      </c>
      <c r="T46" s="40" t="str">
        <f>IF('att Data Entry'!H49="","",IF($E46+$F46+$I46+$J46=4,"TRUE",IF($E46+$F46+$I46+$J46=8,"TRUE","FALSE")))</f>
        <v/>
      </c>
      <c r="U46" s="40" t="str">
        <f>IF('att Data Entry'!K49="","",IF($E46+$F46+$I46+$J46+$M46+$N46=6,"TRUE",IF($E46+$F46+$I46+$J46+$M46+$N46=12,"TRUE","FALSE")))</f>
        <v/>
      </c>
      <c r="V46" s="40" t="str">
        <f>IF('att Data Entry'!H49="","",IF($E46+$F46+$I46+$J46+$D46=5,"TRUE",IF($E46+$F46+$I46+$J46+$D46=10,"TRUE","FALSE")))</f>
        <v/>
      </c>
      <c r="W46" s="40" t="str">
        <f>IF('att Data Entry'!K49="","",IF($E46+$F46+$I46+$J46+$M46+$N46+$D46=7,"TRUE",IF($E46+$F46+$I46+$J46+$M46+$N46+$D46=14,"TRUE","FALSE")))</f>
        <v/>
      </c>
      <c r="X46" s="40" t="str">
        <f>IF('att Data Entry'!D49="","",IF('att Calculations'!D46+'att Calculations'!E46+'att Calculations'!F46=3, "TRUE",IF('att Calculations'!D46+'att Calculations'!E46+'att Calculations'!F46=6,"TRUE","FALSE")))</f>
        <v/>
      </c>
      <c r="Y46" s="40" t="str">
        <f>IF('att Data Entry'!$D49="","",IF($D46+I46+J46=3, "TRUE",IF($D46+I46+J46=6,"TRUE","FALSE")))</f>
        <v/>
      </c>
      <c r="Z46" s="13" t="str">
        <f>IF('att Data Entry'!K49="","",IF('att Data Entry'!$D49="","",IF($D46+M46+N46=3, "TRUE",IF($D46+M46+N46=6,"TRUE","FALSE"))))</f>
        <v/>
      </c>
      <c r="AA46" s="443" t="str">
        <f t="shared" si="3"/>
        <v/>
      </c>
      <c r="AB46" s="443" t="str">
        <f t="shared" si="4"/>
        <v/>
      </c>
      <c r="AC46" s="443" t="str">
        <f t="shared" si="5"/>
        <v/>
      </c>
      <c r="AD46" s="443" t="str">
        <f t="shared" si="6"/>
        <v/>
      </c>
      <c r="AE46" s="443" t="str">
        <f t="shared" si="7"/>
        <v/>
      </c>
      <c r="AF46" s="443" t="str">
        <f t="shared" si="11"/>
        <v/>
      </c>
      <c r="AG46" s="443" t="str">
        <f t="shared" si="8"/>
        <v/>
      </c>
      <c r="AH46" s="443" t="str">
        <f t="shared" si="9"/>
        <v/>
      </c>
      <c r="AI46" s="443" t="str">
        <f t="shared" si="10"/>
        <v/>
      </c>
    </row>
    <row r="47" spans="3:35" x14ac:dyDescent="0.25">
      <c r="C47" s="158">
        <v>37</v>
      </c>
      <c r="D47" s="440" t="str">
        <f>IF('att Data Entry'!D50="","",IF('att Data Entry'!D50='att Data Entry'!$D$8,'att Data Entry'!$C$8,'att Data Entry'!$C$9))</f>
        <v/>
      </c>
      <c r="E47" s="40" t="str">
        <f>IF('att Data Entry'!E50="","",IF('att Data Entry'!E50='att Data Entry'!$D$8,'att Data Entry'!$C$8,'att Data Entry'!$C$9))</f>
        <v/>
      </c>
      <c r="F47" s="162" t="str">
        <f>IF('att Data Entry'!F50="","",IF('att Data Entry'!F50='att Data Entry'!$D$8,'att Data Entry'!$C$8,'att Data Entry'!$C$9))</f>
        <v/>
      </c>
      <c r="G47" s="40" t="str">
        <f t="shared" si="0"/>
        <v/>
      </c>
      <c r="H47" s="162" t="str">
        <f>IF('att Data Entry'!$D50="","",IF(X47="TRUE",1,0))</f>
        <v/>
      </c>
      <c r="I47" s="40" t="str">
        <f>IF('att Data Entry'!I50="","",IF('att Data Entry'!H50='att Data Entry'!$D$8,'att Data Entry'!$C$8,'att Data Entry'!$C$9))</f>
        <v/>
      </c>
      <c r="J47" s="162" t="str">
        <f>IF('att Data Entry'!H50="","",IF('att Data Entry'!I50='att Data Entry'!$D$8,'att Data Entry'!$C$8,'att Data Entry'!$C$9))</f>
        <v/>
      </c>
      <c r="K47" s="40" t="str">
        <f t="shared" si="1"/>
        <v/>
      </c>
      <c r="L47" s="162" t="str">
        <f>IF('att Data Entry'!$D50="","",IF(Y47="TRUE",1,0))</f>
        <v/>
      </c>
      <c r="M47" s="40" t="str">
        <f>IF('att Data Entry'!L50="","",IF('att Data Entry'!K50='att Data Entry'!$D$8,'att Data Entry'!$C$8,'att Data Entry'!$C$9))</f>
        <v/>
      </c>
      <c r="N47" s="40" t="str">
        <f>IF('att Data Entry'!K50="","",IF('att Data Entry'!L50='att Data Entry'!$D$8,'att Data Entry'!$C$8,'att Data Entry'!$C$9))</f>
        <v/>
      </c>
      <c r="O47" s="40" t="str">
        <f t="shared" si="2"/>
        <v/>
      </c>
      <c r="P47" s="162" t="str">
        <f>IF('att Data Entry'!$D50="","",IF(Z47="TRUE",1,0))</f>
        <v/>
      </c>
      <c r="Q47" s="441" t="str">
        <f>IF('att Data Entry'!H50="","",IF(M47="",T47,U47))</f>
        <v/>
      </c>
      <c r="R47" s="441" t="str">
        <f>IF('att Data Entry'!H50="","",IF(M47="",V47,W47))</f>
        <v/>
      </c>
      <c r="T47" s="40" t="str">
        <f>IF('att Data Entry'!H50="","",IF($E47+$F47+$I47+$J47=4,"TRUE",IF($E47+$F47+$I47+$J47=8,"TRUE","FALSE")))</f>
        <v/>
      </c>
      <c r="U47" s="40" t="str">
        <f>IF('att Data Entry'!K50="","",IF($E47+$F47+$I47+$J47+$M47+$N47=6,"TRUE",IF($E47+$F47+$I47+$J47+$M47+$N47=12,"TRUE","FALSE")))</f>
        <v/>
      </c>
      <c r="V47" s="40" t="str">
        <f>IF('att Data Entry'!H50="","",IF($E47+$F47+$I47+$J47+$D47=5,"TRUE",IF($E47+$F47+$I47+$J47+$D47=10,"TRUE","FALSE")))</f>
        <v/>
      </c>
      <c r="W47" s="40" t="str">
        <f>IF('att Data Entry'!K50="","",IF($E47+$F47+$I47+$J47+$M47+$N47+$D47=7,"TRUE",IF($E47+$F47+$I47+$J47+$M47+$N47+$D47=14,"TRUE","FALSE")))</f>
        <v/>
      </c>
      <c r="X47" s="40" t="str">
        <f>IF('att Data Entry'!D50="","",IF('att Calculations'!D47+'att Calculations'!E47+'att Calculations'!F47=3, "TRUE",IF('att Calculations'!D47+'att Calculations'!E47+'att Calculations'!F47=6,"TRUE","FALSE")))</f>
        <v/>
      </c>
      <c r="Y47" s="40" t="str">
        <f>IF('att Data Entry'!$D50="","",IF($D47+I47+J47=3, "TRUE",IF($D47+I47+J47=6,"TRUE","FALSE")))</f>
        <v/>
      </c>
      <c r="Z47" s="13" t="str">
        <f>IF('att Data Entry'!K50="","",IF('att Data Entry'!$D50="","",IF($D47+M47+N47=3, "TRUE",IF($D47+M47+N47=6,"TRUE","FALSE"))))</f>
        <v/>
      </c>
      <c r="AA47" s="443" t="str">
        <f t="shared" si="3"/>
        <v/>
      </c>
      <c r="AB47" s="443" t="str">
        <f t="shared" si="4"/>
        <v/>
      </c>
      <c r="AC47" s="443" t="str">
        <f t="shared" si="5"/>
        <v/>
      </c>
      <c r="AD47" s="443" t="str">
        <f t="shared" si="6"/>
        <v/>
      </c>
      <c r="AE47" s="443" t="str">
        <f t="shared" si="7"/>
        <v/>
      </c>
      <c r="AF47" s="443" t="str">
        <f t="shared" si="11"/>
        <v/>
      </c>
      <c r="AG47" s="443" t="str">
        <f t="shared" si="8"/>
        <v/>
      </c>
      <c r="AH47" s="443" t="str">
        <f t="shared" si="9"/>
        <v/>
      </c>
      <c r="AI47" s="443" t="str">
        <f t="shared" si="10"/>
        <v/>
      </c>
    </row>
    <row r="48" spans="3:35" x14ac:dyDescent="0.25">
      <c r="C48" s="158">
        <v>38</v>
      </c>
      <c r="D48" s="440" t="str">
        <f>IF('att Data Entry'!D51="","",IF('att Data Entry'!D51='att Data Entry'!$D$8,'att Data Entry'!$C$8,'att Data Entry'!$C$9))</f>
        <v/>
      </c>
      <c r="E48" s="40" t="str">
        <f>IF('att Data Entry'!E51="","",IF('att Data Entry'!E51='att Data Entry'!$D$8,'att Data Entry'!$C$8,'att Data Entry'!$C$9))</f>
        <v/>
      </c>
      <c r="F48" s="162" t="str">
        <f>IF('att Data Entry'!F51="","",IF('att Data Entry'!F51='att Data Entry'!$D$8,'att Data Entry'!$C$8,'att Data Entry'!$C$9))</f>
        <v/>
      </c>
      <c r="G48" s="40" t="str">
        <f t="shared" si="0"/>
        <v/>
      </c>
      <c r="H48" s="162" t="str">
        <f>IF('att Data Entry'!$D51="","",IF(X48="TRUE",1,0))</f>
        <v/>
      </c>
      <c r="I48" s="40" t="str">
        <f>IF('att Data Entry'!I51="","",IF('att Data Entry'!H51='att Data Entry'!$D$8,'att Data Entry'!$C$8,'att Data Entry'!$C$9))</f>
        <v/>
      </c>
      <c r="J48" s="162" t="str">
        <f>IF('att Data Entry'!H51="","",IF('att Data Entry'!I51='att Data Entry'!$D$8,'att Data Entry'!$C$8,'att Data Entry'!$C$9))</f>
        <v/>
      </c>
      <c r="K48" s="40" t="str">
        <f t="shared" si="1"/>
        <v/>
      </c>
      <c r="L48" s="162" t="str">
        <f>IF('att Data Entry'!$D51="","",IF(Y48="TRUE",1,0))</f>
        <v/>
      </c>
      <c r="M48" s="40" t="str">
        <f>IF('att Data Entry'!L51="","",IF('att Data Entry'!K51='att Data Entry'!$D$8,'att Data Entry'!$C$8,'att Data Entry'!$C$9))</f>
        <v/>
      </c>
      <c r="N48" s="40" t="str">
        <f>IF('att Data Entry'!K51="","",IF('att Data Entry'!L51='att Data Entry'!$D$8,'att Data Entry'!$C$8,'att Data Entry'!$C$9))</f>
        <v/>
      </c>
      <c r="O48" s="40" t="str">
        <f t="shared" si="2"/>
        <v/>
      </c>
      <c r="P48" s="162" t="str">
        <f>IF('att Data Entry'!$D51="","",IF(Z48="TRUE",1,0))</f>
        <v/>
      </c>
      <c r="Q48" s="441" t="str">
        <f>IF('att Data Entry'!H51="","",IF(M48="",T48,U48))</f>
        <v/>
      </c>
      <c r="R48" s="441" t="str">
        <f>IF('att Data Entry'!H51="","",IF(M48="",V48,W48))</f>
        <v/>
      </c>
      <c r="T48" s="40" t="str">
        <f>IF('att Data Entry'!H51="","",IF($E48+$F48+$I48+$J48=4,"TRUE",IF($E48+$F48+$I48+$J48=8,"TRUE","FALSE")))</f>
        <v/>
      </c>
      <c r="U48" s="40" t="str">
        <f>IF('att Data Entry'!K51="","",IF($E48+$F48+$I48+$J48+$M48+$N48=6,"TRUE",IF($E48+$F48+$I48+$J48+$M48+$N48=12,"TRUE","FALSE")))</f>
        <v/>
      </c>
      <c r="V48" s="40" t="str">
        <f>IF('att Data Entry'!H51="","",IF($E48+$F48+$I48+$J48+$D48=5,"TRUE",IF($E48+$F48+$I48+$J48+$D48=10,"TRUE","FALSE")))</f>
        <v/>
      </c>
      <c r="W48" s="40" t="str">
        <f>IF('att Data Entry'!K51="","",IF($E48+$F48+$I48+$J48+$M48+$N48+$D48=7,"TRUE",IF($E48+$F48+$I48+$J48+$M48+$N48+$D48=14,"TRUE","FALSE")))</f>
        <v/>
      </c>
      <c r="X48" s="40" t="str">
        <f>IF('att Data Entry'!D51="","",IF('att Calculations'!D48+'att Calculations'!E48+'att Calculations'!F48=3, "TRUE",IF('att Calculations'!D48+'att Calculations'!E48+'att Calculations'!F48=6,"TRUE","FALSE")))</f>
        <v/>
      </c>
      <c r="Y48" s="40" t="str">
        <f>IF('att Data Entry'!$D51="","",IF($D48+I48+J48=3, "TRUE",IF($D48+I48+J48=6,"TRUE","FALSE")))</f>
        <v/>
      </c>
      <c r="Z48" s="13" t="str">
        <f>IF('att Data Entry'!K51="","",IF('att Data Entry'!$D51="","",IF($D48+M48+N48=3, "TRUE",IF($D48+M48+N48=6,"TRUE","FALSE"))))</f>
        <v/>
      </c>
      <c r="AA48" s="443" t="str">
        <f t="shared" si="3"/>
        <v/>
      </c>
      <c r="AB48" s="443" t="str">
        <f t="shared" si="4"/>
        <v/>
      </c>
      <c r="AC48" s="443" t="str">
        <f t="shared" si="5"/>
        <v/>
      </c>
      <c r="AD48" s="443" t="str">
        <f t="shared" si="6"/>
        <v/>
      </c>
      <c r="AE48" s="443" t="str">
        <f t="shared" si="7"/>
        <v/>
      </c>
      <c r="AF48" s="443" t="str">
        <f t="shared" si="11"/>
        <v/>
      </c>
      <c r="AG48" s="443" t="str">
        <f t="shared" si="8"/>
        <v/>
      </c>
      <c r="AH48" s="443" t="str">
        <f t="shared" si="9"/>
        <v/>
      </c>
      <c r="AI48" s="443" t="str">
        <f t="shared" si="10"/>
        <v/>
      </c>
    </row>
    <row r="49" spans="3:35" x14ac:dyDescent="0.25">
      <c r="C49" s="158">
        <v>39</v>
      </c>
      <c r="D49" s="440" t="str">
        <f>IF('att Data Entry'!D52="","",IF('att Data Entry'!D52='att Data Entry'!$D$8,'att Data Entry'!$C$8,'att Data Entry'!$C$9))</f>
        <v/>
      </c>
      <c r="E49" s="40" t="str">
        <f>IF('att Data Entry'!E52="","",IF('att Data Entry'!E52='att Data Entry'!$D$8,'att Data Entry'!$C$8,'att Data Entry'!$C$9))</f>
        <v/>
      </c>
      <c r="F49" s="162" t="str">
        <f>IF('att Data Entry'!F52="","",IF('att Data Entry'!F52='att Data Entry'!$D$8,'att Data Entry'!$C$8,'att Data Entry'!$C$9))</f>
        <v/>
      </c>
      <c r="G49" s="40" t="str">
        <f t="shared" si="0"/>
        <v/>
      </c>
      <c r="H49" s="162" t="str">
        <f>IF('att Data Entry'!$D52="","",IF(X49="TRUE",1,0))</f>
        <v/>
      </c>
      <c r="I49" s="40" t="str">
        <f>IF('att Data Entry'!I52="","",IF('att Data Entry'!H52='att Data Entry'!$D$8,'att Data Entry'!$C$8,'att Data Entry'!$C$9))</f>
        <v/>
      </c>
      <c r="J49" s="162" t="str">
        <f>IF('att Data Entry'!H52="","",IF('att Data Entry'!I52='att Data Entry'!$D$8,'att Data Entry'!$C$8,'att Data Entry'!$C$9))</f>
        <v/>
      </c>
      <c r="K49" s="40" t="str">
        <f t="shared" si="1"/>
        <v/>
      </c>
      <c r="L49" s="162" t="str">
        <f>IF('att Data Entry'!$D52="","",IF(Y49="TRUE",1,0))</f>
        <v/>
      </c>
      <c r="M49" s="40" t="str">
        <f>IF('att Data Entry'!L52="","",IF('att Data Entry'!K52='att Data Entry'!$D$8,'att Data Entry'!$C$8,'att Data Entry'!$C$9))</f>
        <v/>
      </c>
      <c r="N49" s="40" t="str">
        <f>IF('att Data Entry'!K52="","",IF('att Data Entry'!L52='att Data Entry'!$D$8,'att Data Entry'!$C$8,'att Data Entry'!$C$9))</f>
        <v/>
      </c>
      <c r="O49" s="40" t="str">
        <f t="shared" si="2"/>
        <v/>
      </c>
      <c r="P49" s="162" t="str">
        <f>IF('att Data Entry'!$D52="","",IF(Z49="TRUE",1,0))</f>
        <v/>
      </c>
      <c r="Q49" s="441" t="str">
        <f>IF('att Data Entry'!H52="","",IF(M49="",T49,U49))</f>
        <v/>
      </c>
      <c r="R49" s="441" t="str">
        <f>IF('att Data Entry'!H52="","",IF(M49="",V49,W49))</f>
        <v/>
      </c>
      <c r="T49" s="40" t="str">
        <f>IF('att Data Entry'!H52="","",IF($E49+$F49+$I49+$J49=4,"TRUE",IF($E49+$F49+$I49+$J49=8,"TRUE","FALSE")))</f>
        <v/>
      </c>
      <c r="U49" s="40" t="str">
        <f>IF('att Data Entry'!K52="","",IF($E49+$F49+$I49+$J49+$M49+$N49=6,"TRUE",IF($E49+$F49+$I49+$J49+$M49+$N49=12,"TRUE","FALSE")))</f>
        <v/>
      </c>
      <c r="V49" s="40" t="str">
        <f>IF('att Data Entry'!H52="","",IF($E49+$F49+$I49+$J49+$D49=5,"TRUE",IF($E49+$F49+$I49+$J49+$D49=10,"TRUE","FALSE")))</f>
        <v/>
      </c>
      <c r="W49" s="40" t="str">
        <f>IF('att Data Entry'!K52="","",IF($E49+$F49+$I49+$J49+$M49+$N49+$D49=7,"TRUE",IF($E49+$F49+$I49+$J49+$M49+$N49+$D49=14,"TRUE","FALSE")))</f>
        <v/>
      </c>
      <c r="X49" s="40" t="str">
        <f>IF('att Data Entry'!D52="","",IF('att Calculations'!D49+'att Calculations'!E49+'att Calculations'!F49=3, "TRUE",IF('att Calculations'!D49+'att Calculations'!E49+'att Calculations'!F49=6,"TRUE","FALSE")))</f>
        <v/>
      </c>
      <c r="Y49" s="40" t="str">
        <f>IF('att Data Entry'!$D52="","",IF($D49+I49+J49=3, "TRUE",IF($D49+I49+J49=6,"TRUE","FALSE")))</f>
        <v/>
      </c>
      <c r="Z49" s="13" t="str">
        <f>IF('att Data Entry'!K52="","",IF('att Data Entry'!$D52="","",IF($D49+M49+N49=3, "TRUE",IF($D49+M49+N49=6,"TRUE","FALSE"))))</f>
        <v/>
      </c>
      <c r="AA49" s="443" t="str">
        <f t="shared" si="3"/>
        <v/>
      </c>
      <c r="AB49" s="443" t="str">
        <f t="shared" si="4"/>
        <v/>
      </c>
      <c r="AC49" s="443" t="str">
        <f t="shared" si="5"/>
        <v/>
      </c>
      <c r="AD49" s="443" t="str">
        <f t="shared" si="6"/>
        <v/>
      </c>
      <c r="AE49" s="443" t="str">
        <f t="shared" si="7"/>
        <v/>
      </c>
      <c r="AF49" s="443" t="str">
        <f t="shared" si="11"/>
        <v/>
      </c>
      <c r="AG49" s="443" t="str">
        <f t="shared" si="8"/>
        <v/>
      </c>
      <c r="AH49" s="443" t="str">
        <f t="shared" si="9"/>
        <v/>
      </c>
      <c r="AI49" s="443" t="str">
        <f t="shared" si="10"/>
        <v/>
      </c>
    </row>
    <row r="50" spans="3:35" x14ac:dyDescent="0.25">
      <c r="C50" s="158">
        <v>40</v>
      </c>
      <c r="D50" s="440" t="str">
        <f>IF('att Data Entry'!D53="","",IF('att Data Entry'!D53='att Data Entry'!$D$8,'att Data Entry'!$C$8,'att Data Entry'!$C$9))</f>
        <v/>
      </c>
      <c r="E50" s="40" t="str">
        <f>IF('att Data Entry'!E53="","",IF('att Data Entry'!E53='att Data Entry'!$D$8,'att Data Entry'!$C$8,'att Data Entry'!$C$9))</f>
        <v/>
      </c>
      <c r="F50" s="162" t="str">
        <f>IF('att Data Entry'!F53="","",IF('att Data Entry'!F53='att Data Entry'!$D$8,'att Data Entry'!$C$8,'att Data Entry'!$C$9))</f>
        <v/>
      </c>
      <c r="G50" s="40" t="str">
        <f t="shared" si="0"/>
        <v/>
      </c>
      <c r="H50" s="162" t="str">
        <f>IF('att Data Entry'!$D53="","",IF(X50="TRUE",1,0))</f>
        <v/>
      </c>
      <c r="I50" s="40" t="str">
        <f>IF('att Data Entry'!I53="","",IF('att Data Entry'!H53='att Data Entry'!$D$8,'att Data Entry'!$C$8,'att Data Entry'!$C$9))</f>
        <v/>
      </c>
      <c r="J50" s="162" t="str">
        <f>IF('att Data Entry'!H53="","",IF('att Data Entry'!I53='att Data Entry'!$D$8,'att Data Entry'!$C$8,'att Data Entry'!$C$9))</f>
        <v/>
      </c>
      <c r="K50" s="40" t="str">
        <f t="shared" si="1"/>
        <v/>
      </c>
      <c r="L50" s="162" t="str">
        <f>IF('att Data Entry'!$D53="","",IF(Y50="TRUE",1,0))</f>
        <v/>
      </c>
      <c r="M50" s="40" t="str">
        <f>IF('att Data Entry'!L53="","",IF('att Data Entry'!K53='att Data Entry'!$D$8,'att Data Entry'!$C$8,'att Data Entry'!$C$9))</f>
        <v/>
      </c>
      <c r="N50" s="40" t="str">
        <f>IF('att Data Entry'!K53="","",IF('att Data Entry'!L53='att Data Entry'!$D$8,'att Data Entry'!$C$8,'att Data Entry'!$C$9))</f>
        <v/>
      </c>
      <c r="O50" s="40" t="str">
        <f t="shared" si="2"/>
        <v/>
      </c>
      <c r="P50" s="162" t="str">
        <f>IF('att Data Entry'!$D53="","",IF(Z50="TRUE",1,0))</f>
        <v/>
      </c>
      <c r="Q50" s="441" t="str">
        <f>IF('att Data Entry'!H53="","",IF(M50="",T50,U50))</f>
        <v/>
      </c>
      <c r="R50" s="441" t="str">
        <f>IF('att Data Entry'!H53="","",IF(M50="",V50,W50))</f>
        <v/>
      </c>
      <c r="T50" s="40" t="str">
        <f>IF('att Data Entry'!H53="","",IF($E50+$F50+$I50+$J50=4,"TRUE",IF($E50+$F50+$I50+$J50=8,"TRUE","FALSE")))</f>
        <v/>
      </c>
      <c r="U50" s="40" t="str">
        <f>IF('att Data Entry'!K53="","",IF($E50+$F50+$I50+$J50+$M50+$N50=6,"TRUE",IF($E50+$F50+$I50+$J50+$M50+$N50=12,"TRUE","FALSE")))</f>
        <v/>
      </c>
      <c r="V50" s="40" t="str">
        <f>IF('att Data Entry'!H53="","",IF($E50+$F50+$I50+$J50+$D50=5,"TRUE",IF($E50+$F50+$I50+$J50+$D50=10,"TRUE","FALSE")))</f>
        <v/>
      </c>
      <c r="W50" s="40" t="str">
        <f>IF('att Data Entry'!K53="","",IF($E50+$F50+$I50+$J50+$M50+$N50+$D50=7,"TRUE",IF($E50+$F50+$I50+$J50+$M50+$N50+$D50=14,"TRUE","FALSE")))</f>
        <v/>
      </c>
      <c r="X50" s="40" t="str">
        <f>IF('att Data Entry'!D53="","",IF('att Calculations'!D50+'att Calculations'!E50+'att Calculations'!F50=3, "TRUE",IF('att Calculations'!D50+'att Calculations'!E50+'att Calculations'!F50=6,"TRUE","FALSE")))</f>
        <v/>
      </c>
      <c r="Y50" s="40" t="str">
        <f>IF('att Data Entry'!$D53="","",IF($D50+I50+J50=3, "TRUE",IF($D50+I50+J50=6,"TRUE","FALSE")))</f>
        <v/>
      </c>
      <c r="Z50" s="13" t="str">
        <f>IF('att Data Entry'!K53="","",IF('att Data Entry'!$D53="","",IF($D50+M50+N50=3, "TRUE",IF($D50+M50+N50=6,"TRUE","FALSE"))))</f>
        <v/>
      </c>
      <c r="AA50" s="443" t="str">
        <f t="shared" si="3"/>
        <v/>
      </c>
      <c r="AB50" s="443" t="str">
        <f t="shared" si="4"/>
        <v/>
      </c>
      <c r="AC50" s="443" t="str">
        <f t="shared" si="5"/>
        <v/>
      </c>
      <c r="AD50" s="443" t="str">
        <f t="shared" si="6"/>
        <v/>
      </c>
      <c r="AE50" s="443" t="str">
        <f t="shared" si="7"/>
        <v/>
      </c>
      <c r="AF50" s="443" t="str">
        <f t="shared" si="11"/>
        <v/>
      </c>
      <c r="AG50" s="443" t="str">
        <f t="shared" si="8"/>
        <v/>
      </c>
      <c r="AH50" s="443" t="str">
        <f t="shared" si="9"/>
        <v/>
      </c>
      <c r="AI50" s="443" t="str">
        <f t="shared" si="10"/>
        <v/>
      </c>
    </row>
    <row r="51" spans="3:35" x14ac:dyDescent="0.25">
      <c r="C51" s="158">
        <v>41</v>
      </c>
      <c r="D51" s="440" t="str">
        <f>IF('att Data Entry'!D54="","",IF('att Data Entry'!D54='att Data Entry'!$D$8,'att Data Entry'!$C$8,'att Data Entry'!$C$9))</f>
        <v/>
      </c>
      <c r="E51" s="40" t="str">
        <f>IF('att Data Entry'!E54="","",IF('att Data Entry'!E54='att Data Entry'!$D$8,'att Data Entry'!$C$8,'att Data Entry'!$C$9))</f>
        <v/>
      </c>
      <c r="F51" s="162" t="str">
        <f>IF('att Data Entry'!F54="","",IF('att Data Entry'!F54='att Data Entry'!$D$8,'att Data Entry'!$C$8,'att Data Entry'!$C$9))</f>
        <v/>
      </c>
      <c r="G51" s="40" t="str">
        <f t="shared" si="0"/>
        <v/>
      </c>
      <c r="H51" s="162" t="str">
        <f>IF('att Data Entry'!$D54="","",IF(X51="TRUE",1,0))</f>
        <v/>
      </c>
      <c r="I51" s="40" t="str">
        <f>IF('att Data Entry'!I54="","",IF('att Data Entry'!H54='att Data Entry'!$D$8,'att Data Entry'!$C$8,'att Data Entry'!$C$9))</f>
        <v/>
      </c>
      <c r="J51" s="162" t="str">
        <f>IF('att Data Entry'!H54="","",IF('att Data Entry'!I54='att Data Entry'!$D$8,'att Data Entry'!$C$8,'att Data Entry'!$C$9))</f>
        <v/>
      </c>
      <c r="K51" s="40" t="str">
        <f t="shared" si="1"/>
        <v/>
      </c>
      <c r="L51" s="162" t="str">
        <f>IF('att Data Entry'!$D54="","",IF(Y51="TRUE",1,0))</f>
        <v/>
      </c>
      <c r="M51" s="40" t="str">
        <f>IF('att Data Entry'!L54="","",IF('att Data Entry'!K54='att Data Entry'!$D$8,'att Data Entry'!$C$8,'att Data Entry'!$C$9))</f>
        <v/>
      </c>
      <c r="N51" s="40" t="str">
        <f>IF('att Data Entry'!K54="","",IF('att Data Entry'!L54='att Data Entry'!$D$8,'att Data Entry'!$C$8,'att Data Entry'!$C$9))</f>
        <v/>
      </c>
      <c r="O51" s="40" t="str">
        <f t="shared" si="2"/>
        <v/>
      </c>
      <c r="P51" s="162" t="str">
        <f>IF('att Data Entry'!$D54="","",IF(Z51="TRUE",1,0))</f>
        <v/>
      </c>
      <c r="Q51" s="441" t="str">
        <f>IF('att Data Entry'!H54="","",IF(M51="",T51,U51))</f>
        <v/>
      </c>
      <c r="R51" s="441" t="str">
        <f>IF('att Data Entry'!H54="","",IF(M51="",V51,W51))</f>
        <v/>
      </c>
      <c r="T51" s="40" t="str">
        <f>IF('att Data Entry'!H54="","",IF($E51+$F51+$I51+$J51=4,"TRUE",IF($E51+$F51+$I51+$J51=8,"TRUE","FALSE")))</f>
        <v/>
      </c>
      <c r="U51" s="40" t="str">
        <f>IF('att Data Entry'!K54="","",IF($E51+$F51+$I51+$J51+$M51+$N51=6,"TRUE",IF($E51+$F51+$I51+$J51+$M51+$N51=12,"TRUE","FALSE")))</f>
        <v/>
      </c>
      <c r="V51" s="40" t="str">
        <f>IF('att Data Entry'!H54="","",IF($E51+$F51+$I51+$J51+$D51=5,"TRUE",IF($E51+$F51+$I51+$J51+$D51=10,"TRUE","FALSE")))</f>
        <v/>
      </c>
      <c r="W51" s="40" t="str">
        <f>IF('att Data Entry'!K54="","",IF($E51+$F51+$I51+$J51+$M51+$N51+$D51=7,"TRUE",IF($E51+$F51+$I51+$J51+$M51+$N51+$D51=14,"TRUE","FALSE")))</f>
        <v/>
      </c>
      <c r="X51" s="40" t="str">
        <f>IF('att Data Entry'!D54="","",IF('att Calculations'!D51+'att Calculations'!E51+'att Calculations'!F51=3, "TRUE",IF('att Calculations'!D51+'att Calculations'!E51+'att Calculations'!F51=6,"TRUE","FALSE")))</f>
        <v/>
      </c>
      <c r="Y51" s="40" t="str">
        <f>IF('att Data Entry'!$D54="","",IF($D51+I51+J51=3, "TRUE",IF($D51+I51+J51=6,"TRUE","FALSE")))</f>
        <v/>
      </c>
      <c r="Z51" s="13" t="str">
        <f>IF('att Data Entry'!K54="","",IF('att Data Entry'!$D54="","",IF($D51+M51+N51=3, "TRUE",IF($D51+M51+N51=6,"TRUE","FALSE"))))</f>
        <v/>
      </c>
      <c r="AA51" s="443" t="str">
        <f t="shared" si="3"/>
        <v/>
      </c>
      <c r="AB51" s="443" t="str">
        <f t="shared" si="4"/>
        <v/>
      </c>
      <c r="AC51" s="443" t="str">
        <f t="shared" si="5"/>
        <v/>
      </c>
      <c r="AD51" s="443" t="str">
        <f t="shared" si="6"/>
        <v/>
      </c>
      <c r="AE51" s="443" t="str">
        <f t="shared" si="7"/>
        <v/>
      </c>
      <c r="AF51" s="443" t="str">
        <f t="shared" si="11"/>
        <v/>
      </c>
      <c r="AG51" s="443" t="str">
        <f t="shared" si="8"/>
        <v/>
      </c>
      <c r="AH51" s="443" t="str">
        <f t="shared" si="9"/>
        <v/>
      </c>
      <c r="AI51" s="443" t="str">
        <f t="shared" si="10"/>
        <v/>
      </c>
    </row>
    <row r="52" spans="3:35" x14ac:dyDescent="0.25">
      <c r="C52" s="158">
        <v>42</v>
      </c>
      <c r="D52" s="440" t="str">
        <f>IF('att Data Entry'!D55="","",IF('att Data Entry'!D55='att Data Entry'!$D$8,'att Data Entry'!$C$8,'att Data Entry'!$C$9))</f>
        <v/>
      </c>
      <c r="E52" s="40" t="str">
        <f>IF('att Data Entry'!E55="","",IF('att Data Entry'!E55='att Data Entry'!$D$8,'att Data Entry'!$C$8,'att Data Entry'!$C$9))</f>
        <v/>
      </c>
      <c r="F52" s="162" t="str">
        <f>IF('att Data Entry'!F55="","",IF('att Data Entry'!F55='att Data Entry'!$D$8,'att Data Entry'!$C$8,'att Data Entry'!$C$9))</f>
        <v/>
      </c>
      <c r="G52" s="40" t="str">
        <f t="shared" si="0"/>
        <v/>
      </c>
      <c r="H52" s="162" t="str">
        <f>IF('att Data Entry'!$D55="","",IF(X52="TRUE",1,0))</f>
        <v/>
      </c>
      <c r="I52" s="40" t="str">
        <f>IF('att Data Entry'!I55="","",IF('att Data Entry'!H55='att Data Entry'!$D$8,'att Data Entry'!$C$8,'att Data Entry'!$C$9))</f>
        <v/>
      </c>
      <c r="J52" s="162" t="str">
        <f>IF('att Data Entry'!H55="","",IF('att Data Entry'!I55='att Data Entry'!$D$8,'att Data Entry'!$C$8,'att Data Entry'!$C$9))</f>
        <v/>
      </c>
      <c r="K52" s="40" t="str">
        <f t="shared" si="1"/>
        <v/>
      </c>
      <c r="L52" s="162" t="str">
        <f>IF('att Data Entry'!$D55="","",IF(Y52="TRUE",1,0))</f>
        <v/>
      </c>
      <c r="M52" s="40" t="str">
        <f>IF('att Data Entry'!L55="","",IF('att Data Entry'!K55='att Data Entry'!$D$8,'att Data Entry'!$C$8,'att Data Entry'!$C$9))</f>
        <v/>
      </c>
      <c r="N52" s="40" t="str">
        <f>IF('att Data Entry'!K55="","",IF('att Data Entry'!L55='att Data Entry'!$D$8,'att Data Entry'!$C$8,'att Data Entry'!$C$9))</f>
        <v/>
      </c>
      <c r="O52" s="40" t="str">
        <f t="shared" si="2"/>
        <v/>
      </c>
      <c r="P52" s="162" t="str">
        <f>IF('att Data Entry'!$D55="","",IF(Z52="TRUE",1,0))</f>
        <v/>
      </c>
      <c r="Q52" s="441" t="str">
        <f>IF('att Data Entry'!H55="","",IF(M52="",T52,U52))</f>
        <v/>
      </c>
      <c r="R52" s="441" t="str">
        <f>IF('att Data Entry'!H55="","",IF(M52="",V52,W52))</f>
        <v/>
      </c>
      <c r="T52" s="40" t="str">
        <f>IF('att Data Entry'!H55="","",IF($E52+$F52+$I52+$J52=4,"TRUE",IF($E52+$F52+$I52+$J52=8,"TRUE","FALSE")))</f>
        <v/>
      </c>
      <c r="U52" s="40" t="str">
        <f>IF('att Data Entry'!K55="","",IF($E52+$F52+$I52+$J52+$M52+$N52=6,"TRUE",IF($E52+$F52+$I52+$J52+$M52+$N52=12,"TRUE","FALSE")))</f>
        <v/>
      </c>
      <c r="V52" s="40" t="str">
        <f>IF('att Data Entry'!H55="","",IF($E52+$F52+$I52+$J52+$D52=5,"TRUE",IF($E52+$F52+$I52+$J52+$D52=10,"TRUE","FALSE")))</f>
        <v/>
      </c>
      <c r="W52" s="40" t="str">
        <f>IF('att Data Entry'!K55="","",IF($E52+$F52+$I52+$J52+$M52+$N52+$D52=7,"TRUE",IF($E52+$F52+$I52+$J52+$M52+$N52+$D52=14,"TRUE","FALSE")))</f>
        <v/>
      </c>
      <c r="X52" s="40" t="str">
        <f>IF('att Data Entry'!D55="","",IF('att Calculations'!D52+'att Calculations'!E52+'att Calculations'!F52=3, "TRUE",IF('att Calculations'!D52+'att Calculations'!E52+'att Calculations'!F52=6,"TRUE","FALSE")))</f>
        <v/>
      </c>
      <c r="Y52" s="40" t="str">
        <f>IF('att Data Entry'!$D55="","",IF($D52+I52+J52=3, "TRUE",IF($D52+I52+J52=6,"TRUE","FALSE")))</f>
        <v/>
      </c>
      <c r="Z52" s="13" t="str">
        <f>IF('att Data Entry'!K55="","",IF('att Data Entry'!$D55="","",IF($D52+M52+N52=3, "TRUE",IF($D52+M52+N52=6,"TRUE","FALSE"))))</f>
        <v/>
      </c>
      <c r="AA52" s="443" t="str">
        <f t="shared" si="3"/>
        <v/>
      </c>
      <c r="AB52" s="443" t="str">
        <f t="shared" si="4"/>
        <v/>
      </c>
      <c r="AC52" s="443" t="str">
        <f t="shared" si="5"/>
        <v/>
      </c>
      <c r="AD52" s="443" t="str">
        <f t="shared" si="6"/>
        <v/>
      </c>
      <c r="AE52" s="443" t="str">
        <f t="shared" si="7"/>
        <v/>
      </c>
      <c r="AF52" s="443" t="str">
        <f t="shared" si="11"/>
        <v/>
      </c>
      <c r="AG52" s="443" t="str">
        <f t="shared" si="8"/>
        <v/>
      </c>
      <c r="AH52" s="443" t="str">
        <f t="shared" si="9"/>
        <v/>
      </c>
      <c r="AI52" s="443" t="str">
        <f t="shared" si="10"/>
        <v/>
      </c>
    </row>
    <row r="53" spans="3:35" x14ac:dyDescent="0.25">
      <c r="C53" s="158">
        <v>43</v>
      </c>
      <c r="D53" s="440" t="str">
        <f>IF('att Data Entry'!D56="","",IF('att Data Entry'!D56='att Data Entry'!$D$8,'att Data Entry'!$C$8,'att Data Entry'!$C$9))</f>
        <v/>
      </c>
      <c r="E53" s="40" t="str">
        <f>IF('att Data Entry'!E56="","",IF('att Data Entry'!E56='att Data Entry'!$D$8,'att Data Entry'!$C$8,'att Data Entry'!$C$9))</f>
        <v/>
      </c>
      <c r="F53" s="162" t="str">
        <f>IF('att Data Entry'!F56="","",IF('att Data Entry'!F56='att Data Entry'!$D$8,'att Data Entry'!$C$8,'att Data Entry'!$C$9))</f>
        <v/>
      </c>
      <c r="G53" s="40" t="str">
        <f t="shared" si="0"/>
        <v/>
      </c>
      <c r="H53" s="162" t="str">
        <f>IF('att Data Entry'!$D56="","",IF(X53="TRUE",1,0))</f>
        <v/>
      </c>
      <c r="I53" s="40" t="str">
        <f>IF('att Data Entry'!I56="","",IF('att Data Entry'!H56='att Data Entry'!$D$8,'att Data Entry'!$C$8,'att Data Entry'!$C$9))</f>
        <v/>
      </c>
      <c r="J53" s="162" t="str">
        <f>IF('att Data Entry'!H56="","",IF('att Data Entry'!I56='att Data Entry'!$D$8,'att Data Entry'!$C$8,'att Data Entry'!$C$9))</f>
        <v/>
      </c>
      <c r="K53" s="40" t="str">
        <f t="shared" si="1"/>
        <v/>
      </c>
      <c r="L53" s="162" t="str">
        <f>IF('att Data Entry'!$D56="","",IF(Y53="TRUE",1,0))</f>
        <v/>
      </c>
      <c r="M53" s="40" t="str">
        <f>IF('att Data Entry'!L56="","",IF('att Data Entry'!K56='att Data Entry'!$D$8,'att Data Entry'!$C$8,'att Data Entry'!$C$9))</f>
        <v/>
      </c>
      <c r="N53" s="40" t="str">
        <f>IF('att Data Entry'!K56="","",IF('att Data Entry'!L56='att Data Entry'!$D$8,'att Data Entry'!$C$8,'att Data Entry'!$C$9))</f>
        <v/>
      </c>
      <c r="O53" s="40" t="str">
        <f t="shared" si="2"/>
        <v/>
      </c>
      <c r="P53" s="162" t="str">
        <f>IF('att Data Entry'!$D56="","",IF(Z53="TRUE",1,0))</f>
        <v/>
      </c>
      <c r="Q53" s="441" t="str">
        <f>IF('att Data Entry'!H56="","",IF(M53="",T53,U53))</f>
        <v/>
      </c>
      <c r="R53" s="441" t="str">
        <f>IF('att Data Entry'!H56="","",IF(M53="",V53,W53))</f>
        <v/>
      </c>
      <c r="T53" s="40" t="str">
        <f>IF('att Data Entry'!H56="","",IF($E53+$F53+$I53+$J53=4,"TRUE",IF($E53+$F53+$I53+$J53=8,"TRUE","FALSE")))</f>
        <v/>
      </c>
      <c r="U53" s="40" t="str">
        <f>IF('att Data Entry'!K56="","",IF($E53+$F53+$I53+$J53+$M53+$N53=6,"TRUE",IF($E53+$F53+$I53+$J53+$M53+$N53=12,"TRUE","FALSE")))</f>
        <v/>
      </c>
      <c r="V53" s="40" t="str">
        <f>IF('att Data Entry'!H56="","",IF($E53+$F53+$I53+$J53+$D53=5,"TRUE",IF($E53+$F53+$I53+$J53+$D53=10,"TRUE","FALSE")))</f>
        <v/>
      </c>
      <c r="W53" s="40" t="str">
        <f>IF('att Data Entry'!K56="","",IF($E53+$F53+$I53+$J53+$M53+$N53+$D53=7,"TRUE",IF($E53+$F53+$I53+$J53+$M53+$N53+$D53=14,"TRUE","FALSE")))</f>
        <v/>
      </c>
      <c r="X53" s="40" t="str">
        <f>IF('att Data Entry'!D56="","",IF('att Calculations'!D53+'att Calculations'!E53+'att Calculations'!F53=3, "TRUE",IF('att Calculations'!D53+'att Calculations'!E53+'att Calculations'!F53=6,"TRUE","FALSE")))</f>
        <v/>
      </c>
      <c r="Y53" s="40" t="str">
        <f>IF('att Data Entry'!$D56="","",IF($D53+I53+J53=3, "TRUE",IF($D53+I53+J53=6,"TRUE","FALSE")))</f>
        <v/>
      </c>
      <c r="Z53" s="13" t="str">
        <f>IF('att Data Entry'!K56="","",IF('att Data Entry'!$D56="","",IF($D53+M53+N53=3, "TRUE",IF($D53+M53+N53=6,"TRUE","FALSE"))))</f>
        <v/>
      </c>
      <c r="AA53" s="443" t="str">
        <f t="shared" si="3"/>
        <v/>
      </c>
      <c r="AB53" s="443" t="str">
        <f t="shared" si="4"/>
        <v/>
      </c>
      <c r="AC53" s="443" t="str">
        <f t="shared" si="5"/>
        <v/>
      </c>
      <c r="AD53" s="443" t="str">
        <f t="shared" si="6"/>
        <v/>
      </c>
      <c r="AE53" s="443" t="str">
        <f t="shared" si="7"/>
        <v/>
      </c>
      <c r="AF53" s="443" t="str">
        <f t="shared" si="11"/>
        <v/>
      </c>
      <c r="AG53" s="443" t="str">
        <f t="shared" si="8"/>
        <v/>
      </c>
      <c r="AH53" s="443" t="str">
        <f t="shared" si="9"/>
        <v/>
      </c>
      <c r="AI53" s="443" t="str">
        <f t="shared" si="10"/>
        <v/>
      </c>
    </row>
    <row r="54" spans="3:35" x14ac:dyDescent="0.25">
      <c r="C54" s="158">
        <v>44</v>
      </c>
      <c r="D54" s="440" t="str">
        <f>IF('att Data Entry'!D57="","",IF('att Data Entry'!D57='att Data Entry'!$D$8,'att Data Entry'!$C$8,'att Data Entry'!$C$9))</f>
        <v/>
      </c>
      <c r="E54" s="40" t="str">
        <f>IF('att Data Entry'!E57="","",IF('att Data Entry'!E57='att Data Entry'!$D$8,'att Data Entry'!$C$8,'att Data Entry'!$C$9))</f>
        <v/>
      </c>
      <c r="F54" s="162" t="str">
        <f>IF('att Data Entry'!F57="","",IF('att Data Entry'!F57='att Data Entry'!$D$8,'att Data Entry'!$C$8,'att Data Entry'!$C$9))</f>
        <v/>
      </c>
      <c r="G54" s="40" t="str">
        <f t="shared" si="0"/>
        <v/>
      </c>
      <c r="H54" s="162" t="str">
        <f>IF('att Data Entry'!$D57="","",IF(X54="TRUE",1,0))</f>
        <v/>
      </c>
      <c r="I54" s="40" t="str">
        <f>IF('att Data Entry'!I57="","",IF('att Data Entry'!H57='att Data Entry'!$D$8,'att Data Entry'!$C$8,'att Data Entry'!$C$9))</f>
        <v/>
      </c>
      <c r="J54" s="162" t="str">
        <f>IF('att Data Entry'!H57="","",IF('att Data Entry'!I57='att Data Entry'!$D$8,'att Data Entry'!$C$8,'att Data Entry'!$C$9))</f>
        <v/>
      </c>
      <c r="K54" s="40" t="str">
        <f t="shared" si="1"/>
        <v/>
      </c>
      <c r="L54" s="162" t="str">
        <f>IF('att Data Entry'!$D57="","",IF(Y54="TRUE",1,0))</f>
        <v/>
      </c>
      <c r="M54" s="40" t="str">
        <f>IF('att Data Entry'!L57="","",IF('att Data Entry'!K57='att Data Entry'!$D$8,'att Data Entry'!$C$8,'att Data Entry'!$C$9))</f>
        <v/>
      </c>
      <c r="N54" s="40" t="str">
        <f>IF('att Data Entry'!K57="","",IF('att Data Entry'!L57='att Data Entry'!$D$8,'att Data Entry'!$C$8,'att Data Entry'!$C$9))</f>
        <v/>
      </c>
      <c r="O54" s="40" t="str">
        <f t="shared" si="2"/>
        <v/>
      </c>
      <c r="P54" s="162" t="str">
        <f>IF('att Data Entry'!$D57="","",IF(Z54="TRUE",1,0))</f>
        <v/>
      </c>
      <c r="Q54" s="441" t="str">
        <f>IF('att Data Entry'!H57="","",IF(M54="",T54,U54))</f>
        <v/>
      </c>
      <c r="R54" s="441" t="str">
        <f>IF('att Data Entry'!H57="","",IF(M54="",V54,W54))</f>
        <v/>
      </c>
      <c r="T54" s="40" t="str">
        <f>IF('att Data Entry'!H57="","",IF($E54+$F54+$I54+$J54=4,"TRUE",IF($E54+$F54+$I54+$J54=8,"TRUE","FALSE")))</f>
        <v/>
      </c>
      <c r="U54" s="40" t="str">
        <f>IF('att Data Entry'!K57="","",IF($E54+$F54+$I54+$J54+$M54+$N54=6,"TRUE",IF($E54+$F54+$I54+$J54+$M54+$N54=12,"TRUE","FALSE")))</f>
        <v/>
      </c>
      <c r="V54" s="40" t="str">
        <f>IF('att Data Entry'!H57="","",IF($E54+$F54+$I54+$J54+$D54=5,"TRUE",IF($E54+$F54+$I54+$J54+$D54=10,"TRUE","FALSE")))</f>
        <v/>
      </c>
      <c r="W54" s="40" t="str">
        <f>IF('att Data Entry'!K57="","",IF($E54+$F54+$I54+$J54+$M54+$N54+$D54=7,"TRUE",IF($E54+$F54+$I54+$J54+$M54+$N54+$D54=14,"TRUE","FALSE")))</f>
        <v/>
      </c>
      <c r="X54" s="40" t="str">
        <f>IF('att Data Entry'!D57="","",IF('att Calculations'!D54+'att Calculations'!E54+'att Calculations'!F54=3, "TRUE",IF('att Calculations'!D54+'att Calculations'!E54+'att Calculations'!F54=6,"TRUE","FALSE")))</f>
        <v/>
      </c>
      <c r="Y54" s="40" t="str">
        <f>IF('att Data Entry'!$D57="","",IF($D54+I54+J54=3, "TRUE",IF($D54+I54+J54=6,"TRUE","FALSE")))</f>
        <v/>
      </c>
      <c r="Z54" s="13" t="str">
        <f>IF('att Data Entry'!K57="","",IF('att Data Entry'!$D57="","",IF($D54+M54+N54=3, "TRUE",IF($D54+M54+N54=6,"TRUE","FALSE"))))</f>
        <v/>
      </c>
      <c r="AA54" s="443" t="str">
        <f t="shared" si="3"/>
        <v/>
      </c>
      <c r="AB54" s="443" t="str">
        <f t="shared" si="4"/>
        <v/>
      </c>
      <c r="AC54" s="443" t="str">
        <f t="shared" si="5"/>
        <v/>
      </c>
      <c r="AD54" s="443" t="str">
        <f t="shared" si="6"/>
        <v/>
      </c>
      <c r="AE54" s="443" t="str">
        <f t="shared" si="7"/>
        <v/>
      </c>
      <c r="AF54" s="443" t="str">
        <f t="shared" si="11"/>
        <v/>
      </c>
      <c r="AG54" s="443" t="str">
        <f t="shared" si="8"/>
        <v/>
      </c>
      <c r="AH54" s="443" t="str">
        <f t="shared" si="9"/>
        <v/>
      </c>
      <c r="AI54" s="443" t="str">
        <f t="shared" si="10"/>
        <v/>
      </c>
    </row>
    <row r="55" spans="3:35" x14ac:dyDescent="0.25">
      <c r="C55" s="158">
        <v>45</v>
      </c>
      <c r="D55" s="440" t="str">
        <f>IF('att Data Entry'!D58="","",IF('att Data Entry'!D58='att Data Entry'!$D$8,'att Data Entry'!$C$8,'att Data Entry'!$C$9))</f>
        <v/>
      </c>
      <c r="E55" s="40" t="str">
        <f>IF('att Data Entry'!E58="","",IF('att Data Entry'!E58='att Data Entry'!$D$8,'att Data Entry'!$C$8,'att Data Entry'!$C$9))</f>
        <v/>
      </c>
      <c r="F55" s="162" t="str">
        <f>IF('att Data Entry'!F58="","",IF('att Data Entry'!F58='att Data Entry'!$D$8,'att Data Entry'!$C$8,'att Data Entry'!$C$9))</f>
        <v/>
      </c>
      <c r="G55" s="40" t="str">
        <f t="shared" si="0"/>
        <v/>
      </c>
      <c r="H55" s="162" t="str">
        <f>IF('att Data Entry'!$D58="","",IF(X55="TRUE",1,0))</f>
        <v/>
      </c>
      <c r="I55" s="40" t="str">
        <f>IF('att Data Entry'!I58="","",IF('att Data Entry'!H58='att Data Entry'!$D$8,'att Data Entry'!$C$8,'att Data Entry'!$C$9))</f>
        <v/>
      </c>
      <c r="J55" s="162" t="str">
        <f>IF('att Data Entry'!H58="","",IF('att Data Entry'!I58='att Data Entry'!$D$8,'att Data Entry'!$C$8,'att Data Entry'!$C$9))</f>
        <v/>
      </c>
      <c r="K55" s="40" t="str">
        <f t="shared" si="1"/>
        <v/>
      </c>
      <c r="L55" s="162" t="str">
        <f>IF('att Data Entry'!$D58="","",IF(Y55="TRUE",1,0))</f>
        <v/>
      </c>
      <c r="M55" s="40" t="str">
        <f>IF('att Data Entry'!L58="","",IF('att Data Entry'!K58='att Data Entry'!$D$8,'att Data Entry'!$C$8,'att Data Entry'!$C$9))</f>
        <v/>
      </c>
      <c r="N55" s="40" t="str">
        <f>IF('att Data Entry'!K58="","",IF('att Data Entry'!L58='att Data Entry'!$D$8,'att Data Entry'!$C$8,'att Data Entry'!$C$9))</f>
        <v/>
      </c>
      <c r="O55" s="40" t="str">
        <f t="shared" si="2"/>
        <v/>
      </c>
      <c r="P55" s="162" t="str">
        <f>IF('att Data Entry'!$D58="","",IF(Z55="TRUE",1,0))</f>
        <v/>
      </c>
      <c r="Q55" s="441" t="str">
        <f>IF('att Data Entry'!H58="","",IF(M55="",T55,U55))</f>
        <v/>
      </c>
      <c r="R55" s="441" t="str">
        <f>IF('att Data Entry'!H58="","",IF(M55="",V55,W55))</f>
        <v/>
      </c>
      <c r="T55" s="40" t="str">
        <f>IF('att Data Entry'!H58="","",IF($E55+$F55+$I55+$J55=4,"TRUE",IF($E55+$F55+$I55+$J55=8,"TRUE","FALSE")))</f>
        <v/>
      </c>
      <c r="U55" s="40" t="str">
        <f>IF('att Data Entry'!K58="","",IF($E55+$F55+$I55+$J55+$M55+$N55=6,"TRUE",IF($E55+$F55+$I55+$J55+$M55+$N55=12,"TRUE","FALSE")))</f>
        <v/>
      </c>
      <c r="V55" s="40" t="str">
        <f>IF('att Data Entry'!H58="","",IF($E55+$F55+$I55+$J55+$D55=5,"TRUE",IF($E55+$F55+$I55+$J55+$D55=10,"TRUE","FALSE")))</f>
        <v/>
      </c>
      <c r="W55" s="40" t="str">
        <f>IF('att Data Entry'!K58="","",IF($E55+$F55+$I55+$J55+$M55+$N55+$D55=7,"TRUE",IF($E55+$F55+$I55+$J55+$M55+$N55+$D55=14,"TRUE","FALSE")))</f>
        <v/>
      </c>
      <c r="X55" s="40" t="str">
        <f>IF('att Data Entry'!D58="","",IF('att Calculations'!D55+'att Calculations'!E55+'att Calculations'!F55=3, "TRUE",IF('att Calculations'!D55+'att Calculations'!E55+'att Calculations'!F55=6,"TRUE","FALSE")))</f>
        <v/>
      </c>
      <c r="Y55" s="40" t="str">
        <f>IF('att Data Entry'!$D58="","",IF($D55+I55+J55=3, "TRUE",IF($D55+I55+J55=6,"TRUE","FALSE")))</f>
        <v/>
      </c>
      <c r="Z55" s="13" t="str">
        <f>IF('att Data Entry'!K58="","",IF('att Data Entry'!$D58="","",IF($D55+M55+N55=3, "TRUE",IF($D55+M55+N55=6,"TRUE","FALSE"))))</f>
        <v/>
      </c>
      <c r="AA55" s="443" t="str">
        <f t="shared" si="3"/>
        <v/>
      </c>
      <c r="AB55" s="443" t="str">
        <f t="shared" si="4"/>
        <v/>
      </c>
      <c r="AC55" s="443" t="str">
        <f t="shared" si="5"/>
        <v/>
      </c>
      <c r="AD55" s="443" t="str">
        <f t="shared" si="6"/>
        <v/>
      </c>
      <c r="AE55" s="443" t="str">
        <f t="shared" si="7"/>
        <v/>
      </c>
      <c r="AF55" s="443" t="str">
        <f t="shared" si="11"/>
        <v/>
      </c>
      <c r="AG55" s="443" t="str">
        <f t="shared" si="8"/>
        <v/>
      </c>
      <c r="AH55" s="443" t="str">
        <f t="shared" si="9"/>
        <v/>
      </c>
      <c r="AI55" s="443" t="str">
        <f t="shared" si="10"/>
        <v/>
      </c>
    </row>
    <row r="56" spans="3:35" x14ac:dyDescent="0.25">
      <c r="C56" s="158">
        <v>46</v>
      </c>
      <c r="D56" s="440" t="str">
        <f>IF('att Data Entry'!D59="","",IF('att Data Entry'!D59='att Data Entry'!$D$8,'att Data Entry'!$C$8,'att Data Entry'!$C$9))</f>
        <v/>
      </c>
      <c r="E56" s="40" t="str">
        <f>IF('att Data Entry'!E59="","",IF('att Data Entry'!E59='att Data Entry'!$D$8,'att Data Entry'!$C$8,'att Data Entry'!$C$9))</f>
        <v/>
      </c>
      <c r="F56" s="162" t="str">
        <f>IF('att Data Entry'!F59="","",IF('att Data Entry'!F59='att Data Entry'!$D$8,'att Data Entry'!$C$8,'att Data Entry'!$C$9))</f>
        <v/>
      </c>
      <c r="G56" s="40" t="str">
        <f t="shared" si="0"/>
        <v/>
      </c>
      <c r="H56" s="162" t="str">
        <f>IF('att Data Entry'!$D59="","",IF(X56="TRUE",1,0))</f>
        <v/>
      </c>
      <c r="I56" s="40" t="str">
        <f>IF('att Data Entry'!I59="","",IF('att Data Entry'!H59='att Data Entry'!$D$8,'att Data Entry'!$C$8,'att Data Entry'!$C$9))</f>
        <v/>
      </c>
      <c r="J56" s="162" t="str">
        <f>IF('att Data Entry'!H59="","",IF('att Data Entry'!I59='att Data Entry'!$D$8,'att Data Entry'!$C$8,'att Data Entry'!$C$9))</f>
        <v/>
      </c>
      <c r="K56" s="40" t="str">
        <f t="shared" si="1"/>
        <v/>
      </c>
      <c r="L56" s="162" t="str">
        <f>IF('att Data Entry'!$D59="","",IF(Y56="TRUE",1,0))</f>
        <v/>
      </c>
      <c r="M56" s="40" t="str">
        <f>IF('att Data Entry'!L59="","",IF('att Data Entry'!K59='att Data Entry'!$D$8,'att Data Entry'!$C$8,'att Data Entry'!$C$9))</f>
        <v/>
      </c>
      <c r="N56" s="40" t="str">
        <f>IF('att Data Entry'!K59="","",IF('att Data Entry'!L59='att Data Entry'!$D$8,'att Data Entry'!$C$8,'att Data Entry'!$C$9))</f>
        <v/>
      </c>
      <c r="O56" s="40" t="str">
        <f t="shared" si="2"/>
        <v/>
      </c>
      <c r="P56" s="162" t="str">
        <f>IF('att Data Entry'!$D59="","",IF(Z56="TRUE",1,0))</f>
        <v/>
      </c>
      <c r="Q56" s="441" t="str">
        <f>IF('att Data Entry'!H59="","",IF(M56="",T56,U56))</f>
        <v/>
      </c>
      <c r="R56" s="441" t="str">
        <f>IF('att Data Entry'!H59="","",IF(M56="",V56,W56))</f>
        <v/>
      </c>
      <c r="T56" s="40" t="str">
        <f>IF('att Data Entry'!H59="","",IF($E56+$F56+$I56+$J56=4,"TRUE",IF($E56+$F56+$I56+$J56=8,"TRUE","FALSE")))</f>
        <v/>
      </c>
      <c r="U56" s="40" t="str">
        <f>IF('att Data Entry'!K59="","",IF($E56+$F56+$I56+$J56+$M56+$N56=6,"TRUE",IF($E56+$F56+$I56+$J56+$M56+$N56=12,"TRUE","FALSE")))</f>
        <v/>
      </c>
      <c r="V56" s="40" t="str">
        <f>IF('att Data Entry'!H59="","",IF($E56+$F56+$I56+$J56+$D56=5,"TRUE",IF($E56+$F56+$I56+$J56+$D56=10,"TRUE","FALSE")))</f>
        <v/>
      </c>
      <c r="W56" s="40" t="str">
        <f>IF('att Data Entry'!K59="","",IF($E56+$F56+$I56+$J56+$M56+$N56+$D56=7,"TRUE",IF($E56+$F56+$I56+$J56+$M56+$N56+$D56=14,"TRUE","FALSE")))</f>
        <v/>
      </c>
      <c r="X56" s="40" t="str">
        <f>IF('att Data Entry'!D59="","",IF('att Calculations'!D56+'att Calculations'!E56+'att Calculations'!F56=3, "TRUE",IF('att Calculations'!D56+'att Calculations'!E56+'att Calculations'!F56=6,"TRUE","FALSE")))</f>
        <v/>
      </c>
      <c r="Y56" s="40" t="str">
        <f>IF('att Data Entry'!$D59="","",IF($D56+I56+J56=3, "TRUE",IF($D56+I56+J56=6,"TRUE","FALSE")))</f>
        <v/>
      </c>
      <c r="Z56" s="13" t="str">
        <f>IF('att Data Entry'!K59="","",IF('att Data Entry'!$D59="","",IF($D56+M56+N56=3, "TRUE",IF($D56+M56+N56=6,"TRUE","FALSE"))))</f>
        <v/>
      </c>
      <c r="AA56" s="443" t="str">
        <f t="shared" si="3"/>
        <v/>
      </c>
      <c r="AB56" s="443" t="str">
        <f t="shared" si="4"/>
        <v/>
      </c>
      <c r="AC56" s="443" t="str">
        <f t="shared" si="5"/>
        <v/>
      </c>
      <c r="AD56" s="443" t="str">
        <f t="shared" si="6"/>
        <v/>
      </c>
      <c r="AE56" s="443" t="str">
        <f t="shared" si="7"/>
        <v/>
      </c>
      <c r="AF56" s="443" t="str">
        <f t="shared" si="11"/>
        <v/>
      </c>
      <c r="AG56" s="443" t="str">
        <f t="shared" si="8"/>
        <v/>
      </c>
      <c r="AH56" s="443" t="str">
        <f t="shared" si="9"/>
        <v/>
      </c>
      <c r="AI56" s="443" t="str">
        <f t="shared" si="10"/>
        <v/>
      </c>
    </row>
    <row r="57" spans="3:35" x14ac:dyDescent="0.25">
      <c r="C57" s="158">
        <v>47</v>
      </c>
      <c r="D57" s="440" t="str">
        <f>IF('att Data Entry'!D60="","",IF('att Data Entry'!D60='att Data Entry'!$D$8,'att Data Entry'!$C$8,'att Data Entry'!$C$9))</f>
        <v/>
      </c>
      <c r="E57" s="40" t="str">
        <f>IF('att Data Entry'!E60="","",IF('att Data Entry'!E60='att Data Entry'!$D$8,'att Data Entry'!$C$8,'att Data Entry'!$C$9))</f>
        <v/>
      </c>
      <c r="F57" s="162" t="str">
        <f>IF('att Data Entry'!F60="","",IF('att Data Entry'!F60='att Data Entry'!$D$8,'att Data Entry'!$C$8,'att Data Entry'!$C$9))</f>
        <v/>
      </c>
      <c r="G57" s="40" t="str">
        <f t="shared" si="0"/>
        <v/>
      </c>
      <c r="H57" s="162" t="str">
        <f>IF('att Data Entry'!$D60="","",IF(X57="TRUE",1,0))</f>
        <v/>
      </c>
      <c r="I57" s="40" t="str">
        <f>IF('att Data Entry'!I60="","",IF('att Data Entry'!H60='att Data Entry'!$D$8,'att Data Entry'!$C$8,'att Data Entry'!$C$9))</f>
        <v/>
      </c>
      <c r="J57" s="162" t="str">
        <f>IF('att Data Entry'!H60="","",IF('att Data Entry'!I60='att Data Entry'!$D$8,'att Data Entry'!$C$8,'att Data Entry'!$C$9))</f>
        <v/>
      </c>
      <c r="K57" s="40" t="str">
        <f t="shared" si="1"/>
        <v/>
      </c>
      <c r="L57" s="162" t="str">
        <f>IF('att Data Entry'!$D60="","",IF(Y57="TRUE",1,0))</f>
        <v/>
      </c>
      <c r="M57" s="40" t="str">
        <f>IF('att Data Entry'!L60="","",IF('att Data Entry'!K60='att Data Entry'!$D$8,'att Data Entry'!$C$8,'att Data Entry'!$C$9))</f>
        <v/>
      </c>
      <c r="N57" s="40" t="str">
        <f>IF('att Data Entry'!K60="","",IF('att Data Entry'!L60='att Data Entry'!$D$8,'att Data Entry'!$C$8,'att Data Entry'!$C$9))</f>
        <v/>
      </c>
      <c r="O57" s="40" t="str">
        <f t="shared" si="2"/>
        <v/>
      </c>
      <c r="P57" s="162" t="str">
        <f>IF('att Data Entry'!$D60="","",IF(Z57="TRUE",1,0))</f>
        <v/>
      </c>
      <c r="Q57" s="441" t="str">
        <f>IF('att Data Entry'!H60="","",IF(M57="",T57,U57))</f>
        <v/>
      </c>
      <c r="R57" s="441" t="str">
        <f>IF('att Data Entry'!H60="","",IF(M57="",V57,W57))</f>
        <v/>
      </c>
      <c r="T57" s="40" t="str">
        <f>IF('att Data Entry'!H60="","",IF($E57+$F57+$I57+$J57=4,"TRUE",IF($E57+$F57+$I57+$J57=8,"TRUE","FALSE")))</f>
        <v/>
      </c>
      <c r="U57" s="40" t="str">
        <f>IF('att Data Entry'!K60="","",IF($E57+$F57+$I57+$J57+$M57+$N57=6,"TRUE",IF($E57+$F57+$I57+$J57+$M57+$N57=12,"TRUE","FALSE")))</f>
        <v/>
      </c>
      <c r="V57" s="40" t="str">
        <f>IF('att Data Entry'!H60="","",IF($E57+$F57+$I57+$J57+$D57=5,"TRUE",IF($E57+$F57+$I57+$J57+$D57=10,"TRUE","FALSE")))</f>
        <v/>
      </c>
      <c r="W57" s="40" t="str">
        <f>IF('att Data Entry'!K60="","",IF($E57+$F57+$I57+$J57+$M57+$N57+$D57=7,"TRUE",IF($E57+$F57+$I57+$J57+$M57+$N57+$D57=14,"TRUE","FALSE")))</f>
        <v/>
      </c>
      <c r="X57" s="40" t="str">
        <f>IF('att Data Entry'!D60="","",IF('att Calculations'!D57+'att Calculations'!E57+'att Calculations'!F57=3, "TRUE",IF('att Calculations'!D57+'att Calculations'!E57+'att Calculations'!F57=6,"TRUE","FALSE")))</f>
        <v/>
      </c>
      <c r="Y57" s="40" t="str">
        <f>IF('att Data Entry'!$D60="","",IF($D57+I57+J57=3, "TRUE",IF($D57+I57+J57=6,"TRUE","FALSE")))</f>
        <v/>
      </c>
      <c r="Z57" s="13" t="str">
        <f>IF('att Data Entry'!K60="","",IF('att Data Entry'!$D60="","",IF($D57+M57+N57=3, "TRUE",IF($D57+M57+N57=6,"TRUE","FALSE"))))</f>
        <v/>
      </c>
      <c r="AA57" s="443" t="str">
        <f t="shared" si="3"/>
        <v/>
      </c>
      <c r="AB57" s="443" t="str">
        <f t="shared" si="4"/>
        <v/>
      </c>
      <c r="AC57" s="443" t="str">
        <f t="shared" si="5"/>
        <v/>
      </c>
      <c r="AD57" s="443" t="str">
        <f t="shared" si="6"/>
        <v/>
      </c>
      <c r="AE57" s="443" t="str">
        <f t="shared" si="7"/>
        <v/>
      </c>
      <c r="AF57" s="443" t="str">
        <f t="shared" si="11"/>
        <v/>
      </c>
      <c r="AG57" s="443" t="str">
        <f t="shared" si="8"/>
        <v/>
      </c>
      <c r="AH57" s="443" t="str">
        <f t="shared" si="9"/>
        <v/>
      </c>
      <c r="AI57" s="443" t="str">
        <f t="shared" si="10"/>
        <v/>
      </c>
    </row>
    <row r="58" spans="3:35" x14ac:dyDescent="0.25">
      <c r="C58" s="158">
        <v>48</v>
      </c>
      <c r="D58" s="440" t="str">
        <f>IF('att Data Entry'!D61="","",IF('att Data Entry'!D61='att Data Entry'!$D$8,'att Data Entry'!$C$8,'att Data Entry'!$C$9))</f>
        <v/>
      </c>
      <c r="E58" s="40" t="str">
        <f>IF('att Data Entry'!E61="","",IF('att Data Entry'!E61='att Data Entry'!$D$8,'att Data Entry'!$C$8,'att Data Entry'!$C$9))</f>
        <v/>
      </c>
      <c r="F58" s="162" t="str">
        <f>IF('att Data Entry'!F61="","",IF('att Data Entry'!F61='att Data Entry'!$D$8,'att Data Entry'!$C$8,'att Data Entry'!$C$9))</f>
        <v/>
      </c>
      <c r="G58" s="40" t="str">
        <f t="shared" si="0"/>
        <v/>
      </c>
      <c r="H58" s="162" t="str">
        <f>IF('att Data Entry'!$D61="","",IF(X58="TRUE",1,0))</f>
        <v/>
      </c>
      <c r="I58" s="40" t="str">
        <f>IF('att Data Entry'!I61="","",IF('att Data Entry'!H61='att Data Entry'!$D$8,'att Data Entry'!$C$8,'att Data Entry'!$C$9))</f>
        <v/>
      </c>
      <c r="J58" s="162" t="str">
        <f>IF('att Data Entry'!H61="","",IF('att Data Entry'!I61='att Data Entry'!$D$8,'att Data Entry'!$C$8,'att Data Entry'!$C$9))</f>
        <v/>
      </c>
      <c r="K58" s="40" t="str">
        <f t="shared" si="1"/>
        <v/>
      </c>
      <c r="L58" s="162" t="str">
        <f>IF('att Data Entry'!$D61="","",IF(Y58="TRUE",1,0))</f>
        <v/>
      </c>
      <c r="M58" s="40" t="str">
        <f>IF('att Data Entry'!L61="","",IF('att Data Entry'!K61='att Data Entry'!$D$8,'att Data Entry'!$C$8,'att Data Entry'!$C$9))</f>
        <v/>
      </c>
      <c r="N58" s="40" t="str">
        <f>IF('att Data Entry'!K61="","",IF('att Data Entry'!L61='att Data Entry'!$D$8,'att Data Entry'!$C$8,'att Data Entry'!$C$9))</f>
        <v/>
      </c>
      <c r="O58" s="40" t="str">
        <f t="shared" si="2"/>
        <v/>
      </c>
      <c r="P58" s="162" t="str">
        <f>IF('att Data Entry'!$D61="","",IF(Z58="TRUE",1,0))</f>
        <v/>
      </c>
      <c r="Q58" s="441" t="str">
        <f>IF('att Data Entry'!H61="","",IF(M58="",T58,U58))</f>
        <v/>
      </c>
      <c r="R58" s="441" t="str">
        <f>IF('att Data Entry'!H61="","",IF(M58="",V58,W58))</f>
        <v/>
      </c>
      <c r="T58" s="40" t="str">
        <f>IF('att Data Entry'!H61="","",IF($E58+$F58+$I58+$J58=4,"TRUE",IF($E58+$F58+$I58+$J58=8,"TRUE","FALSE")))</f>
        <v/>
      </c>
      <c r="U58" s="40" t="str">
        <f>IF('att Data Entry'!K61="","",IF($E58+$F58+$I58+$J58+$M58+$N58=6,"TRUE",IF($E58+$F58+$I58+$J58+$M58+$N58=12,"TRUE","FALSE")))</f>
        <v/>
      </c>
      <c r="V58" s="40" t="str">
        <f>IF('att Data Entry'!H61="","",IF($E58+$F58+$I58+$J58+$D58=5,"TRUE",IF($E58+$F58+$I58+$J58+$D58=10,"TRUE","FALSE")))</f>
        <v/>
      </c>
      <c r="W58" s="40" t="str">
        <f>IF('att Data Entry'!K61="","",IF($E58+$F58+$I58+$J58+$M58+$N58+$D58=7,"TRUE",IF($E58+$F58+$I58+$J58+$M58+$N58+$D58=14,"TRUE","FALSE")))</f>
        <v/>
      </c>
      <c r="X58" s="40" t="str">
        <f>IF('att Data Entry'!D61="","",IF('att Calculations'!D58+'att Calculations'!E58+'att Calculations'!F58=3, "TRUE",IF('att Calculations'!D58+'att Calculations'!E58+'att Calculations'!F58=6,"TRUE","FALSE")))</f>
        <v/>
      </c>
      <c r="Y58" s="40" t="str">
        <f>IF('att Data Entry'!$D61="","",IF($D58+I58+J58=3, "TRUE",IF($D58+I58+J58=6,"TRUE","FALSE")))</f>
        <v/>
      </c>
      <c r="Z58" s="13" t="str">
        <f>IF('att Data Entry'!K61="","",IF('att Data Entry'!$D61="","",IF($D58+M58+N58=3, "TRUE",IF($D58+M58+N58=6,"TRUE","FALSE"))))</f>
        <v/>
      </c>
      <c r="AA58" s="443" t="str">
        <f t="shared" si="3"/>
        <v/>
      </c>
      <c r="AB58" s="443" t="str">
        <f t="shared" si="4"/>
        <v/>
      </c>
      <c r="AC58" s="443" t="str">
        <f t="shared" si="5"/>
        <v/>
      </c>
      <c r="AD58" s="443" t="str">
        <f t="shared" si="6"/>
        <v/>
      </c>
      <c r="AE58" s="443" t="str">
        <f t="shared" si="7"/>
        <v/>
      </c>
      <c r="AF58" s="443" t="str">
        <f t="shared" si="11"/>
        <v/>
      </c>
      <c r="AG58" s="443" t="str">
        <f t="shared" si="8"/>
        <v/>
      </c>
      <c r="AH58" s="443" t="str">
        <f t="shared" si="9"/>
        <v/>
      </c>
      <c r="AI58" s="443" t="str">
        <f t="shared" si="10"/>
        <v/>
      </c>
    </row>
    <row r="59" spans="3:35" x14ac:dyDescent="0.25">
      <c r="C59" s="158">
        <v>49</v>
      </c>
      <c r="D59" s="440" t="str">
        <f>IF('att Data Entry'!D62="","",IF('att Data Entry'!D62='att Data Entry'!$D$8,'att Data Entry'!$C$8,'att Data Entry'!$C$9))</f>
        <v/>
      </c>
      <c r="E59" s="40" t="str">
        <f>IF('att Data Entry'!E62="","",IF('att Data Entry'!E62='att Data Entry'!$D$8,'att Data Entry'!$C$8,'att Data Entry'!$C$9))</f>
        <v/>
      </c>
      <c r="F59" s="162" t="str">
        <f>IF('att Data Entry'!F62="","",IF('att Data Entry'!F62='att Data Entry'!$D$8,'att Data Entry'!$C$8,'att Data Entry'!$C$9))</f>
        <v/>
      </c>
      <c r="G59" s="40" t="str">
        <f t="shared" si="0"/>
        <v/>
      </c>
      <c r="H59" s="162" t="str">
        <f>IF('att Data Entry'!$D62="","",IF(X59="TRUE",1,0))</f>
        <v/>
      </c>
      <c r="I59" s="40" t="str">
        <f>IF('att Data Entry'!I62="","",IF('att Data Entry'!H62='att Data Entry'!$D$8,'att Data Entry'!$C$8,'att Data Entry'!$C$9))</f>
        <v/>
      </c>
      <c r="J59" s="162" t="str">
        <f>IF('att Data Entry'!H62="","",IF('att Data Entry'!I62='att Data Entry'!$D$8,'att Data Entry'!$C$8,'att Data Entry'!$C$9))</f>
        <v/>
      </c>
      <c r="K59" s="40" t="str">
        <f t="shared" si="1"/>
        <v/>
      </c>
      <c r="L59" s="162" t="str">
        <f>IF('att Data Entry'!$D62="","",IF(Y59="TRUE",1,0))</f>
        <v/>
      </c>
      <c r="M59" s="40" t="str">
        <f>IF('att Data Entry'!L62="","",IF('att Data Entry'!K62='att Data Entry'!$D$8,'att Data Entry'!$C$8,'att Data Entry'!$C$9))</f>
        <v/>
      </c>
      <c r="N59" s="40" t="str">
        <f>IF('att Data Entry'!K62="","",IF('att Data Entry'!L62='att Data Entry'!$D$8,'att Data Entry'!$C$8,'att Data Entry'!$C$9))</f>
        <v/>
      </c>
      <c r="O59" s="40" t="str">
        <f t="shared" si="2"/>
        <v/>
      </c>
      <c r="P59" s="162" t="str">
        <f>IF('att Data Entry'!$D62="","",IF(Z59="TRUE",1,0))</f>
        <v/>
      </c>
      <c r="Q59" s="441" t="str">
        <f>IF('att Data Entry'!H62="","",IF(M59="",T59,U59))</f>
        <v/>
      </c>
      <c r="R59" s="441" t="str">
        <f>IF('att Data Entry'!H62="","",IF(M59="",V59,W59))</f>
        <v/>
      </c>
      <c r="T59" s="40" t="str">
        <f>IF('att Data Entry'!H62="","",IF($E59+$F59+$I59+$J59=4,"TRUE",IF($E59+$F59+$I59+$J59=8,"TRUE","FALSE")))</f>
        <v/>
      </c>
      <c r="U59" s="40" t="str">
        <f>IF('att Data Entry'!K62="","",IF($E59+$F59+$I59+$J59+$M59+$N59=6,"TRUE",IF($E59+$F59+$I59+$J59+$M59+$N59=12,"TRUE","FALSE")))</f>
        <v/>
      </c>
      <c r="V59" s="40" t="str">
        <f>IF('att Data Entry'!H62="","",IF($E59+$F59+$I59+$J59+$D59=5,"TRUE",IF($E59+$F59+$I59+$J59+$D59=10,"TRUE","FALSE")))</f>
        <v/>
      </c>
      <c r="W59" s="40" t="str">
        <f>IF('att Data Entry'!K62="","",IF($E59+$F59+$I59+$J59+$M59+$N59+$D59=7,"TRUE",IF($E59+$F59+$I59+$J59+$M59+$N59+$D59=14,"TRUE","FALSE")))</f>
        <v/>
      </c>
      <c r="X59" s="40" t="str">
        <f>IF('att Data Entry'!D62="","",IF('att Calculations'!D59+'att Calculations'!E59+'att Calculations'!F59=3, "TRUE",IF('att Calculations'!D59+'att Calculations'!E59+'att Calculations'!F59=6,"TRUE","FALSE")))</f>
        <v/>
      </c>
      <c r="Y59" s="40" t="str">
        <f>IF('att Data Entry'!$D62="","",IF($D59+I59+J59=3, "TRUE",IF($D59+I59+J59=6,"TRUE","FALSE")))</f>
        <v/>
      </c>
      <c r="Z59" s="13" t="str">
        <f>IF('att Data Entry'!K62="","",IF('att Data Entry'!$D62="","",IF($D59+M59+N59=3, "TRUE",IF($D59+M59+N59=6,"TRUE","FALSE"))))</f>
        <v/>
      </c>
      <c r="AA59" s="443" t="str">
        <f t="shared" si="3"/>
        <v/>
      </c>
      <c r="AB59" s="443" t="str">
        <f t="shared" si="4"/>
        <v/>
      </c>
      <c r="AC59" s="443" t="str">
        <f t="shared" si="5"/>
        <v/>
      </c>
      <c r="AD59" s="443" t="str">
        <f t="shared" si="6"/>
        <v/>
      </c>
      <c r="AE59" s="443" t="str">
        <f t="shared" si="7"/>
        <v/>
      </c>
      <c r="AF59" s="443" t="str">
        <f t="shared" si="11"/>
        <v/>
      </c>
      <c r="AG59" s="443" t="str">
        <f t="shared" si="8"/>
        <v/>
      </c>
      <c r="AH59" s="443" t="str">
        <f t="shared" si="9"/>
        <v/>
      </c>
      <c r="AI59" s="443" t="str">
        <f t="shared" si="10"/>
        <v/>
      </c>
    </row>
    <row r="60" spans="3:35" x14ac:dyDescent="0.25">
      <c r="C60" s="158">
        <v>50</v>
      </c>
      <c r="D60" s="440" t="str">
        <f>IF('att Data Entry'!D63="","",IF('att Data Entry'!D63='att Data Entry'!$D$8,'att Data Entry'!$C$8,'att Data Entry'!$C$9))</f>
        <v/>
      </c>
      <c r="E60" s="40" t="str">
        <f>IF('att Data Entry'!E63="","",IF('att Data Entry'!E63='att Data Entry'!$D$8,'att Data Entry'!$C$8,'att Data Entry'!$C$9))</f>
        <v/>
      </c>
      <c r="F60" s="162" t="str">
        <f>IF('att Data Entry'!F63="","",IF('att Data Entry'!F63='att Data Entry'!$D$8,'att Data Entry'!$C$8,'att Data Entry'!$C$9))</f>
        <v/>
      </c>
      <c r="G60" s="40" t="str">
        <f t="shared" si="0"/>
        <v/>
      </c>
      <c r="H60" s="162" t="str">
        <f>IF('att Data Entry'!$D63="","",IF(X60="TRUE",1,0))</f>
        <v/>
      </c>
      <c r="I60" s="40" t="str">
        <f>IF('att Data Entry'!I63="","",IF('att Data Entry'!H63='att Data Entry'!$D$8,'att Data Entry'!$C$8,'att Data Entry'!$C$9))</f>
        <v/>
      </c>
      <c r="J60" s="162" t="str">
        <f>IF('att Data Entry'!H63="","",IF('att Data Entry'!I63='att Data Entry'!$D$8,'att Data Entry'!$C$8,'att Data Entry'!$C$9))</f>
        <v/>
      </c>
      <c r="K60" s="40" t="str">
        <f t="shared" si="1"/>
        <v/>
      </c>
      <c r="L60" s="162" t="str">
        <f>IF('att Data Entry'!$D63="","",IF(Y60="TRUE",1,0))</f>
        <v/>
      </c>
      <c r="M60" s="40" t="str">
        <f>IF('att Data Entry'!L63="","",IF('att Data Entry'!K63='att Data Entry'!$D$8,'att Data Entry'!$C$8,'att Data Entry'!$C$9))</f>
        <v/>
      </c>
      <c r="N60" s="40" t="str">
        <f>IF('att Data Entry'!K63="","",IF('att Data Entry'!L63='att Data Entry'!$D$8,'att Data Entry'!$C$8,'att Data Entry'!$C$9))</f>
        <v/>
      </c>
      <c r="O60" s="40" t="str">
        <f t="shared" si="2"/>
        <v/>
      </c>
      <c r="P60" s="162" t="str">
        <f>IF('att Data Entry'!$D63="","",IF(Z60="TRUE",1,0))</f>
        <v/>
      </c>
      <c r="Q60" s="441" t="str">
        <f>IF('att Data Entry'!H63="","",IF(M60="",T60,U60))</f>
        <v/>
      </c>
      <c r="R60" s="441" t="str">
        <f>IF('att Data Entry'!H63="","",IF(M60="",V60,W60))</f>
        <v/>
      </c>
      <c r="T60" s="40" t="str">
        <f>IF('att Data Entry'!H63="","",IF($E60+$F60+$I60+$J60=4,"TRUE",IF($E60+$F60+$I60+$J60=8,"TRUE","FALSE")))</f>
        <v/>
      </c>
      <c r="U60" s="40" t="str">
        <f>IF('att Data Entry'!K63="","",IF($E60+$F60+$I60+$J60+$M60+$N60=6,"TRUE",IF($E60+$F60+$I60+$J60+$M60+$N60=12,"TRUE","FALSE")))</f>
        <v/>
      </c>
      <c r="V60" s="40" t="str">
        <f>IF('att Data Entry'!H63="","",IF($E60+$F60+$I60+$J60+$D60=5,"TRUE",IF($E60+$F60+$I60+$J60+$D60=10,"TRUE","FALSE")))</f>
        <v/>
      </c>
      <c r="W60" s="40" t="str">
        <f>IF('att Data Entry'!K63="","",IF($E60+$F60+$I60+$J60+$M60+$N60+$D60=7,"TRUE",IF($E60+$F60+$I60+$J60+$M60+$N60+$D60=14,"TRUE","FALSE")))</f>
        <v/>
      </c>
      <c r="X60" s="40" t="str">
        <f>IF('att Data Entry'!D63="","",IF('att Calculations'!D60+'att Calculations'!E60+'att Calculations'!F60=3, "TRUE",IF('att Calculations'!D60+'att Calculations'!E60+'att Calculations'!F60=6,"TRUE","FALSE")))</f>
        <v/>
      </c>
      <c r="Y60" s="40" t="str">
        <f>IF('att Data Entry'!$D63="","",IF($D60+I60+J60=3, "TRUE",IF($D60+I60+J60=6,"TRUE","FALSE")))</f>
        <v/>
      </c>
      <c r="Z60" s="13" t="str">
        <f>IF('att Data Entry'!K63="","",IF('att Data Entry'!$D63="","",IF($D60+M60+N60=3, "TRUE",IF($D60+M60+N60=6,"TRUE","FALSE"))))</f>
        <v/>
      </c>
      <c r="AA60" s="443" t="str">
        <f t="shared" si="3"/>
        <v/>
      </c>
      <c r="AB60" s="443" t="str">
        <f t="shared" si="4"/>
        <v/>
      </c>
      <c r="AC60" s="443" t="str">
        <f t="shared" si="5"/>
        <v/>
      </c>
      <c r="AD60" s="443" t="str">
        <f t="shared" si="6"/>
        <v/>
      </c>
      <c r="AE60" s="443" t="str">
        <f t="shared" si="7"/>
        <v/>
      </c>
      <c r="AF60" s="443" t="str">
        <f t="shared" si="11"/>
        <v/>
      </c>
      <c r="AG60" s="443" t="str">
        <f t="shared" si="8"/>
        <v/>
      </c>
      <c r="AH60" s="443" t="str">
        <f t="shared" si="9"/>
        <v/>
      </c>
      <c r="AI60" s="443" t="str">
        <f t="shared" si="10"/>
        <v/>
      </c>
    </row>
    <row r="61" spans="3:35" x14ac:dyDescent="0.25">
      <c r="C61" s="158">
        <v>51</v>
      </c>
      <c r="D61" s="440" t="str">
        <f>IF('att Data Entry'!D64="","",IF('att Data Entry'!D64='att Data Entry'!$D$8,'att Data Entry'!$C$8,'att Data Entry'!$C$9))</f>
        <v/>
      </c>
      <c r="E61" s="40" t="str">
        <f>IF('att Data Entry'!E64="","",IF('att Data Entry'!E64='att Data Entry'!$D$8,'att Data Entry'!$C$8,'att Data Entry'!$C$9))</f>
        <v/>
      </c>
      <c r="F61" s="162" t="str">
        <f>IF('att Data Entry'!F64="","",IF('att Data Entry'!F64='att Data Entry'!$D$8,'att Data Entry'!$C$8,'att Data Entry'!$C$9))</f>
        <v/>
      </c>
      <c r="G61" s="40" t="str">
        <f t="shared" si="0"/>
        <v/>
      </c>
      <c r="H61" s="162" t="str">
        <f>IF('att Data Entry'!$D64="","",IF(X61="TRUE",1,0))</f>
        <v/>
      </c>
      <c r="I61" s="40" t="str">
        <f>IF('att Data Entry'!I64="","",IF('att Data Entry'!H64='att Data Entry'!$D$8,'att Data Entry'!$C$8,'att Data Entry'!$C$9))</f>
        <v/>
      </c>
      <c r="J61" s="162" t="str">
        <f>IF('att Data Entry'!H64="","",IF('att Data Entry'!I64='att Data Entry'!$D$8,'att Data Entry'!$C$8,'att Data Entry'!$C$9))</f>
        <v/>
      </c>
      <c r="K61" s="40" t="str">
        <f t="shared" si="1"/>
        <v/>
      </c>
      <c r="L61" s="162" t="str">
        <f>IF('att Data Entry'!$D64="","",IF(Y61="TRUE",1,0))</f>
        <v/>
      </c>
      <c r="M61" s="40" t="str">
        <f>IF('att Data Entry'!L64="","",IF('att Data Entry'!K64='att Data Entry'!$D$8,'att Data Entry'!$C$8,'att Data Entry'!$C$9))</f>
        <v/>
      </c>
      <c r="N61" s="40" t="str">
        <f>IF('att Data Entry'!K64="","",IF('att Data Entry'!L64='att Data Entry'!$D$8,'att Data Entry'!$C$8,'att Data Entry'!$C$9))</f>
        <v/>
      </c>
      <c r="O61" s="40" t="str">
        <f t="shared" si="2"/>
        <v/>
      </c>
      <c r="P61" s="162" t="str">
        <f>IF('att Data Entry'!$D64="","",IF(Z61="TRUE",1,0))</f>
        <v/>
      </c>
      <c r="Q61" s="441" t="str">
        <f>IF('att Data Entry'!H64="","",IF(M61="",T61,U61))</f>
        <v/>
      </c>
      <c r="R61" s="441" t="str">
        <f>IF('att Data Entry'!H64="","",IF(M61="",V61,W61))</f>
        <v/>
      </c>
      <c r="T61" s="40" t="str">
        <f>IF('att Data Entry'!H64="","",IF($E61+$F61+$I61+$J61=4,"TRUE",IF($E61+$F61+$I61+$J61=8,"TRUE","FALSE")))</f>
        <v/>
      </c>
      <c r="U61" s="40" t="str">
        <f>IF('att Data Entry'!K64="","",IF($E61+$F61+$I61+$J61+$M61+$N61=6,"TRUE",IF($E61+$F61+$I61+$J61+$M61+$N61=12,"TRUE","FALSE")))</f>
        <v/>
      </c>
      <c r="V61" s="40" t="str">
        <f>IF('att Data Entry'!H64="","",IF($E61+$F61+$I61+$J61+$D61=5,"TRUE",IF($E61+$F61+$I61+$J61+$D61=10,"TRUE","FALSE")))</f>
        <v/>
      </c>
      <c r="W61" s="40" t="str">
        <f>IF('att Data Entry'!K64="","",IF($E61+$F61+$I61+$J61+$M61+$N61+$D61=7,"TRUE",IF($E61+$F61+$I61+$J61+$M61+$N61+$D61=14,"TRUE","FALSE")))</f>
        <v/>
      </c>
      <c r="X61" s="40" t="str">
        <f>IF('att Data Entry'!D64="","",IF('att Calculations'!D61+'att Calculations'!E61+'att Calculations'!F61=3, "TRUE",IF('att Calculations'!D61+'att Calculations'!E61+'att Calculations'!F61=6,"TRUE","FALSE")))</f>
        <v/>
      </c>
      <c r="Y61" s="40" t="str">
        <f>IF('att Data Entry'!$D64="","",IF($D61+I61+J61=3, "TRUE",IF($D61+I61+J61=6,"TRUE","FALSE")))</f>
        <v/>
      </c>
      <c r="Z61" s="13" t="str">
        <f>IF('att Data Entry'!K64="","",IF('att Data Entry'!$D64="","",IF($D61+M61+N61=3, "TRUE",IF($D61+M61+N61=6,"TRUE","FALSE"))))</f>
        <v/>
      </c>
      <c r="AA61" s="443" t="str">
        <f t="shared" si="3"/>
        <v/>
      </c>
      <c r="AB61" s="443" t="str">
        <f t="shared" si="4"/>
        <v/>
      </c>
      <c r="AC61" s="443" t="str">
        <f t="shared" si="5"/>
        <v/>
      </c>
      <c r="AD61" s="443" t="str">
        <f t="shared" si="6"/>
        <v/>
      </c>
      <c r="AE61" s="443" t="str">
        <f t="shared" si="7"/>
        <v/>
      </c>
      <c r="AF61" s="443" t="str">
        <f t="shared" si="11"/>
        <v/>
      </c>
      <c r="AG61" s="443" t="str">
        <f t="shared" si="8"/>
        <v/>
      </c>
      <c r="AH61" s="443" t="str">
        <f t="shared" si="9"/>
        <v/>
      </c>
      <c r="AI61" s="443" t="str">
        <f t="shared" si="10"/>
        <v/>
      </c>
    </row>
    <row r="62" spans="3:35" x14ac:dyDescent="0.25">
      <c r="C62" s="158">
        <v>52</v>
      </c>
      <c r="D62" s="440" t="str">
        <f>IF('att Data Entry'!D65="","",IF('att Data Entry'!D65='att Data Entry'!$D$8,'att Data Entry'!$C$8,'att Data Entry'!$C$9))</f>
        <v/>
      </c>
      <c r="E62" s="40" t="str">
        <f>IF('att Data Entry'!E65="","",IF('att Data Entry'!E65='att Data Entry'!$D$8,'att Data Entry'!$C$8,'att Data Entry'!$C$9))</f>
        <v/>
      </c>
      <c r="F62" s="162" t="str">
        <f>IF('att Data Entry'!F65="","",IF('att Data Entry'!F65='att Data Entry'!$D$8,'att Data Entry'!$C$8,'att Data Entry'!$C$9))</f>
        <v/>
      </c>
      <c r="G62" s="40" t="str">
        <f t="shared" si="0"/>
        <v/>
      </c>
      <c r="H62" s="162" t="str">
        <f>IF('att Data Entry'!$D65="","",IF(X62="TRUE",1,0))</f>
        <v/>
      </c>
      <c r="I62" s="40" t="str">
        <f>IF('att Data Entry'!I65="","",IF('att Data Entry'!H65='att Data Entry'!$D$8,'att Data Entry'!$C$8,'att Data Entry'!$C$9))</f>
        <v/>
      </c>
      <c r="J62" s="162" t="str">
        <f>IF('att Data Entry'!H65="","",IF('att Data Entry'!I65='att Data Entry'!$D$8,'att Data Entry'!$C$8,'att Data Entry'!$C$9))</f>
        <v/>
      </c>
      <c r="K62" s="40" t="str">
        <f t="shared" si="1"/>
        <v/>
      </c>
      <c r="L62" s="162" t="str">
        <f>IF('att Data Entry'!$D65="","",IF(Y62="TRUE",1,0))</f>
        <v/>
      </c>
      <c r="M62" s="40" t="str">
        <f>IF('att Data Entry'!L65="","",IF('att Data Entry'!K65='att Data Entry'!$D$8,'att Data Entry'!$C$8,'att Data Entry'!$C$9))</f>
        <v/>
      </c>
      <c r="N62" s="40" t="str">
        <f>IF('att Data Entry'!K65="","",IF('att Data Entry'!L65='att Data Entry'!$D$8,'att Data Entry'!$C$8,'att Data Entry'!$C$9))</f>
        <v/>
      </c>
      <c r="O62" s="40" t="str">
        <f t="shared" si="2"/>
        <v/>
      </c>
      <c r="P62" s="162" t="str">
        <f>IF('att Data Entry'!$D65="","",IF(Z62="TRUE",1,0))</f>
        <v/>
      </c>
      <c r="Q62" s="441" t="str">
        <f>IF('att Data Entry'!H65="","",IF(M62="",T62,U62))</f>
        <v/>
      </c>
      <c r="R62" s="441" t="str">
        <f>IF('att Data Entry'!H65="","",IF(M62="",V62,W62))</f>
        <v/>
      </c>
      <c r="T62" s="40" t="str">
        <f>IF('att Data Entry'!H65="","",IF($E62+$F62+$I62+$J62=4,"TRUE",IF($E62+$F62+$I62+$J62=8,"TRUE","FALSE")))</f>
        <v/>
      </c>
      <c r="U62" s="40" t="str">
        <f>IF('att Data Entry'!K65="","",IF($E62+$F62+$I62+$J62+$M62+$N62=6,"TRUE",IF($E62+$F62+$I62+$J62+$M62+$N62=12,"TRUE","FALSE")))</f>
        <v/>
      </c>
      <c r="V62" s="40" t="str">
        <f>IF('att Data Entry'!H65="","",IF($E62+$F62+$I62+$J62+$D62=5,"TRUE",IF($E62+$F62+$I62+$J62+$D62=10,"TRUE","FALSE")))</f>
        <v/>
      </c>
      <c r="W62" s="40" t="str">
        <f>IF('att Data Entry'!K65="","",IF($E62+$F62+$I62+$J62+$M62+$N62+$D62=7,"TRUE",IF($E62+$F62+$I62+$J62+$M62+$N62+$D62=14,"TRUE","FALSE")))</f>
        <v/>
      </c>
      <c r="X62" s="40" t="str">
        <f>IF('att Data Entry'!D65="","",IF('att Calculations'!D62+'att Calculations'!E62+'att Calculations'!F62=3, "TRUE",IF('att Calculations'!D62+'att Calculations'!E62+'att Calculations'!F62=6,"TRUE","FALSE")))</f>
        <v/>
      </c>
      <c r="Y62" s="40" t="str">
        <f>IF('att Data Entry'!$D65="","",IF($D62+I62+J62=3, "TRUE",IF($D62+I62+J62=6,"TRUE","FALSE")))</f>
        <v/>
      </c>
      <c r="Z62" s="13" t="str">
        <f>IF('att Data Entry'!K65="","",IF('att Data Entry'!$D65="","",IF($D62+M62+N62=3, "TRUE",IF($D62+M62+N62=6,"TRUE","FALSE"))))</f>
        <v/>
      </c>
      <c r="AA62" s="443" t="str">
        <f t="shared" si="3"/>
        <v/>
      </c>
      <c r="AB62" s="443" t="str">
        <f t="shared" si="4"/>
        <v/>
      </c>
      <c r="AC62" s="443" t="str">
        <f t="shared" si="5"/>
        <v/>
      </c>
      <c r="AD62" s="443" t="str">
        <f t="shared" si="6"/>
        <v/>
      </c>
      <c r="AE62" s="443" t="str">
        <f t="shared" si="7"/>
        <v/>
      </c>
      <c r="AF62" s="443" t="str">
        <f t="shared" si="11"/>
        <v/>
      </c>
      <c r="AG62" s="443" t="str">
        <f t="shared" si="8"/>
        <v/>
      </c>
      <c r="AH62" s="443" t="str">
        <f t="shared" si="9"/>
        <v/>
      </c>
      <c r="AI62" s="443" t="str">
        <f t="shared" si="10"/>
        <v/>
      </c>
    </row>
    <row r="63" spans="3:35" x14ac:dyDescent="0.25">
      <c r="C63" s="158">
        <v>53</v>
      </c>
      <c r="D63" s="440" t="str">
        <f>IF('att Data Entry'!D66="","",IF('att Data Entry'!D66='att Data Entry'!$D$8,'att Data Entry'!$C$8,'att Data Entry'!$C$9))</f>
        <v/>
      </c>
      <c r="E63" s="40" t="str">
        <f>IF('att Data Entry'!E66="","",IF('att Data Entry'!E66='att Data Entry'!$D$8,'att Data Entry'!$C$8,'att Data Entry'!$C$9))</f>
        <v/>
      </c>
      <c r="F63" s="162" t="str">
        <f>IF('att Data Entry'!F66="","",IF('att Data Entry'!F66='att Data Entry'!$D$8,'att Data Entry'!$C$8,'att Data Entry'!$C$9))</f>
        <v/>
      </c>
      <c r="G63" s="40" t="str">
        <f t="shared" si="0"/>
        <v/>
      </c>
      <c r="H63" s="162" t="str">
        <f>IF('att Data Entry'!$D66="","",IF(X63="TRUE",1,0))</f>
        <v/>
      </c>
      <c r="I63" s="40" t="str">
        <f>IF('att Data Entry'!I66="","",IF('att Data Entry'!H66='att Data Entry'!$D$8,'att Data Entry'!$C$8,'att Data Entry'!$C$9))</f>
        <v/>
      </c>
      <c r="J63" s="162" t="str">
        <f>IF('att Data Entry'!H66="","",IF('att Data Entry'!I66='att Data Entry'!$D$8,'att Data Entry'!$C$8,'att Data Entry'!$C$9))</f>
        <v/>
      </c>
      <c r="K63" s="40" t="str">
        <f t="shared" si="1"/>
        <v/>
      </c>
      <c r="L63" s="162" t="str">
        <f>IF('att Data Entry'!$D66="","",IF(Y63="TRUE",1,0))</f>
        <v/>
      </c>
      <c r="M63" s="40" t="str">
        <f>IF('att Data Entry'!L66="","",IF('att Data Entry'!K66='att Data Entry'!$D$8,'att Data Entry'!$C$8,'att Data Entry'!$C$9))</f>
        <v/>
      </c>
      <c r="N63" s="40" t="str">
        <f>IF('att Data Entry'!K66="","",IF('att Data Entry'!L66='att Data Entry'!$D$8,'att Data Entry'!$C$8,'att Data Entry'!$C$9))</f>
        <v/>
      </c>
      <c r="O63" s="40" t="str">
        <f t="shared" si="2"/>
        <v/>
      </c>
      <c r="P63" s="162" t="str">
        <f>IF('att Data Entry'!$D66="","",IF(Z63="TRUE",1,0))</f>
        <v/>
      </c>
      <c r="Q63" s="441" t="str">
        <f>IF('att Data Entry'!H66="","",IF(M63="",T63,U63))</f>
        <v/>
      </c>
      <c r="R63" s="441" t="str">
        <f>IF('att Data Entry'!H66="","",IF(M63="",V63,W63))</f>
        <v/>
      </c>
      <c r="T63" s="40" t="str">
        <f>IF('att Data Entry'!H66="","",IF($E63+$F63+$I63+$J63=4,"TRUE",IF($E63+$F63+$I63+$J63=8,"TRUE","FALSE")))</f>
        <v/>
      </c>
      <c r="U63" s="40" t="str">
        <f>IF('att Data Entry'!K66="","",IF($E63+$F63+$I63+$J63+$M63+$N63=6,"TRUE",IF($E63+$F63+$I63+$J63+$M63+$N63=12,"TRUE","FALSE")))</f>
        <v/>
      </c>
      <c r="V63" s="40" t="str">
        <f>IF('att Data Entry'!H66="","",IF($E63+$F63+$I63+$J63+$D63=5,"TRUE",IF($E63+$F63+$I63+$J63+$D63=10,"TRUE","FALSE")))</f>
        <v/>
      </c>
      <c r="W63" s="40" t="str">
        <f>IF('att Data Entry'!K66="","",IF($E63+$F63+$I63+$J63+$M63+$N63+$D63=7,"TRUE",IF($E63+$F63+$I63+$J63+$M63+$N63+$D63=14,"TRUE","FALSE")))</f>
        <v/>
      </c>
      <c r="X63" s="40" t="str">
        <f>IF('att Data Entry'!D66="","",IF('att Calculations'!D63+'att Calculations'!E63+'att Calculations'!F63=3, "TRUE",IF('att Calculations'!D63+'att Calculations'!E63+'att Calculations'!F63=6,"TRUE","FALSE")))</f>
        <v/>
      </c>
      <c r="Y63" s="40" t="str">
        <f>IF('att Data Entry'!$D66="","",IF($D63+I63+J63=3, "TRUE",IF($D63+I63+J63=6,"TRUE","FALSE")))</f>
        <v/>
      </c>
      <c r="Z63" s="13" t="str">
        <f>IF('att Data Entry'!K66="","",IF('att Data Entry'!$D66="","",IF($D63+M63+N63=3, "TRUE",IF($D63+M63+N63=6,"TRUE","FALSE"))))</f>
        <v/>
      </c>
      <c r="AA63" s="443" t="str">
        <f t="shared" si="3"/>
        <v/>
      </c>
      <c r="AB63" s="443" t="str">
        <f t="shared" si="4"/>
        <v/>
      </c>
      <c r="AC63" s="443" t="str">
        <f t="shared" si="5"/>
        <v/>
      </c>
      <c r="AD63" s="443" t="str">
        <f t="shared" si="6"/>
        <v/>
      </c>
      <c r="AE63" s="443" t="str">
        <f t="shared" si="7"/>
        <v/>
      </c>
      <c r="AF63" s="443" t="str">
        <f t="shared" si="11"/>
        <v/>
      </c>
      <c r="AG63" s="443" t="str">
        <f t="shared" si="8"/>
        <v/>
      </c>
      <c r="AH63" s="443" t="str">
        <f t="shared" si="9"/>
        <v/>
      </c>
      <c r="AI63" s="443" t="str">
        <f t="shared" si="10"/>
        <v/>
      </c>
    </row>
    <row r="64" spans="3:35" x14ac:dyDescent="0.25">
      <c r="C64" s="158">
        <v>54</v>
      </c>
      <c r="D64" s="440" t="str">
        <f>IF('att Data Entry'!D67="","",IF('att Data Entry'!D67='att Data Entry'!$D$8,'att Data Entry'!$C$8,'att Data Entry'!$C$9))</f>
        <v/>
      </c>
      <c r="E64" s="40" t="str">
        <f>IF('att Data Entry'!E67="","",IF('att Data Entry'!E67='att Data Entry'!$D$8,'att Data Entry'!$C$8,'att Data Entry'!$C$9))</f>
        <v/>
      </c>
      <c r="F64" s="162" t="str">
        <f>IF('att Data Entry'!F67="","",IF('att Data Entry'!F67='att Data Entry'!$D$8,'att Data Entry'!$C$8,'att Data Entry'!$C$9))</f>
        <v/>
      </c>
      <c r="G64" s="40" t="str">
        <f t="shared" si="0"/>
        <v/>
      </c>
      <c r="H64" s="162" t="str">
        <f>IF('att Data Entry'!$D67="","",IF(X64="TRUE",1,0))</f>
        <v/>
      </c>
      <c r="I64" s="40" t="str">
        <f>IF('att Data Entry'!I67="","",IF('att Data Entry'!H67='att Data Entry'!$D$8,'att Data Entry'!$C$8,'att Data Entry'!$C$9))</f>
        <v/>
      </c>
      <c r="J64" s="162" t="str">
        <f>IF('att Data Entry'!H67="","",IF('att Data Entry'!I67='att Data Entry'!$D$8,'att Data Entry'!$C$8,'att Data Entry'!$C$9))</f>
        <v/>
      </c>
      <c r="K64" s="40" t="str">
        <f t="shared" si="1"/>
        <v/>
      </c>
      <c r="L64" s="162" t="str">
        <f>IF('att Data Entry'!$D67="","",IF(Y64="TRUE",1,0))</f>
        <v/>
      </c>
      <c r="M64" s="40" t="str">
        <f>IF('att Data Entry'!L67="","",IF('att Data Entry'!K67='att Data Entry'!$D$8,'att Data Entry'!$C$8,'att Data Entry'!$C$9))</f>
        <v/>
      </c>
      <c r="N64" s="40" t="str">
        <f>IF('att Data Entry'!K67="","",IF('att Data Entry'!L67='att Data Entry'!$D$8,'att Data Entry'!$C$8,'att Data Entry'!$C$9))</f>
        <v/>
      </c>
      <c r="O64" s="40" t="str">
        <f t="shared" si="2"/>
        <v/>
      </c>
      <c r="P64" s="162" t="str">
        <f>IF('att Data Entry'!$D67="","",IF(Z64="TRUE",1,0))</f>
        <v/>
      </c>
      <c r="Q64" s="441" t="str">
        <f>IF('att Data Entry'!H67="","",IF(M64="",T64,U64))</f>
        <v/>
      </c>
      <c r="R64" s="441" t="str">
        <f>IF('att Data Entry'!H67="","",IF(M64="",V64,W64))</f>
        <v/>
      </c>
      <c r="T64" s="40" t="str">
        <f>IF('att Data Entry'!H67="","",IF($E64+$F64+$I64+$J64=4,"TRUE",IF($E64+$F64+$I64+$J64=8,"TRUE","FALSE")))</f>
        <v/>
      </c>
      <c r="U64" s="40" t="str">
        <f>IF('att Data Entry'!K67="","",IF($E64+$F64+$I64+$J64+$M64+$N64=6,"TRUE",IF($E64+$F64+$I64+$J64+$M64+$N64=12,"TRUE","FALSE")))</f>
        <v/>
      </c>
      <c r="V64" s="40" t="str">
        <f>IF('att Data Entry'!H67="","",IF($E64+$F64+$I64+$J64+$D64=5,"TRUE",IF($E64+$F64+$I64+$J64+$D64=10,"TRUE","FALSE")))</f>
        <v/>
      </c>
      <c r="W64" s="40" t="str">
        <f>IF('att Data Entry'!K67="","",IF($E64+$F64+$I64+$J64+$M64+$N64+$D64=7,"TRUE",IF($E64+$F64+$I64+$J64+$M64+$N64+$D64=14,"TRUE","FALSE")))</f>
        <v/>
      </c>
      <c r="X64" s="40" t="str">
        <f>IF('att Data Entry'!D67="","",IF('att Calculations'!D64+'att Calculations'!E64+'att Calculations'!F64=3, "TRUE",IF('att Calculations'!D64+'att Calculations'!E64+'att Calculations'!F64=6,"TRUE","FALSE")))</f>
        <v/>
      </c>
      <c r="Y64" s="40" t="str">
        <f>IF('att Data Entry'!$D67="","",IF($D64+I64+J64=3, "TRUE",IF($D64+I64+J64=6,"TRUE","FALSE")))</f>
        <v/>
      </c>
      <c r="Z64" s="13" t="str">
        <f>IF('att Data Entry'!K67="","",IF('att Data Entry'!$D67="","",IF($D64+M64+N64=3, "TRUE",IF($D64+M64+N64=6,"TRUE","FALSE"))))</f>
        <v/>
      </c>
      <c r="AA64" s="443" t="str">
        <f t="shared" si="3"/>
        <v/>
      </c>
      <c r="AB64" s="443" t="str">
        <f t="shared" si="4"/>
        <v/>
      </c>
      <c r="AC64" s="443" t="str">
        <f t="shared" si="5"/>
        <v/>
      </c>
      <c r="AD64" s="443" t="str">
        <f t="shared" si="6"/>
        <v/>
      </c>
      <c r="AE64" s="443" t="str">
        <f t="shared" si="7"/>
        <v/>
      </c>
      <c r="AF64" s="443" t="str">
        <f t="shared" si="11"/>
        <v/>
      </c>
      <c r="AG64" s="443" t="str">
        <f t="shared" si="8"/>
        <v/>
      </c>
      <c r="AH64" s="443" t="str">
        <f t="shared" si="9"/>
        <v/>
      </c>
      <c r="AI64" s="443" t="str">
        <f t="shared" si="10"/>
        <v/>
      </c>
    </row>
    <row r="65" spans="3:35" x14ac:dyDescent="0.25">
      <c r="C65" s="158">
        <v>55</v>
      </c>
      <c r="D65" s="440" t="str">
        <f>IF('att Data Entry'!D68="","",IF('att Data Entry'!D68='att Data Entry'!$D$8,'att Data Entry'!$C$8,'att Data Entry'!$C$9))</f>
        <v/>
      </c>
      <c r="E65" s="40" t="str">
        <f>IF('att Data Entry'!E68="","",IF('att Data Entry'!E68='att Data Entry'!$D$8,'att Data Entry'!$C$8,'att Data Entry'!$C$9))</f>
        <v/>
      </c>
      <c r="F65" s="162" t="str">
        <f>IF('att Data Entry'!F68="","",IF('att Data Entry'!F68='att Data Entry'!$D$8,'att Data Entry'!$C$8,'att Data Entry'!$C$9))</f>
        <v/>
      </c>
      <c r="G65" s="40" t="str">
        <f t="shared" si="0"/>
        <v/>
      </c>
      <c r="H65" s="162" t="str">
        <f>IF('att Data Entry'!$D68="","",IF(X65="TRUE",1,0))</f>
        <v/>
      </c>
      <c r="I65" s="40" t="str">
        <f>IF('att Data Entry'!I68="","",IF('att Data Entry'!H68='att Data Entry'!$D$8,'att Data Entry'!$C$8,'att Data Entry'!$C$9))</f>
        <v/>
      </c>
      <c r="J65" s="162" t="str">
        <f>IF('att Data Entry'!H68="","",IF('att Data Entry'!I68='att Data Entry'!$D$8,'att Data Entry'!$C$8,'att Data Entry'!$C$9))</f>
        <v/>
      </c>
      <c r="K65" s="40" t="str">
        <f t="shared" si="1"/>
        <v/>
      </c>
      <c r="L65" s="162" t="str">
        <f>IF('att Data Entry'!$D68="","",IF(Y65="TRUE",1,0))</f>
        <v/>
      </c>
      <c r="M65" s="40" t="str">
        <f>IF('att Data Entry'!L68="","",IF('att Data Entry'!K68='att Data Entry'!$D$8,'att Data Entry'!$C$8,'att Data Entry'!$C$9))</f>
        <v/>
      </c>
      <c r="N65" s="40" t="str">
        <f>IF('att Data Entry'!K68="","",IF('att Data Entry'!L68='att Data Entry'!$D$8,'att Data Entry'!$C$8,'att Data Entry'!$C$9))</f>
        <v/>
      </c>
      <c r="O65" s="40" t="str">
        <f t="shared" si="2"/>
        <v/>
      </c>
      <c r="P65" s="162" t="str">
        <f>IF('att Data Entry'!$D68="","",IF(Z65="TRUE",1,0))</f>
        <v/>
      </c>
      <c r="Q65" s="441" t="str">
        <f>IF('att Data Entry'!H68="","",IF(M65="",T65,U65))</f>
        <v/>
      </c>
      <c r="R65" s="441" t="str">
        <f>IF('att Data Entry'!H68="","",IF(M65="",V65,W65))</f>
        <v/>
      </c>
      <c r="T65" s="40" t="str">
        <f>IF('att Data Entry'!H68="","",IF($E65+$F65+$I65+$J65=4,"TRUE",IF($E65+$F65+$I65+$J65=8,"TRUE","FALSE")))</f>
        <v/>
      </c>
      <c r="U65" s="40" t="str">
        <f>IF('att Data Entry'!K68="","",IF($E65+$F65+$I65+$J65+$M65+$N65=6,"TRUE",IF($E65+$F65+$I65+$J65+$M65+$N65=12,"TRUE","FALSE")))</f>
        <v/>
      </c>
      <c r="V65" s="40" t="str">
        <f>IF('att Data Entry'!H68="","",IF($E65+$F65+$I65+$J65+$D65=5,"TRUE",IF($E65+$F65+$I65+$J65+$D65=10,"TRUE","FALSE")))</f>
        <v/>
      </c>
      <c r="W65" s="40" t="str">
        <f>IF('att Data Entry'!K68="","",IF($E65+$F65+$I65+$J65+$M65+$N65+$D65=7,"TRUE",IF($E65+$F65+$I65+$J65+$M65+$N65+$D65=14,"TRUE","FALSE")))</f>
        <v/>
      </c>
      <c r="X65" s="40" t="str">
        <f>IF('att Data Entry'!D68="","",IF('att Calculations'!D65+'att Calculations'!E65+'att Calculations'!F65=3, "TRUE",IF('att Calculations'!D65+'att Calculations'!E65+'att Calculations'!F65=6,"TRUE","FALSE")))</f>
        <v/>
      </c>
      <c r="Y65" s="40" t="str">
        <f>IF('att Data Entry'!$D68="","",IF($D65+I65+J65=3, "TRUE",IF($D65+I65+J65=6,"TRUE","FALSE")))</f>
        <v/>
      </c>
      <c r="Z65" s="13" t="str">
        <f>IF('att Data Entry'!K68="","",IF('att Data Entry'!$D68="","",IF($D65+M65+N65=3, "TRUE",IF($D65+M65+N65=6,"TRUE","FALSE"))))</f>
        <v/>
      </c>
      <c r="AA65" s="443" t="str">
        <f t="shared" si="3"/>
        <v/>
      </c>
      <c r="AB65" s="443" t="str">
        <f t="shared" si="4"/>
        <v/>
      </c>
      <c r="AC65" s="443" t="str">
        <f t="shared" si="5"/>
        <v/>
      </c>
      <c r="AD65" s="443" t="str">
        <f t="shared" si="6"/>
        <v/>
      </c>
      <c r="AE65" s="443" t="str">
        <f t="shared" si="7"/>
        <v/>
      </c>
      <c r="AF65" s="443" t="str">
        <f t="shared" si="11"/>
        <v/>
      </c>
      <c r="AG65" s="443" t="str">
        <f t="shared" si="8"/>
        <v/>
      </c>
      <c r="AH65" s="443" t="str">
        <f t="shared" si="9"/>
        <v/>
      </c>
      <c r="AI65" s="443" t="str">
        <f t="shared" si="10"/>
        <v/>
      </c>
    </row>
    <row r="66" spans="3:35" x14ac:dyDescent="0.25">
      <c r="C66" s="158">
        <v>56</v>
      </c>
      <c r="D66" s="440" t="str">
        <f>IF('att Data Entry'!D69="","",IF('att Data Entry'!D69='att Data Entry'!$D$8,'att Data Entry'!$C$8,'att Data Entry'!$C$9))</f>
        <v/>
      </c>
      <c r="E66" s="40" t="str">
        <f>IF('att Data Entry'!E69="","",IF('att Data Entry'!E69='att Data Entry'!$D$8,'att Data Entry'!$C$8,'att Data Entry'!$C$9))</f>
        <v/>
      </c>
      <c r="F66" s="162" t="str">
        <f>IF('att Data Entry'!F69="","",IF('att Data Entry'!F69='att Data Entry'!$D$8,'att Data Entry'!$C$8,'att Data Entry'!$C$9))</f>
        <v/>
      </c>
      <c r="G66" s="40" t="str">
        <f t="shared" si="0"/>
        <v/>
      </c>
      <c r="H66" s="162" t="str">
        <f>IF('att Data Entry'!$D69="","",IF(X66="TRUE",1,0))</f>
        <v/>
      </c>
      <c r="I66" s="40" t="str">
        <f>IF('att Data Entry'!I69="","",IF('att Data Entry'!H69='att Data Entry'!$D$8,'att Data Entry'!$C$8,'att Data Entry'!$C$9))</f>
        <v/>
      </c>
      <c r="J66" s="162" t="str">
        <f>IF('att Data Entry'!H69="","",IF('att Data Entry'!I69='att Data Entry'!$D$8,'att Data Entry'!$C$8,'att Data Entry'!$C$9))</f>
        <v/>
      </c>
      <c r="K66" s="40" t="str">
        <f t="shared" si="1"/>
        <v/>
      </c>
      <c r="L66" s="162" t="str">
        <f>IF('att Data Entry'!$D69="","",IF(Y66="TRUE",1,0))</f>
        <v/>
      </c>
      <c r="M66" s="40" t="str">
        <f>IF('att Data Entry'!L69="","",IF('att Data Entry'!K69='att Data Entry'!$D$8,'att Data Entry'!$C$8,'att Data Entry'!$C$9))</f>
        <v/>
      </c>
      <c r="N66" s="40" t="str">
        <f>IF('att Data Entry'!K69="","",IF('att Data Entry'!L69='att Data Entry'!$D$8,'att Data Entry'!$C$8,'att Data Entry'!$C$9))</f>
        <v/>
      </c>
      <c r="O66" s="40" t="str">
        <f t="shared" si="2"/>
        <v/>
      </c>
      <c r="P66" s="162" t="str">
        <f>IF('att Data Entry'!$D69="","",IF(Z66="TRUE",1,0))</f>
        <v/>
      </c>
      <c r="Q66" s="441" t="str">
        <f>IF('att Data Entry'!H69="","",IF(M66="",T66,U66))</f>
        <v/>
      </c>
      <c r="R66" s="441" t="str">
        <f>IF('att Data Entry'!H69="","",IF(M66="",V66,W66))</f>
        <v/>
      </c>
      <c r="T66" s="40" t="str">
        <f>IF('att Data Entry'!H69="","",IF($E66+$F66+$I66+$J66=4,"TRUE",IF($E66+$F66+$I66+$J66=8,"TRUE","FALSE")))</f>
        <v/>
      </c>
      <c r="U66" s="40" t="str">
        <f>IF('att Data Entry'!K69="","",IF($E66+$F66+$I66+$J66+$M66+$N66=6,"TRUE",IF($E66+$F66+$I66+$J66+$M66+$N66=12,"TRUE","FALSE")))</f>
        <v/>
      </c>
      <c r="V66" s="40" t="str">
        <f>IF('att Data Entry'!H69="","",IF($E66+$F66+$I66+$J66+$D66=5,"TRUE",IF($E66+$F66+$I66+$J66+$D66=10,"TRUE","FALSE")))</f>
        <v/>
      </c>
      <c r="W66" s="40" t="str">
        <f>IF('att Data Entry'!K69="","",IF($E66+$F66+$I66+$J66+$M66+$N66+$D66=7,"TRUE",IF($E66+$F66+$I66+$J66+$M66+$N66+$D66=14,"TRUE","FALSE")))</f>
        <v/>
      </c>
      <c r="X66" s="40" t="str">
        <f>IF('att Data Entry'!D69="","",IF('att Calculations'!D66+'att Calculations'!E66+'att Calculations'!F66=3, "TRUE",IF('att Calculations'!D66+'att Calculations'!E66+'att Calculations'!F66=6,"TRUE","FALSE")))</f>
        <v/>
      </c>
      <c r="Y66" s="40" t="str">
        <f>IF('att Data Entry'!$D69="","",IF($D66+I66+J66=3, "TRUE",IF($D66+I66+J66=6,"TRUE","FALSE")))</f>
        <v/>
      </c>
      <c r="Z66" s="13" t="str">
        <f>IF('att Data Entry'!K69="","",IF('att Data Entry'!$D69="","",IF($D66+M66+N66=3, "TRUE",IF($D66+M66+N66=6,"TRUE","FALSE"))))</f>
        <v/>
      </c>
      <c r="AA66" s="443" t="str">
        <f t="shared" si="3"/>
        <v/>
      </c>
      <c r="AB66" s="443" t="str">
        <f t="shared" si="4"/>
        <v/>
      </c>
      <c r="AC66" s="443" t="str">
        <f t="shared" si="5"/>
        <v/>
      </c>
      <c r="AD66" s="443" t="str">
        <f t="shared" si="6"/>
        <v/>
      </c>
      <c r="AE66" s="443" t="str">
        <f t="shared" si="7"/>
        <v/>
      </c>
      <c r="AF66" s="443" t="str">
        <f t="shared" si="11"/>
        <v/>
      </c>
      <c r="AG66" s="443" t="str">
        <f t="shared" si="8"/>
        <v/>
      </c>
      <c r="AH66" s="443" t="str">
        <f t="shared" si="9"/>
        <v/>
      </c>
      <c r="AI66" s="443" t="str">
        <f t="shared" si="10"/>
        <v/>
      </c>
    </row>
    <row r="67" spans="3:35" x14ac:dyDescent="0.25">
      <c r="C67" s="158">
        <v>57</v>
      </c>
      <c r="D67" s="440" t="str">
        <f>IF('att Data Entry'!D70="","",IF('att Data Entry'!D70='att Data Entry'!$D$8,'att Data Entry'!$C$8,'att Data Entry'!$C$9))</f>
        <v/>
      </c>
      <c r="E67" s="40" t="str">
        <f>IF('att Data Entry'!E70="","",IF('att Data Entry'!E70='att Data Entry'!$D$8,'att Data Entry'!$C$8,'att Data Entry'!$C$9))</f>
        <v/>
      </c>
      <c r="F67" s="162" t="str">
        <f>IF('att Data Entry'!F70="","",IF('att Data Entry'!F70='att Data Entry'!$D$8,'att Data Entry'!$C$8,'att Data Entry'!$C$9))</f>
        <v/>
      </c>
      <c r="G67" s="40" t="str">
        <f t="shared" si="0"/>
        <v/>
      </c>
      <c r="H67" s="162" t="str">
        <f>IF('att Data Entry'!$D70="","",IF(X67="TRUE",1,0))</f>
        <v/>
      </c>
      <c r="I67" s="40" t="str">
        <f>IF('att Data Entry'!I70="","",IF('att Data Entry'!H70='att Data Entry'!$D$8,'att Data Entry'!$C$8,'att Data Entry'!$C$9))</f>
        <v/>
      </c>
      <c r="J67" s="162" t="str">
        <f>IF('att Data Entry'!H70="","",IF('att Data Entry'!I70='att Data Entry'!$D$8,'att Data Entry'!$C$8,'att Data Entry'!$C$9))</f>
        <v/>
      </c>
      <c r="K67" s="40" t="str">
        <f t="shared" si="1"/>
        <v/>
      </c>
      <c r="L67" s="162" t="str">
        <f>IF('att Data Entry'!$D70="","",IF(Y67="TRUE",1,0))</f>
        <v/>
      </c>
      <c r="M67" s="40" t="str">
        <f>IF('att Data Entry'!L70="","",IF('att Data Entry'!K70='att Data Entry'!$D$8,'att Data Entry'!$C$8,'att Data Entry'!$C$9))</f>
        <v/>
      </c>
      <c r="N67" s="40" t="str">
        <f>IF('att Data Entry'!K70="","",IF('att Data Entry'!L70='att Data Entry'!$D$8,'att Data Entry'!$C$8,'att Data Entry'!$C$9))</f>
        <v/>
      </c>
      <c r="O67" s="40" t="str">
        <f t="shared" si="2"/>
        <v/>
      </c>
      <c r="P67" s="162" t="str">
        <f>IF('att Data Entry'!$D70="","",IF(Z67="TRUE",1,0))</f>
        <v/>
      </c>
      <c r="Q67" s="441" t="str">
        <f>IF('att Data Entry'!H70="","",IF(M67="",T67,U67))</f>
        <v/>
      </c>
      <c r="R67" s="441" t="str">
        <f>IF('att Data Entry'!H70="","",IF(M67="",V67,W67))</f>
        <v/>
      </c>
      <c r="T67" s="40" t="str">
        <f>IF('att Data Entry'!H70="","",IF($E67+$F67+$I67+$J67=4,"TRUE",IF($E67+$F67+$I67+$J67=8,"TRUE","FALSE")))</f>
        <v/>
      </c>
      <c r="U67" s="40" t="str">
        <f>IF('att Data Entry'!K70="","",IF($E67+$F67+$I67+$J67+$M67+$N67=6,"TRUE",IF($E67+$F67+$I67+$J67+$M67+$N67=12,"TRUE","FALSE")))</f>
        <v/>
      </c>
      <c r="V67" s="40" t="str">
        <f>IF('att Data Entry'!H70="","",IF($E67+$F67+$I67+$J67+$D67=5,"TRUE",IF($E67+$F67+$I67+$J67+$D67=10,"TRUE","FALSE")))</f>
        <v/>
      </c>
      <c r="W67" s="40" t="str">
        <f>IF('att Data Entry'!K70="","",IF($E67+$F67+$I67+$J67+$M67+$N67+$D67=7,"TRUE",IF($E67+$F67+$I67+$J67+$M67+$N67+$D67=14,"TRUE","FALSE")))</f>
        <v/>
      </c>
      <c r="X67" s="40" t="str">
        <f>IF('att Data Entry'!D70="","",IF('att Calculations'!D67+'att Calculations'!E67+'att Calculations'!F67=3, "TRUE",IF('att Calculations'!D67+'att Calculations'!E67+'att Calculations'!F67=6,"TRUE","FALSE")))</f>
        <v/>
      </c>
      <c r="Y67" s="40" t="str">
        <f>IF('att Data Entry'!$D70="","",IF($D67+I67+J67=3, "TRUE",IF($D67+I67+J67=6,"TRUE","FALSE")))</f>
        <v/>
      </c>
      <c r="Z67" s="13" t="str">
        <f>IF('att Data Entry'!K70="","",IF('att Data Entry'!$D70="","",IF($D67+M67+N67=3, "TRUE",IF($D67+M67+N67=6,"TRUE","FALSE"))))</f>
        <v/>
      </c>
      <c r="AA67" s="443" t="str">
        <f t="shared" si="3"/>
        <v/>
      </c>
      <c r="AB67" s="443" t="str">
        <f t="shared" si="4"/>
        <v/>
      </c>
      <c r="AC67" s="443" t="str">
        <f t="shared" si="5"/>
        <v/>
      </c>
      <c r="AD67" s="443" t="str">
        <f t="shared" si="6"/>
        <v/>
      </c>
      <c r="AE67" s="443" t="str">
        <f t="shared" si="7"/>
        <v/>
      </c>
      <c r="AF67" s="443" t="str">
        <f t="shared" si="11"/>
        <v/>
      </c>
      <c r="AG67" s="443" t="str">
        <f t="shared" si="8"/>
        <v/>
      </c>
      <c r="AH67" s="443" t="str">
        <f t="shared" si="9"/>
        <v/>
      </c>
      <c r="AI67" s="443" t="str">
        <f t="shared" si="10"/>
        <v/>
      </c>
    </row>
    <row r="68" spans="3:35" x14ac:dyDescent="0.25">
      <c r="C68" s="158">
        <v>58</v>
      </c>
      <c r="D68" s="440" t="str">
        <f>IF('att Data Entry'!D71="","",IF('att Data Entry'!D71='att Data Entry'!$D$8,'att Data Entry'!$C$8,'att Data Entry'!$C$9))</f>
        <v/>
      </c>
      <c r="E68" s="40" t="str">
        <f>IF('att Data Entry'!E71="","",IF('att Data Entry'!E71='att Data Entry'!$D$8,'att Data Entry'!$C$8,'att Data Entry'!$C$9))</f>
        <v/>
      </c>
      <c r="F68" s="162" t="str">
        <f>IF('att Data Entry'!F71="","",IF('att Data Entry'!F71='att Data Entry'!$D$8,'att Data Entry'!$C$8,'att Data Entry'!$C$9))</f>
        <v/>
      </c>
      <c r="G68" s="40" t="str">
        <f t="shared" si="0"/>
        <v/>
      </c>
      <c r="H68" s="162" t="str">
        <f>IF('att Data Entry'!$D71="","",IF(X68="TRUE",1,0))</f>
        <v/>
      </c>
      <c r="I68" s="40" t="str">
        <f>IF('att Data Entry'!I71="","",IF('att Data Entry'!H71='att Data Entry'!$D$8,'att Data Entry'!$C$8,'att Data Entry'!$C$9))</f>
        <v/>
      </c>
      <c r="J68" s="162" t="str">
        <f>IF('att Data Entry'!H71="","",IF('att Data Entry'!I71='att Data Entry'!$D$8,'att Data Entry'!$C$8,'att Data Entry'!$C$9))</f>
        <v/>
      </c>
      <c r="K68" s="40" t="str">
        <f t="shared" si="1"/>
        <v/>
      </c>
      <c r="L68" s="162" t="str">
        <f>IF('att Data Entry'!$D71="","",IF(Y68="TRUE",1,0))</f>
        <v/>
      </c>
      <c r="M68" s="40" t="str">
        <f>IF('att Data Entry'!L71="","",IF('att Data Entry'!K71='att Data Entry'!$D$8,'att Data Entry'!$C$8,'att Data Entry'!$C$9))</f>
        <v/>
      </c>
      <c r="N68" s="40" t="str">
        <f>IF('att Data Entry'!K71="","",IF('att Data Entry'!L71='att Data Entry'!$D$8,'att Data Entry'!$C$8,'att Data Entry'!$C$9))</f>
        <v/>
      </c>
      <c r="O68" s="40" t="str">
        <f t="shared" si="2"/>
        <v/>
      </c>
      <c r="P68" s="162" t="str">
        <f>IF('att Data Entry'!$D71="","",IF(Z68="TRUE",1,0))</f>
        <v/>
      </c>
      <c r="Q68" s="441" t="str">
        <f>IF('att Data Entry'!H71="","",IF(M68="",T68,U68))</f>
        <v/>
      </c>
      <c r="R68" s="441" t="str">
        <f>IF('att Data Entry'!H71="","",IF(M68="",V68,W68))</f>
        <v/>
      </c>
      <c r="T68" s="40" t="str">
        <f>IF('att Data Entry'!H71="","",IF($E68+$F68+$I68+$J68=4,"TRUE",IF($E68+$F68+$I68+$J68=8,"TRUE","FALSE")))</f>
        <v/>
      </c>
      <c r="U68" s="40" t="str">
        <f>IF('att Data Entry'!K71="","",IF($E68+$F68+$I68+$J68+$M68+$N68=6,"TRUE",IF($E68+$F68+$I68+$J68+$M68+$N68=12,"TRUE","FALSE")))</f>
        <v/>
      </c>
      <c r="V68" s="40" t="str">
        <f>IF('att Data Entry'!H71="","",IF($E68+$F68+$I68+$J68+$D68=5,"TRUE",IF($E68+$F68+$I68+$J68+$D68=10,"TRUE","FALSE")))</f>
        <v/>
      </c>
      <c r="W68" s="40" t="str">
        <f>IF('att Data Entry'!K71="","",IF($E68+$F68+$I68+$J68+$M68+$N68+$D68=7,"TRUE",IF($E68+$F68+$I68+$J68+$M68+$N68+$D68=14,"TRUE","FALSE")))</f>
        <v/>
      </c>
      <c r="X68" s="40" t="str">
        <f>IF('att Data Entry'!D71="","",IF('att Calculations'!D68+'att Calculations'!E68+'att Calculations'!F68=3, "TRUE",IF('att Calculations'!D68+'att Calculations'!E68+'att Calculations'!F68=6,"TRUE","FALSE")))</f>
        <v/>
      </c>
      <c r="Y68" s="40" t="str">
        <f>IF('att Data Entry'!$D71="","",IF($D68+I68+J68=3, "TRUE",IF($D68+I68+J68=6,"TRUE","FALSE")))</f>
        <v/>
      </c>
      <c r="Z68" s="13" t="str">
        <f>IF('att Data Entry'!K71="","",IF('att Data Entry'!$D71="","",IF($D68+M68+N68=3, "TRUE",IF($D68+M68+N68=6,"TRUE","FALSE"))))</f>
        <v/>
      </c>
      <c r="AA68" s="443" t="str">
        <f t="shared" si="3"/>
        <v/>
      </c>
      <c r="AB68" s="443" t="str">
        <f t="shared" si="4"/>
        <v/>
      </c>
      <c r="AC68" s="443" t="str">
        <f t="shared" si="5"/>
        <v/>
      </c>
      <c r="AD68" s="443" t="str">
        <f t="shared" si="6"/>
        <v/>
      </c>
      <c r="AE68" s="443" t="str">
        <f t="shared" si="7"/>
        <v/>
      </c>
      <c r="AF68" s="443" t="str">
        <f t="shared" si="11"/>
        <v/>
      </c>
      <c r="AG68" s="443" t="str">
        <f t="shared" si="8"/>
        <v/>
      </c>
      <c r="AH68" s="443" t="str">
        <f t="shared" si="9"/>
        <v/>
      </c>
      <c r="AI68" s="443" t="str">
        <f t="shared" si="10"/>
        <v/>
      </c>
    </row>
    <row r="69" spans="3:35" x14ac:dyDescent="0.25">
      <c r="C69" s="158">
        <v>59</v>
      </c>
      <c r="D69" s="440" t="str">
        <f>IF('att Data Entry'!D72="","",IF('att Data Entry'!D72='att Data Entry'!$D$8,'att Data Entry'!$C$8,'att Data Entry'!$C$9))</f>
        <v/>
      </c>
      <c r="E69" s="40" t="str">
        <f>IF('att Data Entry'!E72="","",IF('att Data Entry'!E72='att Data Entry'!$D$8,'att Data Entry'!$C$8,'att Data Entry'!$C$9))</f>
        <v/>
      </c>
      <c r="F69" s="162" t="str">
        <f>IF('att Data Entry'!F72="","",IF('att Data Entry'!F72='att Data Entry'!$D$8,'att Data Entry'!$C$8,'att Data Entry'!$C$9))</f>
        <v/>
      </c>
      <c r="G69" s="40" t="str">
        <f t="shared" si="0"/>
        <v/>
      </c>
      <c r="H69" s="162" t="str">
        <f>IF('att Data Entry'!$D72="","",IF(X69="TRUE",1,0))</f>
        <v/>
      </c>
      <c r="I69" s="40" t="str">
        <f>IF('att Data Entry'!I72="","",IF('att Data Entry'!H72='att Data Entry'!$D$8,'att Data Entry'!$C$8,'att Data Entry'!$C$9))</f>
        <v/>
      </c>
      <c r="J69" s="162" t="str">
        <f>IF('att Data Entry'!H72="","",IF('att Data Entry'!I72='att Data Entry'!$D$8,'att Data Entry'!$C$8,'att Data Entry'!$C$9))</f>
        <v/>
      </c>
      <c r="K69" s="40" t="str">
        <f t="shared" si="1"/>
        <v/>
      </c>
      <c r="L69" s="162" t="str">
        <f>IF('att Data Entry'!$D72="","",IF(Y69="TRUE",1,0))</f>
        <v/>
      </c>
      <c r="M69" s="40" t="str">
        <f>IF('att Data Entry'!L72="","",IF('att Data Entry'!K72='att Data Entry'!$D$8,'att Data Entry'!$C$8,'att Data Entry'!$C$9))</f>
        <v/>
      </c>
      <c r="N69" s="40" t="str">
        <f>IF('att Data Entry'!K72="","",IF('att Data Entry'!L72='att Data Entry'!$D$8,'att Data Entry'!$C$8,'att Data Entry'!$C$9))</f>
        <v/>
      </c>
      <c r="O69" s="40" t="str">
        <f t="shared" si="2"/>
        <v/>
      </c>
      <c r="P69" s="162" t="str">
        <f>IF('att Data Entry'!$D72="","",IF(Z69="TRUE",1,0))</f>
        <v/>
      </c>
      <c r="Q69" s="441" t="str">
        <f>IF('att Data Entry'!H72="","",IF(M69="",T69,U69))</f>
        <v/>
      </c>
      <c r="R69" s="441" t="str">
        <f>IF('att Data Entry'!H72="","",IF(M69="",V69,W69))</f>
        <v/>
      </c>
      <c r="T69" s="40" t="str">
        <f>IF('att Data Entry'!H72="","",IF($E69+$F69+$I69+$J69=4,"TRUE",IF($E69+$F69+$I69+$J69=8,"TRUE","FALSE")))</f>
        <v/>
      </c>
      <c r="U69" s="40" t="str">
        <f>IF('att Data Entry'!K72="","",IF($E69+$F69+$I69+$J69+$M69+$N69=6,"TRUE",IF($E69+$F69+$I69+$J69+$M69+$N69=12,"TRUE","FALSE")))</f>
        <v/>
      </c>
      <c r="V69" s="40" t="str">
        <f>IF('att Data Entry'!H72="","",IF($E69+$F69+$I69+$J69+$D69=5,"TRUE",IF($E69+$F69+$I69+$J69+$D69=10,"TRUE","FALSE")))</f>
        <v/>
      </c>
      <c r="W69" s="40" t="str">
        <f>IF('att Data Entry'!K72="","",IF($E69+$F69+$I69+$J69+$M69+$N69+$D69=7,"TRUE",IF($E69+$F69+$I69+$J69+$M69+$N69+$D69=14,"TRUE","FALSE")))</f>
        <v/>
      </c>
      <c r="X69" s="40" t="str">
        <f>IF('att Data Entry'!D72="","",IF('att Calculations'!D69+'att Calculations'!E69+'att Calculations'!F69=3, "TRUE",IF('att Calculations'!D69+'att Calculations'!E69+'att Calculations'!F69=6,"TRUE","FALSE")))</f>
        <v/>
      </c>
      <c r="Y69" s="40" t="str">
        <f>IF('att Data Entry'!$D72="","",IF($D69+I69+J69=3, "TRUE",IF($D69+I69+J69=6,"TRUE","FALSE")))</f>
        <v/>
      </c>
      <c r="Z69" s="13" t="str">
        <f>IF('att Data Entry'!K72="","",IF('att Data Entry'!$D72="","",IF($D69+M69+N69=3, "TRUE",IF($D69+M69+N69=6,"TRUE","FALSE"))))</f>
        <v/>
      </c>
      <c r="AA69" s="443" t="str">
        <f t="shared" si="3"/>
        <v/>
      </c>
      <c r="AB69" s="443" t="str">
        <f t="shared" si="4"/>
        <v/>
      </c>
      <c r="AC69" s="443" t="str">
        <f t="shared" si="5"/>
        <v/>
      </c>
      <c r="AD69" s="443" t="str">
        <f t="shared" si="6"/>
        <v/>
      </c>
      <c r="AE69" s="443" t="str">
        <f t="shared" si="7"/>
        <v/>
      </c>
      <c r="AF69" s="443" t="str">
        <f t="shared" si="11"/>
        <v/>
      </c>
      <c r="AG69" s="443" t="str">
        <f t="shared" si="8"/>
        <v/>
      </c>
      <c r="AH69" s="443" t="str">
        <f t="shared" si="9"/>
        <v/>
      </c>
      <c r="AI69" s="443" t="str">
        <f t="shared" si="10"/>
        <v/>
      </c>
    </row>
    <row r="70" spans="3:35" x14ac:dyDescent="0.25">
      <c r="C70" s="158">
        <v>60</v>
      </c>
      <c r="D70" s="440" t="str">
        <f>IF('att Data Entry'!D73="","",IF('att Data Entry'!D73='att Data Entry'!$D$8,'att Data Entry'!$C$8,'att Data Entry'!$C$9))</f>
        <v/>
      </c>
      <c r="E70" s="40" t="str">
        <f>IF('att Data Entry'!E73="","",IF('att Data Entry'!E73='att Data Entry'!$D$8,'att Data Entry'!$C$8,'att Data Entry'!$C$9))</f>
        <v/>
      </c>
      <c r="F70" s="162" t="str">
        <f>IF('att Data Entry'!F73="","",IF('att Data Entry'!F73='att Data Entry'!$D$8,'att Data Entry'!$C$8,'att Data Entry'!$C$9))</f>
        <v/>
      </c>
      <c r="G70" s="40" t="str">
        <f t="shared" si="0"/>
        <v/>
      </c>
      <c r="H70" s="162" t="str">
        <f>IF('att Data Entry'!$D73="","",IF(X70="TRUE",1,0))</f>
        <v/>
      </c>
      <c r="I70" s="40" t="str">
        <f>IF('att Data Entry'!I73="","",IF('att Data Entry'!H73='att Data Entry'!$D$8,'att Data Entry'!$C$8,'att Data Entry'!$C$9))</f>
        <v/>
      </c>
      <c r="J70" s="162" t="str">
        <f>IF('att Data Entry'!H73="","",IF('att Data Entry'!I73='att Data Entry'!$D$8,'att Data Entry'!$C$8,'att Data Entry'!$C$9))</f>
        <v/>
      </c>
      <c r="K70" s="40" t="str">
        <f t="shared" si="1"/>
        <v/>
      </c>
      <c r="L70" s="162" t="str">
        <f>IF('att Data Entry'!$D73="","",IF(Y70="TRUE",1,0))</f>
        <v/>
      </c>
      <c r="M70" s="40" t="str">
        <f>IF('att Data Entry'!L73="","",IF('att Data Entry'!K73='att Data Entry'!$D$8,'att Data Entry'!$C$8,'att Data Entry'!$C$9))</f>
        <v/>
      </c>
      <c r="N70" s="40" t="str">
        <f>IF('att Data Entry'!K73="","",IF('att Data Entry'!L73='att Data Entry'!$D$8,'att Data Entry'!$C$8,'att Data Entry'!$C$9))</f>
        <v/>
      </c>
      <c r="O70" s="40" t="str">
        <f t="shared" si="2"/>
        <v/>
      </c>
      <c r="P70" s="162" t="str">
        <f>IF('att Data Entry'!$D73="","",IF(Z70="TRUE",1,0))</f>
        <v/>
      </c>
      <c r="Q70" s="441" t="str">
        <f>IF('att Data Entry'!H73="","",IF(M70="",T70,U70))</f>
        <v/>
      </c>
      <c r="R70" s="441" t="str">
        <f>IF('att Data Entry'!H73="","",IF(M70="",V70,W70))</f>
        <v/>
      </c>
      <c r="T70" s="40" t="str">
        <f>IF('att Data Entry'!H73="","",IF($E70+$F70+$I70+$J70=4,"TRUE",IF($E70+$F70+$I70+$J70=8,"TRUE","FALSE")))</f>
        <v/>
      </c>
      <c r="U70" s="40" t="str">
        <f>IF('att Data Entry'!K73="","",IF($E70+$F70+$I70+$J70+$M70+$N70=6,"TRUE",IF($E70+$F70+$I70+$J70+$M70+$N70=12,"TRUE","FALSE")))</f>
        <v/>
      </c>
      <c r="V70" s="40" t="str">
        <f>IF('att Data Entry'!H73="","",IF($E70+$F70+$I70+$J70+$D70=5,"TRUE",IF($E70+$F70+$I70+$J70+$D70=10,"TRUE","FALSE")))</f>
        <v/>
      </c>
      <c r="W70" s="40" t="str">
        <f>IF('att Data Entry'!K73="","",IF($E70+$F70+$I70+$J70+$M70+$N70+$D70=7,"TRUE",IF($E70+$F70+$I70+$J70+$M70+$N70+$D70=14,"TRUE","FALSE")))</f>
        <v/>
      </c>
      <c r="X70" s="40" t="str">
        <f>IF('att Data Entry'!D73="","",IF('att Calculations'!D70+'att Calculations'!E70+'att Calculations'!F70=3, "TRUE",IF('att Calculations'!D70+'att Calculations'!E70+'att Calculations'!F70=6,"TRUE","FALSE")))</f>
        <v/>
      </c>
      <c r="Y70" s="40" t="str">
        <f>IF('att Data Entry'!$D73="","",IF($D70+I70+J70=3, "TRUE",IF($D70+I70+J70=6,"TRUE","FALSE")))</f>
        <v/>
      </c>
      <c r="Z70" s="13" t="str">
        <f>IF('att Data Entry'!K73="","",IF('att Data Entry'!$D73="","",IF($D70+M70+N70=3, "TRUE",IF($D70+M70+N70=6,"TRUE","FALSE"))))</f>
        <v/>
      </c>
      <c r="AA70" s="443" t="str">
        <f t="shared" si="3"/>
        <v/>
      </c>
      <c r="AB70" s="443" t="str">
        <f t="shared" si="4"/>
        <v/>
      </c>
      <c r="AC70" s="443" t="str">
        <f t="shared" si="5"/>
        <v/>
      </c>
      <c r="AD70" s="443" t="str">
        <f t="shared" si="6"/>
        <v/>
      </c>
      <c r="AE70" s="443" t="str">
        <f t="shared" si="7"/>
        <v/>
      </c>
      <c r="AF70" s="443" t="str">
        <f t="shared" si="11"/>
        <v/>
      </c>
      <c r="AG70" s="443" t="str">
        <f t="shared" si="8"/>
        <v/>
      </c>
      <c r="AH70" s="443" t="str">
        <f t="shared" si="9"/>
        <v/>
      </c>
      <c r="AI70" s="443" t="str">
        <f t="shared" si="10"/>
        <v/>
      </c>
    </row>
    <row r="71" spans="3:35" x14ac:dyDescent="0.25">
      <c r="C71" s="158">
        <v>61</v>
      </c>
      <c r="D71" s="440" t="str">
        <f>IF('att Data Entry'!D74="","",IF('att Data Entry'!D74='att Data Entry'!$D$8,'att Data Entry'!$C$8,'att Data Entry'!$C$9))</f>
        <v/>
      </c>
      <c r="E71" s="40" t="str">
        <f>IF('att Data Entry'!E74="","",IF('att Data Entry'!E74='att Data Entry'!$D$8,'att Data Entry'!$C$8,'att Data Entry'!$C$9))</f>
        <v/>
      </c>
      <c r="F71" s="162" t="str">
        <f>IF('att Data Entry'!F74="","",IF('att Data Entry'!F74='att Data Entry'!$D$8,'att Data Entry'!$C$8,'att Data Entry'!$C$9))</f>
        <v/>
      </c>
      <c r="G71" s="40" t="str">
        <f t="shared" si="0"/>
        <v/>
      </c>
      <c r="H71" s="162" t="str">
        <f>IF('att Data Entry'!$D74="","",IF(X71="TRUE",1,0))</f>
        <v/>
      </c>
      <c r="I71" s="40" t="str">
        <f>IF('att Data Entry'!I74="","",IF('att Data Entry'!H74='att Data Entry'!$D$8,'att Data Entry'!$C$8,'att Data Entry'!$C$9))</f>
        <v/>
      </c>
      <c r="J71" s="162" t="str">
        <f>IF('att Data Entry'!H74="","",IF('att Data Entry'!I74='att Data Entry'!$D$8,'att Data Entry'!$C$8,'att Data Entry'!$C$9))</f>
        <v/>
      </c>
      <c r="K71" s="40" t="str">
        <f t="shared" si="1"/>
        <v/>
      </c>
      <c r="L71" s="162" t="str">
        <f>IF('att Data Entry'!$D74="","",IF(Y71="TRUE",1,0))</f>
        <v/>
      </c>
      <c r="M71" s="40" t="str">
        <f>IF('att Data Entry'!L74="","",IF('att Data Entry'!K74='att Data Entry'!$D$8,'att Data Entry'!$C$8,'att Data Entry'!$C$9))</f>
        <v/>
      </c>
      <c r="N71" s="40" t="str">
        <f>IF('att Data Entry'!K74="","",IF('att Data Entry'!L74='att Data Entry'!$D$8,'att Data Entry'!$C$8,'att Data Entry'!$C$9))</f>
        <v/>
      </c>
      <c r="O71" s="40" t="str">
        <f t="shared" si="2"/>
        <v/>
      </c>
      <c r="P71" s="162" t="str">
        <f>IF('att Data Entry'!$D74="","",IF(Z71="TRUE",1,0))</f>
        <v/>
      </c>
      <c r="Q71" s="441" t="str">
        <f>IF('att Data Entry'!H74="","",IF(M71="",T71,U71))</f>
        <v/>
      </c>
      <c r="R71" s="441" t="str">
        <f>IF('att Data Entry'!H74="","",IF(M71="",V71,W71))</f>
        <v/>
      </c>
      <c r="T71" s="40" t="str">
        <f>IF('att Data Entry'!H74="","",IF($E71+$F71+$I71+$J71=4,"TRUE",IF($E71+$F71+$I71+$J71=8,"TRUE","FALSE")))</f>
        <v/>
      </c>
      <c r="U71" s="40" t="str">
        <f>IF('att Data Entry'!K74="","",IF($E71+$F71+$I71+$J71+$M71+$N71=6,"TRUE",IF($E71+$F71+$I71+$J71+$M71+$N71=12,"TRUE","FALSE")))</f>
        <v/>
      </c>
      <c r="V71" s="40" t="str">
        <f>IF('att Data Entry'!H74="","",IF($E71+$F71+$I71+$J71+$D71=5,"TRUE",IF($E71+$F71+$I71+$J71+$D71=10,"TRUE","FALSE")))</f>
        <v/>
      </c>
      <c r="W71" s="40" t="str">
        <f>IF('att Data Entry'!K74="","",IF($E71+$F71+$I71+$J71+$M71+$N71+$D71=7,"TRUE",IF($E71+$F71+$I71+$J71+$M71+$N71+$D71=14,"TRUE","FALSE")))</f>
        <v/>
      </c>
      <c r="X71" s="40" t="str">
        <f>IF('att Data Entry'!D74="","",IF('att Calculations'!D71+'att Calculations'!E71+'att Calculations'!F71=3, "TRUE",IF('att Calculations'!D71+'att Calculations'!E71+'att Calculations'!F71=6,"TRUE","FALSE")))</f>
        <v/>
      </c>
      <c r="Y71" s="40" t="str">
        <f>IF('att Data Entry'!$D74="","",IF($D71+I71+J71=3, "TRUE",IF($D71+I71+J71=6,"TRUE","FALSE")))</f>
        <v/>
      </c>
      <c r="Z71" s="13" t="str">
        <f>IF('att Data Entry'!K74="","",IF('att Data Entry'!$D74="","",IF($D71+M71+N71=3, "TRUE",IF($D71+M71+N71=6,"TRUE","FALSE"))))</f>
        <v/>
      </c>
      <c r="AA71" s="443" t="str">
        <f t="shared" si="3"/>
        <v/>
      </c>
      <c r="AB71" s="443" t="str">
        <f t="shared" si="4"/>
        <v/>
      </c>
      <c r="AC71" s="443" t="str">
        <f t="shared" si="5"/>
        <v/>
      </c>
      <c r="AD71" s="443" t="str">
        <f t="shared" si="6"/>
        <v/>
      </c>
      <c r="AE71" s="443" t="str">
        <f t="shared" si="7"/>
        <v/>
      </c>
      <c r="AF71" s="443" t="str">
        <f t="shared" si="11"/>
        <v/>
      </c>
      <c r="AG71" s="443" t="str">
        <f t="shared" si="8"/>
        <v/>
      </c>
      <c r="AH71" s="443" t="str">
        <f t="shared" si="9"/>
        <v/>
      </c>
      <c r="AI71" s="443" t="str">
        <f t="shared" si="10"/>
        <v/>
      </c>
    </row>
    <row r="72" spans="3:35" x14ac:dyDescent="0.25">
      <c r="C72" s="158">
        <v>62</v>
      </c>
      <c r="D72" s="440" t="str">
        <f>IF('att Data Entry'!D75="","",IF('att Data Entry'!D75='att Data Entry'!$D$8,'att Data Entry'!$C$8,'att Data Entry'!$C$9))</f>
        <v/>
      </c>
      <c r="E72" s="40" t="str">
        <f>IF('att Data Entry'!E75="","",IF('att Data Entry'!E75='att Data Entry'!$D$8,'att Data Entry'!$C$8,'att Data Entry'!$C$9))</f>
        <v/>
      </c>
      <c r="F72" s="162" t="str">
        <f>IF('att Data Entry'!F75="","",IF('att Data Entry'!F75='att Data Entry'!$D$8,'att Data Entry'!$C$8,'att Data Entry'!$C$9))</f>
        <v/>
      </c>
      <c r="G72" s="40" t="str">
        <f t="shared" si="0"/>
        <v/>
      </c>
      <c r="H72" s="162" t="str">
        <f>IF('att Data Entry'!$D75="","",IF(X72="TRUE",1,0))</f>
        <v/>
      </c>
      <c r="I72" s="40" t="str">
        <f>IF('att Data Entry'!I75="","",IF('att Data Entry'!H75='att Data Entry'!$D$8,'att Data Entry'!$C$8,'att Data Entry'!$C$9))</f>
        <v/>
      </c>
      <c r="J72" s="162" t="str">
        <f>IF('att Data Entry'!H75="","",IF('att Data Entry'!I75='att Data Entry'!$D$8,'att Data Entry'!$C$8,'att Data Entry'!$C$9))</f>
        <v/>
      </c>
      <c r="K72" s="40" t="str">
        <f t="shared" si="1"/>
        <v/>
      </c>
      <c r="L72" s="162" t="str">
        <f>IF('att Data Entry'!$D75="","",IF(Y72="TRUE",1,0))</f>
        <v/>
      </c>
      <c r="M72" s="40" t="str">
        <f>IF('att Data Entry'!L75="","",IF('att Data Entry'!K75='att Data Entry'!$D$8,'att Data Entry'!$C$8,'att Data Entry'!$C$9))</f>
        <v/>
      </c>
      <c r="N72" s="40" t="str">
        <f>IF('att Data Entry'!K75="","",IF('att Data Entry'!L75='att Data Entry'!$D$8,'att Data Entry'!$C$8,'att Data Entry'!$C$9))</f>
        <v/>
      </c>
      <c r="O72" s="40" t="str">
        <f t="shared" si="2"/>
        <v/>
      </c>
      <c r="P72" s="162" t="str">
        <f>IF('att Data Entry'!$D75="","",IF(Z72="TRUE",1,0))</f>
        <v/>
      </c>
      <c r="Q72" s="441" t="str">
        <f>IF('att Data Entry'!H75="","",IF(M72="",T72,U72))</f>
        <v/>
      </c>
      <c r="R72" s="441" t="str">
        <f>IF('att Data Entry'!H75="","",IF(M72="",V72,W72))</f>
        <v/>
      </c>
      <c r="T72" s="40" t="str">
        <f>IF('att Data Entry'!H75="","",IF($E72+$F72+$I72+$J72=4,"TRUE",IF($E72+$F72+$I72+$J72=8,"TRUE","FALSE")))</f>
        <v/>
      </c>
      <c r="U72" s="40" t="str">
        <f>IF('att Data Entry'!K75="","",IF($E72+$F72+$I72+$J72+$M72+$N72=6,"TRUE",IF($E72+$F72+$I72+$J72+$M72+$N72=12,"TRUE","FALSE")))</f>
        <v/>
      </c>
      <c r="V72" s="40" t="str">
        <f>IF('att Data Entry'!H75="","",IF($E72+$F72+$I72+$J72+$D72=5,"TRUE",IF($E72+$F72+$I72+$J72+$D72=10,"TRUE","FALSE")))</f>
        <v/>
      </c>
      <c r="W72" s="40" t="str">
        <f>IF('att Data Entry'!K75="","",IF($E72+$F72+$I72+$J72+$M72+$N72+$D72=7,"TRUE",IF($E72+$F72+$I72+$J72+$M72+$N72+$D72=14,"TRUE","FALSE")))</f>
        <v/>
      </c>
      <c r="X72" s="40" t="str">
        <f>IF('att Data Entry'!D75="","",IF('att Calculations'!D72+'att Calculations'!E72+'att Calculations'!F72=3, "TRUE",IF('att Calculations'!D72+'att Calculations'!E72+'att Calculations'!F72=6,"TRUE","FALSE")))</f>
        <v/>
      </c>
      <c r="Y72" s="40" t="str">
        <f>IF('att Data Entry'!$D75="","",IF($D72+I72+J72=3, "TRUE",IF($D72+I72+J72=6,"TRUE","FALSE")))</f>
        <v/>
      </c>
      <c r="Z72" s="13" t="str">
        <f>IF('att Data Entry'!K75="","",IF('att Data Entry'!$D75="","",IF($D72+M72+N72=3, "TRUE",IF($D72+M72+N72=6,"TRUE","FALSE"))))</f>
        <v/>
      </c>
      <c r="AA72" s="443" t="str">
        <f t="shared" si="3"/>
        <v/>
      </c>
      <c r="AB72" s="443" t="str">
        <f t="shared" si="4"/>
        <v/>
      </c>
      <c r="AC72" s="443" t="str">
        <f t="shared" si="5"/>
        <v/>
      </c>
      <c r="AD72" s="443" t="str">
        <f t="shared" si="6"/>
        <v/>
      </c>
      <c r="AE72" s="443" t="str">
        <f t="shared" si="7"/>
        <v/>
      </c>
      <c r="AF72" s="443" t="str">
        <f t="shared" si="11"/>
        <v/>
      </c>
      <c r="AG72" s="443" t="str">
        <f t="shared" si="8"/>
        <v/>
      </c>
      <c r="AH72" s="443" t="str">
        <f t="shared" si="9"/>
        <v/>
      </c>
      <c r="AI72" s="443" t="str">
        <f t="shared" si="10"/>
        <v/>
      </c>
    </row>
    <row r="73" spans="3:35" x14ac:dyDescent="0.25">
      <c r="C73" s="158">
        <v>63</v>
      </c>
      <c r="D73" s="440" t="str">
        <f>IF('att Data Entry'!D76="","",IF('att Data Entry'!D76='att Data Entry'!$D$8,'att Data Entry'!$C$8,'att Data Entry'!$C$9))</f>
        <v/>
      </c>
      <c r="E73" s="40" t="str">
        <f>IF('att Data Entry'!E76="","",IF('att Data Entry'!E76='att Data Entry'!$D$8,'att Data Entry'!$C$8,'att Data Entry'!$C$9))</f>
        <v/>
      </c>
      <c r="F73" s="162" t="str">
        <f>IF('att Data Entry'!F76="","",IF('att Data Entry'!F76='att Data Entry'!$D$8,'att Data Entry'!$C$8,'att Data Entry'!$C$9))</f>
        <v/>
      </c>
      <c r="G73" s="40" t="str">
        <f t="shared" si="0"/>
        <v/>
      </c>
      <c r="H73" s="162" t="str">
        <f>IF('att Data Entry'!$D76="","",IF(X73="TRUE",1,0))</f>
        <v/>
      </c>
      <c r="I73" s="40" t="str">
        <f>IF('att Data Entry'!I76="","",IF('att Data Entry'!H76='att Data Entry'!$D$8,'att Data Entry'!$C$8,'att Data Entry'!$C$9))</f>
        <v/>
      </c>
      <c r="J73" s="162" t="str">
        <f>IF('att Data Entry'!H76="","",IF('att Data Entry'!I76='att Data Entry'!$D$8,'att Data Entry'!$C$8,'att Data Entry'!$C$9))</f>
        <v/>
      </c>
      <c r="K73" s="40" t="str">
        <f t="shared" si="1"/>
        <v/>
      </c>
      <c r="L73" s="162" t="str">
        <f>IF('att Data Entry'!$D76="","",IF(Y73="TRUE",1,0))</f>
        <v/>
      </c>
      <c r="M73" s="40" t="str">
        <f>IF('att Data Entry'!L76="","",IF('att Data Entry'!K76='att Data Entry'!$D$8,'att Data Entry'!$C$8,'att Data Entry'!$C$9))</f>
        <v/>
      </c>
      <c r="N73" s="40" t="str">
        <f>IF('att Data Entry'!K76="","",IF('att Data Entry'!L76='att Data Entry'!$D$8,'att Data Entry'!$C$8,'att Data Entry'!$C$9))</f>
        <v/>
      </c>
      <c r="O73" s="40" t="str">
        <f t="shared" si="2"/>
        <v/>
      </c>
      <c r="P73" s="162" t="str">
        <f>IF('att Data Entry'!$D76="","",IF(Z73="TRUE",1,0))</f>
        <v/>
      </c>
      <c r="Q73" s="441" t="str">
        <f>IF('att Data Entry'!H76="","",IF(M73="",T73,U73))</f>
        <v/>
      </c>
      <c r="R73" s="441" t="str">
        <f>IF('att Data Entry'!H76="","",IF(M73="",V73,W73))</f>
        <v/>
      </c>
      <c r="T73" s="40" t="str">
        <f>IF('att Data Entry'!H76="","",IF($E73+$F73+$I73+$J73=4,"TRUE",IF($E73+$F73+$I73+$J73=8,"TRUE","FALSE")))</f>
        <v/>
      </c>
      <c r="U73" s="40" t="str">
        <f>IF('att Data Entry'!K76="","",IF($E73+$F73+$I73+$J73+$M73+$N73=6,"TRUE",IF($E73+$F73+$I73+$J73+$M73+$N73=12,"TRUE","FALSE")))</f>
        <v/>
      </c>
      <c r="V73" s="40" t="str">
        <f>IF('att Data Entry'!H76="","",IF($E73+$F73+$I73+$J73+$D73=5,"TRUE",IF($E73+$F73+$I73+$J73+$D73=10,"TRUE","FALSE")))</f>
        <v/>
      </c>
      <c r="W73" s="40" t="str">
        <f>IF('att Data Entry'!K76="","",IF($E73+$F73+$I73+$J73+$M73+$N73+$D73=7,"TRUE",IF($E73+$F73+$I73+$J73+$M73+$N73+$D73=14,"TRUE","FALSE")))</f>
        <v/>
      </c>
      <c r="X73" s="40" t="str">
        <f>IF('att Data Entry'!D76="","",IF('att Calculations'!D73+'att Calculations'!E73+'att Calculations'!F73=3, "TRUE",IF('att Calculations'!D73+'att Calculations'!E73+'att Calculations'!F73=6,"TRUE","FALSE")))</f>
        <v/>
      </c>
      <c r="Y73" s="40" t="str">
        <f>IF('att Data Entry'!$D76="","",IF($D73+I73+J73=3, "TRUE",IF($D73+I73+J73=6,"TRUE","FALSE")))</f>
        <v/>
      </c>
      <c r="Z73" s="13" t="str">
        <f>IF('att Data Entry'!K76="","",IF('att Data Entry'!$D76="","",IF($D73+M73+N73=3, "TRUE",IF($D73+M73+N73=6,"TRUE","FALSE"))))</f>
        <v/>
      </c>
      <c r="AA73" s="443" t="str">
        <f t="shared" si="3"/>
        <v/>
      </c>
      <c r="AB73" s="443" t="str">
        <f t="shared" si="4"/>
        <v/>
      </c>
      <c r="AC73" s="443" t="str">
        <f t="shared" si="5"/>
        <v/>
      </c>
      <c r="AD73" s="443" t="str">
        <f t="shared" si="6"/>
        <v/>
      </c>
      <c r="AE73" s="443" t="str">
        <f t="shared" si="7"/>
        <v/>
      </c>
      <c r="AF73" s="443" t="str">
        <f t="shared" si="11"/>
        <v/>
      </c>
      <c r="AG73" s="443" t="str">
        <f t="shared" si="8"/>
        <v/>
      </c>
      <c r="AH73" s="443" t="str">
        <f t="shared" si="9"/>
        <v/>
      </c>
      <c r="AI73" s="443" t="str">
        <f t="shared" si="10"/>
        <v/>
      </c>
    </row>
    <row r="74" spans="3:35" x14ac:dyDescent="0.25">
      <c r="C74" s="158">
        <v>64</v>
      </c>
      <c r="D74" s="440" t="str">
        <f>IF('att Data Entry'!D77="","",IF('att Data Entry'!D77='att Data Entry'!$D$8,'att Data Entry'!$C$8,'att Data Entry'!$C$9))</f>
        <v/>
      </c>
      <c r="E74" s="40" t="str">
        <f>IF('att Data Entry'!E77="","",IF('att Data Entry'!E77='att Data Entry'!$D$8,'att Data Entry'!$C$8,'att Data Entry'!$C$9))</f>
        <v/>
      </c>
      <c r="F74" s="162" t="str">
        <f>IF('att Data Entry'!F77="","",IF('att Data Entry'!F77='att Data Entry'!$D$8,'att Data Entry'!$C$8,'att Data Entry'!$C$9))</f>
        <v/>
      </c>
      <c r="G74" s="40" t="str">
        <f t="shared" si="0"/>
        <v/>
      </c>
      <c r="H74" s="162" t="str">
        <f>IF('att Data Entry'!$D77="","",IF(X74="TRUE",1,0))</f>
        <v/>
      </c>
      <c r="I74" s="40" t="str">
        <f>IF('att Data Entry'!I77="","",IF('att Data Entry'!H77='att Data Entry'!$D$8,'att Data Entry'!$C$8,'att Data Entry'!$C$9))</f>
        <v/>
      </c>
      <c r="J74" s="162" t="str">
        <f>IF('att Data Entry'!H77="","",IF('att Data Entry'!I77='att Data Entry'!$D$8,'att Data Entry'!$C$8,'att Data Entry'!$C$9))</f>
        <v/>
      </c>
      <c r="K74" s="40" t="str">
        <f t="shared" si="1"/>
        <v/>
      </c>
      <c r="L74" s="162" t="str">
        <f>IF('att Data Entry'!$D77="","",IF(Y74="TRUE",1,0))</f>
        <v/>
      </c>
      <c r="M74" s="40" t="str">
        <f>IF('att Data Entry'!L77="","",IF('att Data Entry'!K77='att Data Entry'!$D$8,'att Data Entry'!$C$8,'att Data Entry'!$C$9))</f>
        <v/>
      </c>
      <c r="N74" s="40" t="str">
        <f>IF('att Data Entry'!K77="","",IF('att Data Entry'!L77='att Data Entry'!$D$8,'att Data Entry'!$C$8,'att Data Entry'!$C$9))</f>
        <v/>
      </c>
      <c r="O74" s="40" t="str">
        <f t="shared" si="2"/>
        <v/>
      </c>
      <c r="P74" s="162" t="str">
        <f>IF('att Data Entry'!$D77="","",IF(Z74="TRUE",1,0))</f>
        <v/>
      </c>
      <c r="Q74" s="441" t="str">
        <f>IF('att Data Entry'!H77="","",IF(M74="",T74,U74))</f>
        <v/>
      </c>
      <c r="R74" s="441" t="str">
        <f>IF('att Data Entry'!H77="","",IF(M74="",V74,W74))</f>
        <v/>
      </c>
      <c r="T74" s="40" t="str">
        <f>IF('att Data Entry'!H77="","",IF($E74+$F74+$I74+$J74=4,"TRUE",IF($E74+$F74+$I74+$J74=8,"TRUE","FALSE")))</f>
        <v/>
      </c>
      <c r="U74" s="40" t="str">
        <f>IF('att Data Entry'!K77="","",IF($E74+$F74+$I74+$J74+$M74+$N74=6,"TRUE",IF($E74+$F74+$I74+$J74+$M74+$N74=12,"TRUE","FALSE")))</f>
        <v/>
      </c>
      <c r="V74" s="40" t="str">
        <f>IF('att Data Entry'!H77="","",IF($E74+$F74+$I74+$J74+$D74=5,"TRUE",IF($E74+$F74+$I74+$J74+$D74=10,"TRUE","FALSE")))</f>
        <v/>
      </c>
      <c r="W74" s="40" t="str">
        <f>IF('att Data Entry'!K77="","",IF($E74+$F74+$I74+$J74+$M74+$N74+$D74=7,"TRUE",IF($E74+$F74+$I74+$J74+$M74+$N74+$D74=14,"TRUE","FALSE")))</f>
        <v/>
      </c>
      <c r="X74" s="40" t="str">
        <f>IF('att Data Entry'!D77="","",IF('att Calculations'!D74+'att Calculations'!E74+'att Calculations'!F74=3, "TRUE",IF('att Calculations'!D74+'att Calculations'!E74+'att Calculations'!F74=6,"TRUE","FALSE")))</f>
        <v/>
      </c>
      <c r="Y74" s="40" t="str">
        <f>IF('att Data Entry'!$D77="","",IF($D74+I74+J74=3, "TRUE",IF($D74+I74+J74=6,"TRUE","FALSE")))</f>
        <v/>
      </c>
      <c r="Z74" s="13" t="str">
        <f>IF('att Data Entry'!K77="","",IF('att Data Entry'!$D77="","",IF($D74+M74+N74=3, "TRUE",IF($D74+M74+N74=6,"TRUE","FALSE"))))</f>
        <v/>
      </c>
      <c r="AA74" s="443" t="str">
        <f t="shared" si="3"/>
        <v/>
      </c>
      <c r="AB74" s="443" t="str">
        <f t="shared" si="4"/>
        <v/>
      </c>
      <c r="AC74" s="443" t="str">
        <f t="shared" si="5"/>
        <v/>
      </c>
      <c r="AD74" s="443" t="str">
        <f t="shared" si="6"/>
        <v/>
      </c>
      <c r="AE74" s="443" t="str">
        <f t="shared" si="7"/>
        <v/>
      </c>
      <c r="AF74" s="443" t="str">
        <f t="shared" si="11"/>
        <v/>
      </c>
      <c r="AG74" s="443" t="str">
        <f t="shared" si="8"/>
        <v/>
      </c>
      <c r="AH74" s="443" t="str">
        <f t="shared" si="9"/>
        <v/>
      </c>
      <c r="AI74" s="443" t="str">
        <f t="shared" si="10"/>
        <v/>
      </c>
    </row>
    <row r="75" spans="3:35" x14ac:dyDescent="0.25">
      <c r="C75" s="158">
        <v>65</v>
      </c>
      <c r="D75" s="440" t="str">
        <f>IF('att Data Entry'!D78="","",IF('att Data Entry'!D78='att Data Entry'!$D$8,'att Data Entry'!$C$8,'att Data Entry'!$C$9))</f>
        <v/>
      </c>
      <c r="E75" s="40" t="str">
        <f>IF('att Data Entry'!E78="","",IF('att Data Entry'!E78='att Data Entry'!$D$8,'att Data Entry'!$C$8,'att Data Entry'!$C$9))</f>
        <v/>
      </c>
      <c r="F75" s="162" t="str">
        <f>IF('att Data Entry'!F78="","",IF('att Data Entry'!F78='att Data Entry'!$D$8,'att Data Entry'!$C$8,'att Data Entry'!$C$9))</f>
        <v/>
      </c>
      <c r="G75" s="40" t="str">
        <f t="shared" ref="G75:G110" si="12">IF(E75="","",IF(E75=F75,1,0))</f>
        <v/>
      </c>
      <c r="H75" s="162" t="str">
        <f>IF('att Data Entry'!$D78="","",IF(X75="TRUE",1,0))</f>
        <v/>
      </c>
      <c r="I75" s="40" t="str">
        <f>IF('att Data Entry'!I78="","",IF('att Data Entry'!H78='att Data Entry'!$D$8,'att Data Entry'!$C$8,'att Data Entry'!$C$9))</f>
        <v/>
      </c>
      <c r="J75" s="162" t="str">
        <f>IF('att Data Entry'!H78="","",IF('att Data Entry'!I78='att Data Entry'!$D$8,'att Data Entry'!$C$8,'att Data Entry'!$C$9))</f>
        <v/>
      </c>
      <c r="K75" s="40" t="str">
        <f t="shared" ref="K75:K110" si="13">IF(I75="","",IF(I75=J75,1,0))</f>
        <v/>
      </c>
      <c r="L75" s="162" t="str">
        <f>IF('att Data Entry'!$D78="","",IF(Y75="TRUE",1,0))</f>
        <v/>
      </c>
      <c r="M75" s="40" t="str">
        <f>IF('att Data Entry'!L78="","",IF('att Data Entry'!K78='att Data Entry'!$D$8,'att Data Entry'!$C$8,'att Data Entry'!$C$9))</f>
        <v/>
      </c>
      <c r="N75" s="40" t="str">
        <f>IF('att Data Entry'!K78="","",IF('att Data Entry'!L78='att Data Entry'!$D$8,'att Data Entry'!$C$8,'att Data Entry'!$C$9))</f>
        <v/>
      </c>
      <c r="O75" s="40" t="str">
        <f t="shared" ref="O75:O110" si="14">IF(M75="","",IF(M75=N75,1,0))</f>
        <v/>
      </c>
      <c r="P75" s="162" t="str">
        <f>IF('att Data Entry'!$D78="","",IF(Z75="TRUE",1,0))</f>
        <v/>
      </c>
      <c r="Q75" s="441" t="str">
        <f>IF('att Data Entry'!H78="","",IF(M75="",T75,U75))</f>
        <v/>
      </c>
      <c r="R75" s="441" t="str">
        <f>IF('att Data Entry'!H78="","",IF(M75="",V75,W75))</f>
        <v/>
      </c>
      <c r="T75" s="40" t="str">
        <f>IF('att Data Entry'!H78="","",IF($E75+$F75+$I75+$J75=4,"TRUE",IF($E75+$F75+$I75+$J75=8,"TRUE","FALSE")))</f>
        <v/>
      </c>
      <c r="U75" s="40" t="str">
        <f>IF('att Data Entry'!K78="","",IF($E75+$F75+$I75+$J75+$M75+$N75=6,"TRUE",IF($E75+$F75+$I75+$J75+$M75+$N75=12,"TRUE","FALSE")))</f>
        <v/>
      </c>
      <c r="V75" s="40" t="str">
        <f>IF('att Data Entry'!H78="","",IF($E75+$F75+$I75+$J75+$D75=5,"TRUE",IF($E75+$F75+$I75+$J75+$D75=10,"TRUE","FALSE")))</f>
        <v/>
      </c>
      <c r="W75" s="40" t="str">
        <f>IF('att Data Entry'!K78="","",IF($E75+$F75+$I75+$J75+$M75+$N75+$D75=7,"TRUE",IF($E75+$F75+$I75+$J75+$M75+$N75+$D75=14,"TRUE","FALSE")))</f>
        <v/>
      </c>
      <c r="X75" s="40" t="str">
        <f>IF('att Data Entry'!D78="","",IF('att Calculations'!D75+'att Calculations'!E75+'att Calculations'!F75=3, "TRUE",IF('att Calculations'!D75+'att Calculations'!E75+'att Calculations'!F75=6,"TRUE","FALSE")))</f>
        <v/>
      </c>
      <c r="Y75" s="40" t="str">
        <f>IF('att Data Entry'!$D78="","",IF($D75+I75+J75=3, "TRUE",IF($D75+I75+J75=6,"TRUE","FALSE")))</f>
        <v/>
      </c>
      <c r="Z75" s="13" t="str">
        <f>IF('att Data Entry'!K78="","",IF('att Data Entry'!$D78="","",IF($D75+M75+N75=3, "TRUE",IF($D75+M75+N75=6,"TRUE","FALSE"))))</f>
        <v/>
      </c>
      <c r="AA75" s="443" t="str">
        <f t="shared" si="3"/>
        <v/>
      </c>
      <c r="AB75" s="443" t="str">
        <f t="shared" si="4"/>
        <v/>
      </c>
      <c r="AC75" s="443" t="str">
        <f t="shared" si="5"/>
        <v/>
      </c>
      <c r="AD75" s="443" t="str">
        <f t="shared" si="6"/>
        <v/>
      </c>
      <c r="AE75" s="443" t="str">
        <f t="shared" si="7"/>
        <v/>
      </c>
      <c r="AF75" s="443" t="str">
        <f t="shared" si="11"/>
        <v/>
      </c>
      <c r="AG75" s="443" t="str">
        <f t="shared" si="8"/>
        <v/>
      </c>
      <c r="AH75" s="443" t="str">
        <f t="shared" si="9"/>
        <v/>
      </c>
      <c r="AI75" s="443" t="str">
        <f t="shared" si="10"/>
        <v/>
      </c>
    </row>
    <row r="76" spans="3:35" x14ac:dyDescent="0.25">
      <c r="C76" s="158">
        <v>66</v>
      </c>
      <c r="D76" s="440" t="str">
        <f>IF('att Data Entry'!D79="","",IF('att Data Entry'!D79='att Data Entry'!$D$8,'att Data Entry'!$C$8,'att Data Entry'!$C$9))</f>
        <v/>
      </c>
      <c r="E76" s="40" t="str">
        <f>IF('att Data Entry'!E79="","",IF('att Data Entry'!E79='att Data Entry'!$D$8,'att Data Entry'!$C$8,'att Data Entry'!$C$9))</f>
        <v/>
      </c>
      <c r="F76" s="162" t="str">
        <f>IF('att Data Entry'!F79="","",IF('att Data Entry'!F79='att Data Entry'!$D$8,'att Data Entry'!$C$8,'att Data Entry'!$C$9))</f>
        <v/>
      </c>
      <c r="G76" s="40" t="str">
        <f t="shared" si="12"/>
        <v/>
      </c>
      <c r="H76" s="162" t="str">
        <f>IF('att Data Entry'!$D79="","",IF(X76="TRUE",1,0))</f>
        <v/>
      </c>
      <c r="I76" s="40" t="str">
        <f>IF('att Data Entry'!I79="","",IF('att Data Entry'!H79='att Data Entry'!$D$8,'att Data Entry'!$C$8,'att Data Entry'!$C$9))</f>
        <v/>
      </c>
      <c r="J76" s="162" t="str">
        <f>IF('att Data Entry'!H79="","",IF('att Data Entry'!I79='att Data Entry'!$D$8,'att Data Entry'!$C$8,'att Data Entry'!$C$9))</f>
        <v/>
      </c>
      <c r="K76" s="40" t="str">
        <f t="shared" si="13"/>
        <v/>
      </c>
      <c r="L76" s="162" t="str">
        <f>IF('att Data Entry'!$D79="","",IF(Y76="TRUE",1,0))</f>
        <v/>
      </c>
      <c r="M76" s="40" t="str">
        <f>IF('att Data Entry'!L79="","",IF('att Data Entry'!K79='att Data Entry'!$D$8,'att Data Entry'!$C$8,'att Data Entry'!$C$9))</f>
        <v/>
      </c>
      <c r="N76" s="40" t="str">
        <f>IF('att Data Entry'!K79="","",IF('att Data Entry'!L79='att Data Entry'!$D$8,'att Data Entry'!$C$8,'att Data Entry'!$C$9))</f>
        <v/>
      </c>
      <c r="O76" s="40" t="str">
        <f t="shared" si="14"/>
        <v/>
      </c>
      <c r="P76" s="162" t="str">
        <f>IF('att Data Entry'!$D79="","",IF(Z76="TRUE",1,0))</f>
        <v/>
      </c>
      <c r="Q76" s="441" t="str">
        <f>IF('att Data Entry'!H79="","",IF(M76="",T76,U76))</f>
        <v/>
      </c>
      <c r="R76" s="441" t="str">
        <f>IF('att Data Entry'!H79="","",IF(M76="",V76,W76))</f>
        <v/>
      </c>
      <c r="T76" s="40" t="str">
        <f>IF('att Data Entry'!H79="","",IF($E76+$F76+$I76+$J76=4,"TRUE",IF($E76+$F76+$I76+$J76=8,"TRUE","FALSE")))</f>
        <v/>
      </c>
      <c r="U76" s="40" t="str">
        <f>IF('att Data Entry'!K79="","",IF($E76+$F76+$I76+$J76+$M76+$N76=6,"TRUE",IF($E76+$F76+$I76+$J76+$M76+$N76=12,"TRUE","FALSE")))</f>
        <v/>
      </c>
      <c r="V76" s="40" t="str">
        <f>IF('att Data Entry'!H79="","",IF($E76+$F76+$I76+$J76+$D76=5,"TRUE",IF($E76+$F76+$I76+$J76+$D76=10,"TRUE","FALSE")))</f>
        <v/>
      </c>
      <c r="W76" s="40" t="str">
        <f>IF('att Data Entry'!K79="","",IF($E76+$F76+$I76+$J76+$M76+$N76+$D76=7,"TRUE",IF($E76+$F76+$I76+$J76+$M76+$N76+$D76=14,"TRUE","FALSE")))</f>
        <v/>
      </c>
      <c r="X76" s="40" t="str">
        <f>IF('att Data Entry'!D79="","",IF('att Calculations'!D76+'att Calculations'!E76+'att Calculations'!F76=3, "TRUE",IF('att Calculations'!D76+'att Calculations'!E76+'att Calculations'!F76=6,"TRUE","FALSE")))</f>
        <v/>
      </c>
      <c r="Y76" s="40" t="str">
        <f>IF('att Data Entry'!$D79="","",IF($D76+I76+J76=3, "TRUE",IF($D76+I76+J76=6,"TRUE","FALSE")))</f>
        <v/>
      </c>
      <c r="Z76" s="13" t="str">
        <f>IF('att Data Entry'!K79="","",IF('att Data Entry'!$D79="","",IF($D76+M76+N76=3, "TRUE",IF($D76+M76+N76=6,"TRUE","FALSE"))))</f>
        <v/>
      </c>
      <c r="AA76" s="443" t="str">
        <f t="shared" ref="AA76:AA110" si="15">IF($D76&lt;&gt;"",IF($D76=1,IF(E76=2,IF(F76=2,1,0),0),0),"")</f>
        <v/>
      </c>
      <c r="AB76" s="443" t="str">
        <f t="shared" ref="AB76:AB110" si="16">IF($D76&lt;&gt;"",IF($D76=2,IF(F76=1,IF(G76=1,1,0),0),0),"")</f>
        <v/>
      </c>
      <c r="AC76" s="443" t="str">
        <f t="shared" ref="AC76:AC110" si="17">IF($D76&lt;&gt;"",IF(E76&lt;&gt;F76,1,0),"")</f>
        <v/>
      </c>
      <c r="AD76" s="443" t="str">
        <f t="shared" ref="AD76:AD110" si="18">IF($D76&lt;&gt;"",IF($D76=1,IF(I76=2,IF(J76=2,1,0),0),0),"")</f>
        <v/>
      </c>
      <c r="AE76" s="443" t="str">
        <f t="shared" ref="AE76:AE110" si="19">IF($D76&lt;&gt;"",IF($D76=2,IF(I76=1,IF(J76=1,1,0),0),0),"")</f>
        <v/>
      </c>
      <c r="AF76" s="443" t="str">
        <f t="shared" si="11"/>
        <v/>
      </c>
      <c r="AG76" s="443" t="str">
        <f t="shared" ref="AG76:AG110" si="20">IF($D76&lt;&gt;"",IF($D76=1,IF(M76=2,IF(N76=2,1,0),0),0),"")</f>
        <v/>
      </c>
      <c r="AH76" s="443" t="str">
        <f t="shared" ref="AH76:AH110" si="21">IF($D76&lt;&gt;"",IF($D76=2,IF(M76=1,IF(N76=1,1,0),0),0),"")</f>
        <v/>
      </c>
      <c r="AI76" s="443" t="str">
        <f t="shared" ref="AI76:AI110" si="22">IF($D76&lt;&gt;"",IF(M76&lt;&gt;N76,1,0),"")</f>
        <v/>
      </c>
    </row>
    <row r="77" spans="3:35" x14ac:dyDescent="0.25">
      <c r="C77" s="158">
        <v>67</v>
      </c>
      <c r="D77" s="440" t="str">
        <f>IF('att Data Entry'!D80="","",IF('att Data Entry'!D80='att Data Entry'!$D$8,'att Data Entry'!$C$8,'att Data Entry'!$C$9))</f>
        <v/>
      </c>
      <c r="E77" s="40" t="str">
        <f>IF('att Data Entry'!E80="","",IF('att Data Entry'!E80='att Data Entry'!$D$8,'att Data Entry'!$C$8,'att Data Entry'!$C$9))</f>
        <v/>
      </c>
      <c r="F77" s="162" t="str">
        <f>IF('att Data Entry'!F80="","",IF('att Data Entry'!F80='att Data Entry'!$D$8,'att Data Entry'!$C$8,'att Data Entry'!$C$9))</f>
        <v/>
      </c>
      <c r="G77" s="40" t="str">
        <f t="shared" si="12"/>
        <v/>
      </c>
      <c r="H77" s="162" t="str">
        <f>IF('att Data Entry'!$D80="","",IF(X77="TRUE",1,0))</f>
        <v/>
      </c>
      <c r="I77" s="40" t="str">
        <f>IF('att Data Entry'!I80="","",IF('att Data Entry'!H80='att Data Entry'!$D$8,'att Data Entry'!$C$8,'att Data Entry'!$C$9))</f>
        <v/>
      </c>
      <c r="J77" s="162" t="str">
        <f>IF('att Data Entry'!H80="","",IF('att Data Entry'!I80='att Data Entry'!$D$8,'att Data Entry'!$C$8,'att Data Entry'!$C$9))</f>
        <v/>
      </c>
      <c r="K77" s="40" t="str">
        <f t="shared" si="13"/>
        <v/>
      </c>
      <c r="L77" s="162" t="str">
        <f>IF('att Data Entry'!$D80="","",IF(Y77="TRUE",1,0))</f>
        <v/>
      </c>
      <c r="M77" s="40" t="str">
        <f>IF('att Data Entry'!L80="","",IF('att Data Entry'!K80='att Data Entry'!$D$8,'att Data Entry'!$C$8,'att Data Entry'!$C$9))</f>
        <v/>
      </c>
      <c r="N77" s="40" t="str">
        <f>IF('att Data Entry'!K80="","",IF('att Data Entry'!L80='att Data Entry'!$D$8,'att Data Entry'!$C$8,'att Data Entry'!$C$9))</f>
        <v/>
      </c>
      <c r="O77" s="40" t="str">
        <f t="shared" si="14"/>
        <v/>
      </c>
      <c r="P77" s="162" t="str">
        <f>IF('att Data Entry'!$D80="","",IF(Z77="TRUE",1,0))</f>
        <v/>
      </c>
      <c r="Q77" s="441" t="str">
        <f>IF('att Data Entry'!H80="","",IF(M77="",T77,U77))</f>
        <v/>
      </c>
      <c r="R77" s="441" t="str">
        <f>IF('att Data Entry'!H80="","",IF(M77="",V77,W77))</f>
        <v/>
      </c>
      <c r="T77" s="40" t="str">
        <f>IF('att Data Entry'!H80="","",IF($E77+$F77+$I77+$J77=4,"TRUE",IF($E77+$F77+$I77+$J77=8,"TRUE","FALSE")))</f>
        <v/>
      </c>
      <c r="U77" s="40" t="str">
        <f>IF('att Data Entry'!K80="","",IF($E77+$F77+$I77+$J77+$M77+$N77=6,"TRUE",IF($E77+$F77+$I77+$J77+$M77+$N77=12,"TRUE","FALSE")))</f>
        <v/>
      </c>
      <c r="V77" s="40" t="str">
        <f>IF('att Data Entry'!H80="","",IF($E77+$F77+$I77+$J77+$D77=5,"TRUE",IF($E77+$F77+$I77+$J77+$D77=10,"TRUE","FALSE")))</f>
        <v/>
      </c>
      <c r="W77" s="40" t="str">
        <f>IF('att Data Entry'!K80="","",IF($E77+$F77+$I77+$J77+$M77+$N77+$D77=7,"TRUE",IF($E77+$F77+$I77+$J77+$M77+$N77+$D77=14,"TRUE","FALSE")))</f>
        <v/>
      </c>
      <c r="X77" s="40" t="str">
        <f>IF('att Data Entry'!D80="","",IF('att Calculations'!D77+'att Calculations'!E77+'att Calculations'!F77=3, "TRUE",IF('att Calculations'!D77+'att Calculations'!E77+'att Calculations'!F77=6,"TRUE","FALSE")))</f>
        <v/>
      </c>
      <c r="Y77" s="40" t="str">
        <f>IF('att Data Entry'!$D80="","",IF($D77+I77+J77=3, "TRUE",IF($D77+I77+J77=6,"TRUE","FALSE")))</f>
        <v/>
      </c>
      <c r="Z77" s="13" t="str">
        <f>IF('att Data Entry'!K80="","",IF('att Data Entry'!$D80="","",IF($D77+M77+N77=3, "TRUE",IF($D77+M77+N77=6,"TRUE","FALSE"))))</f>
        <v/>
      </c>
      <c r="AA77" s="443" t="str">
        <f t="shared" si="15"/>
        <v/>
      </c>
      <c r="AB77" s="443" t="str">
        <f t="shared" si="16"/>
        <v/>
      </c>
      <c r="AC77" s="443" t="str">
        <f t="shared" si="17"/>
        <v/>
      </c>
      <c r="AD77" s="443" t="str">
        <f t="shared" si="18"/>
        <v/>
      </c>
      <c r="AE77" s="443" t="str">
        <f t="shared" si="19"/>
        <v/>
      </c>
      <c r="AF77" s="443" t="str">
        <f t="shared" si="11"/>
        <v/>
      </c>
      <c r="AG77" s="443" t="str">
        <f t="shared" si="20"/>
        <v/>
      </c>
      <c r="AH77" s="443" t="str">
        <f t="shared" si="21"/>
        <v/>
      </c>
      <c r="AI77" s="443" t="str">
        <f t="shared" si="22"/>
        <v/>
      </c>
    </row>
    <row r="78" spans="3:35" x14ac:dyDescent="0.25">
      <c r="C78" s="158">
        <v>68</v>
      </c>
      <c r="D78" s="440" t="str">
        <f>IF('att Data Entry'!D81="","",IF('att Data Entry'!D81='att Data Entry'!$D$8,'att Data Entry'!$C$8,'att Data Entry'!$C$9))</f>
        <v/>
      </c>
      <c r="E78" s="40" t="str">
        <f>IF('att Data Entry'!E81="","",IF('att Data Entry'!E81='att Data Entry'!$D$8,'att Data Entry'!$C$8,'att Data Entry'!$C$9))</f>
        <v/>
      </c>
      <c r="F78" s="162" t="str">
        <f>IF('att Data Entry'!F81="","",IF('att Data Entry'!F81='att Data Entry'!$D$8,'att Data Entry'!$C$8,'att Data Entry'!$C$9))</f>
        <v/>
      </c>
      <c r="G78" s="40" t="str">
        <f t="shared" si="12"/>
        <v/>
      </c>
      <c r="H78" s="162" t="str">
        <f>IF('att Data Entry'!$D81="","",IF(X78="TRUE",1,0))</f>
        <v/>
      </c>
      <c r="I78" s="40" t="str">
        <f>IF('att Data Entry'!I81="","",IF('att Data Entry'!H81='att Data Entry'!$D$8,'att Data Entry'!$C$8,'att Data Entry'!$C$9))</f>
        <v/>
      </c>
      <c r="J78" s="162" t="str">
        <f>IF('att Data Entry'!H81="","",IF('att Data Entry'!I81='att Data Entry'!$D$8,'att Data Entry'!$C$8,'att Data Entry'!$C$9))</f>
        <v/>
      </c>
      <c r="K78" s="40" t="str">
        <f t="shared" si="13"/>
        <v/>
      </c>
      <c r="L78" s="162" t="str">
        <f>IF('att Data Entry'!$D81="","",IF(Y78="TRUE",1,0))</f>
        <v/>
      </c>
      <c r="M78" s="40" t="str">
        <f>IF('att Data Entry'!L81="","",IF('att Data Entry'!K81='att Data Entry'!$D$8,'att Data Entry'!$C$8,'att Data Entry'!$C$9))</f>
        <v/>
      </c>
      <c r="N78" s="40" t="str">
        <f>IF('att Data Entry'!K81="","",IF('att Data Entry'!L81='att Data Entry'!$D$8,'att Data Entry'!$C$8,'att Data Entry'!$C$9))</f>
        <v/>
      </c>
      <c r="O78" s="40" t="str">
        <f t="shared" si="14"/>
        <v/>
      </c>
      <c r="P78" s="162" t="str">
        <f>IF('att Data Entry'!$D81="","",IF(Z78="TRUE",1,0))</f>
        <v/>
      </c>
      <c r="Q78" s="441" t="str">
        <f>IF('att Data Entry'!H81="","",IF(M78="",T78,U78))</f>
        <v/>
      </c>
      <c r="R78" s="441" t="str">
        <f>IF('att Data Entry'!H81="","",IF(M78="",V78,W78))</f>
        <v/>
      </c>
      <c r="T78" s="40" t="str">
        <f>IF('att Data Entry'!H81="","",IF($E78+$F78+$I78+$J78=4,"TRUE",IF($E78+$F78+$I78+$J78=8,"TRUE","FALSE")))</f>
        <v/>
      </c>
      <c r="U78" s="40" t="str">
        <f>IF('att Data Entry'!K81="","",IF($E78+$F78+$I78+$J78+$M78+$N78=6,"TRUE",IF($E78+$F78+$I78+$J78+$M78+$N78=12,"TRUE","FALSE")))</f>
        <v/>
      </c>
      <c r="V78" s="40" t="str">
        <f>IF('att Data Entry'!H81="","",IF($E78+$F78+$I78+$J78+$D78=5,"TRUE",IF($E78+$F78+$I78+$J78+$D78=10,"TRUE","FALSE")))</f>
        <v/>
      </c>
      <c r="W78" s="40" t="str">
        <f>IF('att Data Entry'!K81="","",IF($E78+$F78+$I78+$J78+$M78+$N78+$D78=7,"TRUE",IF($E78+$F78+$I78+$J78+$M78+$N78+$D78=14,"TRUE","FALSE")))</f>
        <v/>
      </c>
      <c r="X78" s="40" t="str">
        <f>IF('att Data Entry'!D81="","",IF('att Calculations'!D78+'att Calculations'!E78+'att Calculations'!F78=3, "TRUE",IF('att Calculations'!D78+'att Calculations'!E78+'att Calculations'!F78=6,"TRUE","FALSE")))</f>
        <v/>
      </c>
      <c r="Y78" s="40" t="str">
        <f>IF('att Data Entry'!$D81="","",IF($D78+I78+J78=3, "TRUE",IF($D78+I78+J78=6,"TRUE","FALSE")))</f>
        <v/>
      </c>
      <c r="Z78" s="13" t="str">
        <f>IF('att Data Entry'!K81="","",IF('att Data Entry'!$D81="","",IF($D78+M78+N78=3, "TRUE",IF($D78+M78+N78=6,"TRUE","FALSE"))))</f>
        <v/>
      </c>
      <c r="AA78" s="443" t="str">
        <f t="shared" si="15"/>
        <v/>
      </c>
      <c r="AB78" s="443" t="str">
        <f t="shared" si="16"/>
        <v/>
      </c>
      <c r="AC78" s="443" t="str">
        <f t="shared" si="17"/>
        <v/>
      </c>
      <c r="AD78" s="443" t="str">
        <f t="shared" si="18"/>
        <v/>
      </c>
      <c r="AE78" s="443" t="str">
        <f t="shared" si="19"/>
        <v/>
      </c>
      <c r="AF78" s="443" t="str">
        <f t="shared" ref="AF78:AF110" si="23">IF(D78&lt;&gt;"",IF(I78&lt;&gt;J78,1,0),"")</f>
        <v/>
      </c>
      <c r="AG78" s="443" t="str">
        <f t="shared" si="20"/>
        <v/>
      </c>
      <c r="AH78" s="443" t="str">
        <f t="shared" si="21"/>
        <v/>
      </c>
      <c r="AI78" s="443" t="str">
        <f t="shared" si="22"/>
        <v/>
      </c>
    </row>
    <row r="79" spans="3:35" x14ac:dyDescent="0.25">
      <c r="C79" s="158">
        <v>69</v>
      </c>
      <c r="D79" s="440" t="str">
        <f>IF('att Data Entry'!D82="","",IF('att Data Entry'!D82='att Data Entry'!$D$8,'att Data Entry'!$C$8,'att Data Entry'!$C$9))</f>
        <v/>
      </c>
      <c r="E79" s="40" t="str">
        <f>IF('att Data Entry'!E82="","",IF('att Data Entry'!E82='att Data Entry'!$D$8,'att Data Entry'!$C$8,'att Data Entry'!$C$9))</f>
        <v/>
      </c>
      <c r="F79" s="162" t="str">
        <f>IF('att Data Entry'!F82="","",IF('att Data Entry'!F82='att Data Entry'!$D$8,'att Data Entry'!$C$8,'att Data Entry'!$C$9))</f>
        <v/>
      </c>
      <c r="G79" s="40" t="str">
        <f t="shared" si="12"/>
        <v/>
      </c>
      <c r="H79" s="162" t="str">
        <f>IF('att Data Entry'!$D82="","",IF(X79="TRUE",1,0))</f>
        <v/>
      </c>
      <c r="I79" s="40" t="str">
        <f>IF('att Data Entry'!I82="","",IF('att Data Entry'!H82='att Data Entry'!$D$8,'att Data Entry'!$C$8,'att Data Entry'!$C$9))</f>
        <v/>
      </c>
      <c r="J79" s="162" t="str">
        <f>IF('att Data Entry'!H82="","",IF('att Data Entry'!I82='att Data Entry'!$D$8,'att Data Entry'!$C$8,'att Data Entry'!$C$9))</f>
        <v/>
      </c>
      <c r="K79" s="40" t="str">
        <f t="shared" si="13"/>
        <v/>
      </c>
      <c r="L79" s="162" t="str">
        <f>IF('att Data Entry'!$D82="","",IF(Y79="TRUE",1,0))</f>
        <v/>
      </c>
      <c r="M79" s="40" t="str">
        <f>IF('att Data Entry'!L82="","",IF('att Data Entry'!K82='att Data Entry'!$D$8,'att Data Entry'!$C$8,'att Data Entry'!$C$9))</f>
        <v/>
      </c>
      <c r="N79" s="40" t="str">
        <f>IF('att Data Entry'!K82="","",IF('att Data Entry'!L82='att Data Entry'!$D$8,'att Data Entry'!$C$8,'att Data Entry'!$C$9))</f>
        <v/>
      </c>
      <c r="O79" s="40" t="str">
        <f t="shared" si="14"/>
        <v/>
      </c>
      <c r="P79" s="162" t="str">
        <f>IF('att Data Entry'!$D82="","",IF(Z79="TRUE",1,0))</f>
        <v/>
      </c>
      <c r="Q79" s="441" t="str">
        <f>IF('att Data Entry'!H82="","",IF(M79="",T79,U79))</f>
        <v/>
      </c>
      <c r="R79" s="441" t="str">
        <f>IF('att Data Entry'!H82="","",IF(M79="",V79,W79))</f>
        <v/>
      </c>
      <c r="T79" s="40" t="str">
        <f>IF('att Data Entry'!H82="","",IF($E79+$F79+$I79+$J79=4,"TRUE",IF($E79+$F79+$I79+$J79=8,"TRUE","FALSE")))</f>
        <v/>
      </c>
      <c r="U79" s="40" t="str">
        <f>IF('att Data Entry'!K82="","",IF($E79+$F79+$I79+$J79+$M79+$N79=6,"TRUE",IF($E79+$F79+$I79+$J79+$M79+$N79=12,"TRUE","FALSE")))</f>
        <v/>
      </c>
      <c r="V79" s="40" t="str">
        <f>IF('att Data Entry'!H82="","",IF($E79+$F79+$I79+$J79+$D79=5,"TRUE",IF($E79+$F79+$I79+$J79+$D79=10,"TRUE","FALSE")))</f>
        <v/>
      </c>
      <c r="W79" s="40" t="str">
        <f>IF('att Data Entry'!K82="","",IF($E79+$F79+$I79+$J79+$M79+$N79+$D79=7,"TRUE",IF($E79+$F79+$I79+$J79+$M79+$N79+$D79=14,"TRUE","FALSE")))</f>
        <v/>
      </c>
      <c r="X79" s="40" t="str">
        <f>IF('att Data Entry'!D82="","",IF('att Calculations'!D79+'att Calculations'!E79+'att Calculations'!F79=3, "TRUE",IF('att Calculations'!D79+'att Calculations'!E79+'att Calculations'!F79=6,"TRUE","FALSE")))</f>
        <v/>
      </c>
      <c r="Y79" s="40" t="str">
        <f>IF('att Data Entry'!$D82="","",IF($D79+I79+J79=3, "TRUE",IF($D79+I79+J79=6,"TRUE","FALSE")))</f>
        <v/>
      </c>
      <c r="Z79" s="13" t="str">
        <f>IF('att Data Entry'!K82="","",IF('att Data Entry'!$D82="","",IF($D79+M79+N79=3, "TRUE",IF($D79+M79+N79=6,"TRUE","FALSE"))))</f>
        <v/>
      </c>
      <c r="AA79" s="443" t="str">
        <f t="shared" si="15"/>
        <v/>
      </c>
      <c r="AB79" s="443" t="str">
        <f t="shared" si="16"/>
        <v/>
      </c>
      <c r="AC79" s="443" t="str">
        <f t="shared" si="17"/>
        <v/>
      </c>
      <c r="AD79" s="443" t="str">
        <f t="shared" si="18"/>
        <v/>
      </c>
      <c r="AE79" s="443" t="str">
        <f t="shared" si="19"/>
        <v/>
      </c>
      <c r="AF79" s="443" t="str">
        <f t="shared" si="23"/>
        <v/>
      </c>
      <c r="AG79" s="443" t="str">
        <f t="shared" si="20"/>
        <v/>
      </c>
      <c r="AH79" s="443" t="str">
        <f t="shared" si="21"/>
        <v/>
      </c>
      <c r="AI79" s="443" t="str">
        <f t="shared" si="22"/>
        <v/>
      </c>
    </row>
    <row r="80" spans="3:35" x14ac:dyDescent="0.25">
      <c r="C80" s="158">
        <v>70</v>
      </c>
      <c r="D80" s="440" t="str">
        <f>IF('att Data Entry'!D83="","",IF('att Data Entry'!D83='att Data Entry'!$D$8,'att Data Entry'!$C$8,'att Data Entry'!$C$9))</f>
        <v/>
      </c>
      <c r="E80" s="40" t="str">
        <f>IF('att Data Entry'!E83="","",IF('att Data Entry'!E83='att Data Entry'!$D$8,'att Data Entry'!$C$8,'att Data Entry'!$C$9))</f>
        <v/>
      </c>
      <c r="F80" s="162" t="str">
        <f>IF('att Data Entry'!F83="","",IF('att Data Entry'!F83='att Data Entry'!$D$8,'att Data Entry'!$C$8,'att Data Entry'!$C$9))</f>
        <v/>
      </c>
      <c r="G80" s="40" t="str">
        <f t="shared" si="12"/>
        <v/>
      </c>
      <c r="H80" s="162" t="str">
        <f>IF('att Data Entry'!$D83="","",IF(X80="TRUE",1,0))</f>
        <v/>
      </c>
      <c r="I80" s="40" t="str">
        <f>IF('att Data Entry'!I83="","",IF('att Data Entry'!H83='att Data Entry'!$D$8,'att Data Entry'!$C$8,'att Data Entry'!$C$9))</f>
        <v/>
      </c>
      <c r="J80" s="162" t="str">
        <f>IF('att Data Entry'!H83="","",IF('att Data Entry'!I83='att Data Entry'!$D$8,'att Data Entry'!$C$8,'att Data Entry'!$C$9))</f>
        <v/>
      </c>
      <c r="K80" s="40" t="str">
        <f t="shared" si="13"/>
        <v/>
      </c>
      <c r="L80" s="162" t="str">
        <f>IF('att Data Entry'!$D83="","",IF(Y80="TRUE",1,0))</f>
        <v/>
      </c>
      <c r="M80" s="40" t="str">
        <f>IF('att Data Entry'!L83="","",IF('att Data Entry'!K83='att Data Entry'!$D$8,'att Data Entry'!$C$8,'att Data Entry'!$C$9))</f>
        <v/>
      </c>
      <c r="N80" s="40" t="str">
        <f>IF('att Data Entry'!K83="","",IF('att Data Entry'!L83='att Data Entry'!$D$8,'att Data Entry'!$C$8,'att Data Entry'!$C$9))</f>
        <v/>
      </c>
      <c r="O80" s="40" t="str">
        <f t="shared" si="14"/>
        <v/>
      </c>
      <c r="P80" s="162" t="str">
        <f>IF('att Data Entry'!$D83="","",IF(Z80="TRUE",1,0))</f>
        <v/>
      </c>
      <c r="Q80" s="441" t="str">
        <f>IF('att Data Entry'!H83="","",IF(M80="",T80,U80))</f>
        <v/>
      </c>
      <c r="R80" s="441" t="str">
        <f>IF('att Data Entry'!H83="","",IF(M80="",V80,W80))</f>
        <v/>
      </c>
      <c r="T80" s="40" t="str">
        <f>IF('att Data Entry'!H83="","",IF($E80+$F80+$I80+$J80=4,"TRUE",IF($E80+$F80+$I80+$J80=8,"TRUE","FALSE")))</f>
        <v/>
      </c>
      <c r="U80" s="40" t="str">
        <f>IF('att Data Entry'!K83="","",IF($E80+$F80+$I80+$J80+$M80+$N80=6,"TRUE",IF($E80+$F80+$I80+$J80+$M80+$N80=12,"TRUE","FALSE")))</f>
        <v/>
      </c>
      <c r="V80" s="40" t="str">
        <f>IF('att Data Entry'!H83="","",IF($E80+$F80+$I80+$J80+$D80=5,"TRUE",IF($E80+$F80+$I80+$J80+$D80=10,"TRUE","FALSE")))</f>
        <v/>
      </c>
      <c r="W80" s="40" t="str">
        <f>IF('att Data Entry'!K83="","",IF($E80+$F80+$I80+$J80+$M80+$N80+$D80=7,"TRUE",IF($E80+$F80+$I80+$J80+$M80+$N80+$D80=14,"TRUE","FALSE")))</f>
        <v/>
      </c>
      <c r="X80" s="40" t="str">
        <f>IF('att Data Entry'!D83="","",IF('att Calculations'!D80+'att Calculations'!E80+'att Calculations'!F80=3, "TRUE",IF('att Calculations'!D80+'att Calculations'!E80+'att Calculations'!F80=6,"TRUE","FALSE")))</f>
        <v/>
      </c>
      <c r="Y80" s="40" t="str">
        <f>IF('att Data Entry'!$D83="","",IF($D80+I80+J80=3, "TRUE",IF($D80+I80+J80=6,"TRUE","FALSE")))</f>
        <v/>
      </c>
      <c r="Z80" s="13" t="str">
        <f>IF('att Data Entry'!K83="","",IF('att Data Entry'!$D83="","",IF($D80+M80+N80=3, "TRUE",IF($D80+M80+N80=6,"TRUE","FALSE"))))</f>
        <v/>
      </c>
      <c r="AA80" s="443" t="str">
        <f t="shared" si="15"/>
        <v/>
      </c>
      <c r="AB80" s="443" t="str">
        <f t="shared" si="16"/>
        <v/>
      </c>
      <c r="AC80" s="443" t="str">
        <f t="shared" si="17"/>
        <v/>
      </c>
      <c r="AD80" s="443" t="str">
        <f t="shared" si="18"/>
        <v/>
      </c>
      <c r="AE80" s="443" t="str">
        <f t="shared" si="19"/>
        <v/>
      </c>
      <c r="AF80" s="443" t="str">
        <f t="shared" si="23"/>
        <v/>
      </c>
      <c r="AG80" s="443" t="str">
        <f t="shared" si="20"/>
        <v/>
      </c>
      <c r="AH80" s="443" t="str">
        <f t="shared" si="21"/>
        <v/>
      </c>
      <c r="AI80" s="443" t="str">
        <f t="shared" si="22"/>
        <v/>
      </c>
    </row>
    <row r="81" spans="3:35" x14ac:dyDescent="0.25">
      <c r="C81" s="158">
        <v>71</v>
      </c>
      <c r="D81" s="440" t="str">
        <f>IF('att Data Entry'!D84="","",IF('att Data Entry'!D84='att Data Entry'!$D$8,'att Data Entry'!$C$8,'att Data Entry'!$C$9))</f>
        <v/>
      </c>
      <c r="E81" s="40" t="str">
        <f>IF('att Data Entry'!E84="","",IF('att Data Entry'!E84='att Data Entry'!$D$8,'att Data Entry'!$C$8,'att Data Entry'!$C$9))</f>
        <v/>
      </c>
      <c r="F81" s="162" t="str">
        <f>IF('att Data Entry'!F84="","",IF('att Data Entry'!F84='att Data Entry'!$D$8,'att Data Entry'!$C$8,'att Data Entry'!$C$9))</f>
        <v/>
      </c>
      <c r="G81" s="40" t="str">
        <f t="shared" si="12"/>
        <v/>
      </c>
      <c r="H81" s="162" t="str">
        <f>IF('att Data Entry'!$D84="","",IF(X81="TRUE",1,0))</f>
        <v/>
      </c>
      <c r="I81" s="40" t="str">
        <f>IF('att Data Entry'!I84="","",IF('att Data Entry'!H84='att Data Entry'!$D$8,'att Data Entry'!$C$8,'att Data Entry'!$C$9))</f>
        <v/>
      </c>
      <c r="J81" s="162" t="str">
        <f>IF('att Data Entry'!H84="","",IF('att Data Entry'!I84='att Data Entry'!$D$8,'att Data Entry'!$C$8,'att Data Entry'!$C$9))</f>
        <v/>
      </c>
      <c r="K81" s="40" t="str">
        <f t="shared" si="13"/>
        <v/>
      </c>
      <c r="L81" s="162" t="str">
        <f>IF('att Data Entry'!$D84="","",IF(Y81="TRUE",1,0))</f>
        <v/>
      </c>
      <c r="M81" s="40" t="str">
        <f>IF('att Data Entry'!L84="","",IF('att Data Entry'!K84='att Data Entry'!$D$8,'att Data Entry'!$C$8,'att Data Entry'!$C$9))</f>
        <v/>
      </c>
      <c r="N81" s="40" t="str">
        <f>IF('att Data Entry'!K84="","",IF('att Data Entry'!L84='att Data Entry'!$D$8,'att Data Entry'!$C$8,'att Data Entry'!$C$9))</f>
        <v/>
      </c>
      <c r="O81" s="40" t="str">
        <f t="shared" si="14"/>
        <v/>
      </c>
      <c r="P81" s="162" t="str">
        <f>IF('att Data Entry'!$D84="","",IF(Z81="TRUE",1,0))</f>
        <v/>
      </c>
      <c r="Q81" s="441" t="str">
        <f>IF('att Data Entry'!H84="","",IF(M81="",T81,U81))</f>
        <v/>
      </c>
      <c r="R81" s="441" t="str">
        <f>IF('att Data Entry'!H84="","",IF(M81="",V81,W81))</f>
        <v/>
      </c>
      <c r="T81" s="40" t="str">
        <f>IF('att Data Entry'!H84="","",IF($E81+$F81+$I81+$J81=4,"TRUE",IF($E81+$F81+$I81+$J81=8,"TRUE","FALSE")))</f>
        <v/>
      </c>
      <c r="U81" s="40" t="str">
        <f>IF('att Data Entry'!K84="","",IF($E81+$F81+$I81+$J81+$M81+$N81=6,"TRUE",IF($E81+$F81+$I81+$J81+$M81+$N81=12,"TRUE","FALSE")))</f>
        <v/>
      </c>
      <c r="V81" s="40" t="str">
        <f>IF('att Data Entry'!H84="","",IF($E81+$F81+$I81+$J81+$D81=5,"TRUE",IF($E81+$F81+$I81+$J81+$D81=10,"TRUE","FALSE")))</f>
        <v/>
      </c>
      <c r="W81" s="40" t="str">
        <f>IF('att Data Entry'!K84="","",IF($E81+$F81+$I81+$J81+$M81+$N81+$D81=7,"TRUE",IF($E81+$F81+$I81+$J81+$M81+$N81+$D81=14,"TRUE","FALSE")))</f>
        <v/>
      </c>
      <c r="X81" s="40" t="str">
        <f>IF('att Data Entry'!D84="","",IF('att Calculations'!D81+'att Calculations'!E81+'att Calculations'!F81=3, "TRUE",IF('att Calculations'!D81+'att Calculations'!E81+'att Calculations'!F81=6,"TRUE","FALSE")))</f>
        <v/>
      </c>
      <c r="Y81" s="40" t="str">
        <f>IF('att Data Entry'!$D84="","",IF($D81+I81+J81=3, "TRUE",IF($D81+I81+J81=6,"TRUE","FALSE")))</f>
        <v/>
      </c>
      <c r="Z81" s="13" t="str">
        <f>IF('att Data Entry'!K84="","",IF('att Data Entry'!$D84="","",IF($D81+M81+N81=3, "TRUE",IF($D81+M81+N81=6,"TRUE","FALSE"))))</f>
        <v/>
      </c>
      <c r="AA81" s="443" t="str">
        <f t="shared" si="15"/>
        <v/>
      </c>
      <c r="AB81" s="443" t="str">
        <f t="shared" si="16"/>
        <v/>
      </c>
      <c r="AC81" s="443" t="str">
        <f t="shared" si="17"/>
        <v/>
      </c>
      <c r="AD81" s="443" t="str">
        <f t="shared" si="18"/>
        <v/>
      </c>
      <c r="AE81" s="443" t="str">
        <f t="shared" si="19"/>
        <v/>
      </c>
      <c r="AF81" s="443" t="str">
        <f t="shared" si="23"/>
        <v/>
      </c>
      <c r="AG81" s="443" t="str">
        <f t="shared" si="20"/>
        <v/>
      </c>
      <c r="AH81" s="443" t="str">
        <f t="shared" si="21"/>
        <v/>
      </c>
      <c r="AI81" s="443" t="str">
        <f t="shared" si="22"/>
        <v/>
      </c>
    </row>
    <row r="82" spans="3:35" x14ac:dyDescent="0.25">
      <c r="C82" s="158">
        <v>72</v>
      </c>
      <c r="D82" s="440" t="str">
        <f>IF('att Data Entry'!D85="","",IF('att Data Entry'!D85='att Data Entry'!$D$8,'att Data Entry'!$C$8,'att Data Entry'!$C$9))</f>
        <v/>
      </c>
      <c r="E82" s="40" t="str">
        <f>IF('att Data Entry'!E85="","",IF('att Data Entry'!E85='att Data Entry'!$D$8,'att Data Entry'!$C$8,'att Data Entry'!$C$9))</f>
        <v/>
      </c>
      <c r="F82" s="162" t="str">
        <f>IF('att Data Entry'!F85="","",IF('att Data Entry'!F85='att Data Entry'!$D$8,'att Data Entry'!$C$8,'att Data Entry'!$C$9))</f>
        <v/>
      </c>
      <c r="G82" s="40" t="str">
        <f t="shared" si="12"/>
        <v/>
      </c>
      <c r="H82" s="162" t="str">
        <f>IF('att Data Entry'!$D85="","",IF(X82="TRUE",1,0))</f>
        <v/>
      </c>
      <c r="I82" s="40" t="str">
        <f>IF('att Data Entry'!I85="","",IF('att Data Entry'!H85='att Data Entry'!$D$8,'att Data Entry'!$C$8,'att Data Entry'!$C$9))</f>
        <v/>
      </c>
      <c r="J82" s="162" t="str">
        <f>IF('att Data Entry'!H85="","",IF('att Data Entry'!I85='att Data Entry'!$D$8,'att Data Entry'!$C$8,'att Data Entry'!$C$9))</f>
        <v/>
      </c>
      <c r="K82" s="40" t="str">
        <f t="shared" si="13"/>
        <v/>
      </c>
      <c r="L82" s="162" t="str">
        <f>IF('att Data Entry'!$D85="","",IF(Y82="TRUE",1,0))</f>
        <v/>
      </c>
      <c r="M82" s="40" t="str">
        <f>IF('att Data Entry'!L85="","",IF('att Data Entry'!K85='att Data Entry'!$D$8,'att Data Entry'!$C$8,'att Data Entry'!$C$9))</f>
        <v/>
      </c>
      <c r="N82" s="40" t="str">
        <f>IF('att Data Entry'!K85="","",IF('att Data Entry'!L85='att Data Entry'!$D$8,'att Data Entry'!$C$8,'att Data Entry'!$C$9))</f>
        <v/>
      </c>
      <c r="O82" s="40" t="str">
        <f t="shared" si="14"/>
        <v/>
      </c>
      <c r="P82" s="162" t="str">
        <f>IF('att Data Entry'!$D85="","",IF(Z82="TRUE",1,0))</f>
        <v/>
      </c>
      <c r="Q82" s="441" t="str">
        <f>IF('att Data Entry'!H85="","",IF(M82="",T82,U82))</f>
        <v/>
      </c>
      <c r="R82" s="441" t="str">
        <f>IF('att Data Entry'!H85="","",IF(M82="",V82,W82))</f>
        <v/>
      </c>
      <c r="T82" s="40" t="str">
        <f>IF('att Data Entry'!H85="","",IF($E82+$F82+$I82+$J82=4,"TRUE",IF($E82+$F82+$I82+$J82=8,"TRUE","FALSE")))</f>
        <v/>
      </c>
      <c r="U82" s="40" t="str">
        <f>IF('att Data Entry'!K85="","",IF($E82+$F82+$I82+$J82+$M82+$N82=6,"TRUE",IF($E82+$F82+$I82+$J82+$M82+$N82=12,"TRUE","FALSE")))</f>
        <v/>
      </c>
      <c r="V82" s="40" t="str">
        <f>IF('att Data Entry'!H85="","",IF($E82+$F82+$I82+$J82+$D82=5,"TRUE",IF($E82+$F82+$I82+$J82+$D82=10,"TRUE","FALSE")))</f>
        <v/>
      </c>
      <c r="W82" s="40" t="str">
        <f>IF('att Data Entry'!K85="","",IF($E82+$F82+$I82+$J82+$M82+$N82+$D82=7,"TRUE",IF($E82+$F82+$I82+$J82+$M82+$N82+$D82=14,"TRUE","FALSE")))</f>
        <v/>
      </c>
      <c r="X82" s="40" t="str">
        <f>IF('att Data Entry'!D85="","",IF('att Calculations'!D82+'att Calculations'!E82+'att Calculations'!F82=3, "TRUE",IF('att Calculations'!D82+'att Calculations'!E82+'att Calculations'!F82=6,"TRUE","FALSE")))</f>
        <v/>
      </c>
      <c r="Y82" s="40" t="str">
        <f>IF('att Data Entry'!$D85="","",IF($D82+I82+J82=3, "TRUE",IF($D82+I82+J82=6,"TRUE","FALSE")))</f>
        <v/>
      </c>
      <c r="Z82" s="13" t="str">
        <f>IF('att Data Entry'!K85="","",IF('att Data Entry'!$D85="","",IF($D82+M82+N82=3, "TRUE",IF($D82+M82+N82=6,"TRUE","FALSE"))))</f>
        <v/>
      </c>
      <c r="AA82" s="443" t="str">
        <f t="shared" si="15"/>
        <v/>
      </c>
      <c r="AB82" s="443" t="str">
        <f t="shared" si="16"/>
        <v/>
      </c>
      <c r="AC82" s="443" t="str">
        <f t="shared" si="17"/>
        <v/>
      </c>
      <c r="AD82" s="443" t="str">
        <f t="shared" si="18"/>
        <v/>
      </c>
      <c r="AE82" s="443" t="str">
        <f t="shared" si="19"/>
        <v/>
      </c>
      <c r="AF82" s="443" t="str">
        <f t="shared" si="23"/>
        <v/>
      </c>
      <c r="AG82" s="443" t="str">
        <f t="shared" si="20"/>
        <v/>
      </c>
      <c r="AH82" s="443" t="str">
        <f t="shared" si="21"/>
        <v/>
      </c>
      <c r="AI82" s="443" t="str">
        <f t="shared" si="22"/>
        <v/>
      </c>
    </row>
    <row r="83" spans="3:35" x14ac:dyDescent="0.25">
      <c r="C83" s="158">
        <v>73</v>
      </c>
      <c r="D83" s="440" t="str">
        <f>IF('att Data Entry'!D86="","",IF('att Data Entry'!D86='att Data Entry'!$D$8,'att Data Entry'!$C$8,'att Data Entry'!$C$9))</f>
        <v/>
      </c>
      <c r="E83" s="40" t="str">
        <f>IF('att Data Entry'!E86="","",IF('att Data Entry'!E86='att Data Entry'!$D$8,'att Data Entry'!$C$8,'att Data Entry'!$C$9))</f>
        <v/>
      </c>
      <c r="F83" s="162" t="str">
        <f>IF('att Data Entry'!F86="","",IF('att Data Entry'!F86='att Data Entry'!$D$8,'att Data Entry'!$C$8,'att Data Entry'!$C$9))</f>
        <v/>
      </c>
      <c r="G83" s="40" t="str">
        <f t="shared" si="12"/>
        <v/>
      </c>
      <c r="H83" s="162" t="str">
        <f>IF('att Data Entry'!$D86="","",IF(X83="TRUE",1,0))</f>
        <v/>
      </c>
      <c r="I83" s="40" t="str">
        <f>IF('att Data Entry'!I86="","",IF('att Data Entry'!H86='att Data Entry'!$D$8,'att Data Entry'!$C$8,'att Data Entry'!$C$9))</f>
        <v/>
      </c>
      <c r="J83" s="162" t="str">
        <f>IF('att Data Entry'!H86="","",IF('att Data Entry'!I86='att Data Entry'!$D$8,'att Data Entry'!$C$8,'att Data Entry'!$C$9))</f>
        <v/>
      </c>
      <c r="K83" s="40" t="str">
        <f t="shared" si="13"/>
        <v/>
      </c>
      <c r="L83" s="162" t="str">
        <f>IF('att Data Entry'!$D86="","",IF(Y83="TRUE",1,0))</f>
        <v/>
      </c>
      <c r="M83" s="40" t="str">
        <f>IF('att Data Entry'!L86="","",IF('att Data Entry'!K86='att Data Entry'!$D$8,'att Data Entry'!$C$8,'att Data Entry'!$C$9))</f>
        <v/>
      </c>
      <c r="N83" s="40" t="str">
        <f>IF('att Data Entry'!K86="","",IF('att Data Entry'!L86='att Data Entry'!$D$8,'att Data Entry'!$C$8,'att Data Entry'!$C$9))</f>
        <v/>
      </c>
      <c r="O83" s="40" t="str">
        <f t="shared" si="14"/>
        <v/>
      </c>
      <c r="P83" s="162" t="str">
        <f>IF('att Data Entry'!$D86="","",IF(Z83="TRUE",1,0))</f>
        <v/>
      </c>
      <c r="Q83" s="441" t="str">
        <f>IF('att Data Entry'!H86="","",IF(M83="",T83,U83))</f>
        <v/>
      </c>
      <c r="R83" s="441" t="str">
        <f>IF('att Data Entry'!H86="","",IF(M83="",V83,W83))</f>
        <v/>
      </c>
      <c r="T83" s="40" t="str">
        <f>IF('att Data Entry'!H86="","",IF($E83+$F83+$I83+$J83=4,"TRUE",IF($E83+$F83+$I83+$J83=8,"TRUE","FALSE")))</f>
        <v/>
      </c>
      <c r="U83" s="40" t="str">
        <f>IF('att Data Entry'!K86="","",IF($E83+$F83+$I83+$J83+$M83+$N83=6,"TRUE",IF($E83+$F83+$I83+$J83+$M83+$N83=12,"TRUE","FALSE")))</f>
        <v/>
      </c>
      <c r="V83" s="40" t="str">
        <f>IF('att Data Entry'!H86="","",IF($E83+$F83+$I83+$J83+$D83=5,"TRUE",IF($E83+$F83+$I83+$J83+$D83=10,"TRUE","FALSE")))</f>
        <v/>
      </c>
      <c r="W83" s="40" t="str">
        <f>IF('att Data Entry'!K86="","",IF($E83+$F83+$I83+$J83+$M83+$N83+$D83=7,"TRUE",IF($E83+$F83+$I83+$J83+$M83+$N83+$D83=14,"TRUE","FALSE")))</f>
        <v/>
      </c>
      <c r="X83" s="40" t="str">
        <f>IF('att Data Entry'!D86="","",IF('att Calculations'!D83+'att Calculations'!E83+'att Calculations'!F83=3, "TRUE",IF('att Calculations'!D83+'att Calculations'!E83+'att Calculations'!F83=6,"TRUE","FALSE")))</f>
        <v/>
      </c>
      <c r="Y83" s="40" t="str">
        <f>IF('att Data Entry'!$D86="","",IF($D83+I83+J83=3, "TRUE",IF($D83+I83+J83=6,"TRUE","FALSE")))</f>
        <v/>
      </c>
      <c r="Z83" s="13" t="str">
        <f>IF('att Data Entry'!K86="","",IF('att Data Entry'!$D86="","",IF($D83+M83+N83=3, "TRUE",IF($D83+M83+N83=6,"TRUE","FALSE"))))</f>
        <v/>
      </c>
      <c r="AA83" s="443" t="str">
        <f t="shared" si="15"/>
        <v/>
      </c>
      <c r="AB83" s="443" t="str">
        <f t="shared" si="16"/>
        <v/>
      </c>
      <c r="AC83" s="443" t="str">
        <f t="shared" si="17"/>
        <v/>
      </c>
      <c r="AD83" s="443" t="str">
        <f t="shared" si="18"/>
        <v/>
      </c>
      <c r="AE83" s="443" t="str">
        <f t="shared" si="19"/>
        <v/>
      </c>
      <c r="AF83" s="443" t="str">
        <f t="shared" si="23"/>
        <v/>
      </c>
      <c r="AG83" s="443" t="str">
        <f t="shared" si="20"/>
        <v/>
      </c>
      <c r="AH83" s="443" t="str">
        <f t="shared" si="21"/>
        <v/>
      </c>
      <c r="AI83" s="443" t="str">
        <f t="shared" si="22"/>
        <v/>
      </c>
    </row>
    <row r="84" spans="3:35" x14ac:dyDescent="0.25">
      <c r="C84" s="158">
        <v>74</v>
      </c>
      <c r="D84" s="440" t="str">
        <f>IF('att Data Entry'!D87="","",IF('att Data Entry'!D87='att Data Entry'!$D$8,'att Data Entry'!$C$8,'att Data Entry'!$C$9))</f>
        <v/>
      </c>
      <c r="E84" s="40" t="str">
        <f>IF('att Data Entry'!E87="","",IF('att Data Entry'!E87='att Data Entry'!$D$8,'att Data Entry'!$C$8,'att Data Entry'!$C$9))</f>
        <v/>
      </c>
      <c r="F84" s="162" t="str">
        <f>IF('att Data Entry'!F87="","",IF('att Data Entry'!F87='att Data Entry'!$D$8,'att Data Entry'!$C$8,'att Data Entry'!$C$9))</f>
        <v/>
      </c>
      <c r="G84" s="40" t="str">
        <f t="shared" si="12"/>
        <v/>
      </c>
      <c r="H84" s="162" t="str">
        <f>IF('att Data Entry'!$D87="","",IF(X84="TRUE",1,0))</f>
        <v/>
      </c>
      <c r="I84" s="40" t="str">
        <f>IF('att Data Entry'!I87="","",IF('att Data Entry'!H87='att Data Entry'!$D$8,'att Data Entry'!$C$8,'att Data Entry'!$C$9))</f>
        <v/>
      </c>
      <c r="J84" s="162" t="str">
        <f>IF('att Data Entry'!H87="","",IF('att Data Entry'!I87='att Data Entry'!$D$8,'att Data Entry'!$C$8,'att Data Entry'!$C$9))</f>
        <v/>
      </c>
      <c r="K84" s="40" t="str">
        <f t="shared" si="13"/>
        <v/>
      </c>
      <c r="L84" s="162" t="str">
        <f>IF('att Data Entry'!$D87="","",IF(Y84="TRUE",1,0))</f>
        <v/>
      </c>
      <c r="M84" s="40" t="str">
        <f>IF('att Data Entry'!L87="","",IF('att Data Entry'!K87='att Data Entry'!$D$8,'att Data Entry'!$C$8,'att Data Entry'!$C$9))</f>
        <v/>
      </c>
      <c r="N84" s="40" t="str">
        <f>IF('att Data Entry'!K87="","",IF('att Data Entry'!L87='att Data Entry'!$D$8,'att Data Entry'!$C$8,'att Data Entry'!$C$9))</f>
        <v/>
      </c>
      <c r="O84" s="40" t="str">
        <f t="shared" si="14"/>
        <v/>
      </c>
      <c r="P84" s="162" t="str">
        <f>IF('att Data Entry'!$D87="","",IF(Z84="TRUE",1,0))</f>
        <v/>
      </c>
      <c r="Q84" s="441" t="str">
        <f>IF('att Data Entry'!H87="","",IF(M84="",T84,U84))</f>
        <v/>
      </c>
      <c r="R84" s="441" t="str">
        <f>IF('att Data Entry'!H87="","",IF(M84="",V84,W84))</f>
        <v/>
      </c>
      <c r="T84" s="40" t="str">
        <f>IF('att Data Entry'!H87="","",IF($E84+$F84+$I84+$J84=4,"TRUE",IF($E84+$F84+$I84+$J84=8,"TRUE","FALSE")))</f>
        <v/>
      </c>
      <c r="U84" s="40" t="str">
        <f>IF('att Data Entry'!K87="","",IF($E84+$F84+$I84+$J84+$M84+$N84=6,"TRUE",IF($E84+$F84+$I84+$J84+$M84+$N84=12,"TRUE","FALSE")))</f>
        <v/>
      </c>
      <c r="V84" s="40" t="str">
        <f>IF('att Data Entry'!H87="","",IF($E84+$F84+$I84+$J84+$D84=5,"TRUE",IF($E84+$F84+$I84+$J84+$D84=10,"TRUE","FALSE")))</f>
        <v/>
      </c>
      <c r="W84" s="40" t="str">
        <f>IF('att Data Entry'!K87="","",IF($E84+$F84+$I84+$J84+$M84+$N84+$D84=7,"TRUE",IF($E84+$F84+$I84+$J84+$M84+$N84+$D84=14,"TRUE","FALSE")))</f>
        <v/>
      </c>
      <c r="X84" s="40" t="str">
        <f>IF('att Data Entry'!D87="","",IF('att Calculations'!D84+'att Calculations'!E84+'att Calculations'!F84=3, "TRUE",IF('att Calculations'!D84+'att Calculations'!E84+'att Calculations'!F84=6,"TRUE","FALSE")))</f>
        <v/>
      </c>
      <c r="Y84" s="40" t="str">
        <f>IF('att Data Entry'!$D87="","",IF($D84+I84+J84=3, "TRUE",IF($D84+I84+J84=6,"TRUE","FALSE")))</f>
        <v/>
      </c>
      <c r="Z84" s="13" t="str">
        <f>IF('att Data Entry'!K87="","",IF('att Data Entry'!$D87="","",IF($D84+M84+N84=3, "TRUE",IF($D84+M84+N84=6,"TRUE","FALSE"))))</f>
        <v/>
      </c>
      <c r="AA84" s="443" t="str">
        <f t="shared" si="15"/>
        <v/>
      </c>
      <c r="AB84" s="443" t="str">
        <f t="shared" si="16"/>
        <v/>
      </c>
      <c r="AC84" s="443" t="str">
        <f t="shared" si="17"/>
        <v/>
      </c>
      <c r="AD84" s="443" t="str">
        <f t="shared" si="18"/>
        <v/>
      </c>
      <c r="AE84" s="443" t="str">
        <f t="shared" si="19"/>
        <v/>
      </c>
      <c r="AF84" s="443" t="str">
        <f t="shared" si="23"/>
        <v/>
      </c>
      <c r="AG84" s="443" t="str">
        <f t="shared" si="20"/>
        <v/>
      </c>
      <c r="AH84" s="443" t="str">
        <f t="shared" si="21"/>
        <v/>
      </c>
      <c r="AI84" s="443" t="str">
        <f t="shared" si="22"/>
        <v/>
      </c>
    </row>
    <row r="85" spans="3:35" x14ac:dyDescent="0.25">
      <c r="C85" s="158">
        <v>75</v>
      </c>
      <c r="D85" s="440" t="str">
        <f>IF('att Data Entry'!D88="","",IF('att Data Entry'!D88='att Data Entry'!$D$8,'att Data Entry'!$C$8,'att Data Entry'!$C$9))</f>
        <v/>
      </c>
      <c r="E85" s="40" t="str">
        <f>IF('att Data Entry'!E88="","",IF('att Data Entry'!E88='att Data Entry'!$D$8,'att Data Entry'!$C$8,'att Data Entry'!$C$9))</f>
        <v/>
      </c>
      <c r="F85" s="162" t="str">
        <f>IF('att Data Entry'!F88="","",IF('att Data Entry'!F88='att Data Entry'!$D$8,'att Data Entry'!$C$8,'att Data Entry'!$C$9))</f>
        <v/>
      </c>
      <c r="G85" s="40" t="str">
        <f t="shared" si="12"/>
        <v/>
      </c>
      <c r="H85" s="162" t="str">
        <f>IF('att Data Entry'!$D88="","",IF(X85="TRUE",1,0))</f>
        <v/>
      </c>
      <c r="I85" s="40" t="str">
        <f>IF('att Data Entry'!I88="","",IF('att Data Entry'!H88='att Data Entry'!$D$8,'att Data Entry'!$C$8,'att Data Entry'!$C$9))</f>
        <v/>
      </c>
      <c r="J85" s="162" t="str">
        <f>IF('att Data Entry'!H88="","",IF('att Data Entry'!I88='att Data Entry'!$D$8,'att Data Entry'!$C$8,'att Data Entry'!$C$9))</f>
        <v/>
      </c>
      <c r="K85" s="40" t="str">
        <f t="shared" si="13"/>
        <v/>
      </c>
      <c r="L85" s="162" t="str">
        <f>IF('att Data Entry'!$D88="","",IF(Y85="TRUE",1,0))</f>
        <v/>
      </c>
      <c r="M85" s="40" t="str">
        <f>IF('att Data Entry'!L88="","",IF('att Data Entry'!K88='att Data Entry'!$D$8,'att Data Entry'!$C$8,'att Data Entry'!$C$9))</f>
        <v/>
      </c>
      <c r="N85" s="40" t="str">
        <f>IF('att Data Entry'!K88="","",IF('att Data Entry'!L88='att Data Entry'!$D$8,'att Data Entry'!$C$8,'att Data Entry'!$C$9))</f>
        <v/>
      </c>
      <c r="O85" s="40" t="str">
        <f t="shared" si="14"/>
        <v/>
      </c>
      <c r="P85" s="162" t="str">
        <f>IF('att Data Entry'!$D88="","",IF(Z85="TRUE",1,0))</f>
        <v/>
      </c>
      <c r="Q85" s="441" t="str">
        <f>IF('att Data Entry'!H88="","",IF(M85="",T85,U85))</f>
        <v/>
      </c>
      <c r="R85" s="441" t="str">
        <f>IF('att Data Entry'!H88="","",IF(M85="",V85,W85))</f>
        <v/>
      </c>
      <c r="T85" s="40" t="str">
        <f>IF('att Data Entry'!H88="","",IF($E85+$F85+$I85+$J85=4,"TRUE",IF($E85+$F85+$I85+$J85=8,"TRUE","FALSE")))</f>
        <v/>
      </c>
      <c r="U85" s="40" t="str">
        <f>IF('att Data Entry'!K88="","",IF($E85+$F85+$I85+$J85+$M85+$N85=6,"TRUE",IF($E85+$F85+$I85+$J85+$M85+$N85=12,"TRUE","FALSE")))</f>
        <v/>
      </c>
      <c r="V85" s="40" t="str">
        <f>IF('att Data Entry'!H88="","",IF($E85+$F85+$I85+$J85+$D85=5,"TRUE",IF($E85+$F85+$I85+$J85+$D85=10,"TRUE","FALSE")))</f>
        <v/>
      </c>
      <c r="W85" s="40" t="str">
        <f>IF('att Data Entry'!K88="","",IF($E85+$F85+$I85+$J85+$M85+$N85+$D85=7,"TRUE",IF($E85+$F85+$I85+$J85+$M85+$N85+$D85=14,"TRUE","FALSE")))</f>
        <v/>
      </c>
      <c r="X85" s="40" t="str">
        <f>IF('att Data Entry'!D88="","",IF('att Calculations'!D85+'att Calculations'!E85+'att Calculations'!F85=3, "TRUE",IF('att Calculations'!D85+'att Calculations'!E85+'att Calculations'!F85=6,"TRUE","FALSE")))</f>
        <v/>
      </c>
      <c r="Y85" s="40" t="str">
        <f>IF('att Data Entry'!$D88="","",IF($D85+I85+J85=3, "TRUE",IF($D85+I85+J85=6,"TRUE","FALSE")))</f>
        <v/>
      </c>
      <c r="Z85" s="13" t="str">
        <f>IF('att Data Entry'!K88="","",IF('att Data Entry'!$D88="","",IF($D85+M85+N85=3, "TRUE",IF($D85+M85+N85=6,"TRUE","FALSE"))))</f>
        <v/>
      </c>
      <c r="AA85" s="443" t="str">
        <f t="shared" si="15"/>
        <v/>
      </c>
      <c r="AB85" s="443" t="str">
        <f t="shared" si="16"/>
        <v/>
      </c>
      <c r="AC85" s="443" t="str">
        <f t="shared" si="17"/>
        <v/>
      </c>
      <c r="AD85" s="443" t="str">
        <f t="shared" si="18"/>
        <v/>
      </c>
      <c r="AE85" s="443" t="str">
        <f t="shared" si="19"/>
        <v/>
      </c>
      <c r="AF85" s="443" t="str">
        <f t="shared" si="23"/>
        <v/>
      </c>
      <c r="AG85" s="443" t="str">
        <f t="shared" si="20"/>
        <v/>
      </c>
      <c r="AH85" s="443" t="str">
        <f t="shared" si="21"/>
        <v/>
      </c>
      <c r="AI85" s="443" t="str">
        <f t="shared" si="22"/>
        <v/>
      </c>
    </row>
    <row r="86" spans="3:35" x14ac:dyDescent="0.25">
      <c r="C86" s="158">
        <v>76</v>
      </c>
      <c r="D86" s="440" t="str">
        <f>IF('att Data Entry'!D89="","",IF('att Data Entry'!D89='att Data Entry'!$D$8,'att Data Entry'!$C$8,'att Data Entry'!$C$9))</f>
        <v/>
      </c>
      <c r="E86" s="40" t="str">
        <f>IF('att Data Entry'!E89="","",IF('att Data Entry'!E89='att Data Entry'!$D$8,'att Data Entry'!$C$8,'att Data Entry'!$C$9))</f>
        <v/>
      </c>
      <c r="F86" s="162" t="str">
        <f>IF('att Data Entry'!F89="","",IF('att Data Entry'!F89='att Data Entry'!$D$8,'att Data Entry'!$C$8,'att Data Entry'!$C$9))</f>
        <v/>
      </c>
      <c r="G86" s="40" t="str">
        <f t="shared" si="12"/>
        <v/>
      </c>
      <c r="H86" s="162" t="str">
        <f>IF('att Data Entry'!$D89="","",IF(X86="TRUE",1,0))</f>
        <v/>
      </c>
      <c r="I86" s="40" t="str">
        <f>IF('att Data Entry'!I89="","",IF('att Data Entry'!H89='att Data Entry'!$D$8,'att Data Entry'!$C$8,'att Data Entry'!$C$9))</f>
        <v/>
      </c>
      <c r="J86" s="162" t="str">
        <f>IF('att Data Entry'!H89="","",IF('att Data Entry'!I89='att Data Entry'!$D$8,'att Data Entry'!$C$8,'att Data Entry'!$C$9))</f>
        <v/>
      </c>
      <c r="K86" s="40" t="str">
        <f t="shared" si="13"/>
        <v/>
      </c>
      <c r="L86" s="162" t="str">
        <f>IF('att Data Entry'!$D89="","",IF(Y86="TRUE",1,0))</f>
        <v/>
      </c>
      <c r="M86" s="40" t="str">
        <f>IF('att Data Entry'!L89="","",IF('att Data Entry'!K89='att Data Entry'!$D$8,'att Data Entry'!$C$8,'att Data Entry'!$C$9))</f>
        <v/>
      </c>
      <c r="N86" s="40" t="str">
        <f>IF('att Data Entry'!K89="","",IF('att Data Entry'!L89='att Data Entry'!$D$8,'att Data Entry'!$C$8,'att Data Entry'!$C$9))</f>
        <v/>
      </c>
      <c r="O86" s="40" t="str">
        <f t="shared" si="14"/>
        <v/>
      </c>
      <c r="P86" s="162" t="str">
        <f>IF('att Data Entry'!$D89="","",IF(Z86="TRUE",1,0))</f>
        <v/>
      </c>
      <c r="Q86" s="441" t="str">
        <f>IF('att Data Entry'!H89="","",IF(M86="",T86,U86))</f>
        <v/>
      </c>
      <c r="R86" s="441" t="str">
        <f>IF('att Data Entry'!H89="","",IF(M86="",V86,W86))</f>
        <v/>
      </c>
      <c r="T86" s="40" t="str">
        <f>IF('att Data Entry'!H89="","",IF($E86+$F86+$I86+$J86=4,"TRUE",IF($E86+$F86+$I86+$J86=8,"TRUE","FALSE")))</f>
        <v/>
      </c>
      <c r="U86" s="40" t="str">
        <f>IF('att Data Entry'!K89="","",IF($E86+$F86+$I86+$J86+$M86+$N86=6,"TRUE",IF($E86+$F86+$I86+$J86+$M86+$N86=12,"TRUE","FALSE")))</f>
        <v/>
      </c>
      <c r="V86" s="40" t="str">
        <f>IF('att Data Entry'!H89="","",IF($E86+$F86+$I86+$J86+$D86=5,"TRUE",IF($E86+$F86+$I86+$J86+$D86=10,"TRUE","FALSE")))</f>
        <v/>
      </c>
      <c r="W86" s="40" t="str">
        <f>IF('att Data Entry'!K89="","",IF($E86+$F86+$I86+$J86+$M86+$N86+$D86=7,"TRUE",IF($E86+$F86+$I86+$J86+$M86+$N86+$D86=14,"TRUE","FALSE")))</f>
        <v/>
      </c>
      <c r="X86" s="40" t="str">
        <f>IF('att Data Entry'!D89="","",IF('att Calculations'!D86+'att Calculations'!E86+'att Calculations'!F86=3, "TRUE",IF('att Calculations'!D86+'att Calculations'!E86+'att Calculations'!F86=6,"TRUE","FALSE")))</f>
        <v/>
      </c>
      <c r="Y86" s="40" t="str">
        <f>IF('att Data Entry'!$D89="","",IF($D86+I86+J86=3, "TRUE",IF($D86+I86+J86=6,"TRUE","FALSE")))</f>
        <v/>
      </c>
      <c r="Z86" s="13" t="str">
        <f>IF('att Data Entry'!K89="","",IF('att Data Entry'!$D89="","",IF($D86+M86+N86=3, "TRUE",IF($D86+M86+N86=6,"TRUE","FALSE"))))</f>
        <v/>
      </c>
      <c r="AA86" s="443" t="str">
        <f t="shared" si="15"/>
        <v/>
      </c>
      <c r="AB86" s="443" t="str">
        <f t="shared" si="16"/>
        <v/>
      </c>
      <c r="AC86" s="443" t="str">
        <f t="shared" si="17"/>
        <v/>
      </c>
      <c r="AD86" s="443" t="str">
        <f t="shared" si="18"/>
        <v/>
      </c>
      <c r="AE86" s="443" t="str">
        <f t="shared" si="19"/>
        <v/>
      </c>
      <c r="AF86" s="443" t="str">
        <f t="shared" si="23"/>
        <v/>
      </c>
      <c r="AG86" s="443" t="str">
        <f t="shared" si="20"/>
        <v/>
      </c>
      <c r="AH86" s="443" t="str">
        <f t="shared" si="21"/>
        <v/>
      </c>
      <c r="AI86" s="443" t="str">
        <f t="shared" si="22"/>
        <v/>
      </c>
    </row>
    <row r="87" spans="3:35" x14ac:dyDescent="0.25">
      <c r="C87" s="158">
        <v>77</v>
      </c>
      <c r="D87" s="440" t="str">
        <f>IF('att Data Entry'!D90="","",IF('att Data Entry'!D90='att Data Entry'!$D$8,'att Data Entry'!$C$8,'att Data Entry'!$C$9))</f>
        <v/>
      </c>
      <c r="E87" s="40" t="str">
        <f>IF('att Data Entry'!E90="","",IF('att Data Entry'!E90='att Data Entry'!$D$8,'att Data Entry'!$C$8,'att Data Entry'!$C$9))</f>
        <v/>
      </c>
      <c r="F87" s="162" t="str">
        <f>IF('att Data Entry'!F90="","",IF('att Data Entry'!F90='att Data Entry'!$D$8,'att Data Entry'!$C$8,'att Data Entry'!$C$9))</f>
        <v/>
      </c>
      <c r="G87" s="40" t="str">
        <f t="shared" si="12"/>
        <v/>
      </c>
      <c r="H87" s="162" t="str">
        <f>IF('att Data Entry'!$D90="","",IF(X87="TRUE",1,0))</f>
        <v/>
      </c>
      <c r="I87" s="40" t="str">
        <f>IF('att Data Entry'!I90="","",IF('att Data Entry'!H90='att Data Entry'!$D$8,'att Data Entry'!$C$8,'att Data Entry'!$C$9))</f>
        <v/>
      </c>
      <c r="J87" s="162" t="str">
        <f>IF('att Data Entry'!H90="","",IF('att Data Entry'!I90='att Data Entry'!$D$8,'att Data Entry'!$C$8,'att Data Entry'!$C$9))</f>
        <v/>
      </c>
      <c r="K87" s="40" t="str">
        <f t="shared" si="13"/>
        <v/>
      </c>
      <c r="L87" s="162" t="str">
        <f>IF('att Data Entry'!$D90="","",IF(Y87="TRUE",1,0))</f>
        <v/>
      </c>
      <c r="M87" s="40" t="str">
        <f>IF('att Data Entry'!L90="","",IF('att Data Entry'!K90='att Data Entry'!$D$8,'att Data Entry'!$C$8,'att Data Entry'!$C$9))</f>
        <v/>
      </c>
      <c r="N87" s="40" t="str">
        <f>IF('att Data Entry'!K90="","",IF('att Data Entry'!L90='att Data Entry'!$D$8,'att Data Entry'!$C$8,'att Data Entry'!$C$9))</f>
        <v/>
      </c>
      <c r="O87" s="40" t="str">
        <f t="shared" si="14"/>
        <v/>
      </c>
      <c r="P87" s="162" t="str">
        <f>IF('att Data Entry'!$D90="","",IF(Z87="TRUE",1,0))</f>
        <v/>
      </c>
      <c r="Q87" s="441" t="str">
        <f>IF('att Data Entry'!H90="","",IF(M87="",T87,U87))</f>
        <v/>
      </c>
      <c r="R87" s="441" t="str">
        <f>IF('att Data Entry'!H90="","",IF(M87="",V87,W87))</f>
        <v/>
      </c>
      <c r="T87" s="40" t="str">
        <f>IF('att Data Entry'!H90="","",IF($E87+$F87+$I87+$J87=4,"TRUE",IF($E87+$F87+$I87+$J87=8,"TRUE","FALSE")))</f>
        <v/>
      </c>
      <c r="U87" s="40" t="str">
        <f>IF('att Data Entry'!K90="","",IF($E87+$F87+$I87+$J87+$M87+$N87=6,"TRUE",IF($E87+$F87+$I87+$J87+$M87+$N87=12,"TRUE","FALSE")))</f>
        <v/>
      </c>
      <c r="V87" s="40" t="str">
        <f>IF('att Data Entry'!H90="","",IF($E87+$F87+$I87+$J87+$D87=5,"TRUE",IF($E87+$F87+$I87+$J87+$D87=10,"TRUE","FALSE")))</f>
        <v/>
      </c>
      <c r="W87" s="40" t="str">
        <f>IF('att Data Entry'!K90="","",IF($E87+$F87+$I87+$J87+$M87+$N87+$D87=7,"TRUE",IF($E87+$F87+$I87+$J87+$M87+$N87+$D87=14,"TRUE","FALSE")))</f>
        <v/>
      </c>
      <c r="X87" s="40" t="str">
        <f>IF('att Data Entry'!D90="","",IF('att Calculations'!D87+'att Calculations'!E87+'att Calculations'!F87=3, "TRUE",IF('att Calculations'!D87+'att Calculations'!E87+'att Calculations'!F87=6,"TRUE","FALSE")))</f>
        <v/>
      </c>
      <c r="Y87" s="40" t="str">
        <f>IF('att Data Entry'!$D90="","",IF($D87+I87+J87=3, "TRUE",IF($D87+I87+J87=6,"TRUE","FALSE")))</f>
        <v/>
      </c>
      <c r="Z87" s="13" t="str">
        <f>IF('att Data Entry'!K90="","",IF('att Data Entry'!$D90="","",IF($D87+M87+N87=3, "TRUE",IF($D87+M87+N87=6,"TRUE","FALSE"))))</f>
        <v/>
      </c>
      <c r="AA87" s="443" t="str">
        <f t="shared" si="15"/>
        <v/>
      </c>
      <c r="AB87" s="443" t="str">
        <f t="shared" si="16"/>
        <v/>
      </c>
      <c r="AC87" s="443" t="str">
        <f t="shared" si="17"/>
        <v/>
      </c>
      <c r="AD87" s="443" t="str">
        <f t="shared" si="18"/>
        <v/>
      </c>
      <c r="AE87" s="443" t="str">
        <f t="shared" si="19"/>
        <v/>
      </c>
      <c r="AF87" s="443" t="str">
        <f t="shared" si="23"/>
        <v/>
      </c>
      <c r="AG87" s="443" t="str">
        <f t="shared" si="20"/>
        <v/>
      </c>
      <c r="AH87" s="443" t="str">
        <f t="shared" si="21"/>
        <v/>
      </c>
      <c r="AI87" s="443" t="str">
        <f t="shared" si="22"/>
        <v/>
      </c>
    </row>
    <row r="88" spans="3:35" x14ac:dyDescent="0.25">
      <c r="C88" s="158">
        <v>78</v>
      </c>
      <c r="D88" s="440" t="str">
        <f>IF('att Data Entry'!D91="","",IF('att Data Entry'!D91='att Data Entry'!$D$8,'att Data Entry'!$C$8,'att Data Entry'!$C$9))</f>
        <v/>
      </c>
      <c r="E88" s="40" t="str">
        <f>IF('att Data Entry'!E91="","",IF('att Data Entry'!E91='att Data Entry'!$D$8,'att Data Entry'!$C$8,'att Data Entry'!$C$9))</f>
        <v/>
      </c>
      <c r="F88" s="162" t="str">
        <f>IF('att Data Entry'!F91="","",IF('att Data Entry'!F91='att Data Entry'!$D$8,'att Data Entry'!$C$8,'att Data Entry'!$C$9))</f>
        <v/>
      </c>
      <c r="G88" s="40" t="str">
        <f t="shared" si="12"/>
        <v/>
      </c>
      <c r="H88" s="162" t="str">
        <f>IF('att Data Entry'!$D91="","",IF(X88="TRUE",1,0))</f>
        <v/>
      </c>
      <c r="I88" s="40" t="str">
        <f>IF('att Data Entry'!I91="","",IF('att Data Entry'!H91='att Data Entry'!$D$8,'att Data Entry'!$C$8,'att Data Entry'!$C$9))</f>
        <v/>
      </c>
      <c r="J88" s="162" t="str">
        <f>IF('att Data Entry'!H91="","",IF('att Data Entry'!I91='att Data Entry'!$D$8,'att Data Entry'!$C$8,'att Data Entry'!$C$9))</f>
        <v/>
      </c>
      <c r="K88" s="40" t="str">
        <f t="shared" si="13"/>
        <v/>
      </c>
      <c r="L88" s="162" t="str">
        <f>IF('att Data Entry'!$D91="","",IF(Y88="TRUE",1,0))</f>
        <v/>
      </c>
      <c r="M88" s="40" t="str">
        <f>IF('att Data Entry'!L91="","",IF('att Data Entry'!K91='att Data Entry'!$D$8,'att Data Entry'!$C$8,'att Data Entry'!$C$9))</f>
        <v/>
      </c>
      <c r="N88" s="40" t="str">
        <f>IF('att Data Entry'!K91="","",IF('att Data Entry'!L91='att Data Entry'!$D$8,'att Data Entry'!$C$8,'att Data Entry'!$C$9))</f>
        <v/>
      </c>
      <c r="O88" s="40" t="str">
        <f t="shared" si="14"/>
        <v/>
      </c>
      <c r="P88" s="162" t="str">
        <f>IF('att Data Entry'!$D91="","",IF(Z88="TRUE",1,0))</f>
        <v/>
      </c>
      <c r="Q88" s="441" t="str">
        <f>IF('att Data Entry'!H91="","",IF(M88="",T88,U88))</f>
        <v/>
      </c>
      <c r="R88" s="441" t="str">
        <f>IF('att Data Entry'!H91="","",IF(M88="",V88,W88))</f>
        <v/>
      </c>
      <c r="T88" s="40" t="str">
        <f>IF('att Data Entry'!H91="","",IF($E88+$F88+$I88+$J88=4,"TRUE",IF($E88+$F88+$I88+$J88=8,"TRUE","FALSE")))</f>
        <v/>
      </c>
      <c r="U88" s="40" t="str">
        <f>IF('att Data Entry'!K91="","",IF($E88+$F88+$I88+$J88+$M88+$N88=6,"TRUE",IF($E88+$F88+$I88+$J88+$M88+$N88=12,"TRUE","FALSE")))</f>
        <v/>
      </c>
      <c r="V88" s="40" t="str">
        <f>IF('att Data Entry'!H91="","",IF($E88+$F88+$I88+$J88+$D88=5,"TRUE",IF($E88+$F88+$I88+$J88+$D88=10,"TRUE","FALSE")))</f>
        <v/>
      </c>
      <c r="W88" s="40" t="str">
        <f>IF('att Data Entry'!K91="","",IF($E88+$F88+$I88+$J88+$M88+$N88+$D88=7,"TRUE",IF($E88+$F88+$I88+$J88+$M88+$N88+$D88=14,"TRUE","FALSE")))</f>
        <v/>
      </c>
      <c r="X88" s="40" t="str">
        <f>IF('att Data Entry'!D91="","",IF('att Calculations'!D88+'att Calculations'!E88+'att Calculations'!F88=3, "TRUE",IF('att Calculations'!D88+'att Calculations'!E88+'att Calculations'!F88=6,"TRUE","FALSE")))</f>
        <v/>
      </c>
      <c r="Y88" s="40" t="str">
        <f>IF('att Data Entry'!$D91="","",IF($D88+I88+J88=3, "TRUE",IF($D88+I88+J88=6,"TRUE","FALSE")))</f>
        <v/>
      </c>
      <c r="Z88" s="13" t="str">
        <f>IF('att Data Entry'!K91="","",IF('att Data Entry'!$D91="","",IF($D88+M88+N88=3, "TRUE",IF($D88+M88+N88=6,"TRUE","FALSE"))))</f>
        <v/>
      </c>
      <c r="AA88" s="443" t="str">
        <f t="shared" si="15"/>
        <v/>
      </c>
      <c r="AB88" s="443" t="str">
        <f t="shared" si="16"/>
        <v/>
      </c>
      <c r="AC88" s="443" t="str">
        <f t="shared" si="17"/>
        <v/>
      </c>
      <c r="AD88" s="443" t="str">
        <f t="shared" si="18"/>
        <v/>
      </c>
      <c r="AE88" s="443" t="str">
        <f t="shared" si="19"/>
        <v/>
      </c>
      <c r="AF88" s="443" t="str">
        <f t="shared" si="23"/>
        <v/>
      </c>
      <c r="AG88" s="443" t="str">
        <f t="shared" si="20"/>
        <v/>
      </c>
      <c r="AH88" s="443" t="str">
        <f t="shared" si="21"/>
        <v/>
      </c>
      <c r="AI88" s="443" t="str">
        <f t="shared" si="22"/>
        <v/>
      </c>
    </row>
    <row r="89" spans="3:35" x14ac:dyDescent="0.25">
      <c r="C89" s="158">
        <v>79</v>
      </c>
      <c r="D89" s="440" t="str">
        <f>IF('att Data Entry'!D92="","",IF('att Data Entry'!D92='att Data Entry'!$D$8,'att Data Entry'!$C$8,'att Data Entry'!$C$9))</f>
        <v/>
      </c>
      <c r="E89" s="40" t="str">
        <f>IF('att Data Entry'!E92="","",IF('att Data Entry'!E92='att Data Entry'!$D$8,'att Data Entry'!$C$8,'att Data Entry'!$C$9))</f>
        <v/>
      </c>
      <c r="F89" s="162" t="str">
        <f>IF('att Data Entry'!F92="","",IF('att Data Entry'!F92='att Data Entry'!$D$8,'att Data Entry'!$C$8,'att Data Entry'!$C$9))</f>
        <v/>
      </c>
      <c r="G89" s="40" t="str">
        <f t="shared" si="12"/>
        <v/>
      </c>
      <c r="H89" s="162" t="str">
        <f>IF('att Data Entry'!$D92="","",IF(X89="TRUE",1,0))</f>
        <v/>
      </c>
      <c r="I89" s="40" t="str">
        <f>IF('att Data Entry'!I92="","",IF('att Data Entry'!H92='att Data Entry'!$D$8,'att Data Entry'!$C$8,'att Data Entry'!$C$9))</f>
        <v/>
      </c>
      <c r="J89" s="162" t="str">
        <f>IF('att Data Entry'!H92="","",IF('att Data Entry'!I92='att Data Entry'!$D$8,'att Data Entry'!$C$8,'att Data Entry'!$C$9))</f>
        <v/>
      </c>
      <c r="K89" s="40" t="str">
        <f t="shared" si="13"/>
        <v/>
      </c>
      <c r="L89" s="162" t="str">
        <f>IF('att Data Entry'!$D92="","",IF(Y89="TRUE",1,0))</f>
        <v/>
      </c>
      <c r="M89" s="40" t="str">
        <f>IF('att Data Entry'!L92="","",IF('att Data Entry'!K92='att Data Entry'!$D$8,'att Data Entry'!$C$8,'att Data Entry'!$C$9))</f>
        <v/>
      </c>
      <c r="N89" s="40" t="str">
        <f>IF('att Data Entry'!K92="","",IF('att Data Entry'!L92='att Data Entry'!$D$8,'att Data Entry'!$C$8,'att Data Entry'!$C$9))</f>
        <v/>
      </c>
      <c r="O89" s="40" t="str">
        <f t="shared" si="14"/>
        <v/>
      </c>
      <c r="P89" s="162" t="str">
        <f>IF('att Data Entry'!$D92="","",IF(Z89="TRUE",1,0))</f>
        <v/>
      </c>
      <c r="Q89" s="441" t="str">
        <f>IF('att Data Entry'!H92="","",IF(M89="",T89,U89))</f>
        <v/>
      </c>
      <c r="R89" s="441" t="str">
        <f>IF('att Data Entry'!H92="","",IF(M89="",V89,W89))</f>
        <v/>
      </c>
      <c r="T89" s="40" t="str">
        <f>IF('att Data Entry'!H92="","",IF($E89+$F89+$I89+$J89=4,"TRUE",IF($E89+$F89+$I89+$J89=8,"TRUE","FALSE")))</f>
        <v/>
      </c>
      <c r="U89" s="40" t="str">
        <f>IF('att Data Entry'!K92="","",IF($E89+$F89+$I89+$J89+$M89+$N89=6,"TRUE",IF($E89+$F89+$I89+$J89+$M89+$N89=12,"TRUE","FALSE")))</f>
        <v/>
      </c>
      <c r="V89" s="40" t="str">
        <f>IF('att Data Entry'!H92="","",IF($E89+$F89+$I89+$J89+$D89=5,"TRUE",IF($E89+$F89+$I89+$J89+$D89=10,"TRUE","FALSE")))</f>
        <v/>
      </c>
      <c r="W89" s="40" t="str">
        <f>IF('att Data Entry'!K92="","",IF($E89+$F89+$I89+$J89+$M89+$N89+$D89=7,"TRUE",IF($E89+$F89+$I89+$J89+$M89+$N89+$D89=14,"TRUE","FALSE")))</f>
        <v/>
      </c>
      <c r="X89" s="40" t="str">
        <f>IF('att Data Entry'!D92="","",IF('att Calculations'!D89+'att Calculations'!E89+'att Calculations'!F89=3, "TRUE",IF('att Calculations'!D89+'att Calculations'!E89+'att Calculations'!F89=6,"TRUE","FALSE")))</f>
        <v/>
      </c>
      <c r="Y89" s="40" t="str">
        <f>IF('att Data Entry'!$D92="","",IF($D89+I89+J89=3, "TRUE",IF($D89+I89+J89=6,"TRUE","FALSE")))</f>
        <v/>
      </c>
      <c r="Z89" s="13" t="str">
        <f>IF('att Data Entry'!K92="","",IF('att Data Entry'!$D92="","",IF($D89+M89+N89=3, "TRUE",IF($D89+M89+N89=6,"TRUE","FALSE"))))</f>
        <v/>
      </c>
      <c r="AA89" s="443" t="str">
        <f t="shared" si="15"/>
        <v/>
      </c>
      <c r="AB89" s="443" t="str">
        <f t="shared" si="16"/>
        <v/>
      </c>
      <c r="AC89" s="443" t="str">
        <f t="shared" si="17"/>
        <v/>
      </c>
      <c r="AD89" s="443" t="str">
        <f t="shared" si="18"/>
        <v/>
      </c>
      <c r="AE89" s="443" t="str">
        <f t="shared" si="19"/>
        <v/>
      </c>
      <c r="AF89" s="443" t="str">
        <f t="shared" si="23"/>
        <v/>
      </c>
      <c r="AG89" s="443" t="str">
        <f t="shared" si="20"/>
        <v/>
      </c>
      <c r="AH89" s="443" t="str">
        <f t="shared" si="21"/>
        <v/>
      </c>
      <c r="AI89" s="443" t="str">
        <f t="shared" si="22"/>
        <v/>
      </c>
    </row>
    <row r="90" spans="3:35" x14ac:dyDescent="0.25">
      <c r="C90" s="158">
        <v>80</v>
      </c>
      <c r="D90" s="440" t="str">
        <f>IF('att Data Entry'!D93="","",IF('att Data Entry'!D93='att Data Entry'!$D$8,'att Data Entry'!$C$8,'att Data Entry'!$C$9))</f>
        <v/>
      </c>
      <c r="E90" s="40" t="str">
        <f>IF('att Data Entry'!E93="","",IF('att Data Entry'!E93='att Data Entry'!$D$8,'att Data Entry'!$C$8,'att Data Entry'!$C$9))</f>
        <v/>
      </c>
      <c r="F90" s="162" t="str">
        <f>IF('att Data Entry'!F93="","",IF('att Data Entry'!F93='att Data Entry'!$D$8,'att Data Entry'!$C$8,'att Data Entry'!$C$9))</f>
        <v/>
      </c>
      <c r="G90" s="40" t="str">
        <f t="shared" si="12"/>
        <v/>
      </c>
      <c r="H90" s="162" t="str">
        <f>IF('att Data Entry'!$D93="","",IF(X90="TRUE",1,0))</f>
        <v/>
      </c>
      <c r="I90" s="40" t="str">
        <f>IF('att Data Entry'!I93="","",IF('att Data Entry'!H93='att Data Entry'!$D$8,'att Data Entry'!$C$8,'att Data Entry'!$C$9))</f>
        <v/>
      </c>
      <c r="J90" s="162" t="str">
        <f>IF('att Data Entry'!H93="","",IF('att Data Entry'!I93='att Data Entry'!$D$8,'att Data Entry'!$C$8,'att Data Entry'!$C$9))</f>
        <v/>
      </c>
      <c r="K90" s="40" t="str">
        <f t="shared" si="13"/>
        <v/>
      </c>
      <c r="L90" s="162" t="str">
        <f>IF('att Data Entry'!$D93="","",IF(Y90="TRUE",1,0))</f>
        <v/>
      </c>
      <c r="M90" s="40" t="str">
        <f>IF('att Data Entry'!L93="","",IF('att Data Entry'!K93='att Data Entry'!$D$8,'att Data Entry'!$C$8,'att Data Entry'!$C$9))</f>
        <v/>
      </c>
      <c r="N90" s="40" t="str">
        <f>IF('att Data Entry'!K93="","",IF('att Data Entry'!L93='att Data Entry'!$D$8,'att Data Entry'!$C$8,'att Data Entry'!$C$9))</f>
        <v/>
      </c>
      <c r="O90" s="40" t="str">
        <f t="shared" si="14"/>
        <v/>
      </c>
      <c r="P90" s="162" t="str">
        <f>IF('att Data Entry'!$D93="","",IF(Z90="TRUE",1,0))</f>
        <v/>
      </c>
      <c r="Q90" s="441" t="str">
        <f>IF('att Data Entry'!H93="","",IF(M90="",T90,U90))</f>
        <v/>
      </c>
      <c r="R90" s="441" t="str">
        <f>IF('att Data Entry'!H93="","",IF(M90="",V90,W90))</f>
        <v/>
      </c>
      <c r="T90" s="40" t="str">
        <f>IF('att Data Entry'!H93="","",IF($E90+$F90+$I90+$J90=4,"TRUE",IF($E90+$F90+$I90+$J90=8,"TRUE","FALSE")))</f>
        <v/>
      </c>
      <c r="U90" s="40" t="str">
        <f>IF('att Data Entry'!K93="","",IF($E90+$F90+$I90+$J90+$M90+$N90=6,"TRUE",IF($E90+$F90+$I90+$J90+$M90+$N90=12,"TRUE","FALSE")))</f>
        <v/>
      </c>
      <c r="V90" s="40" t="str">
        <f>IF('att Data Entry'!H93="","",IF($E90+$F90+$I90+$J90+$D90=5,"TRUE",IF($E90+$F90+$I90+$J90+$D90=10,"TRUE","FALSE")))</f>
        <v/>
      </c>
      <c r="W90" s="40" t="str">
        <f>IF('att Data Entry'!K93="","",IF($E90+$F90+$I90+$J90+$M90+$N90+$D90=7,"TRUE",IF($E90+$F90+$I90+$J90+$M90+$N90+$D90=14,"TRUE","FALSE")))</f>
        <v/>
      </c>
      <c r="X90" s="40" t="str">
        <f>IF('att Data Entry'!D93="","",IF('att Calculations'!D90+'att Calculations'!E90+'att Calculations'!F90=3, "TRUE",IF('att Calculations'!D90+'att Calculations'!E90+'att Calculations'!F90=6,"TRUE","FALSE")))</f>
        <v/>
      </c>
      <c r="Y90" s="40" t="str">
        <f>IF('att Data Entry'!$D93="","",IF($D90+I90+J90=3, "TRUE",IF($D90+I90+J90=6,"TRUE","FALSE")))</f>
        <v/>
      </c>
      <c r="Z90" s="13" t="str">
        <f>IF('att Data Entry'!K93="","",IF('att Data Entry'!$D93="","",IF($D90+M90+N90=3, "TRUE",IF($D90+M90+N90=6,"TRUE","FALSE"))))</f>
        <v/>
      </c>
      <c r="AA90" s="443" t="str">
        <f t="shared" si="15"/>
        <v/>
      </c>
      <c r="AB90" s="443" t="str">
        <f t="shared" si="16"/>
        <v/>
      </c>
      <c r="AC90" s="443" t="str">
        <f t="shared" si="17"/>
        <v/>
      </c>
      <c r="AD90" s="443" t="str">
        <f t="shared" si="18"/>
        <v/>
      </c>
      <c r="AE90" s="443" t="str">
        <f t="shared" si="19"/>
        <v/>
      </c>
      <c r="AF90" s="443" t="str">
        <f t="shared" si="23"/>
        <v/>
      </c>
      <c r="AG90" s="443" t="str">
        <f t="shared" si="20"/>
        <v/>
      </c>
      <c r="AH90" s="443" t="str">
        <f t="shared" si="21"/>
        <v/>
      </c>
      <c r="AI90" s="443" t="str">
        <f t="shared" si="22"/>
        <v/>
      </c>
    </row>
    <row r="91" spans="3:35" x14ac:dyDescent="0.25">
      <c r="C91" s="158">
        <v>81</v>
      </c>
      <c r="D91" s="440" t="str">
        <f>IF('att Data Entry'!D94="","",IF('att Data Entry'!D94='att Data Entry'!$D$8,'att Data Entry'!$C$8,'att Data Entry'!$C$9))</f>
        <v/>
      </c>
      <c r="E91" s="40" t="str">
        <f>IF('att Data Entry'!E94="","",IF('att Data Entry'!E94='att Data Entry'!$D$8,'att Data Entry'!$C$8,'att Data Entry'!$C$9))</f>
        <v/>
      </c>
      <c r="F91" s="162" t="str">
        <f>IF('att Data Entry'!F94="","",IF('att Data Entry'!F94='att Data Entry'!$D$8,'att Data Entry'!$C$8,'att Data Entry'!$C$9))</f>
        <v/>
      </c>
      <c r="G91" s="40" t="str">
        <f t="shared" si="12"/>
        <v/>
      </c>
      <c r="H91" s="162" t="str">
        <f>IF('att Data Entry'!$D94="","",IF(X91="TRUE",1,0))</f>
        <v/>
      </c>
      <c r="I91" s="40" t="str">
        <f>IF('att Data Entry'!I94="","",IF('att Data Entry'!H94='att Data Entry'!$D$8,'att Data Entry'!$C$8,'att Data Entry'!$C$9))</f>
        <v/>
      </c>
      <c r="J91" s="162" t="str">
        <f>IF('att Data Entry'!H94="","",IF('att Data Entry'!I94='att Data Entry'!$D$8,'att Data Entry'!$C$8,'att Data Entry'!$C$9))</f>
        <v/>
      </c>
      <c r="K91" s="40" t="str">
        <f t="shared" si="13"/>
        <v/>
      </c>
      <c r="L91" s="162" t="str">
        <f>IF('att Data Entry'!$D94="","",IF(Y91="TRUE",1,0))</f>
        <v/>
      </c>
      <c r="M91" s="40" t="str">
        <f>IF('att Data Entry'!L94="","",IF('att Data Entry'!K94='att Data Entry'!$D$8,'att Data Entry'!$C$8,'att Data Entry'!$C$9))</f>
        <v/>
      </c>
      <c r="N91" s="40" t="str">
        <f>IF('att Data Entry'!K94="","",IF('att Data Entry'!L94='att Data Entry'!$D$8,'att Data Entry'!$C$8,'att Data Entry'!$C$9))</f>
        <v/>
      </c>
      <c r="O91" s="40" t="str">
        <f t="shared" si="14"/>
        <v/>
      </c>
      <c r="P91" s="162" t="str">
        <f>IF('att Data Entry'!$D94="","",IF(Z91="TRUE",1,0))</f>
        <v/>
      </c>
      <c r="Q91" s="441" t="str">
        <f>IF('att Data Entry'!H94="","",IF(M91="",T91,U91))</f>
        <v/>
      </c>
      <c r="R91" s="441" t="str">
        <f>IF('att Data Entry'!H94="","",IF(M91="",V91,W91))</f>
        <v/>
      </c>
      <c r="T91" s="40" t="str">
        <f>IF('att Data Entry'!H94="","",IF($E91+$F91+$I91+$J91=4,"TRUE",IF($E91+$F91+$I91+$J91=8,"TRUE","FALSE")))</f>
        <v/>
      </c>
      <c r="U91" s="40" t="str">
        <f>IF('att Data Entry'!K94="","",IF($E91+$F91+$I91+$J91+$M91+$N91=6,"TRUE",IF($E91+$F91+$I91+$J91+$M91+$N91=12,"TRUE","FALSE")))</f>
        <v/>
      </c>
      <c r="V91" s="40" t="str">
        <f>IF('att Data Entry'!H94="","",IF($E91+$F91+$I91+$J91+$D91=5,"TRUE",IF($E91+$F91+$I91+$J91+$D91=10,"TRUE","FALSE")))</f>
        <v/>
      </c>
      <c r="W91" s="40" t="str">
        <f>IF('att Data Entry'!K94="","",IF($E91+$F91+$I91+$J91+$M91+$N91+$D91=7,"TRUE",IF($E91+$F91+$I91+$J91+$M91+$N91+$D91=14,"TRUE","FALSE")))</f>
        <v/>
      </c>
      <c r="X91" s="40" t="str">
        <f>IF('att Data Entry'!D94="","",IF('att Calculations'!D91+'att Calculations'!E91+'att Calculations'!F91=3, "TRUE",IF('att Calculations'!D91+'att Calculations'!E91+'att Calculations'!F91=6,"TRUE","FALSE")))</f>
        <v/>
      </c>
      <c r="Y91" s="40" t="str">
        <f>IF('att Data Entry'!$D94="","",IF($D91+I91+J91=3, "TRUE",IF($D91+I91+J91=6,"TRUE","FALSE")))</f>
        <v/>
      </c>
      <c r="Z91" s="13" t="str">
        <f>IF('att Data Entry'!K94="","",IF('att Data Entry'!$D94="","",IF($D91+M91+N91=3, "TRUE",IF($D91+M91+N91=6,"TRUE","FALSE"))))</f>
        <v/>
      </c>
      <c r="AA91" s="443" t="str">
        <f t="shared" si="15"/>
        <v/>
      </c>
      <c r="AB91" s="443" t="str">
        <f t="shared" si="16"/>
        <v/>
      </c>
      <c r="AC91" s="443" t="str">
        <f t="shared" si="17"/>
        <v/>
      </c>
      <c r="AD91" s="443" t="str">
        <f t="shared" si="18"/>
        <v/>
      </c>
      <c r="AE91" s="443" t="str">
        <f t="shared" si="19"/>
        <v/>
      </c>
      <c r="AF91" s="443" t="str">
        <f t="shared" si="23"/>
        <v/>
      </c>
      <c r="AG91" s="443" t="str">
        <f t="shared" si="20"/>
        <v/>
      </c>
      <c r="AH91" s="443" t="str">
        <f t="shared" si="21"/>
        <v/>
      </c>
      <c r="AI91" s="443" t="str">
        <f t="shared" si="22"/>
        <v/>
      </c>
    </row>
    <row r="92" spans="3:35" x14ac:dyDescent="0.25">
      <c r="C92" s="158">
        <v>82</v>
      </c>
      <c r="D92" s="440" t="str">
        <f>IF('att Data Entry'!D95="","",IF('att Data Entry'!D95='att Data Entry'!$D$8,'att Data Entry'!$C$8,'att Data Entry'!$C$9))</f>
        <v/>
      </c>
      <c r="E92" s="40" t="str">
        <f>IF('att Data Entry'!E95="","",IF('att Data Entry'!E95='att Data Entry'!$D$8,'att Data Entry'!$C$8,'att Data Entry'!$C$9))</f>
        <v/>
      </c>
      <c r="F92" s="162" t="str">
        <f>IF('att Data Entry'!F95="","",IF('att Data Entry'!F95='att Data Entry'!$D$8,'att Data Entry'!$C$8,'att Data Entry'!$C$9))</f>
        <v/>
      </c>
      <c r="G92" s="40" t="str">
        <f t="shared" si="12"/>
        <v/>
      </c>
      <c r="H92" s="162" t="str">
        <f>IF('att Data Entry'!$D95="","",IF(X92="TRUE",1,0))</f>
        <v/>
      </c>
      <c r="I92" s="40" t="str">
        <f>IF('att Data Entry'!I95="","",IF('att Data Entry'!H95='att Data Entry'!$D$8,'att Data Entry'!$C$8,'att Data Entry'!$C$9))</f>
        <v/>
      </c>
      <c r="J92" s="162" t="str">
        <f>IF('att Data Entry'!H95="","",IF('att Data Entry'!I95='att Data Entry'!$D$8,'att Data Entry'!$C$8,'att Data Entry'!$C$9))</f>
        <v/>
      </c>
      <c r="K92" s="40" t="str">
        <f t="shared" si="13"/>
        <v/>
      </c>
      <c r="L92" s="162" t="str">
        <f>IF('att Data Entry'!$D95="","",IF(Y92="TRUE",1,0))</f>
        <v/>
      </c>
      <c r="M92" s="40" t="str">
        <f>IF('att Data Entry'!L95="","",IF('att Data Entry'!K95='att Data Entry'!$D$8,'att Data Entry'!$C$8,'att Data Entry'!$C$9))</f>
        <v/>
      </c>
      <c r="N92" s="40" t="str">
        <f>IF('att Data Entry'!K95="","",IF('att Data Entry'!L95='att Data Entry'!$D$8,'att Data Entry'!$C$8,'att Data Entry'!$C$9))</f>
        <v/>
      </c>
      <c r="O92" s="40" t="str">
        <f t="shared" si="14"/>
        <v/>
      </c>
      <c r="P92" s="162" t="str">
        <f>IF('att Data Entry'!$D95="","",IF(Z92="TRUE",1,0))</f>
        <v/>
      </c>
      <c r="Q92" s="441" t="str">
        <f>IF('att Data Entry'!H95="","",IF(M92="",T92,U92))</f>
        <v/>
      </c>
      <c r="R92" s="441" t="str">
        <f>IF('att Data Entry'!H95="","",IF(M92="",V92,W92))</f>
        <v/>
      </c>
      <c r="T92" s="40" t="str">
        <f>IF('att Data Entry'!H95="","",IF($E92+$F92+$I92+$J92=4,"TRUE",IF($E92+$F92+$I92+$J92=8,"TRUE","FALSE")))</f>
        <v/>
      </c>
      <c r="U92" s="40" t="str">
        <f>IF('att Data Entry'!K95="","",IF($E92+$F92+$I92+$J92+$M92+$N92=6,"TRUE",IF($E92+$F92+$I92+$J92+$M92+$N92=12,"TRUE","FALSE")))</f>
        <v/>
      </c>
      <c r="V92" s="40" t="str">
        <f>IF('att Data Entry'!H95="","",IF($E92+$F92+$I92+$J92+$D92=5,"TRUE",IF($E92+$F92+$I92+$J92+$D92=10,"TRUE","FALSE")))</f>
        <v/>
      </c>
      <c r="W92" s="40" t="str">
        <f>IF('att Data Entry'!K95="","",IF($E92+$F92+$I92+$J92+$M92+$N92+$D92=7,"TRUE",IF($E92+$F92+$I92+$J92+$M92+$N92+$D92=14,"TRUE","FALSE")))</f>
        <v/>
      </c>
      <c r="X92" s="40" t="str">
        <f>IF('att Data Entry'!D95="","",IF('att Calculations'!D92+'att Calculations'!E92+'att Calculations'!F92=3, "TRUE",IF('att Calculations'!D92+'att Calculations'!E92+'att Calculations'!F92=6,"TRUE","FALSE")))</f>
        <v/>
      </c>
      <c r="Y92" s="40" t="str">
        <f>IF('att Data Entry'!$D95="","",IF($D92+I92+J92=3, "TRUE",IF($D92+I92+J92=6,"TRUE","FALSE")))</f>
        <v/>
      </c>
      <c r="Z92" s="13" t="str">
        <f>IF('att Data Entry'!K95="","",IF('att Data Entry'!$D95="","",IF($D92+M92+N92=3, "TRUE",IF($D92+M92+N92=6,"TRUE","FALSE"))))</f>
        <v/>
      </c>
      <c r="AA92" s="443" t="str">
        <f t="shared" si="15"/>
        <v/>
      </c>
      <c r="AB92" s="443" t="str">
        <f t="shared" si="16"/>
        <v/>
      </c>
      <c r="AC92" s="443" t="str">
        <f t="shared" si="17"/>
        <v/>
      </c>
      <c r="AD92" s="443" t="str">
        <f t="shared" si="18"/>
        <v/>
      </c>
      <c r="AE92" s="443" t="str">
        <f t="shared" si="19"/>
        <v/>
      </c>
      <c r="AF92" s="443" t="str">
        <f t="shared" si="23"/>
        <v/>
      </c>
      <c r="AG92" s="443" t="str">
        <f t="shared" si="20"/>
        <v/>
      </c>
      <c r="AH92" s="443" t="str">
        <f t="shared" si="21"/>
        <v/>
      </c>
      <c r="AI92" s="443" t="str">
        <f t="shared" si="22"/>
        <v/>
      </c>
    </row>
    <row r="93" spans="3:35" x14ac:dyDescent="0.25">
      <c r="C93" s="158">
        <v>83</v>
      </c>
      <c r="D93" s="440" t="str">
        <f>IF('att Data Entry'!D96="","",IF('att Data Entry'!D96='att Data Entry'!$D$8,'att Data Entry'!$C$8,'att Data Entry'!$C$9))</f>
        <v/>
      </c>
      <c r="E93" s="40" t="str">
        <f>IF('att Data Entry'!E96="","",IF('att Data Entry'!E96='att Data Entry'!$D$8,'att Data Entry'!$C$8,'att Data Entry'!$C$9))</f>
        <v/>
      </c>
      <c r="F93" s="162" t="str">
        <f>IF('att Data Entry'!F96="","",IF('att Data Entry'!F96='att Data Entry'!$D$8,'att Data Entry'!$C$8,'att Data Entry'!$C$9))</f>
        <v/>
      </c>
      <c r="G93" s="40" t="str">
        <f t="shared" si="12"/>
        <v/>
      </c>
      <c r="H93" s="162" t="str">
        <f>IF('att Data Entry'!$D96="","",IF(X93="TRUE",1,0))</f>
        <v/>
      </c>
      <c r="I93" s="40" t="str">
        <f>IF('att Data Entry'!I96="","",IF('att Data Entry'!H96='att Data Entry'!$D$8,'att Data Entry'!$C$8,'att Data Entry'!$C$9))</f>
        <v/>
      </c>
      <c r="J93" s="162" t="str">
        <f>IF('att Data Entry'!H96="","",IF('att Data Entry'!I96='att Data Entry'!$D$8,'att Data Entry'!$C$8,'att Data Entry'!$C$9))</f>
        <v/>
      </c>
      <c r="K93" s="40" t="str">
        <f t="shared" si="13"/>
        <v/>
      </c>
      <c r="L93" s="162" t="str">
        <f>IF('att Data Entry'!$D96="","",IF(Y93="TRUE",1,0))</f>
        <v/>
      </c>
      <c r="M93" s="40" t="str">
        <f>IF('att Data Entry'!L96="","",IF('att Data Entry'!K96='att Data Entry'!$D$8,'att Data Entry'!$C$8,'att Data Entry'!$C$9))</f>
        <v/>
      </c>
      <c r="N93" s="40" t="str">
        <f>IF('att Data Entry'!K96="","",IF('att Data Entry'!L96='att Data Entry'!$D$8,'att Data Entry'!$C$8,'att Data Entry'!$C$9))</f>
        <v/>
      </c>
      <c r="O93" s="40" t="str">
        <f t="shared" si="14"/>
        <v/>
      </c>
      <c r="P93" s="162" t="str">
        <f>IF('att Data Entry'!$D96="","",IF(Z93="TRUE",1,0))</f>
        <v/>
      </c>
      <c r="Q93" s="441" t="str">
        <f>IF('att Data Entry'!H96="","",IF(M93="",T93,U93))</f>
        <v/>
      </c>
      <c r="R93" s="441" t="str">
        <f>IF('att Data Entry'!H96="","",IF(M93="",V93,W93))</f>
        <v/>
      </c>
      <c r="T93" s="40" t="str">
        <f>IF('att Data Entry'!H96="","",IF($E93+$F93+$I93+$J93=4,"TRUE",IF($E93+$F93+$I93+$J93=8,"TRUE","FALSE")))</f>
        <v/>
      </c>
      <c r="U93" s="40" t="str">
        <f>IF('att Data Entry'!K96="","",IF($E93+$F93+$I93+$J93+$M93+$N93=6,"TRUE",IF($E93+$F93+$I93+$J93+$M93+$N93=12,"TRUE","FALSE")))</f>
        <v/>
      </c>
      <c r="V93" s="40" t="str">
        <f>IF('att Data Entry'!H96="","",IF($E93+$F93+$I93+$J93+$D93=5,"TRUE",IF($E93+$F93+$I93+$J93+$D93=10,"TRUE","FALSE")))</f>
        <v/>
      </c>
      <c r="W93" s="40" t="str">
        <f>IF('att Data Entry'!K96="","",IF($E93+$F93+$I93+$J93+$M93+$N93+$D93=7,"TRUE",IF($E93+$F93+$I93+$J93+$M93+$N93+$D93=14,"TRUE","FALSE")))</f>
        <v/>
      </c>
      <c r="X93" s="40" t="str">
        <f>IF('att Data Entry'!D96="","",IF('att Calculations'!D93+'att Calculations'!E93+'att Calculations'!F93=3, "TRUE",IF('att Calculations'!D93+'att Calculations'!E93+'att Calculations'!F93=6,"TRUE","FALSE")))</f>
        <v/>
      </c>
      <c r="Y93" s="40" t="str">
        <f>IF('att Data Entry'!$D96="","",IF($D93+I93+J93=3, "TRUE",IF($D93+I93+J93=6,"TRUE","FALSE")))</f>
        <v/>
      </c>
      <c r="Z93" s="13" t="str">
        <f>IF('att Data Entry'!K96="","",IF('att Data Entry'!$D96="","",IF($D93+M93+N93=3, "TRUE",IF($D93+M93+N93=6,"TRUE","FALSE"))))</f>
        <v/>
      </c>
      <c r="AA93" s="443" t="str">
        <f t="shared" si="15"/>
        <v/>
      </c>
      <c r="AB93" s="443" t="str">
        <f t="shared" si="16"/>
        <v/>
      </c>
      <c r="AC93" s="443" t="str">
        <f t="shared" si="17"/>
        <v/>
      </c>
      <c r="AD93" s="443" t="str">
        <f t="shared" si="18"/>
        <v/>
      </c>
      <c r="AE93" s="443" t="str">
        <f t="shared" si="19"/>
        <v/>
      </c>
      <c r="AF93" s="443" t="str">
        <f t="shared" si="23"/>
        <v/>
      </c>
      <c r="AG93" s="443" t="str">
        <f t="shared" si="20"/>
        <v/>
      </c>
      <c r="AH93" s="443" t="str">
        <f t="shared" si="21"/>
        <v/>
      </c>
      <c r="AI93" s="443" t="str">
        <f t="shared" si="22"/>
        <v/>
      </c>
    </row>
    <row r="94" spans="3:35" x14ac:dyDescent="0.25">
      <c r="C94" s="158">
        <v>84</v>
      </c>
      <c r="D94" s="440" t="str">
        <f>IF('att Data Entry'!D97="","",IF('att Data Entry'!D97='att Data Entry'!$D$8,'att Data Entry'!$C$8,'att Data Entry'!$C$9))</f>
        <v/>
      </c>
      <c r="E94" s="40" t="str">
        <f>IF('att Data Entry'!E97="","",IF('att Data Entry'!E97='att Data Entry'!$D$8,'att Data Entry'!$C$8,'att Data Entry'!$C$9))</f>
        <v/>
      </c>
      <c r="F94" s="162" t="str">
        <f>IF('att Data Entry'!F97="","",IF('att Data Entry'!F97='att Data Entry'!$D$8,'att Data Entry'!$C$8,'att Data Entry'!$C$9))</f>
        <v/>
      </c>
      <c r="G94" s="40" t="str">
        <f t="shared" si="12"/>
        <v/>
      </c>
      <c r="H94" s="162" t="str">
        <f>IF('att Data Entry'!$D97="","",IF(X94="TRUE",1,0))</f>
        <v/>
      </c>
      <c r="I94" s="40" t="str">
        <f>IF('att Data Entry'!I97="","",IF('att Data Entry'!H97='att Data Entry'!$D$8,'att Data Entry'!$C$8,'att Data Entry'!$C$9))</f>
        <v/>
      </c>
      <c r="J94" s="162" t="str">
        <f>IF('att Data Entry'!H97="","",IF('att Data Entry'!I97='att Data Entry'!$D$8,'att Data Entry'!$C$8,'att Data Entry'!$C$9))</f>
        <v/>
      </c>
      <c r="K94" s="40" t="str">
        <f t="shared" si="13"/>
        <v/>
      </c>
      <c r="L94" s="162" t="str">
        <f>IF('att Data Entry'!$D97="","",IF(Y94="TRUE",1,0))</f>
        <v/>
      </c>
      <c r="M94" s="40" t="str">
        <f>IF('att Data Entry'!L97="","",IF('att Data Entry'!K97='att Data Entry'!$D$8,'att Data Entry'!$C$8,'att Data Entry'!$C$9))</f>
        <v/>
      </c>
      <c r="N94" s="40" t="str">
        <f>IF('att Data Entry'!K97="","",IF('att Data Entry'!L97='att Data Entry'!$D$8,'att Data Entry'!$C$8,'att Data Entry'!$C$9))</f>
        <v/>
      </c>
      <c r="O94" s="40" t="str">
        <f t="shared" si="14"/>
        <v/>
      </c>
      <c r="P94" s="162" t="str">
        <f>IF('att Data Entry'!$D97="","",IF(Z94="TRUE",1,0))</f>
        <v/>
      </c>
      <c r="Q94" s="441" t="str">
        <f>IF('att Data Entry'!H97="","",IF(M94="",T94,U94))</f>
        <v/>
      </c>
      <c r="R94" s="441" t="str">
        <f>IF('att Data Entry'!H97="","",IF(M94="",V94,W94))</f>
        <v/>
      </c>
      <c r="T94" s="40" t="str">
        <f>IF('att Data Entry'!H97="","",IF($E94+$F94+$I94+$J94=4,"TRUE",IF($E94+$F94+$I94+$J94=8,"TRUE","FALSE")))</f>
        <v/>
      </c>
      <c r="U94" s="40" t="str">
        <f>IF('att Data Entry'!K97="","",IF($E94+$F94+$I94+$J94+$M94+$N94=6,"TRUE",IF($E94+$F94+$I94+$J94+$M94+$N94=12,"TRUE","FALSE")))</f>
        <v/>
      </c>
      <c r="V94" s="40" t="str">
        <f>IF('att Data Entry'!H97="","",IF($E94+$F94+$I94+$J94+$D94=5,"TRUE",IF($E94+$F94+$I94+$J94+$D94=10,"TRUE","FALSE")))</f>
        <v/>
      </c>
      <c r="W94" s="40" t="str">
        <f>IF('att Data Entry'!K97="","",IF($E94+$F94+$I94+$J94+$M94+$N94+$D94=7,"TRUE",IF($E94+$F94+$I94+$J94+$M94+$N94+$D94=14,"TRUE","FALSE")))</f>
        <v/>
      </c>
      <c r="X94" s="40" t="str">
        <f>IF('att Data Entry'!D97="","",IF('att Calculations'!D94+'att Calculations'!E94+'att Calculations'!F94=3, "TRUE",IF('att Calculations'!D94+'att Calculations'!E94+'att Calculations'!F94=6,"TRUE","FALSE")))</f>
        <v/>
      </c>
      <c r="Y94" s="40" t="str">
        <f>IF('att Data Entry'!$D97="","",IF($D94+I94+J94=3, "TRUE",IF($D94+I94+J94=6,"TRUE","FALSE")))</f>
        <v/>
      </c>
      <c r="Z94" s="13" t="str">
        <f>IF('att Data Entry'!K97="","",IF('att Data Entry'!$D97="","",IF($D94+M94+N94=3, "TRUE",IF($D94+M94+N94=6,"TRUE","FALSE"))))</f>
        <v/>
      </c>
      <c r="AA94" s="443" t="str">
        <f t="shared" si="15"/>
        <v/>
      </c>
      <c r="AB94" s="443" t="str">
        <f t="shared" si="16"/>
        <v/>
      </c>
      <c r="AC94" s="443" t="str">
        <f t="shared" si="17"/>
        <v/>
      </c>
      <c r="AD94" s="443" t="str">
        <f t="shared" si="18"/>
        <v/>
      </c>
      <c r="AE94" s="443" t="str">
        <f t="shared" si="19"/>
        <v/>
      </c>
      <c r="AF94" s="443" t="str">
        <f t="shared" si="23"/>
        <v/>
      </c>
      <c r="AG94" s="443" t="str">
        <f t="shared" si="20"/>
        <v/>
      </c>
      <c r="AH94" s="443" t="str">
        <f t="shared" si="21"/>
        <v/>
      </c>
      <c r="AI94" s="443" t="str">
        <f t="shared" si="22"/>
        <v/>
      </c>
    </row>
    <row r="95" spans="3:35" x14ac:dyDescent="0.25">
      <c r="C95" s="158">
        <v>85</v>
      </c>
      <c r="D95" s="440" t="str">
        <f>IF('att Data Entry'!D98="","",IF('att Data Entry'!D98='att Data Entry'!$D$8,'att Data Entry'!$C$8,'att Data Entry'!$C$9))</f>
        <v/>
      </c>
      <c r="E95" s="40" t="str">
        <f>IF('att Data Entry'!E98="","",IF('att Data Entry'!E98='att Data Entry'!$D$8,'att Data Entry'!$C$8,'att Data Entry'!$C$9))</f>
        <v/>
      </c>
      <c r="F95" s="162" t="str">
        <f>IF('att Data Entry'!F98="","",IF('att Data Entry'!F98='att Data Entry'!$D$8,'att Data Entry'!$C$8,'att Data Entry'!$C$9))</f>
        <v/>
      </c>
      <c r="G95" s="40" t="str">
        <f t="shared" si="12"/>
        <v/>
      </c>
      <c r="H95" s="162" t="str">
        <f>IF('att Data Entry'!$D98="","",IF(X95="TRUE",1,0))</f>
        <v/>
      </c>
      <c r="I95" s="40" t="str">
        <f>IF('att Data Entry'!I98="","",IF('att Data Entry'!H98='att Data Entry'!$D$8,'att Data Entry'!$C$8,'att Data Entry'!$C$9))</f>
        <v/>
      </c>
      <c r="J95" s="162" t="str">
        <f>IF('att Data Entry'!H98="","",IF('att Data Entry'!I98='att Data Entry'!$D$8,'att Data Entry'!$C$8,'att Data Entry'!$C$9))</f>
        <v/>
      </c>
      <c r="K95" s="40" t="str">
        <f t="shared" si="13"/>
        <v/>
      </c>
      <c r="L95" s="162" t="str">
        <f>IF('att Data Entry'!$D98="","",IF(Y95="TRUE",1,0))</f>
        <v/>
      </c>
      <c r="M95" s="40" t="str">
        <f>IF('att Data Entry'!L98="","",IF('att Data Entry'!K98='att Data Entry'!$D$8,'att Data Entry'!$C$8,'att Data Entry'!$C$9))</f>
        <v/>
      </c>
      <c r="N95" s="40" t="str">
        <f>IF('att Data Entry'!K98="","",IF('att Data Entry'!L98='att Data Entry'!$D$8,'att Data Entry'!$C$8,'att Data Entry'!$C$9))</f>
        <v/>
      </c>
      <c r="O95" s="40" t="str">
        <f t="shared" si="14"/>
        <v/>
      </c>
      <c r="P95" s="162" t="str">
        <f>IF('att Data Entry'!$D98="","",IF(Z95="TRUE",1,0))</f>
        <v/>
      </c>
      <c r="Q95" s="441" t="str">
        <f>IF('att Data Entry'!H98="","",IF(M95="",T95,U95))</f>
        <v/>
      </c>
      <c r="R95" s="441" t="str">
        <f>IF('att Data Entry'!H98="","",IF(M95="",V95,W95))</f>
        <v/>
      </c>
      <c r="T95" s="40" t="str">
        <f>IF('att Data Entry'!H98="","",IF($E95+$F95+$I95+$J95=4,"TRUE",IF($E95+$F95+$I95+$J95=8,"TRUE","FALSE")))</f>
        <v/>
      </c>
      <c r="U95" s="40" t="str">
        <f>IF('att Data Entry'!K98="","",IF($E95+$F95+$I95+$J95+$M95+$N95=6,"TRUE",IF($E95+$F95+$I95+$J95+$M95+$N95=12,"TRUE","FALSE")))</f>
        <v/>
      </c>
      <c r="V95" s="40" t="str">
        <f>IF('att Data Entry'!H98="","",IF($E95+$F95+$I95+$J95+$D95=5,"TRUE",IF($E95+$F95+$I95+$J95+$D95=10,"TRUE","FALSE")))</f>
        <v/>
      </c>
      <c r="W95" s="40" t="str">
        <f>IF('att Data Entry'!K98="","",IF($E95+$F95+$I95+$J95+$M95+$N95+$D95=7,"TRUE",IF($E95+$F95+$I95+$J95+$M95+$N95+$D95=14,"TRUE","FALSE")))</f>
        <v/>
      </c>
      <c r="X95" s="40" t="str">
        <f>IF('att Data Entry'!D98="","",IF('att Calculations'!D95+'att Calculations'!E95+'att Calculations'!F95=3, "TRUE",IF('att Calculations'!D95+'att Calculations'!E95+'att Calculations'!F95=6,"TRUE","FALSE")))</f>
        <v/>
      </c>
      <c r="Y95" s="40" t="str">
        <f>IF('att Data Entry'!$D98="","",IF($D95+I95+J95=3, "TRUE",IF($D95+I95+J95=6,"TRUE","FALSE")))</f>
        <v/>
      </c>
      <c r="Z95" s="13" t="str">
        <f>IF('att Data Entry'!K98="","",IF('att Data Entry'!$D98="","",IF($D95+M95+N95=3, "TRUE",IF($D95+M95+N95=6,"TRUE","FALSE"))))</f>
        <v/>
      </c>
      <c r="AA95" s="443" t="str">
        <f t="shared" si="15"/>
        <v/>
      </c>
      <c r="AB95" s="443" t="str">
        <f t="shared" si="16"/>
        <v/>
      </c>
      <c r="AC95" s="443" t="str">
        <f t="shared" si="17"/>
        <v/>
      </c>
      <c r="AD95" s="443" t="str">
        <f t="shared" si="18"/>
        <v/>
      </c>
      <c r="AE95" s="443" t="str">
        <f t="shared" si="19"/>
        <v/>
      </c>
      <c r="AF95" s="443" t="str">
        <f t="shared" si="23"/>
        <v/>
      </c>
      <c r="AG95" s="443" t="str">
        <f t="shared" si="20"/>
        <v/>
      </c>
      <c r="AH95" s="443" t="str">
        <f t="shared" si="21"/>
        <v/>
      </c>
      <c r="AI95" s="443" t="str">
        <f t="shared" si="22"/>
        <v/>
      </c>
    </row>
    <row r="96" spans="3:35" x14ac:dyDescent="0.25">
      <c r="C96" s="158">
        <v>86</v>
      </c>
      <c r="D96" s="440" t="str">
        <f>IF('att Data Entry'!D99="","",IF('att Data Entry'!D99='att Data Entry'!$D$8,'att Data Entry'!$C$8,'att Data Entry'!$C$9))</f>
        <v/>
      </c>
      <c r="E96" s="40" t="str">
        <f>IF('att Data Entry'!E99="","",IF('att Data Entry'!E99='att Data Entry'!$D$8,'att Data Entry'!$C$8,'att Data Entry'!$C$9))</f>
        <v/>
      </c>
      <c r="F96" s="162" t="str">
        <f>IF('att Data Entry'!F99="","",IF('att Data Entry'!F99='att Data Entry'!$D$8,'att Data Entry'!$C$8,'att Data Entry'!$C$9))</f>
        <v/>
      </c>
      <c r="G96" s="40" t="str">
        <f t="shared" si="12"/>
        <v/>
      </c>
      <c r="H96" s="162" t="str">
        <f>IF('att Data Entry'!$D99="","",IF(X96="TRUE",1,0))</f>
        <v/>
      </c>
      <c r="I96" s="40" t="str">
        <f>IF('att Data Entry'!I99="","",IF('att Data Entry'!H99='att Data Entry'!$D$8,'att Data Entry'!$C$8,'att Data Entry'!$C$9))</f>
        <v/>
      </c>
      <c r="J96" s="162" t="str">
        <f>IF('att Data Entry'!H99="","",IF('att Data Entry'!I99='att Data Entry'!$D$8,'att Data Entry'!$C$8,'att Data Entry'!$C$9))</f>
        <v/>
      </c>
      <c r="K96" s="40" t="str">
        <f t="shared" si="13"/>
        <v/>
      </c>
      <c r="L96" s="162" t="str">
        <f>IF('att Data Entry'!$D99="","",IF(Y96="TRUE",1,0))</f>
        <v/>
      </c>
      <c r="M96" s="40" t="str">
        <f>IF('att Data Entry'!L99="","",IF('att Data Entry'!K99='att Data Entry'!$D$8,'att Data Entry'!$C$8,'att Data Entry'!$C$9))</f>
        <v/>
      </c>
      <c r="N96" s="40" t="str">
        <f>IF('att Data Entry'!K99="","",IF('att Data Entry'!L99='att Data Entry'!$D$8,'att Data Entry'!$C$8,'att Data Entry'!$C$9))</f>
        <v/>
      </c>
      <c r="O96" s="40" t="str">
        <f t="shared" si="14"/>
        <v/>
      </c>
      <c r="P96" s="162" t="str">
        <f>IF('att Data Entry'!$D99="","",IF(Z96="TRUE",1,0))</f>
        <v/>
      </c>
      <c r="Q96" s="441" t="str">
        <f>IF('att Data Entry'!H99="","",IF(M96="",T96,U96))</f>
        <v/>
      </c>
      <c r="R96" s="441" t="str">
        <f>IF('att Data Entry'!H99="","",IF(M96="",V96,W96))</f>
        <v/>
      </c>
      <c r="T96" s="40" t="str">
        <f>IF('att Data Entry'!H99="","",IF($E96+$F96+$I96+$J96=4,"TRUE",IF($E96+$F96+$I96+$J96=8,"TRUE","FALSE")))</f>
        <v/>
      </c>
      <c r="U96" s="40" t="str">
        <f>IF('att Data Entry'!K99="","",IF($E96+$F96+$I96+$J96+$M96+$N96=6,"TRUE",IF($E96+$F96+$I96+$J96+$M96+$N96=12,"TRUE","FALSE")))</f>
        <v/>
      </c>
      <c r="V96" s="40" t="str">
        <f>IF('att Data Entry'!H99="","",IF($E96+$F96+$I96+$J96+$D96=5,"TRUE",IF($E96+$F96+$I96+$J96+$D96=10,"TRUE","FALSE")))</f>
        <v/>
      </c>
      <c r="W96" s="40" t="str">
        <f>IF('att Data Entry'!K99="","",IF($E96+$F96+$I96+$J96+$M96+$N96+$D96=7,"TRUE",IF($E96+$F96+$I96+$J96+$M96+$N96+$D96=14,"TRUE","FALSE")))</f>
        <v/>
      </c>
      <c r="X96" s="40" t="str">
        <f>IF('att Data Entry'!D99="","",IF('att Calculations'!D96+'att Calculations'!E96+'att Calculations'!F96=3, "TRUE",IF('att Calculations'!D96+'att Calculations'!E96+'att Calculations'!F96=6,"TRUE","FALSE")))</f>
        <v/>
      </c>
      <c r="Y96" s="40" t="str">
        <f>IF('att Data Entry'!$D99="","",IF($D96+I96+J96=3, "TRUE",IF($D96+I96+J96=6,"TRUE","FALSE")))</f>
        <v/>
      </c>
      <c r="Z96" s="13" t="str">
        <f>IF('att Data Entry'!K99="","",IF('att Data Entry'!$D99="","",IF($D96+M96+N96=3, "TRUE",IF($D96+M96+N96=6,"TRUE","FALSE"))))</f>
        <v/>
      </c>
      <c r="AA96" s="443" t="str">
        <f t="shared" si="15"/>
        <v/>
      </c>
      <c r="AB96" s="443" t="str">
        <f t="shared" si="16"/>
        <v/>
      </c>
      <c r="AC96" s="443" t="str">
        <f t="shared" si="17"/>
        <v/>
      </c>
      <c r="AD96" s="443" t="str">
        <f t="shared" si="18"/>
        <v/>
      </c>
      <c r="AE96" s="443" t="str">
        <f t="shared" si="19"/>
        <v/>
      </c>
      <c r="AF96" s="443" t="str">
        <f t="shared" si="23"/>
        <v/>
      </c>
      <c r="AG96" s="443" t="str">
        <f t="shared" si="20"/>
        <v/>
      </c>
      <c r="AH96" s="443" t="str">
        <f t="shared" si="21"/>
        <v/>
      </c>
      <c r="AI96" s="443" t="str">
        <f t="shared" si="22"/>
        <v/>
      </c>
    </row>
    <row r="97" spans="3:35" x14ac:dyDescent="0.25">
      <c r="C97" s="158">
        <v>87</v>
      </c>
      <c r="D97" s="440" t="str">
        <f>IF('att Data Entry'!D100="","",IF('att Data Entry'!D100='att Data Entry'!$D$8,'att Data Entry'!$C$8,'att Data Entry'!$C$9))</f>
        <v/>
      </c>
      <c r="E97" s="40" t="str">
        <f>IF('att Data Entry'!E100="","",IF('att Data Entry'!E100='att Data Entry'!$D$8,'att Data Entry'!$C$8,'att Data Entry'!$C$9))</f>
        <v/>
      </c>
      <c r="F97" s="162" t="str">
        <f>IF('att Data Entry'!F100="","",IF('att Data Entry'!F100='att Data Entry'!$D$8,'att Data Entry'!$C$8,'att Data Entry'!$C$9))</f>
        <v/>
      </c>
      <c r="G97" s="40" t="str">
        <f t="shared" si="12"/>
        <v/>
      </c>
      <c r="H97" s="162" t="str">
        <f>IF('att Data Entry'!$D100="","",IF(X97="TRUE",1,0))</f>
        <v/>
      </c>
      <c r="I97" s="40" t="str">
        <f>IF('att Data Entry'!I100="","",IF('att Data Entry'!H100='att Data Entry'!$D$8,'att Data Entry'!$C$8,'att Data Entry'!$C$9))</f>
        <v/>
      </c>
      <c r="J97" s="162" t="str">
        <f>IF('att Data Entry'!H100="","",IF('att Data Entry'!I100='att Data Entry'!$D$8,'att Data Entry'!$C$8,'att Data Entry'!$C$9))</f>
        <v/>
      </c>
      <c r="K97" s="40" t="str">
        <f t="shared" si="13"/>
        <v/>
      </c>
      <c r="L97" s="162" t="str">
        <f>IF('att Data Entry'!$D100="","",IF(Y97="TRUE",1,0))</f>
        <v/>
      </c>
      <c r="M97" s="40" t="str">
        <f>IF('att Data Entry'!L100="","",IF('att Data Entry'!K100='att Data Entry'!$D$8,'att Data Entry'!$C$8,'att Data Entry'!$C$9))</f>
        <v/>
      </c>
      <c r="N97" s="40" t="str">
        <f>IF('att Data Entry'!K100="","",IF('att Data Entry'!L100='att Data Entry'!$D$8,'att Data Entry'!$C$8,'att Data Entry'!$C$9))</f>
        <v/>
      </c>
      <c r="O97" s="40" t="str">
        <f t="shared" si="14"/>
        <v/>
      </c>
      <c r="P97" s="162" t="str">
        <f>IF('att Data Entry'!$D100="","",IF(Z97="TRUE",1,0))</f>
        <v/>
      </c>
      <c r="Q97" s="441" t="str">
        <f>IF('att Data Entry'!H100="","",IF(M97="",T97,U97))</f>
        <v/>
      </c>
      <c r="R97" s="441" t="str">
        <f>IF('att Data Entry'!H100="","",IF(M97="",V97,W97))</f>
        <v/>
      </c>
      <c r="T97" s="40" t="str">
        <f>IF('att Data Entry'!H100="","",IF($E97+$F97+$I97+$J97=4,"TRUE",IF($E97+$F97+$I97+$J97=8,"TRUE","FALSE")))</f>
        <v/>
      </c>
      <c r="U97" s="40" t="str">
        <f>IF('att Data Entry'!K100="","",IF($E97+$F97+$I97+$J97+$M97+$N97=6,"TRUE",IF($E97+$F97+$I97+$J97+$M97+$N97=12,"TRUE","FALSE")))</f>
        <v/>
      </c>
      <c r="V97" s="40" t="str">
        <f>IF('att Data Entry'!H100="","",IF($E97+$F97+$I97+$J97+$D97=5,"TRUE",IF($E97+$F97+$I97+$J97+$D97=10,"TRUE","FALSE")))</f>
        <v/>
      </c>
      <c r="W97" s="40" t="str">
        <f>IF('att Data Entry'!K100="","",IF($E97+$F97+$I97+$J97+$M97+$N97+$D97=7,"TRUE",IF($E97+$F97+$I97+$J97+$M97+$N97+$D97=14,"TRUE","FALSE")))</f>
        <v/>
      </c>
      <c r="X97" s="40" t="str">
        <f>IF('att Data Entry'!D100="","",IF('att Calculations'!D97+'att Calculations'!E97+'att Calculations'!F97=3, "TRUE",IF('att Calculations'!D97+'att Calculations'!E97+'att Calculations'!F97=6,"TRUE","FALSE")))</f>
        <v/>
      </c>
      <c r="Y97" s="40" t="str">
        <f>IF('att Data Entry'!$D100="","",IF($D97+I97+J97=3, "TRUE",IF($D97+I97+J97=6,"TRUE","FALSE")))</f>
        <v/>
      </c>
      <c r="Z97" s="13" t="str">
        <f>IF('att Data Entry'!K100="","",IF('att Data Entry'!$D100="","",IF($D97+M97+N97=3, "TRUE",IF($D97+M97+N97=6,"TRUE","FALSE"))))</f>
        <v/>
      </c>
      <c r="AA97" s="443" t="str">
        <f t="shared" si="15"/>
        <v/>
      </c>
      <c r="AB97" s="443" t="str">
        <f t="shared" si="16"/>
        <v/>
      </c>
      <c r="AC97" s="443" t="str">
        <f t="shared" si="17"/>
        <v/>
      </c>
      <c r="AD97" s="443" t="str">
        <f t="shared" si="18"/>
        <v/>
      </c>
      <c r="AE97" s="443" t="str">
        <f t="shared" si="19"/>
        <v/>
      </c>
      <c r="AF97" s="443" t="str">
        <f t="shared" si="23"/>
        <v/>
      </c>
      <c r="AG97" s="443" t="str">
        <f t="shared" si="20"/>
        <v/>
      </c>
      <c r="AH97" s="443" t="str">
        <f t="shared" si="21"/>
        <v/>
      </c>
      <c r="AI97" s="443" t="str">
        <f t="shared" si="22"/>
        <v/>
      </c>
    </row>
    <row r="98" spans="3:35" x14ac:dyDescent="0.25">
      <c r="C98" s="158">
        <v>88</v>
      </c>
      <c r="D98" s="440" t="str">
        <f>IF('att Data Entry'!D101="","",IF('att Data Entry'!D101='att Data Entry'!$D$8,'att Data Entry'!$C$8,'att Data Entry'!$C$9))</f>
        <v/>
      </c>
      <c r="E98" s="40" t="str">
        <f>IF('att Data Entry'!E101="","",IF('att Data Entry'!E101='att Data Entry'!$D$8,'att Data Entry'!$C$8,'att Data Entry'!$C$9))</f>
        <v/>
      </c>
      <c r="F98" s="162" t="str">
        <f>IF('att Data Entry'!F101="","",IF('att Data Entry'!F101='att Data Entry'!$D$8,'att Data Entry'!$C$8,'att Data Entry'!$C$9))</f>
        <v/>
      </c>
      <c r="G98" s="40" t="str">
        <f t="shared" si="12"/>
        <v/>
      </c>
      <c r="H98" s="162" t="str">
        <f>IF('att Data Entry'!$D101="","",IF(X98="TRUE",1,0))</f>
        <v/>
      </c>
      <c r="I98" s="40" t="str">
        <f>IF('att Data Entry'!I101="","",IF('att Data Entry'!H101='att Data Entry'!$D$8,'att Data Entry'!$C$8,'att Data Entry'!$C$9))</f>
        <v/>
      </c>
      <c r="J98" s="162" t="str">
        <f>IF('att Data Entry'!H101="","",IF('att Data Entry'!I101='att Data Entry'!$D$8,'att Data Entry'!$C$8,'att Data Entry'!$C$9))</f>
        <v/>
      </c>
      <c r="K98" s="40" t="str">
        <f t="shared" si="13"/>
        <v/>
      </c>
      <c r="L98" s="162" t="str">
        <f>IF('att Data Entry'!$D101="","",IF(Y98="TRUE",1,0))</f>
        <v/>
      </c>
      <c r="M98" s="40" t="str">
        <f>IF('att Data Entry'!L101="","",IF('att Data Entry'!K101='att Data Entry'!$D$8,'att Data Entry'!$C$8,'att Data Entry'!$C$9))</f>
        <v/>
      </c>
      <c r="N98" s="40" t="str">
        <f>IF('att Data Entry'!K101="","",IF('att Data Entry'!L101='att Data Entry'!$D$8,'att Data Entry'!$C$8,'att Data Entry'!$C$9))</f>
        <v/>
      </c>
      <c r="O98" s="40" t="str">
        <f t="shared" si="14"/>
        <v/>
      </c>
      <c r="P98" s="162" t="str">
        <f>IF('att Data Entry'!$D101="","",IF(Z98="TRUE",1,0))</f>
        <v/>
      </c>
      <c r="Q98" s="441" t="str">
        <f>IF('att Data Entry'!H101="","",IF(M98="",T98,U98))</f>
        <v/>
      </c>
      <c r="R98" s="441" t="str">
        <f>IF('att Data Entry'!H101="","",IF(M98="",V98,W98))</f>
        <v/>
      </c>
      <c r="T98" s="40" t="str">
        <f>IF('att Data Entry'!H101="","",IF($E98+$F98+$I98+$J98=4,"TRUE",IF($E98+$F98+$I98+$J98=8,"TRUE","FALSE")))</f>
        <v/>
      </c>
      <c r="U98" s="40" t="str">
        <f>IF('att Data Entry'!K101="","",IF($E98+$F98+$I98+$J98+$M98+$N98=6,"TRUE",IF($E98+$F98+$I98+$J98+$M98+$N98=12,"TRUE","FALSE")))</f>
        <v/>
      </c>
      <c r="V98" s="40" t="str">
        <f>IF('att Data Entry'!H101="","",IF($E98+$F98+$I98+$J98+$D98=5,"TRUE",IF($E98+$F98+$I98+$J98+$D98=10,"TRUE","FALSE")))</f>
        <v/>
      </c>
      <c r="W98" s="40" t="str">
        <f>IF('att Data Entry'!K101="","",IF($E98+$F98+$I98+$J98+$M98+$N98+$D98=7,"TRUE",IF($E98+$F98+$I98+$J98+$M98+$N98+$D98=14,"TRUE","FALSE")))</f>
        <v/>
      </c>
      <c r="X98" s="40" t="str">
        <f>IF('att Data Entry'!D101="","",IF('att Calculations'!D98+'att Calculations'!E98+'att Calculations'!F98=3, "TRUE",IF('att Calculations'!D98+'att Calculations'!E98+'att Calculations'!F98=6,"TRUE","FALSE")))</f>
        <v/>
      </c>
      <c r="Y98" s="40" t="str">
        <f>IF('att Data Entry'!$D101="","",IF($D98+I98+J98=3, "TRUE",IF($D98+I98+J98=6,"TRUE","FALSE")))</f>
        <v/>
      </c>
      <c r="Z98" s="13" t="str">
        <f>IF('att Data Entry'!K101="","",IF('att Data Entry'!$D101="","",IF($D98+M98+N98=3, "TRUE",IF($D98+M98+N98=6,"TRUE","FALSE"))))</f>
        <v/>
      </c>
      <c r="AA98" s="443" t="str">
        <f t="shared" si="15"/>
        <v/>
      </c>
      <c r="AB98" s="443" t="str">
        <f t="shared" si="16"/>
        <v/>
      </c>
      <c r="AC98" s="443" t="str">
        <f t="shared" si="17"/>
        <v/>
      </c>
      <c r="AD98" s="443" t="str">
        <f t="shared" si="18"/>
        <v/>
      </c>
      <c r="AE98" s="443" t="str">
        <f t="shared" si="19"/>
        <v/>
      </c>
      <c r="AF98" s="443" t="str">
        <f t="shared" si="23"/>
        <v/>
      </c>
      <c r="AG98" s="443" t="str">
        <f t="shared" si="20"/>
        <v/>
      </c>
      <c r="AH98" s="443" t="str">
        <f t="shared" si="21"/>
        <v/>
      </c>
      <c r="AI98" s="443" t="str">
        <f t="shared" si="22"/>
        <v/>
      </c>
    </row>
    <row r="99" spans="3:35" x14ac:dyDescent="0.25">
      <c r="C99" s="158">
        <v>89</v>
      </c>
      <c r="D99" s="440" t="str">
        <f>IF('att Data Entry'!D102="","",IF('att Data Entry'!D102='att Data Entry'!$D$8,'att Data Entry'!$C$8,'att Data Entry'!$C$9))</f>
        <v/>
      </c>
      <c r="E99" s="40" t="str">
        <f>IF('att Data Entry'!E102="","",IF('att Data Entry'!E102='att Data Entry'!$D$8,'att Data Entry'!$C$8,'att Data Entry'!$C$9))</f>
        <v/>
      </c>
      <c r="F99" s="162" t="str">
        <f>IF('att Data Entry'!F102="","",IF('att Data Entry'!F102='att Data Entry'!$D$8,'att Data Entry'!$C$8,'att Data Entry'!$C$9))</f>
        <v/>
      </c>
      <c r="G99" s="40" t="str">
        <f t="shared" si="12"/>
        <v/>
      </c>
      <c r="H99" s="162" t="str">
        <f>IF('att Data Entry'!$D102="","",IF(X99="TRUE",1,0))</f>
        <v/>
      </c>
      <c r="I99" s="40" t="str">
        <f>IF('att Data Entry'!I102="","",IF('att Data Entry'!H102='att Data Entry'!$D$8,'att Data Entry'!$C$8,'att Data Entry'!$C$9))</f>
        <v/>
      </c>
      <c r="J99" s="162" t="str">
        <f>IF('att Data Entry'!H102="","",IF('att Data Entry'!I102='att Data Entry'!$D$8,'att Data Entry'!$C$8,'att Data Entry'!$C$9))</f>
        <v/>
      </c>
      <c r="K99" s="40" t="str">
        <f t="shared" si="13"/>
        <v/>
      </c>
      <c r="L99" s="162" t="str">
        <f>IF('att Data Entry'!$D102="","",IF(Y99="TRUE",1,0))</f>
        <v/>
      </c>
      <c r="M99" s="40" t="str">
        <f>IF('att Data Entry'!L102="","",IF('att Data Entry'!K102='att Data Entry'!$D$8,'att Data Entry'!$C$8,'att Data Entry'!$C$9))</f>
        <v/>
      </c>
      <c r="N99" s="40" t="str">
        <f>IF('att Data Entry'!K102="","",IF('att Data Entry'!L102='att Data Entry'!$D$8,'att Data Entry'!$C$8,'att Data Entry'!$C$9))</f>
        <v/>
      </c>
      <c r="O99" s="40" t="str">
        <f t="shared" si="14"/>
        <v/>
      </c>
      <c r="P99" s="162" t="str">
        <f>IF('att Data Entry'!$D102="","",IF(Z99="TRUE",1,0))</f>
        <v/>
      </c>
      <c r="Q99" s="441" t="str">
        <f>IF('att Data Entry'!H102="","",IF(M99="",T99,U99))</f>
        <v/>
      </c>
      <c r="R99" s="441" t="str">
        <f>IF('att Data Entry'!H102="","",IF(M99="",V99,W99))</f>
        <v/>
      </c>
      <c r="T99" s="40" t="str">
        <f>IF('att Data Entry'!H102="","",IF($E99+$F99+$I99+$J99=4,"TRUE",IF($E99+$F99+$I99+$J99=8,"TRUE","FALSE")))</f>
        <v/>
      </c>
      <c r="U99" s="40" t="str">
        <f>IF('att Data Entry'!K102="","",IF($E99+$F99+$I99+$J99+$M99+$N99=6,"TRUE",IF($E99+$F99+$I99+$J99+$M99+$N99=12,"TRUE","FALSE")))</f>
        <v/>
      </c>
      <c r="V99" s="40" t="str">
        <f>IF('att Data Entry'!H102="","",IF($E99+$F99+$I99+$J99+$D99=5,"TRUE",IF($E99+$F99+$I99+$J99+$D99=10,"TRUE","FALSE")))</f>
        <v/>
      </c>
      <c r="W99" s="40" t="str">
        <f>IF('att Data Entry'!K102="","",IF($E99+$F99+$I99+$J99+$M99+$N99+$D99=7,"TRUE",IF($E99+$F99+$I99+$J99+$M99+$N99+$D99=14,"TRUE","FALSE")))</f>
        <v/>
      </c>
      <c r="X99" s="40" t="str">
        <f>IF('att Data Entry'!D102="","",IF('att Calculations'!D99+'att Calculations'!E99+'att Calculations'!F99=3, "TRUE",IF('att Calculations'!D99+'att Calculations'!E99+'att Calculations'!F99=6,"TRUE","FALSE")))</f>
        <v/>
      </c>
      <c r="Y99" s="40" t="str">
        <f>IF('att Data Entry'!$D102="","",IF($D99+I99+J99=3, "TRUE",IF($D99+I99+J99=6,"TRUE","FALSE")))</f>
        <v/>
      </c>
      <c r="Z99" s="13" t="str">
        <f>IF('att Data Entry'!K102="","",IF('att Data Entry'!$D102="","",IF($D99+M99+N99=3, "TRUE",IF($D99+M99+N99=6,"TRUE","FALSE"))))</f>
        <v/>
      </c>
      <c r="AA99" s="443" t="str">
        <f t="shared" si="15"/>
        <v/>
      </c>
      <c r="AB99" s="443" t="str">
        <f t="shared" si="16"/>
        <v/>
      </c>
      <c r="AC99" s="443" t="str">
        <f t="shared" si="17"/>
        <v/>
      </c>
      <c r="AD99" s="443" t="str">
        <f t="shared" si="18"/>
        <v/>
      </c>
      <c r="AE99" s="443" t="str">
        <f t="shared" si="19"/>
        <v/>
      </c>
      <c r="AF99" s="443" t="str">
        <f t="shared" si="23"/>
        <v/>
      </c>
      <c r="AG99" s="443" t="str">
        <f t="shared" si="20"/>
        <v/>
      </c>
      <c r="AH99" s="443" t="str">
        <f t="shared" si="21"/>
        <v/>
      </c>
      <c r="AI99" s="443" t="str">
        <f t="shared" si="22"/>
        <v/>
      </c>
    </row>
    <row r="100" spans="3:35" x14ac:dyDescent="0.25">
      <c r="C100" s="158">
        <v>90</v>
      </c>
      <c r="D100" s="440" t="str">
        <f>IF('att Data Entry'!D103="","",IF('att Data Entry'!D103='att Data Entry'!$D$8,'att Data Entry'!$C$8,'att Data Entry'!$C$9))</f>
        <v/>
      </c>
      <c r="E100" s="40" t="str">
        <f>IF('att Data Entry'!E103="","",IF('att Data Entry'!E103='att Data Entry'!$D$8,'att Data Entry'!$C$8,'att Data Entry'!$C$9))</f>
        <v/>
      </c>
      <c r="F100" s="162" t="str">
        <f>IF('att Data Entry'!F103="","",IF('att Data Entry'!F103='att Data Entry'!$D$8,'att Data Entry'!$C$8,'att Data Entry'!$C$9))</f>
        <v/>
      </c>
      <c r="G100" s="40" t="str">
        <f t="shared" si="12"/>
        <v/>
      </c>
      <c r="H100" s="162" t="str">
        <f>IF('att Data Entry'!$D103="","",IF(X100="TRUE",1,0))</f>
        <v/>
      </c>
      <c r="I100" s="40" t="str">
        <f>IF('att Data Entry'!I103="","",IF('att Data Entry'!H103='att Data Entry'!$D$8,'att Data Entry'!$C$8,'att Data Entry'!$C$9))</f>
        <v/>
      </c>
      <c r="J100" s="162" t="str">
        <f>IF('att Data Entry'!H103="","",IF('att Data Entry'!I103='att Data Entry'!$D$8,'att Data Entry'!$C$8,'att Data Entry'!$C$9))</f>
        <v/>
      </c>
      <c r="K100" s="40" t="str">
        <f t="shared" si="13"/>
        <v/>
      </c>
      <c r="L100" s="162" t="str">
        <f>IF('att Data Entry'!$D103="","",IF(Y100="TRUE",1,0))</f>
        <v/>
      </c>
      <c r="M100" s="40" t="str">
        <f>IF('att Data Entry'!L103="","",IF('att Data Entry'!K103='att Data Entry'!$D$8,'att Data Entry'!$C$8,'att Data Entry'!$C$9))</f>
        <v/>
      </c>
      <c r="N100" s="40" t="str">
        <f>IF('att Data Entry'!K103="","",IF('att Data Entry'!L103='att Data Entry'!$D$8,'att Data Entry'!$C$8,'att Data Entry'!$C$9))</f>
        <v/>
      </c>
      <c r="O100" s="40" t="str">
        <f t="shared" si="14"/>
        <v/>
      </c>
      <c r="P100" s="162" t="str">
        <f>IF('att Data Entry'!$D103="","",IF(Z100="TRUE",1,0))</f>
        <v/>
      </c>
      <c r="Q100" s="441" t="str">
        <f>IF('att Data Entry'!H103="","",IF(M100="",T100,U100))</f>
        <v/>
      </c>
      <c r="R100" s="441" t="str">
        <f>IF('att Data Entry'!H103="","",IF(M100="",V100,W100))</f>
        <v/>
      </c>
      <c r="T100" s="40" t="str">
        <f>IF('att Data Entry'!H103="","",IF($E100+$F100+$I100+$J100=4,"TRUE",IF($E100+$F100+$I100+$J100=8,"TRUE","FALSE")))</f>
        <v/>
      </c>
      <c r="U100" s="40" t="str">
        <f>IF('att Data Entry'!K103="","",IF($E100+$F100+$I100+$J100+$M100+$N100=6,"TRUE",IF($E100+$F100+$I100+$J100+$M100+$N100=12,"TRUE","FALSE")))</f>
        <v/>
      </c>
      <c r="V100" s="40" t="str">
        <f>IF('att Data Entry'!H103="","",IF($E100+$F100+$I100+$J100+$D100=5,"TRUE",IF($E100+$F100+$I100+$J100+$D100=10,"TRUE","FALSE")))</f>
        <v/>
      </c>
      <c r="W100" s="40" t="str">
        <f>IF('att Data Entry'!K103="","",IF($E100+$F100+$I100+$J100+$M100+$N100+$D100=7,"TRUE",IF($E100+$F100+$I100+$J100+$M100+$N100+$D100=14,"TRUE","FALSE")))</f>
        <v/>
      </c>
      <c r="X100" s="40" t="str">
        <f>IF('att Data Entry'!D103="","",IF('att Calculations'!D100+'att Calculations'!E100+'att Calculations'!F100=3, "TRUE",IF('att Calculations'!D100+'att Calculations'!E100+'att Calculations'!F100=6,"TRUE","FALSE")))</f>
        <v/>
      </c>
      <c r="Y100" s="40" t="str">
        <f>IF('att Data Entry'!$D103="","",IF($D100+I100+J100=3, "TRUE",IF($D100+I100+J100=6,"TRUE","FALSE")))</f>
        <v/>
      </c>
      <c r="Z100" s="13" t="str">
        <f>IF('att Data Entry'!K103="","",IF('att Data Entry'!$D103="","",IF($D100+M100+N100=3, "TRUE",IF($D100+M100+N100=6,"TRUE","FALSE"))))</f>
        <v/>
      </c>
      <c r="AA100" s="443" t="str">
        <f t="shared" si="15"/>
        <v/>
      </c>
      <c r="AB100" s="443" t="str">
        <f t="shared" si="16"/>
        <v/>
      </c>
      <c r="AC100" s="443" t="str">
        <f t="shared" si="17"/>
        <v/>
      </c>
      <c r="AD100" s="443" t="str">
        <f t="shared" si="18"/>
        <v/>
      </c>
      <c r="AE100" s="443" t="str">
        <f t="shared" si="19"/>
        <v/>
      </c>
      <c r="AF100" s="443" t="str">
        <f t="shared" si="23"/>
        <v/>
      </c>
      <c r="AG100" s="443" t="str">
        <f t="shared" si="20"/>
        <v/>
      </c>
      <c r="AH100" s="443" t="str">
        <f t="shared" si="21"/>
        <v/>
      </c>
      <c r="AI100" s="443" t="str">
        <f t="shared" si="22"/>
        <v/>
      </c>
    </row>
    <row r="101" spans="3:35" x14ac:dyDescent="0.25">
      <c r="C101" s="158">
        <v>91</v>
      </c>
      <c r="D101" s="440" t="str">
        <f>IF('att Data Entry'!D104="","",IF('att Data Entry'!D104='att Data Entry'!$D$8,'att Data Entry'!$C$8,'att Data Entry'!$C$9))</f>
        <v/>
      </c>
      <c r="E101" s="40" t="str">
        <f>IF('att Data Entry'!E104="","",IF('att Data Entry'!E104='att Data Entry'!$D$8,'att Data Entry'!$C$8,'att Data Entry'!$C$9))</f>
        <v/>
      </c>
      <c r="F101" s="162" t="str">
        <f>IF('att Data Entry'!F104="","",IF('att Data Entry'!F104='att Data Entry'!$D$8,'att Data Entry'!$C$8,'att Data Entry'!$C$9))</f>
        <v/>
      </c>
      <c r="G101" s="40" t="str">
        <f t="shared" si="12"/>
        <v/>
      </c>
      <c r="H101" s="162" t="str">
        <f>IF('att Data Entry'!$D104="","",IF(X101="TRUE",1,0))</f>
        <v/>
      </c>
      <c r="I101" s="40" t="str">
        <f>IF('att Data Entry'!I104="","",IF('att Data Entry'!H104='att Data Entry'!$D$8,'att Data Entry'!$C$8,'att Data Entry'!$C$9))</f>
        <v/>
      </c>
      <c r="J101" s="162" t="str">
        <f>IF('att Data Entry'!H104="","",IF('att Data Entry'!I104='att Data Entry'!$D$8,'att Data Entry'!$C$8,'att Data Entry'!$C$9))</f>
        <v/>
      </c>
      <c r="K101" s="40" t="str">
        <f t="shared" si="13"/>
        <v/>
      </c>
      <c r="L101" s="162" t="str">
        <f>IF('att Data Entry'!$D104="","",IF(Y101="TRUE",1,0))</f>
        <v/>
      </c>
      <c r="M101" s="40" t="str">
        <f>IF('att Data Entry'!L104="","",IF('att Data Entry'!K104='att Data Entry'!$D$8,'att Data Entry'!$C$8,'att Data Entry'!$C$9))</f>
        <v/>
      </c>
      <c r="N101" s="40" t="str">
        <f>IF('att Data Entry'!K104="","",IF('att Data Entry'!L104='att Data Entry'!$D$8,'att Data Entry'!$C$8,'att Data Entry'!$C$9))</f>
        <v/>
      </c>
      <c r="O101" s="40" t="str">
        <f t="shared" si="14"/>
        <v/>
      </c>
      <c r="P101" s="162" t="str">
        <f>IF('att Data Entry'!$D104="","",IF(Z101="TRUE",1,0))</f>
        <v/>
      </c>
      <c r="Q101" s="441" t="str">
        <f>IF('att Data Entry'!H104="","",IF(M101="",T101,U101))</f>
        <v/>
      </c>
      <c r="R101" s="441" t="str">
        <f>IF('att Data Entry'!H104="","",IF(M101="",V101,W101))</f>
        <v/>
      </c>
      <c r="T101" s="40" t="str">
        <f>IF('att Data Entry'!H104="","",IF($E101+$F101+$I101+$J101=4,"TRUE",IF($E101+$F101+$I101+$J101=8,"TRUE","FALSE")))</f>
        <v/>
      </c>
      <c r="U101" s="40" t="str">
        <f>IF('att Data Entry'!K104="","",IF($E101+$F101+$I101+$J101+$M101+$N101=6,"TRUE",IF($E101+$F101+$I101+$J101+$M101+$N101=12,"TRUE","FALSE")))</f>
        <v/>
      </c>
      <c r="V101" s="40" t="str">
        <f>IF('att Data Entry'!H104="","",IF($E101+$F101+$I101+$J101+$D101=5,"TRUE",IF($E101+$F101+$I101+$J101+$D101=10,"TRUE","FALSE")))</f>
        <v/>
      </c>
      <c r="W101" s="40" t="str">
        <f>IF('att Data Entry'!K104="","",IF($E101+$F101+$I101+$J101+$M101+$N101+$D101=7,"TRUE",IF($E101+$F101+$I101+$J101+$M101+$N101+$D101=14,"TRUE","FALSE")))</f>
        <v/>
      </c>
      <c r="X101" s="40" t="str">
        <f>IF('att Data Entry'!D104="","",IF('att Calculations'!D101+'att Calculations'!E101+'att Calculations'!F101=3, "TRUE",IF('att Calculations'!D101+'att Calculations'!E101+'att Calculations'!F101=6,"TRUE","FALSE")))</f>
        <v/>
      </c>
      <c r="Y101" s="40" t="str">
        <f>IF('att Data Entry'!$D104="","",IF($D101+I101+J101=3, "TRUE",IF($D101+I101+J101=6,"TRUE","FALSE")))</f>
        <v/>
      </c>
      <c r="Z101" s="13" t="str">
        <f>IF('att Data Entry'!K104="","",IF('att Data Entry'!$D104="","",IF($D101+M101+N101=3, "TRUE",IF($D101+M101+N101=6,"TRUE","FALSE"))))</f>
        <v/>
      </c>
      <c r="AA101" s="443" t="str">
        <f t="shared" si="15"/>
        <v/>
      </c>
      <c r="AB101" s="443" t="str">
        <f t="shared" si="16"/>
        <v/>
      </c>
      <c r="AC101" s="443" t="str">
        <f t="shared" si="17"/>
        <v/>
      </c>
      <c r="AD101" s="443" t="str">
        <f t="shared" si="18"/>
        <v/>
      </c>
      <c r="AE101" s="443" t="str">
        <f t="shared" si="19"/>
        <v/>
      </c>
      <c r="AF101" s="443" t="str">
        <f t="shared" si="23"/>
        <v/>
      </c>
      <c r="AG101" s="443" t="str">
        <f t="shared" si="20"/>
        <v/>
      </c>
      <c r="AH101" s="443" t="str">
        <f t="shared" si="21"/>
        <v/>
      </c>
      <c r="AI101" s="443" t="str">
        <f t="shared" si="22"/>
        <v/>
      </c>
    </row>
    <row r="102" spans="3:35" x14ac:dyDescent="0.25">
      <c r="C102" s="158">
        <v>92</v>
      </c>
      <c r="D102" s="440" t="str">
        <f>IF('att Data Entry'!D105="","",IF('att Data Entry'!D105='att Data Entry'!$D$8,'att Data Entry'!$C$8,'att Data Entry'!$C$9))</f>
        <v/>
      </c>
      <c r="E102" s="40" t="str">
        <f>IF('att Data Entry'!E105="","",IF('att Data Entry'!E105='att Data Entry'!$D$8,'att Data Entry'!$C$8,'att Data Entry'!$C$9))</f>
        <v/>
      </c>
      <c r="F102" s="162" t="str">
        <f>IF('att Data Entry'!F105="","",IF('att Data Entry'!F105='att Data Entry'!$D$8,'att Data Entry'!$C$8,'att Data Entry'!$C$9))</f>
        <v/>
      </c>
      <c r="G102" s="40" t="str">
        <f t="shared" si="12"/>
        <v/>
      </c>
      <c r="H102" s="162" t="str">
        <f>IF('att Data Entry'!$D105="","",IF(X102="TRUE",1,0))</f>
        <v/>
      </c>
      <c r="I102" s="40" t="str">
        <f>IF('att Data Entry'!I105="","",IF('att Data Entry'!H105='att Data Entry'!$D$8,'att Data Entry'!$C$8,'att Data Entry'!$C$9))</f>
        <v/>
      </c>
      <c r="J102" s="162" t="str">
        <f>IF('att Data Entry'!H105="","",IF('att Data Entry'!I105='att Data Entry'!$D$8,'att Data Entry'!$C$8,'att Data Entry'!$C$9))</f>
        <v/>
      </c>
      <c r="K102" s="40" t="str">
        <f t="shared" si="13"/>
        <v/>
      </c>
      <c r="L102" s="162" t="str">
        <f>IF('att Data Entry'!$D105="","",IF(Y102="TRUE",1,0))</f>
        <v/>
      </c>
      <c r="M102" s="40" t="str">
        <f>IF('att Data Entry'!L105="","",IF('att Data Entry'!K105='att Data Entry'!$D$8,'att Data Entry'!$C$8,'att Data Entry'!$C$9))</f>
        <v/>
      </c>
      <c r="N102" s="40" t="str">
        <f>IF('att Data Entry'!K105="","",IF('att Data Entry'!L105='att Data Entry'!$D$8,'att Data Entry'!$C$8,'att Data Entry'!$C$9))</f>
        <v/>
      </c>
      <c r="O102" s="40" t="str">
        <f t="shared" si="14"/>
        <v/>
      </c>
      <c r="P102" s="162" t="str">
        <f>IF('att Data Entry'!$D105="","",IF(Z102="TRUE",1,0))</f>
        <v/>
      </c>
      <c r="Q102" s="441" t="str">
        <f>IF('att Data Entry'!H105="","",IF(M102="",T102,U102))</f>
        <v/>
      </c>
      <c r="R102" s="441" t="str">
        <f>IF('att Data Entry'!H105="","",IF(M102="",V102,W102))</f>
        <v/>
      </c>
      <c r="T102" s="40" t="str">
        <f>IF('att Data Entry'!H105="","",IF($E102+$F102+$I102+$J102=4,"TRUE",IF($E102+$F102+$I102+$J102=8,"TRUE","FALSE")))</f>
        <v/>
      </c>
      <c r="U102" s="40" t="str">
        <f>IF('att Data Entry'!K105="","",IF($E102+$F102+$I102+$J102+$M102+$N102=6,"TRUE",IF($E102+$F102+$I102+$J102+$M102+$N102=12,"TRUE","FALSE")))</f>
        <v/>
      </c>
      <c r="V102" s="40" t="str">
        <f>IF('att Data Entry'!H105="","",IF($E102+$F102+$I102+$J102+$D102=5,"TRUE",IF($E102+$F102+$I102+$J102+$D102=10,"TRUE","FALSE")))</f>
        <v/>
      </c>
      <c r="W102" s="40" t="str">
        <f>IF('att Data Entry'!K105="","",IF($E102+$F102+$I102+$J102+$M102+$N102+$D102=7,"TRUE",IF($E102+$F102+$I102+$J102+$M102+$N102+$D102=14,"TRUE","FALSE")))</f>
        <v/>
      </c>
      <c r="X102" s="40" t="str">
        <f>IF('att Data Entry'!D105="","",IF('att Calculations'!D102+'att Calculations'!E102+'att Calculations'!F102=3, "TRUE",IF('att Calculations'!D102+'att Calculations'!E102+'att Calculations'!F102=6,"TRUE","FALSE")))</f>
        <v/>
      </c>
      <c r="Y102" s="40" t="str">
        <f>IF('att Data Entry'!$D105="","",IF($D102+I102+J102=3, "TRUE",IF($D102+I102+J102=6,"TRUE","FALSE")))</f>
        <v/>
      </c>
      <c r="Z102" s="13" t="str">
        <f>IF('att Data Entry'!K105="","",IF('att Data Entry'!$D105="","",IF($D102+M102+N102=3, "TRUE",IF($D102+M102+N102=6,"TRUE","FALSE"))))</f>
        <v/>
      </c>
      <c r="AA102" s="443" t="str">
        <f t="shared" si="15"/>
        <v/>
      </c>
      <c r="AB102" s="443" t="str">
        <f t="shared" si="16"/>
        <v/>
      </c>
      <c r="AC102" s="443" t="str">
        <f t="shared" si="17"/>
        <v/>
      </c>
      <c r="AD102" s="443" t="str">
        <f t="shared" si="18"/>
        <v/>
      </c>
      <c r="AE102" s="443" t="str">
        <f t="shared" si="19"/>
        <v/>
      </c>
      <c r="AF102" s="443" t="str">
        <f t="shared" si="23"/>
        <v/>
      </c>
      <c r="AG102" s="443" t="str">
        <f t="shared" si="20"/>
        <v/>
      </c>
      <c r="AH102" s="443" t="str">
        <f t="shared" si="21"/>
        <v/>
      </c>
      <c r="AI102" s="443" t="str">
        <f t="shared" si="22"/>
        <v/>
      </c>
    </row>
    <row r="103" spans="3:35" x14ac:dyDescent="0.25">
      <c r="C103" s="158">
        <v>93</v>
      </c>
      <c r="D103" s="440" t="str">
        <f>IF('att Data Entry'!D106="","",IF('att Data Entry'!D106='att Data Entry'!$D$8,'att Data Entry'!$C$8,'att Data Entry'!$C$9))</f>
        <v/>
      </c>
      <c r="E103" s="40" t="str">
        <f>IF('att Data Entry'!E106="","",IF('att Data Entry'!E106='att Data Entry'!$D$8,'att Data Entry'!$C$8,'att Data Entry'!$C$9))</f>
        <v/>
      </c>
      <c r="F103" s="162" t="str">
        <f>IF('att Data Entry'!F106="","",IF('att Data Entry'!F106='att Data Entry'!$D$8,'att Data Entry'!$C$8,'att Data Entry'!$C$9))</f>
        <v/>
      </c>
      <c r="G103" s="40" t="str">
        <f t="shared" si="12"/>
        <v/>
      </c>
      <c r="H103" s="162" t="str">
        <f>IF('att Data Entry'!$D106="","",IF(X103="TRUE",1,0))</f>
        <v/>
      </c>
      <c r="I103" s="40" t="str">
        <f>IF('att Data Entry'!I106="","",IF('att Data Entry'!H106='att Data Entry'!$D$8,'att Data Entry'!$C$8,'att Data Entry'!$C$9))</f>
        <v/>
      </c>
      <c r="J103" s="162" t="str">
        <f>IF('att Data Entry'!H106="","",IF('att Data Entry'!I106='att Data Entry'!$D$8,'att Data Entry'!$C$8,'att Data Entry'!$C$9))</f>
        <v/>
      </c>
      <c r="K103" s="40" t="str">
        <f t="shared" si="13"/>
        <v/>
      </c>
      <c r="L103" s="162" t="str">
        <f>IF('att Data Entry'!$D106="","",IF(Y103="TRUE",1,0))</f>
        <v/>
      </c>
      <c r="M103" s="40" t="str">
        <f>IF('att Data Entry'!L106="","",IF('att Data Entry'!K106='att Data Entry'!$D$8,'att Data Entry'!$C$8,'att Data Entry'!$C$9))</f>
        <v/>
      </c>
      <c r="N103" s="40" t="str">
        <f>IF('att Data Entry'!K106="","",IF('att Data Entry'!L106='att Data Entry'!$D$8,'att Data Entry'!$C$8,'att Data Entry'!$C$9))</f>
        <v/>
      </c>
      <c r="O103" s="40" t="str">
        <f t="shared" si="14"/>
        <v/>
      </c>
      <c r="P103" s="162" t="str">
        <f>IF('att Data Entry'!$D106="","",IF(Z103="TRUE",1,0))</f>
        <v/>
      </c>
      <c r="Q103" s="441" t="str">
        <f>IF('att Data Entry'!H106="","",IF(M103="",T103,U103))</f>
        <v/>
      </c>
      <c r="R103" s="441" t="str">
        <f>IF('att Data Entry'!H106="","",IF(M103="",V103,W103))</f>
        <v/>
      </c>
      <c r="T103" s="40" t="str">
        <f>IF('att Data Entry'!H106="","",IF($E103+$F103+$I103+$J103=4,"TRUE",IF($E103+$F103+$I103+$J103=8,"TRUE","FALSE")))</f>
        <v/>
      </c>
      <c r="U103" s="40" t="str">
        <f>IF('att Data Entry'!K106="","",IF($E103+$F103+$I103+$J103+$M103+$N103=6,"TRUE",IF($E103+$F103+$I103+$J103+$M103+$N103=12,"TRUE","FALSE")))</f>
        <v/>
      </c>
      <c r="V103" s="40" t="str">
        <f>IF('att Data Entry'!H106="","",IF($E103+$F103+$I103+$J103+$D103=5,"TRUE",IF($E103+$F103+$I103+$J103+$D103=10,"TRUE","FALSE")))</f>
        <v/>
      </c>
      <c r="W103" s="40" t="str">
        <f>IF('att Data Entry'!K106="","",IF($E103+$F103+$I103+$J103+$M103+$N103+$D103=7,"TRUE",IF($E103+$F103+$I103+$J103+$M103+$N103+$D103=14,"TRUE","FALSE")))</f>
        <v/>
      </c>
      <c r="X103" s="40" t="str">
        <f>IF('att Data Entry'!D106="","",IF('att Calculations'!D103+'att Calculations'!E103+'att Calculations'!F103=3, "TRUE",IF('att Calculations'!D103+'att Calculations'!E103+'att Calculations'!F103=6,"TRUE","FALSE")))</f>
        <v/>
      </c>
      <c r="Y103" s="40" t="str">
        <f>IF('att Data Entry'!$D106="","",IF($D103+I103+J103=3, "TRUE",IF($D103+I103+J103=6,"TRUE","FALSE")))</f>
        <v/>
      </c>
      <c r="Z103" s="13" t="str">
        <f>IF('att Data Entry'!K106="","",IF('att Data Entry'!$D106="","",IF($D103+M103+N103=3, "TRUE",IF($D103+M103+N103=6,"TRUE","FALSE"))))</f>
        <v/>
      </c>
      <c r="AA103" s="443" t="str">
        <f t="shared" si="15"/>
        <v/>
      </c>
      <c r="AB103" s="443" t="str">
        <f t="shared" si="16"/>
        <v/>
      </c>
      <c r="AC103" s="443" t="str">
        <f t="shared" si="17"/>
        <v/>
      </c>
      <c r="AD103" s="443" t="str">
        <f t="shared" si="18"/>
        <v/>
      </c>
      <c r="AE103" s="443" t="str">
        <f t="shared" si="19"/>
        <v/>
      </c>
      <c r="AF103" s="443" t="str">
        <f t="shared" si="23"/>
        <v/>
      </c>
      <c r="AG103" s="443" t="str">
        <f t="shared" si="20"/>
        <v/>
      </c>
      <c r="AH103" s="443" t="str">
        <f t="shared" si="21"/>
        <v/>
      </c>
      <c r="AI103" s="443" t="str">
        <f t="shared" si="22"/>
        <v/>
      </c>
    </row>
    <row r="104" spans="3:35" x14ac:dyDescent="0.25">
      <c r="C104" s="158">
        <v>94</v>
      </c>
      <c r="D104" s="440" t="str">
        <f>IF('att Data Entry'!D107="","",IF('att Data Entry'!D107='att Data Entry'!$D$8,'att Data Entry'!$C$8,'att Data Entry'!$C$9))</f>
        <v/>
      </c>
      <c r="E104" s="40" t="str">
        <f>IF('att Data Entry'!E107="","",IF('att Data Entry'!E107='att Data Entry'!$D$8,'att Data Entry'!$C$8,'att Data Entry'!$C$9))</f>
        <v/>
      </c>
      <c r="F104" s="162" t="str">
        <f>IF('att Data Entry'!F107="","",IF('att Data Entry'!F107='att Data Entry'!$D$8,'att Data Entry'!$C$8,'att Data Entry'!$C$9))</f>
        <v/>
      </c>
      <c r="G104" s="40" t="str">
        <f t="shared" si="12"/>
        <v/>
      </c>
      <c r="H104" s="162" t="str">
        <f>IF('att Data Entry'!$D107="","",IF(X104="TRUE",1,0))</f>
        <v/>
      </c>
      <c r="I104" s="40" t="str">
        <f>IF('att Data Entry'!I107="","",IF('att Data Entry'!H107='att Data Entry'!$D$8,'att Data Entry'!$C$8,'att Data Entry'!$C$9))</f>
        <v/>
      </c>
      <c r="J104" s="162" t="str">
        <f>IF('att Data Entry'!H107="","",IF('att Data Entry'!I107='att Data Entry'!$D$8,'att Data Entry'!$C$8,'att Data Entry'!$C$9))</f>
        <v/>
      </c>
      <c r="K104" s="40" t="str">
        <f t="shared" si="13"/>
        <v/>
      </c>
      <c r="L104" s="162" t="str">
        <f>IF('att Data Entry'!$D107="","",IF(Y104="TRUE",1,0))</f>
        <v/>
      </c>
      <c r="M104" s="40" t="str">
        <f>IF('att Data Entry'!L107="","",IF('att Data Entry'!K107='att Data Entry'!$D$8,'att Data Entry'!$C$8,'att Data Entry'!$C$9))</f>
        <v/>
      </c>
      <c r="N104" s="40" t="str">
        <f>IF('att Data Entry'!K107="","",IF('att Data Entry'!L107='att Data Entry'!$D$8,'att Data Entry'!$C$8,'att Data Entry'!$C$9))</f>
        <v/>
      </c>
      <c r="O104" s="40" t="str">
        <f t="shared" si="14"/>
        <v/>
      </c>
      <c r="P104" s="162" t="str">
        <f>IF('att Data Entry'!$D107="","",IF(Z104="TRUE",1,0))</f>
        <v/>
      </c>
      <c r="Q104" s="441" t="str">
        <f>IF('att Data Entry'!H107="","",IF(M104="",T104,U104))</f>
        <v/>
      </c>
      <c r="R104" s="441" t="str">
        <f>IF('att Data Entry'!H107="","",IF(M104="",V104,W104))</f>
        <v/>
      </c>
      <c r="T104" s="40" t="str">
        <f>IF('att Data Entry'!H107="","",IF($E104+$F104+$I104+$J104=4,"TRUE",IF($E104+$F104+$I104+$J104=8,"TRUE","FALSE")))</f>
        <v/>
      </c>
      <c r="U104" s="40" t="str">
        <f>IF('att Data Entry'!K107="","",IF($E104+$F104+$I104+$J104+$M104+$N104=6,"TRUE",IF($E104+$F104+$I104+$J104+$M104+$N104=12,"TRUE","FALSE")))</f>
        <v/>
      </c>
      <c r="V104" s="40" t="str">
        <f>IF('att Data Entry'!H107="","",IF($E104+$F104+$I104+$J104+$D104=5,"TRUE",IF($E104+$F104+$I104+$J104+$D104=10,"TRUE","FALSE")))</f>
        <v/>
      </c>
      <c r="W104" s="40" t="str">
        <f>IF('att Data Entry'!K107="","",IF($E104+$F104+$I104+$J104+$M104+$N104+$D104=7,"TRUE",IF($E104+$F104+$I104+$J104+$M104+$N104+$D104=14,"TRUE","FALSE")))</f>
        <v/>
      </c>
      <c r="X104" s="40" t="str">
        <f>IF('att Data Entry'!D107="","",IF('att Calculations'!D104+'att Calculations'!E104+'att Calculations'!F104=3, "TRUE",IF('att Calculations'!D104+'att Calculations'!E104+'att Calculations'!F104=6,"TRUE","FALSE")))</f>
        <v/>
      </c>
      <c r="Y104" s="40" t="str">
        <f>IF('att Data Entry'!$D107="","",IF($D104+I104+J104=3, "TRUE",IF($D104+I104+J104=6,"TRUE","FALSE")))</f>
        <v/>
      </c>
      <c r="Z104" s="13" t="str">
        <f>IF('att Data Entry'!K107="","",IF('att Data Entry'!$D107="","",IF($D104+M104+N104=3, "TRUE",IF($D104+M104+N104=6,"TRUE","FALSE"))))</f>
        <v/>
      </c>
      <c r="AA104" s="443" t="str">
        <f t="shared" si="15"/>
        <v/>
      </c>
      <c r="AB104" s="443" t="str">
        <f t="shared" si="16"/>
        <v/>
      </c>
      <c r="AC104" s="443" t="str">
        <f t="shared" si="17"/>
        <v/>
      </c>
      <c r="AD104" s="443" t="str">
        <f t="shared" si="18"/>
        <v/>
      </c>
      <c r="AE104" s="443" t="str">
        <f t="shared" si="19"/>
        <v/>
      </c>
      <c r="AF104" s="443" t="str">
        <f t="shared" si="23"/>
        <v/>
      </c>
      <c r="AG104" s="443" t="str">
        <f t="shared" si="20"/>
        <v/>
      </c>
      <c r="AH104" s="443" t="str">
        <f t="shared" si="21"/>
        <v/>
      </c>
      <c r="AI104" s="443" t="str">
        <f t="shared" si="22"/>
        <v/>
      </c>
    </row>
    <row r="105" spans="3:35" x14ac:dyDescent="0.25">
      <c r="C105" s="158">
        <v>95</v>
      </c>
      <c r="D105" s="440" t="str">
        <f>IF('att Data Entry'!D108="","",IF('att Data Entry'!D108='att Data Entry'!$D$8,'att Data Entry'!$C$8,'att Data Entry'!$C$9))</f>
        <v/>
      </c>
      <c r="E105" s="40" t="str">
        <f>IF('att Data Entry'!E108="","",IF('att Data Entry'!E108='att Data Entry'!$D$8,'att Data Entry'!$C$8,'att Data Entry'!$C$9))</f>
        <v/>
      </c>
      <c r="F105" s="162" t="str">
        <f>IF('att Data Entry'!F108="","",IF('att Data Entry'!F108='att Data Entry'!$D$8,'att Data Entry'!$C$8,'att Data Entry'!$C$9))</f>
        <v/>
      </c>
      <c r="G105" s="40" t="str">
        <f t="shared" si="12"/>
        <v/>
      </c>
      <c r="H105" s="162" t="str">
        <f>IF('att Data Entry'!$D108="","",IF(X105="TRUE",1,0))</f>
        <v/>
      </c>
      <c r="I105" s="40" t="str">
        <f>IF('att Data Entry'!I108="","",IF('att Data Entry'!H108='att Data Entry'!$D$8,'att Data Entry'!$C$8,'att Data Entry'!$C$9))</f>
        <v/>
      </c>
      <c r="J105" s="162" t="str">
        <f>IF('att Data Entry'!H108="","",IF('att Data Entry'!I108='att Data Entry'!$D$8,'att Data Entry'!$C$8,'att Data Entry'!$C$9))</f>
        <v/>
      </c>
      <c r="K105" s="40" t="str">
        <f t="shared" si="13"/>
        <v/>
      </c>
      <c r="L105" s="162" t="str">
        <f>IF('att Data Entry'!$D108="","",IF(Y105="TRUE",1,0))</f>
        <v/>
      </c>
      <c r="M105" s="40" t="str">
        <f>IF('att Data Entry'!L108="","",IF('att Data Entry'!K108='att Data Entry'!$D$8,'att Data Entry'!$C$8,'att Data Entry'!$C$9))</f>
        <v/>
      </c>
      <c r="N105" s="40" t="str">
        <f>IF('att Data Entry'!K108="","",IF('att Data Entry'!L108='att Data Entry'!$D$8,'att Data Entry'!$C$8,'att Data Entry'!$C$9))</f>
        <v/>
      </c>
      <c r="O105" s="40" t="str">
        <f t="shared" si="14"/>
        <v/>
      </c>
      <c r="P105" s="162" t="str">
        <f>IF('att Data Entry'!$D108="","",IF(Z105="TRUE",1,0))</f>
        <v/>
      </c>
      <c r="Q105" s="441" t="str">
        <f>IF('att Data Entry'!H108="","",IF(M105="",T105,U105))</f>
        <v/>
      </c>
      <c r="R105" s="441" t="str">
        <f>IF('att Data Entry'!H108="","",IF(M105="",V105,W105))</f>
        <v/>
      </c>
      <c r="T105" s="40" t="str">
        <f>IF('att Data Entry'!H108="","",IF($E105+$F105+$I105+$J105=4,"TRUE",IF($E105+$F105+$I105+$J105=8,"TRUE","FALSE")))</f>
        <v/>
      </c>
      <c r="U105" s="40" t="str">
        <f>IF('att Data Entry'!K108="","",IF($E105+$F105+$I105+$J105+$M105+$N105=6,"TRUE",IF($E105+$F105+$I105+$J105+$M105+$N105=12,"TRUE","FALSE")))</f>
        <v/>
      </c>
      <c r="V105" s="40" t="str">
        <f>IF('att Data Entry'!H108="","",IF($E105+$F105+$I105+$J105+$D105=5,"TRUE",IF($E105+$F105+$I105+$J105+$D105=10,"TRUE","FALSE")))</f>
        <v/>
      </c>
      <c r="W105" s="40" t="str">
        <f>IF('att Data Entry'!K108="","",IF($E105+$F105+$I105+$J105+$M105+$N105+$D105=7,"TRUE",IF($E105+$F105+$I105+$J105+$M105+$N105+$D105=14,"TRUE","FALSE")))</f>
        <v/>
      </c>
      <c r="X105" s="40" t="str">
        <f>IF('att Data Entry'!D108="","",IF('att Calculations'!D105+'att Calculations'!E105+'att Calculations'!F105=3, "TRUE",IF('att Calculations'!D105+'att Calculations'!E105+'att Calculations'!F105=6,"TRUE","FALSE")))</f>
        <v/>
      </c>
      <c r="Y105" s="40" t="str">
        <f>IF('att Data Entry'!$D108="","",IF($D105+I105+J105=3, "TRUE",IF($D105+I105+J105=6,"TRUE","FALSE")))</f>
        <v/>
      </c>
      <c r="Z105" s="13" t="str">
        <f>IF('att Data Entry'!K108="","",IF('att Data Entry'!$D108="","",IF($D105+M105+N105=3, "TRUE",IF($D105+M105+N105=6,"TRUE","FALSE"))))</f>
        <v/>
      </c>
      <c r="AA105" s="443" t="str">
        <f t="shared" si="15"/>
        <v/>
      </c>
      <c r="AB105" s="443" t="str">
        <f t="shared" si="16"/>
        <v/>
      </c>
      <c r="AC105" s="443" t="str">
        <f t="shared" si="17"/>
        <v/>
      </c>
      <c r="AD105" s="443" t="str">
        <f t="shared" si="18"/>
        <v/>
      </c>
      <c r="AE105" s="443" t="str">
        <f t="shared" si="19"/>
        <v/>
      </c>
      <c r="AF105" s="443" t="str">
        <f t="shared" si="23"/>
        <v/>
      </c>
      <c r="AG105" s="443" t="str">
        <f t="shared" si="20"/>
        <v/>
      </c>
      <c r="AH105" s="443" t="str">
        <f t="shared" si="21"/>
        <v/>
      </c>
      <c r="AI105" s="443" t="str">
        <f t="shared" si="22"/>
        <v/>
      </c>
    </row>
    <row r="106" spans="3:35" x14ac:dyDescent="0.25">
      <c r="C106" s="158">
        <v>96</v>
      </c>
      <c r="D106" s="440" t="str">
        <f>IF('att Data Entry'!D109="","",IF('att Data Entry'!D109='att Data Entry'!$D$8,'att Data Entry'!$C$8,'att Data Entry'!$C$9))</f>
        <v/>
      </c>
      <c r="E106" s="40" t="str">
        <f>IF('att Data Entry'!E109="","",IF('att Data Entry'!E109='att Data Entry'!$D$8,'att Data Entry'!$C$8,'att Data Entry'!$C$9))</f>
        <v/>
      </c>
      <c r="F106" s="162" t="str">
        <f>IF('att Data Entry'!F109="","",IF('att Data Entry'!F109='att Data Entry'!$D$8,'att Data Entry'!$C$8,'att Data Entry'!$C$9))</f>
        <v/>
      </c>
      <c r="G106" s="40" t="str">
        <f t="shared" si="12"/>
        <v/>
      </c>
      <c r="H106" s="162" t="str">
        <f>IF('att Data Entry'!$D109="","",IF(X106="TRUE",1,0))</f>
        <v/>
      </c>
      <c r="I106" s="40" t="str">
        <f>IF('att Data Entry'!I109="","",IF('att Data Entry'!H109='att Data Entry'!$D$8,'att Data Entry'!$C$8,'att Data Entry'!$C$9))</f>
        <v/>
      </c>
      <c r="J106" s="162" t="str">
        <f>IF('att Data Entry'!H109="","",IF('att Data Entry'!I109='att Data Entry'!$D$8,'att Data Entry'!$C$8,'att Data Entry'!$C$9))</f>
        <v/>
      </c>
      <c r="K106" s="40" t="str">
        <f t="shared" si="13"/>
        <v/>
      </c>
      <c r="L106" s="162" t="str">
        <f>IF('att Data Entry'!$D109="","",IF(Y106="TRUE",1,0))</f>
        <v/>
      </c>
      <c r="M106" s="40" t="str">
        <f>IF('att Data Entry'!L109="","",IF('att Data Entry'!K109='att Data Entry'!$D$8,'att Data Entry'!$C$8,'att Data Entry'!$C$9))</f>
        <v/>
      </c>
      <c r="N106" s="40" t="str">
        <f>IF('att Data Entry'!K109="","",IF('att Data Entry'!L109='att Data Entry'!$D$8,'att Data Entry'!$C$8,'att Data Entry'!$C$9))</f>
        <v/>
      </c>
      <c r="O106" s="40" t="str">
        <f t="shared" si="14"/>
        <v/>
      </c>
      <c r="P106" s="162" t="str">
        <f>IF('att Data Entry'!$D109="","",IF(Z106="TRUE",1,0))</f>
        <v/>
      </c>
      <c r="Q106" s="441" t="str">
        <f>IF('att Data Entry'!H109="","",IF(M106="",T106,U106))</f>
        <v/>
      </c>
      <c r="R106" s="441" t="str">
        <f>IF('att Data Entry'!H109="","",IF(M106="",V106,W106))</f>
        <v/>
      </c>
      <c r="T106" s="40" t="str">
        <f>IF('att Data Entry'!H109="","",IF($E106+$F106+$I106+$J106=4,"TRUE",IF($E106+$F106+$I106+$J106=8,"TRUE","FALSE")))</f>
        <v/>
      </c>
      <c r="U106" s="40" t="str">
        <f>IF('att Data Entry'!K109="","",IF($E106+$F106+$I106+$J106+$M106+$N106=6,"TRUE",IF($E106+$F106+$I106+$J106+$M106+$N106=12,"TRUE","FALSE")))</f>
        <v/>
      </c>
      <c r="V106" s="40" t="str">
        <f>IF('att Data Entry'!H109="","",IF($E106+$F106+$I106+$J106+$D106=5,"TRUE",IF($E106+$F106+$I106+$J106+$D106=10,"TRUE","FALSE")))</f>
        <v/>
      </c>
      <c r="W106" s="40" t="str">
        <f>IF('att Data Entry'!K109="","",IF($E106+$F106+$I106+$J106+$M106+$N106+$D106=7,"TRUE",IF($E106+$F106+$I106+$J106+$M106+$N106+$D106=14,"TRUE","FALSE")))</f>
        <v/>
      </c>
      <c r="X106" s="40" t="str">
        <f>IF('att Data Entry'!D109="","",IF('att Calculations'!D106+'att Calculations'!E106+'att Calculations'!F106=3, "TRUE",IF('att Calculations'!D106+'att Calculations'!E106+'att Calculations'!F106=6,"TRUE","FALSE")))</f>
        <v/>
      </c>
      <c r="Y106" s="40" t="str">
        <f>IF('att Data Entry'!$D109="","",IF($D106+I106+J106=3, "TRUE",IF($D106+I106+J106=6,"TRUE","FALSE")))</f>
        <v/>
      </c>
      <c r="Z106" s="13" t="str">
        <f>IF('att Data Entry'!K109="","",IF('att Data Entry'!$D109="","",IF($D106+M106+N106=3, "TRUE",IF($D106+M106+N106=6,"TRUE","FALSE"))))</f>
        <v/>
      </c>
      <c r="AA106" s="443" t="str">
        <f t="shared" si="15"/>
        <v/>
      </c>
      <c r="AB106" s="443" t="str">
        <f t="shared" si="16"/>
        <v/>
      </c>
      <c r="AC106" s="443" t="str">
        <f t="shared" si="17"/>
        <v/>
      </c>
      <c r="AD106" s="443" t="str">
        <f t="shared" si="18"/>
        <v/>
      </c>
      <c r="AE106" s="443" t="str">
        <f t="shared" si="19"/>
        <v/>
      </c>
      <c r="AF106" s="443" t="str">
        <f t="shared" si="23"/>
        <v/>
      </c>
      <c r="AG106" s="443" t="str">
        <f t="shared" si="20"/>
        <v/>
      </c>
      <c r="AH106" s="443" t="str">
        <f t="shared" si="21"/>
        <v/>
      </c>
      <c r="AI106" s="443" t="str">
        <f t="shared" si="22"/>
        <v/>
      </c>
    </row>
    <row r="107" spans="3:35" x14ac:dyDescent="0.25">
      <c r="C107" s="158">
        <v>97</v>
      </c>
      <c r="D107" s="440" t="str">
        <f>IF('att Data Entry'!D110="","",IF('att Data Entry'!D110='att Data Entry'!$D$8,'att Data Entry'!$C$8,'att Data Entry'!$C$9))</f>
        <v/>
      </c>
      <c r="E107" s="40" t="str">
        <f>IF('att Data Entry'!E110="","",IF('att Data Entry'!E110='att Data Entry'!$D$8,'att Data Entry'!$C$8,'att Data Entry'!$C$9))</f>
        <v/>
      </c>
      <c r="F107" s="162" t="str">
        <f>IF('att Data Entry'!F110="","",IF('att Data Entry'!F110='att Data Entry'!$D$8,'att Data Entry'!$C$8,'att Data Entry'!$C$9))</f>
        <v/>
      </c>
      <c r="G107" s="40" t="str">
        <f t="shared" si="12"/>
        <v/>
      </c>
      <c r="H107" s="162" t="str">
        <f>IF('att Data Entry'!$D110="","",IF(X107="TRUE",1,0))</f>
        <v/>
      </c>
      <c r="I107" s="40" t="str">
        <f>IF('att Data Entry'!I110="","",IF('att Data Entry'!H110='att Data Entry'!$D$8,'att Data Entry'!$C$8,'att Data Entry'!$C$9))</f>
        <v/>
      </c>
      <c r="J107" s="162" t="str">
        <f>IF('att Data Entry'!H110="","",IF('att Data Entry'!I110='att Data Entry'!$D$8,'att Data Entry'!$C$8,'att Data Entry'!$C$9))</f>
        <v/>
      </c>
      <c r="K107" s="40" t="str">
        <f t="shared" si="13"/>
        <v/>
      </c>
      <c r="L107" s="162" t="str">
        <f>IF('att Data Entry'!$D110="","",IF(Y107="TRUE",1,0))</f>
        <v/>
      </c>
      <c r="M107" s="40" t="str">
        <f>IF('att Data Entry'!L110="","",IF('att Data Entry'!K110='att Data Entry'!$D$8,'att Data Entry'!$C$8,'att Data Entry'!$C$9))</f>
        <v/>
      </c>
      <c r="N107" s="40" t="str">
        <f>IF('att Data Entry'!K110="","",IF('att Data Entry'!L110='att Data Entry'!$D$8,'att Data Entry'!$C$8,'att Data Entry'!$C$9))</f>
        <v/>
      </c>
      <c r="O107" s="40" t="str">
        <f t="shared" si="14"/>
        <v/>
      </c>
      <c r="P107" s="162" t="str">
        <f>IF('att Data Entry'!$D110="","",IF(Z107="TRUE",1,0))</f>
        <v/>
      </c>
      <c r="Q107" s="441" t="str">
        <f>IF('att Data Entry'!H110="","",IF(M107="",T107,U107))</f>
        <v/>
      </c>
      <c r="R107" s="441" t="str">
        <f>IF('att Data Entry'!H110="","",IF(M107="",V107,W107))</f>
        <v/>
      </c>
      <c r="T107" s="40" t="str">
        <f>IF('att Data Entry'!H110="","",IF($E107+$F107+$I107+$J107=4,"TRUE",IF($E107+$F107+$I107+$J107=8,"TRUE","FALSE")))</f>
        <v/>
      </c>
      <c r="U107" s="40" t="str">
        <f>IF('att Data Entry'!K110="","",IF($E107+$F107+$I107+$J107+$M107+$N107=6,"TRUE",IF($E107+$F107+$I107+$J107+$M107+$N107=12,"TRUE","FALSE")))</f>
        <v/>
      </c>
      <c r="V107" s="40" t="str">
        <f>IF('att Data Entry'!H110="","",IF($E107+$F107+$I107+$J107+$D107=5,"TRUE",IF($E107+$F107+$I107+$J107+$D107=10,"TRUE","FALSE")))</f>
        <v/>
      </c>
      <c r="W107" s="40" t="str">
        <f>IF('att Data Entry'!K110="","",IF($E107+$F107+$I107+$J107+$M107+$N107+$D107=7,"TRUE",IF($E107+$F107+$I107+$J107+$M107+$N107+$D107=14,"TRUE","FALSE")))</f>
        <v/>
      </c>
      <c r="X107" s="40" t="str">
        <f>IF('att Data Entry'!D110="","",IF('att Calculations'!D107+'att Calculations'!E107+'att Calculations'!F107=3, "TRUE",IF('att Calculations'!D107+'att Calculations'!E107+'att Calculations'!F107=6,"TRUE","FALSE")))</f>
        <v/>
      </c>
      <c r="Y107" s="40" t="str">
        <f>IF('att Data Entry'!$D110="","",IF($D107+I107+J107=3, "TRUE",IF($D107+I107+J107=6,"TRUE","FALSE")))</f>
        <v/>
      </c>
      <c r="Z107" s="13" t="str">
        <f>IF('att Data Entry'!K110="","",IF('att Data Entry'!$D110="","",IF($D107+M107+N107=3, "TRUE",IF($D107+M107+N107=6,"TRUE","FALSE"))))</f>
        <v/>
      </c>
      <c r="AA107" s="443" t="str">
        <f t="shared" si="15"/>
        <v/>
      </c>
      <c r="AB107" s="443" t="str">
        <f t="shared" si="16"/>
        <v/>
      </c>
      <c r="AC107" s="443" t="str">
        <f t="shared" si="17"/>
        <v/>
      </c>
      <c r="AD107" s="443" t="str">
        <f t="shared" si="18"/>
        <v/>
      </c>
      <c r="AE107" s="443" t="str">
        <f t="shared" si="19"/>
        <v/>
      </c>
      <c r="AF107" s="443" t="str">
        <f t="shared" si="23"/>
        <v/>
      </c>
      <c r="AG107" s="443" t="str">
        <f t="shared" si="20"/>
        <v/>
      </c>
      <c r="AH107" s="443" t="str">
        <f t="shared" si="21"/>
        <v/>
      </c>
      <c r="AI107" s="443" t="str">
        <f t="shared" si="22"/>
        <v/>
      </c>
    </row>
    <row r="108" spans="3:35" x14ac:dyDescent="0.25">
      <c r="C108" s="158">
        <v>98</v>
      </c>
      <c r="D108" s="440" t="str">
        <f>IF('att Data Entry'!D111="","",IF('att Data Entry'!D111='att Data Entry'!$D$8,'att Data Entry'!$C$8,'att Data Entry'!$C$9))</f>
        <v/>
      </c>
      <c r="E108" s="40" t="str">
        <f>IF('att Data Entry'!E111="","",IF('att Data Entry'!E111='att Data Entry'!$D$8,'att Data Entry'!$C$8,'att Data Entry'!$C$9))</f>
        <v/>
      </c>
      <c r="F108" s="162" t="str">
        <f>IF('att Data Entry'!F111="","",IF('att Data Entry'!F111='att Data Entry'!$D$8,'att Data Entry'!$C$8,'att Data Entry'!$C$9))</f>
        <v/>
      </c>
      <c r="G108" s="40" t="str">
        <f t="shared" si="12"/>
        <v/>
      </c>
      <c r="H108" s="162" t="str">
        <f>IF('att Data Entry'!$D111="","",IF(X108="TRUE",1,0))</f>
        <v/>
      </c>
      <c r="I108" s="40" t="str">
        <f>IF('att Data Entry'!I111="","",IF('att Data Entry'!H111='att Data Entry'!$D$8,'att Data Entry'!$C$8,'att Data Entry'!$C$9))</f>
        <v/>
      </c>
      <c r="J108" s="162" t="str">
        <f>IF('att Data Entry'!H111="","",IF('att Data Entry'!I111='att Data Entry'!$D$8,'att Data Entry'!$C$8,'att Data Entry'!$C$9))</f>
        <v/>
      </c>
      <c r="K108" s="40" t="str">
        <f t="shared" si="13"/>
        <v/>
      </c>
      <c r="L108" s="162" t="str">
        <f>IF('att Data Entry'!$D111="","",IF(Y108="TRUE",1,0))</f>
        <v/>
      </c>
      <c r="M108" s="40" t="str">
        <f>IF('att Data Entry'!L111="","",IF('att Data Entry'!K111='att Data Entry'!$D$8,'att Data Entry'!$C$8,'att Data Entry'!$C$9))</f>
        <v/>
      </c>
      <c r="N108" s="40" t="str">
        <f>IF('att Data Entry'!K111="","",IF('att Data Entry'!L111='att Data Entry'!$D$8,'att Data Entry'!$C$8,'att Data Entry'!$C$9))</f>
        <v/>
      </c>
      <c r="O108" s="40" t="str">
        <f t="shared" si="14"/>
        <v/>
      </c>
      <c r="P108" s="162" t="str">
        <f>IF('att Data Entry'!$D111="","",IF(Z108="TRUE",1,0))</f>
        <v/>
      </c>
      <c r="Q108" s="441" t="str">
        <f>IF('att Data Entry'!H111="","",IF(M108="",T108,U108))</f>
        <v/>
      </c>
      <c r="R108" s="441" t="str">
        <f>IF('att Data Entry'!H111="","",IF(M108="",V108,W108))</f>
        <v/>
      </c>
      <c r="T108" s="40" t="str">
        <f>IF('att Data Entry'!H111="","",IF($E108+$F108+$I108+$J108=4,"TRUE",IF($E108+$F108+$I108+$J108=8,"TRUE","FALSE")))</f>
        <v/>
      </c>
      <c r="U108" s="40" t="str">
        <f>IF('att Data Entry'!K111="","",IF($E108+$F108+$I108+$J108+$M108+$N108=6,"TRUE",IF($E108+$F108+$I108+$J108+$M108+$N108=12,"TRUE","FALSE")))</f>
        <v/>
      </c>
      <c r="V108" s="40" t="str">
        <f>IF('att Data Entry'!H111="","",IF($E108+$F108+$I108+$J108+$D108=5,"TRUE",IF($E108+$F108+$I108+$J108+$D108=10,"TRUE","FALSE")))</f>
        <v/>
      </c>
      <c r="W108" s="40" t="str">
        <f>IF('att Data Entry'!K111="","",IF($E108+$F108+$I108+$J108+$M108+$N108+$D108=7,"TRUE",IF($E108+$F108+$I108+$J108+$M108+$N108+$D108=14,"TRUE","FALSE")))</f>
        <v/>
      </c>
      <c r="X108" s="40" t="str">
        <f>IF('att Data Entry'!D111="","",IF('att Calculations'!D108+'att Calculations'!E108+'att Calculations'!F108=3, "TRUE",IF('att Calculations'!D108+'att Calculations'!E108+'att Calculations'!F108=6,"TRUE","FALSE")))</f>
        <v/>
      </c>
      <c r="Y108" s="40" t="str">
        <f>IF('att Data Entry'!$D111="","",IF($D108+I108+J108=3, "TRUE",IF($D108+I108+J108=6,"TRUE","FALSE")))</f>
        <v/>
      </c>
      <c r="Z108" s="13" t="str">
        <f>IF('att Data Entry'!K111="","",IF('att Data Entry'!$D111="","",IF($D108+M108+N108=3, "TRUE",IF($D108+M108+N108=6,"TRUE","FALSE"))))</f>
        <v/>
      </c>
      <c r="AA108" s="443" t="str">
        <f t="shared" si="15"/>
        <v/>
      </c>
      <c r="AB108" s="443" t="str">
        <f t="shared" si="16"/>
        <v/>
      </c>
      <c r="AC108" s="443" t="str">
        <f t="shared" si="17"/>
        <v/>
      </c>
      <c r="AD108" s="443" t="str">
        <f t="shared" si="18"/>
        <v/>
      </c>
      <c r="AE108" s="443" t="str">
        <f t="shared" si="19"/>
        <v/>
      </c>
      <c r="AF108" s="443" t="str">
        <f t="shared" si="23"/>
        <v/>
      </c>
      <c r="AG108" s="443" t="str">
        <f t="shared" si="20"/>
        <v/>
      </c>
      <c r="AH108" s="443" t="str">
        <f t="shared" si="21"/>
        <v/>
      </c>
      <c r="AI108" s="443" t="str">
        <f t="shared" si="22"/>
        <v/>
      </c>
    </row>
    <row r="109" spans="3:35" x14ac:dyDescent="0.25">
      <c r="C109" s="158">
        <v>99</v>
      </c>
      <c r="D109" s="440" t="str">
        <f>IF('att Data Entry'!D112="","",IF('att Data Entry'!D112='att Data Entry'!$D$8,'att Data Entry'!$C$8,'att Data Entry'!$C$9))</f>
        <v/>
      </c>
      <c r="E109" s="40" t="str">
        <f>IF('att Data Entry'!E112="","",IF('att Data Entry'!E112='att Data Entry'!$D$8,'att Data Entry'!$C$8,'att Data Entry'!$C$9))</f>
        <v/>
      </c>
      <c r="F109" s="162" t="str">
        <f>IF('att Data Entry'!F112="","",IF('att Data Entry'!F112='att Data Entry'!$D$8,'att Data Entry'!$C$8,'att Data Entry'!$C$9))</f>
        <v/>
      </c>
      <c r="G109" s="40" t="str">
        <f t="shared" si="12"/>
        <v/>
      </c>
      <c r="H109" s="162" t="str">
        <f>IF('att Data Entry'!$D112="","",IF(X109="TRUE",1,0))</f>
        <v/>
      </c>
      <c r="I109" s="40" t="str">
        <f>IF('att Data Entry'!I112="","",IF('att Data Entry'!H112='att Data Entry'!$D$8,'att Data Entry'!$C$8,'att Data Entry'!$C$9))</f>
        <v/>
      </c>
      <c r="J109" s="162" t="str">
        <f>IF('att Data Entry'!H112="","",IF('att Data Entry'!I112='att Data Entry'!$D$8,'att Data Entry'!$C$8,'att Data Entry'!$C$9))</f>
        <v/>
      </c>
      <c r="K109" s="40" t="str">
        <f t="shared" si="13"/>
        <v/>
      </c>
      <c r="L109" s="162" t="str">
        <f>IF('att Data Entry'!$D112="","",IF(Y109="TRUE",1,0))</f>
        <v/>
      </c>
      <c r="M109" s="40" t="str">
        <f>IF('att Data Entry'!L112="","",IF('att Data Entry'!K112='att Data Entry'!$D$8,'att Data Entry'!$C$8,'att Data Entry'!$C$9))</f>
        <v/>
      </c>
      <c r="N109" s="40" t="str">
        <f>IF('att Data Entry'!K112="","",IF('att Data Entry'!L112='att Data Entry'!$D$8,'att Data Entry'!$C$8,'att Data Entry'!$C$9))</f>
        <v/>
      </c>
      <c r="O109" s="40" t="str">
        <f t="shared" si="14"/>
        <v/>
      </c>
      <c r="P109" s="162" t="str">
        <f>IF('att Data Entry'!$D112="","",IF(Z109="TRUE",1,0))</f>
        <v/>
      </c>
      <c r="Q109" s="441" t="str">
        <f>IF('att Data Entry'!H112="","",IF(M109="",T109,U109))</f>
        <v/>
      </c>
      <c r="R109" s="441" t="str">
        <f>IF('att Data Entry'!H112="","",IF(M109="",V109,W109))</f>
        <v/>
      </c>
      <c r="T109" s="40" t="str">
        <f>IF('att Data Entry'!H112="","",IF($E109+$F109+$I109+$J109=4,"TRUE",IF($E109+$F109+$I109+$J109=8,"TRUE","FALSE")))</f>
        <v/>
      </c>
      <c r="U109" s="40" t="str">
        <f>IF('att Data Entry'!K112="","",IF($E109+$F109+$I109+$J109+$M109+$N109=6,"TRUE",IF($E109+$F109+$I109+$J109+$M109+$N109=12,"TRUE","FALSE")))</f>
        <v/>
      </c>
      <c r="V109" s="40" t="str">
        <f>IF('att Data Entry'!H112="","",IF($E109+$F109+$I109+$J109+$D109=5,"TRUE",IF($E109+$F109+$I109+$J109+$D109=10,"TRUE","FALSE")))</f>
        <v/>
      </c>
      <c r="W109" s="40" t="str">
        <f>IF('att Data Entry'!K112="","",IF($E109+$F109+$I109+$J109+$M109+$N109+$D109=7,"TRUE",IF($E109+$F109+$I109+$J109+$M109+$N109+$D109=14,"TRUE","FALSE")))</f>
        <v/>
      </c>
      <c r="X109" s="40" t="str">
        <f>IF('att Data Entry'!D112="","",IF('att Calculations'!D109+'att Calculations'!E109+'att Calculations'!F109=3, "TRUE",IF('att Calculations'!D109+'att Calculations'!E109+'att Calculations'!F109=6,"TRUE","FALSE")))</f>
        <v/>
      </c>
      <c r="Y109" s="40" t="str">
        <f>IF('att Data Entry'!$D112="","",IF($D109+I109+J109=3, "TRUE",IF($D109+I109+J109=6,"TRUE","FALSE")))</f>
        <v/>
      </c>
      <c r="Z109" s="13" t="str">
        <f>IF('att Data Entry'!K112="","",IF('att Data Entry'!$D112="","",IF($D109+M109+N109=3, "TRUE",IF($D109+M109+N109=6,"TRUE","FALSE"))))</f>
        <v/>
      </c>
      <c r="AA109" s="443" t="str">
        <f t="shared" si="15"/>
        <v/>
      </c>
      <c r="AB109" s="443" t="str">
        <f t="shared" si="16"/>
        <v/>
      </c>
      <c r="AC109" s="443" t="str">
        <f t="shared" si="17"/>
        <v/>
      </c>
      <c r="AD109" s="443" t="str">
        <f t="shared" si="18"/>
        <v/>
      </c>
      <c r="AE109" s="443" t="str">
        <f t="shared" si="19"/>
        <v/>
      </c>
      <c r="AF109" s="443" t="str">
        <f t="shared" si="23"/>
        <v/>
      </c>
      <c r="AG109" s="443" t="str">
        <f t="shared" si="20"/>
        <v/>
      </c>
      <c r="AH109" s="443" t="str">
        <f t="shared" si="21"/>
        <v/>
      </c>
      <c r="AI109" s="443" t="str">
        <f t="shared" si="22"/>
        <v/>
      </c>
    </row>
    <row r="110" spans="3:35" ht="13.8" thickBot="1" x14ac:dyDescent="0.3">
      <c r="C110" s="158">
        <v>100</v>
      </c>
      <c r="D110" s="440" t="str">
        <f>IF('att Data Entry'!D113="","",IF('att Data Entry'!D113='att Data Entry'!$D$8,'att Data Entry'!$C$8,'att Data Entry'!$C$9))</f>
        <v/>
      </c>
      <c r="E110" s="40" t="str">
        <f>IF('att Data Entry'!E113="","",IF('att Data Entry'!E113='att Data Entry'!$D$8,'att Data Entry'!$C$8,'att Data Entry'!$C$9))</f>
        <v/>
      </c>
      <c r="F110" s="162" t="str">
        <f>IF('att Data Entry'!F113="","",IF('att Data Entry'!F113='att Data Entry'!$D$8,'att Data Entry'!$C$8,'att Data Entry'!$C$9))</f>
        <v/>
      </c>
      <c r="G110" s="164" t="str">
        <f t="shared" si="12"/>
        <v/>
      </c>
      <c r="H110" s="162" t="str">
        <f>IF('att Data Entry'!$D113="","",IF(X110="TRUE",1,0))</f>
        <v/>
      </c>
      <c r="I110" s="40" t="str">
        <f>IF('att Data Entry'!I113="","",IF('att Data Entry'!H113='att Data Entry'!$D$8,'att Data Entry'!$C$8,'att Data Entry'!$C$9))</f>
        <v/>
      </c>
      <c r="J110" s="162" t="str">
        <f>IF('att Data Entry'!H113="","",IF('att Data Entry'!I113='att Data Entry'!$D$8,'att Data Entry'!$C$8,'att Data Entry'!$C$9))</f>
        <v/>
      </c>
      <c r="K110" s="164" t="str">
        <f t="shared" si="13"/>
        <v/>
      </c>
      <c r="L110" s="162" t="str">
        <f>IF('att Data Entry'!$D113="","",IF(Y110="TRUE",1,0))</f>
        <v/>
      </c>
      <c r="M110" s="40" t="str">
        <f>IF('att Data Entry'!L113="","",IF('att Data Entry'!K113='att Data Entry'!$D$8,'att Data Entry'!$C$8,'att Data Entry'!$C$9))</f>
        <v/>
      </c>
      <c r="N110" s="40" t="str">
        <f>IF('att Data Entry'!K113="","",IF('att Data Entry'!L113='att Data Entry'!$D$8,'att Data Entry'!$C$8,'att Data Entry'!$C$9))</f>
        <v/>
      </c>
      <c r="O110" s="164" t="str">
        <f t="shared" si="14"/>
        <v/>
      </c>
      <c r="P110" s="162" t="str">
        <f>IF('att Data Entry'!$D113="","",IF(Z110="TRUE",1,0))</f>
        <v/>
      </c>
      <c r="Q110" s="441" t="str">
        <f>IF('att Data Entry'!H113="","",IF(M110="",T110,U110))</f>
        <v/>
      </c>
      <c r="R110" s="394" t="str">
        <f>IF('att Data Entry'!H113="","",IF(M110="",V110,W110))</f>
        <v/>
      </c>
      <c r="T110" s="40" t="str">
        <f>IF('att Data Entry'!H113="","",IF($E110+$F110+$I110+$J110=4,"TRUE",IF($E110+$F110+$I110+$J110=8,"TRUE","FALSE")))</f>
        <v/>
      </c>
      <c r="U110" s="40" t="str">
        <f>IF('att Data Entry'!K113="","",IF($E110+$F110+$I110+$J110+$M110+$N110=6,"TRUE",IF($E110+$F110+$I110+$J110+$M110+$N110=12,"TRUE","FALSE")))</f>
        <v/>
      </c>
      <c r="V110" s="40" t="str">
        <f>IF('att Data Entry'!H113="","",IF($E110+$F110+$I110+$J110+$D110=5,"TRUE",IF($E110+$F110+$I110+$J110+$D110=10,"TRUE","FALSE")))</f>
        <v/>
      </c>
      <c r="W110" s="40" t="str">
        <f>IF('att Data Entry'!K113="","",IF($E110+$F110+$I110+$J110+$M110+$N110+$D110=7,"TRUE",IF($E110+$F110+$I110+$J110+$M110+$N110+$D110=14,"TRUE","FALSE")))</f>
        <v/>
      </c>
      <c r="X110" s="40" t="str">
        <f>IF('att Data Entry'!D113="","",IF('att Calculations'!D110+'att Calculations'!E110+'att Calculations'!F110=3, "TRUE",IF('att Calculations'!D110+'att Calculations'!E110+'att Calculations'!F110=6,"TRUE","FALSE")))</f>
        <v/>
      </c>
      <c r="Y110" s="40" t="str">
        <f>IF('att Data Entry'!$D113="","",IF($D110+I110+J110=3, "TRUE",IF($D110+I110+J110=6,"TRUE","FALSE")))</f>
        <v/>
      </c>
      <c r="Z110" s="13" t="str">
        <f>IF('att Data Entry'!K113="","",IF('att Data Entry'!$D113="","",IF($D110+M110+N110=3, "TRUE",IF($D110+M110+N110=6,"TRUE","FALSE"))))</f>
        <v/>
      </c>
      <c r="AA110" s="443" t="str">
        <f t="shared" si="15"/>
        <v/>
      </c>
      <c r="AB110" s="443" t="str">
        <f t="shared" si="16"/>
        <v/>
      </c>
      <c r="AC110" s="443" t="str">
        <f t="shared" si="17"/>
        <v/>
      </c>
      <c r="AD110" s="443" t="str">
        <f t="shared" si="18"/>
        <v/>
      </c>
      <c r="AE110" s="443" t="str">
        <f t="shared" si="19"/>
        <v/>
      </c>
      <c r="AF110" s="443" t="str">
        <f t="shared" si="23"/>
        <v/>
      </c>
      <c r="AG110" s="443" t="str">
        <f t="shared" si="20"/>
        <v/>
      </c>
      <c r="AH110" s="443" t="str">
        <f t="shared" si="21"/>
        <v/>
      </c>
      <c r="AI110" s="443" t="str">
        <f t="shared" si="22"/>
        <v/>
      </c>
    </row>
    <row r="111" spans="3:35" ht="15" thickBot="1" x14ac:dyDescent="0.35">
      <c r="C111" s="444" t="s">
        <v>335</v>
      </c>
      <c r="D111" s="271"/>
      <c r="E111" s="290"/>
      <c r="F111" s="445">
        <f>(COUNTIF(G11:G110,"=1"))/(COUNTIF(G11:G110,"&gt;=0"))</f>
        <v>1</v>
      </c>
      <c r="G111" s="290"/>
      <c r="H111" s="446">
        <f>(COUNTIF(H11:H110,"=1"))/(100-COUNTBLANK(H11:H110))</f>
        <v>0.7</v>
      </c>
      <c r="I111" s="290"/>
      <c r="J111" s="445">
        <f>(COUNTIF(K11:K110,"=1"))/(COUNTIF(K11:K110,"&gt;=0"))</f>
        <v>1</v>
      </c>
      <c r="K111" s="447"/>
      <c r="L111" s="446">
        <f>(COUNTIF(L11:L110,"=1"))/(100-COUNTBLANK(L11:L110))</f>
        <v>0.7</v>
      </c>
      <c r="M111" s="290"/>
      <c r="N111" s="445">
        <f>IF(M11="","",(COUNTIF(O11:O110,"=1"))/(COUNTIF(O11:O110,"&gt;=0")))</f>
        <v>1</v>
      </c>
      <c r="O111" s="290"/>
      <c r="P111" s="446">
        <f>(COUNTIF(P11:P110,"=1"))/(100-COUNTBLANK(P11:P110))</f>
        <v>0.7</v>
      </c>
      <c r="Q111" s="366"/>
      <c r="AA111" s="448">
        <f>SUM(AA11:AA110)</f>
        <v>0</v>
      </c>
      <c r="AB111" s="448">
        <f>SUM(AB11:AB110)</f>
        <v>3</v>
      </c>
      <c r="AC111" s="448">
        <f>SUM(AC11:AC110)</f>
        <v>0</v>
      </c>
      <c r="AD111" s="448">
        <f t="shared" ref="AD111:AI111" si="24">SUM(AD11:AD110)</f>
        <v>0</v>
      </c>
      <c r="AE111" s="448">
        <f t="shared" si="24"/>
        <v>3</v>
      </c>
      <c r="AF111" s="448">
        <f t="shared" si="24"/>
        <v>0</v>
      </c>
      <c r="AG111" s="448">
        <f t="shared" si="24"/>
        <v>0</v>
      </c>
      <c r="AH111" s="448">
        <f t="shared" si="24"/>
        <v>3</v>
      </c>
      <c r="AI111" s="448">
        <f t="shared" si="24"/>
        <v>0</v>
      </c>
    </row>
    <row r="113" spans="17:18" x14ac:dyDescent="0.25">
      <c r="Q113" s="449"/>
      <c r="R113" s="450"/>
    </row>
    <row r="115" spans="17:18" x14ac:dyDescent="0.25">
      <c r="Q115" s="451"/>
    </row>
  </sheetData>
  <hyperlinks>
    <hyperlink ref="AK1" location="Menu!A1" display="Return to menu" xr:uid="{00000000-0004-0000-0C00-000000000000}"/>
  </hyperlinks>
  <printOptions gridLines="1" gridLinesSet="0"/>
  <pageMargins left="0.75" right="0.75" top="1" bottom="1" header="0.5" footer="0.5"/>
  <pageSetup orientation="portrait" horizontalDpi="4294967292" r:id="rId1"/>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R34"/>
  <sheetViews>
    <sheetView zoomScale="90" zoomScaleNormal="90" workbookViewId="0">
      <selection activeCell="P1" sqref="P1:R1"/>
    </sheetView>
  </sheetViews>
  <sheetFormatPr defaultColWidth="9.109375" defaultRowHeight="14.4" x14ac:dyDescent="0.3"/>
  <cols>
    <col min="1" max="1" width="8.6640625" style="558" customWidth="1"/>
    <col min="2" max="2" width="3.6640625" style="558" bestFit="1" customWidth="1"/>
    <col min="3" max="14" width="9.109375" style="558"/>
    <col min="15" max="15" width="4.6640625" style="558" customWidth="1"/>
    <col min="16" max="16384" width="9.109375" style="558"/>
  </cols>
  <sheetData>
    <row r="1" spans="2:18" ht="21" x14ac:dyDescent="0.4">
      <c r="P1" s="1034" t="s">
        <v>19</v>
      </c>
      <c r="Q1" s="1034"/>
      <c r="R1" s="1034"/>
    </row>
    <row r="2" spans="2:18" ht="18" x14ac:dyDescent="0.35">
      <c r="C2" s="698" t="s">
        <v>926</v>
      </c>
    </row>
    <row r="3" spans="2:18" x14ac:dyDescent="0.3">
      <c r="B3" s="641"/>
    </row>
    <row r="4" spans="2:18" ht="15" customHeight="1" x14ac:dyDescent="0.3">
      <c r="B4" s="1033" t="s">
        <v>928</v>
      </c>
      <c r="C4" s="1092" t="s">
        <v>934</v>
      </c>
      <c r="D4" s="1093"/>
      <c r="E4" s="1093"/>
      <c r="F4" s="1094"/>
      <c r="G4" s="1064"/>
      <c r="H4" s="1065"/>
      <c r="I4" s="1065"/>
      <c r="J4" s="1066"/>
      <c r="K4" s="1037" t="s">
        <v>938</v>
      </c>
      <c r="L4" s="1038"/>
      <c r="M4" s="1038"/>
      <c r="N4" s="1039"/>
    </row>
    <row r="5" spans="2:18" ht="15" customHeight="1" x14ac:dyDescent="0.3">
      <c r="B5" s="1033"/>
      <c r="C5" s="1095"/>
      <c r="D5" s="1096"/>
      <c r="E5" s="1096"/>
      <c r="F5" s="1097"/>
      <c r="G5" s="1067"/>
      <c r="H5" s="1068"/>
      <c r="I5" s="1068"/>
      <c r="J5" s="1069"/>
      <c r="K5" s="1040"/>
      <c r="L5" s="1041"/>
      <c r="M5" s="1041"/>
      <c r="N5" s="1042"/>
    </row>
    <row r="6" spans="2:18" ht="15" customHeight="1" x14ac:dyDescent="0.3">
      <c r="B6" s="1033"/>
      <c r="C6" s="1095"/>
      <c r="D6" s="1096"/>
      <c r="E6" s="1096"/>
      <c r="F6" s="1097"/>
      <c r="G6" s="1067"/>
      <c r="H6" s="1068"/>
      <c r="I6" s="1068"/>
      <c r="J6" s="1069"/>
      <c r="K6" s="1040"/>
      <c r="L6" s="1041"/>
      <c r="M6" s="1041"/>
      <c r="N6" s="1042"/>
    </row>
    <row r="7" spans="2:18" ht="15" customHeight="1" x14ac:dyDescent="0.3">
      <c r="B7" s="1033"/>
      <c r="C7" s="1095"/>
      <c r="D7" s="1096"/>
      <c r="E7" s="1096"/>
      <c r="F7" s="1097"/>
      <c r="G7" s="1067"/>
      <c r="H7" s="1068"/>
      <c r="I7" s="1068"/>
      <c r="J7" s="1069"/>
      <c r="K7" s="1040"/>
      <c r="L7" s="1041"/>
      <c r="M7" s="1041"/>
      <c r="N7" s="1042"/>
    </row>
    <row r="8" spans="2:18" ht="15" customHeight="1" x14ac:dyDescent="0.3">
      <c r="B8" s="1033"/>
      <c r="C8" s="1095"/>
      <c r="D8" s="1096"/>
      <c r="E8" s="1096"/>
      <c r="F8" s="1097"/>
      <c r="G8" s="1067"/>
      <c r="H8" s="1068"/>
      <c r="I8" s="1068"/>
      <c r="J8" s="1069"/>
      <c r="K8" s="1040"/>
      <c r="L8" s="1041"/>
      <c r="M8" s="1041"/>
      <c r="N8" s="1042"/>
    </row>
    <row r="9" spans="2:18" ht="15" customHeight="1" x14ac:dyDescent="0.3">
      <c r="B9" s="1033"/>
      <c r="C9" s="1095"/>
      <c r="D9" s="1096"/>
      <c r="E9" s="1096"/>
      <c r="F9" s="1097"/>
      <c r="G9" s="1067"/>
      <c r="H9" s="1068"/>
      <c r="I9" s="1068"/>
      <c r="J9" s="1069"/>
      <c r="K9" s="1040"/>
      <c r="L9" s="1041"/>
      <c r="M9" s="1041"/>
      <c r="N9" s="1042"/>
    </row>
    <row r="10" spans="2:18" ht="15" customHeight="1" x14ac:dyDescent="0.3">
      <c r="B10" s="1033"/>
      <c r="C10" s="1095"/>
      <c r="D10" s="1096"/>
      <c r="E10" s="1096"/>
      <c r="F10" s="1097"/>
      <c r="G10" s="1067"/>
      <c r="H10" s="1068"/>
      <c r="I10" s="1068"/>
      <c r="J10" s="1069"/>
      <c r="K10" s="1040"/>
      <c r="L10" s="1041"/>
      <c r="M10" s="1041"/>
      <c r="N10" s="1042"/>
    </row>
    <row r="11" spans="2:18" ht="15" customHeight="1" x14ac:dyDescent="0.3">
      <c r="B11" s="1033"/>
      <c r="C11" s="1095"/>
      <c r="D11" s="1096"/>
      <c r="E11" s="1096"/>
      <c r="F11" s="1097"/>
      <c r="G11" s="1067"/>
      <c r="H11" s="1068"/>
      <c r="I11" s="1068"/>
      <c r="J11" s="1069"/>
      <c r="K11" s="1040"/>
      <c r="L11" s="1041"/>
      <c r="M11" s="1041"/>
      <c r="N11" s="1042"/>
    </row>
    <row r="12" spans="2:18" ht="15" customHeight="1" x14ac:dyDescent="0.3">
      <c r="B12" s="1033"/>
      <c r="C12" s="1095"/>
      <c r="D12" s="1096"/>
      <c r="E12" s="1096"/>
      <c r="F12" s="1097"/>
      <c r="G12" s="1067"/>
      <c r="H12" s="1068"/>
      <c r="I12" s="1068"/>
      <c r="J12" s="1069"/>
      <c r="K12" s="1040"/>
      <c r="L12" s="1041"/>
      <c r="M12" s="1041"/>
      <c r="N12" s="1042"/>
    </row>
    <row r="13" spans="2:18" ht="15" customHeight="1" x14ac:dyDescent="0.3">
      <c r="B13" s="1033"/>
      <c r="C13" s="1098"/>
      <c r="D13" s="1099"/>
      <c r="E13" s="1099"/>
      <c r="F13" s="1100"/>
      <c r="G13" s="1070"/>
      <c r="H13" s="1071"/>
      <c r="I13" s="1071"/>
      <c r="J13" s="1072"/>
      <c r="K13" s="1043"/>
      <c r="L13" s="1044"/>
      <c r="M13" s="1044"/>
      <c r="N13" s="1045"/>
    </row>
    <row r="14" spans="2:18" ht="15" customHeight="1" x14ac:dyDescent="0.3">
      <c r="B14" s="1031" t="s">
        <v>929</v>
      </c>
      <c r="C14" s="1083"/>
      <c r="D14" s="1084"/>
      <c r="E14" s="1084"/>
      <c r="F14" s="1085"/>
      <c r="G14" s="1046" t="s">
        <v>937</v>
      </c>
      <c r="H14" s="1047"/>
      <c r="I14" s="1047"/>
      <c r="J14" s="1048"/>
      <c r="K14" s="1101"/>
      <c r="L14" s="1102"/>
      <c r="M14" s="1102"/>
      <c r="N14" s="1103"/>
    </row>
    <row r="15" spans="2:18" ht="15" customHeight="1" x14ac:dyDescent="0.3">
      <c r="B15" s="1031"/>
      <c r="C15" s="1086"/>
      <c r="D15" s="1087"/>
      <c r="E15" s="1087"/>
      <c r="F15" s="1088"/>
      <c r="G15" s="1049"/>
      <c r="H15" s="1050"/>
      <c r="I15" s="1050"/>
      <c r="J15" s="1051"/>
      <c r="K15" s="1104"/>
      <c r="L15" s="1105"/>
      <c r="M15" s="1105"/>
      <c r="N15" s="1106"/>
    </row>
    <row r="16" spans="2:18" ht="15" customHeight="1" x14ac:dyDescent="0.3">
      <c r="B16" s="1031"/>
      <c r="C16" s="1086"/>
      <c r="D16" s="1087"/>
      <c r="E16" s="1087"/>
      <c r="F16" s="1088"/>
      <c r="G16" s="1049"/>
      <c r="H16" s="1050"/>
      <c r="I16" s="1050"/>
      <c r="J16" s="1051"/>
      <c r="K16" s="1104"/>
      <c r="L16" s="1105"/>
      <c r="M16" s="1105"/>
      <c r="N16" s="1106"/>
    </row>
    <row r="17" spans="2:14" ht="15" customHeight="1" x14ac:dyDescent="0.3">
      <c r="B17" s="1031"/>
      <c r="C17" s="1086"/>
      <c r="D17" s="1087"/>
      <c r="E17" s="1087"/>
      <c r="F17" s="1088"/>
      <c r="G17" s="1049"/>
      <c r="H17" s="1050"/>
      <c r="I17" s="1050"/>
      <c r="J17" s="1051"/>
      <c r="K17" s="1104"/>
      <c r="L17" s="1105"/>
      <c r="M17" s="1105"/>
      <c r="N17" s="1106"/>
    </row>
    <row r="18" spans="2:14" ht="15" customHeight="1" x14ac:dyDescent="0.3">
      <c r="B18" s="1031"/>
      <c r="C18" s="1086"/>
      <c r="D18" s="1087"/>
      <c r="E18" s="1087"/>
      <c r="F18" s="1088"/>
      <c r="G18" s="1049"/>
      <c r="H18" s="1050"/>
      <c r="I18" s="1050"/>
      <c r="J18" s="1051"/>
      <c r="K18" s="1104"/>
      <c r="L18" s="1105"/>
      <c r="M18" s="1105"/>
      <c r="N18" s="1106"/>
    </row>
    <row r="19" spans="2:14" ht="15" customHeight="1" x14ac:dyDescent="0.3">
      <c r="B19" s="1031"/>
      <c r="C19" s="1086"/>
      <c r="D19" s="1087"/>
      <c r="E19" s="1087"/>
      <c r="F19" s="1088"/>
      <c r="G19" s="1049"/>
      <c r="H19" s="1050"/>
      <c r="I19" s="1050"/>
      <c r="J19" s="1051"/>
      <c r="K19" s="1104"/>
      <c r="L19" s="1105"/>
      <c r="M19" s="1105"/>
      <c r="N19" s="1106"/>
    </row>
    <row r="20" spans="2:14" ht="15" customHeight="1" x14ac:dyDescent="0.3">
      <c r="B20" s="1031"/>
      <c r="C20" s="1086"/>
      <c r="D20" s="1087"/>
      <c r="E20" s="1087"/>
      <c r="F20" s="1088"/>
      <c r="G20" s="1049"/>
      <c r="H20" s="1050"/>
      <c r="I20" s="1050"/>
      <c r="J20" s="1051"/>
      <c r="K20" s="1104"/>
      <c r="L20" s="1105"/>
      <c r="M20" s="1105"/>
      <c r="N20" s="1106"/>
    </row>
    <row r="21" spans="2:14" ht="15" customHeight="1" x14ac:dyDescent="0.3">
      <c r="B21" s="1031"/>
      <c r="C21" s="1086"/>
      <c r="D21" s="1087"/>
      <c r="E21" s="1087"/>
      <c r="F21" s="1088"/>
      <c r="G21" s="1049"/>
      <c r="H21" s="1050"/>
      <c r="I21" s="1050"/>
      <c r="J21" s="1051"/>
      <c r="K21" s="1104"/>
      <c r="L21" s="1105"/>
      <c r="M21" s="1105"/>
      <c r="N21" s="1106"/>
    </row>
    <row r="22" spans="2:14" ht="15" customHeight="1" x14ac:dyDescent="0.3">
      <c r="B22" s="1031"/>
      <c r="C22" s="1086"/>
      <c r="D22" s="1087"/>
      <c r="E22" s="1087"/>
      <c r="F22" s="1088"/>
      <c r="G22" s="1049"/>
      <c r="H22" s="1050"/>
      <c r="I22" s="1050"/>
      <c r="J22" s="1051"/>
      <c r="K22" s="1104"/>
      <c r="L22" s="1105"/>
      <c r="M22" s="1105"/>
      <c r="N22" s="1106"/>
    </row>
    <row r="23" spans="2:14" ht="15" customHeight="1" x14ac:dyDescent="0.3">
      <c r="B23" s="1031"/>
      <c r="C23" s="1089"/>
      <c r="D23" s="1090"/>
      <c r="E23" s="1090"/>
      <c r="F23" s="1091"/>
      <c r="G23" s="1052"/>
      <c r="H23" s="1053"/>
      <c r="I23" s="1053"/>
      <c r="J23" s="1054"/>
      <c r="K23" s="1107"/>
      <c r="L23" s="1108"/>
      <c r="M23" s="1108"/>
      <c r="N23" s="1109"/>
    </row>
    <row r="24" spans="2:14" ht="15" customHeight="1" x14ac:dyDescent="0.3">
      <c r="B24" s="1032" t="s">
        <v>930</v>
      </c>
      <c r="C24" s="1074" t="s">
        <v>936</v>
      </c>
      <c r="D24" s="1075"/>
      <c r="E24" s="1075"/>
      <c r="F24" s="1076"/>
      <c r="G24" s="1055"/>
      <c r="H24" s="1056"/>
      <c r="I24" s="1056"/>
      <c r="J24" s="1057"/>
      <c r="K24" s="1092" t="s">
        <v>935</v>
      </c>
      <c r="L24" s="1093"/>
      <c r="M24" s="1093"/>
      <c r="N24" s="1094"/>
    </row>
    <row r="25" spans="2:14" ht="15" customHeight="1" x14ac:dyDescent="0.3">
      <c r="B25" s="1032"/>
      <c r="C25" s="1077"/>
      <c r="D25" s="1078"/>
      <c r="E25" s="1078"/>
      <c r="F25" s="1079"/>
      <c r="G25" s="1058"/>
      <c r="H25" s="1059"/>
      <c r="I25" s="1059"/>
      <c r="J25" s="1060"/>
      <c r="K25" s="1095"/>
      <c r="L25" s="1096"/>
      <c r="M25" s="1096"/>
      <c r="N25" s="1097"/>
    </row>
    <row r="26" spans="2:14" ht="15" customHeight="1" x14ac:dyDescent="0.3">
      <c r="B26" s="1032"/>
      <c r="C26" s="1077"/>
      <c r="D26" s="1078"/>
      <c r="E26" s="1078"/>
      <c r="F26" s="1079"/>
      <c r="G26" s="1058"/>
      <c r="H26" s="1059"/>
      <c r="I26" s="1059"/>
      <c r="J26" s="1060"/>
      <c r="K26" s="1095"/>
      <c r="L26" s="1096"/>
      <c r="M26" s="1096"/>
      <c r="N26" s="1097"/>
    </row>
    <row r="27" spans="2:14" ht="15" customHeight="1" x14ac:dyDescent="0.3">
      <c r="B27" s="1032"/>
      <c r="C27" s="1077"/>
      <c r="D27" s="1078"/>
      <c r="E27" s="1078"/>
      <c r="F27" s="1079"/>
      <c r="G27" s="1058"/>
      <c r="H27" s="1059"/>
      <c r="I27" s="1059"/>
      <c r="J27" s="1060"/>
      <c r="K27" s="1095"/>
      <c r="L27" s="1096"/>
      <c r="M27" s="1096"/>
      <c r="N27" s="1097"/>
    </row>
    <row r="28" spans="2:14" ht="15" customHeight="1" x14ac:dyDescent="0.3">
      <c r="B28" s="1032"/>
      <c r="C28" s="1077"/>
      <c r="D28" s="1078"/>
      <c r="E28" s="1078"/>
      <c r="F28" s="1079"/>
      <c r="G28" s="1058"/>
      <c r="H28" s="1059"/>
      <c r="I28" s="1059"/>
      <c r="J28" s="1060"/>
      <c r="K28" s="1095"/>
      <c r="L28" s="1096"/>
      <c r="M28" s="1096"/>
      <c r="N28" s="1097"/>
    </row>
    <row r="29" spans="2:14" ht="15" customHeight="1" x14ac:dyDescent="0.3">
      <c r="B29" s="1032"/>
      <c r="C29" s="1077"/>
      <c r="D29" s="1078"/>
      <c r="E29" s="1078"/>
      <c r="F29" s="1079"/>
      <c r="G29" s="1058"/>
      <c r="H29" s="1059"/>
      <c r="I29" s="1059"/>
      <c r="J29" s="1060"/>
      <c r="K29" s="1095"/>
      <c r="L29" s="1096"/>
      <c r="M29" s="1096"/>
      <c r="N29" s="1097"/>
    </row>
    <row r="30" spans="2:14" ht="15" customHeight="1" x14ac:dyDescent="0.3">
      <c r="B30" s="1032"/>
      <c r="C30" s="1077"/>
      <c r="D30" s="1078"/>
      <c r="E30" s="1078"/>
      <c r="F30" s="1079"/>
      <c r="G30" s="1058"/>
      <c r="H30" s="1059"/>
      <c r="I30" s="1059"/>
      <c r="J30" s="1060"/>
      <c r="K30" s="1095"/>
      <c r="L30" s="1096"/>
      <c r="M30" s="1096"/>
      <c r="N30" s="1097"/>
    </row>
    <row r="31" spans="2:14" ht="15" customHeight="1" x14ac:dyDescent="0.3">
      <c r="B31" s="1032"/>
      <c r="C31" s="1077"/>
      <c r="D31" s="1078"/>
      <c r="E31" s="1078"/>
      <c r="F31" s="1079"/>
      <c r="G31" s="1058"/>
      <c r="H31" s="1059"/>
      <c r="I31" s="1059"/>
      <c r="J31" s="1060"/>
      <c r="K31" s="1095"/>
      <c r="L31" s="1096"/>
      <c r="M31" s="1096"/>
      <c r="N31" s="1097"/>
    </row>
    <row r="32" spans="2:14" ht="15" customHeight="1" x14ac:dyDescent="0.3">
      <c r="B32" s="1032"/>
      <c r="C32" s="1077"/>
      <c r="D32" s="1078"/>
      <c r="E32" s="1078"/>
      <c r="F32" s="1079"/>
      <c r="G32" s="1058"/>
      <c r="H32" s="1059"/>
      <c r="I32" s="1059"/>
      <c r="J32" s="1060"/>
      <c r="K32" s="1095"/>
      <c r="L32" s="1096"/>
      <c r="M32" s="1096"/>
      <c r="N32" s="1097"/>
    </row>
    <row r="33" spans="2:16" ht="19.5" customHeight="1" thickBot="1" x14ac:dyDescent="0.4">
      <c r="B33" s="1032"/>
      <c r="C33" s="1080"/>
      <c r="D33" s="1081"/>
      <c r="E33" s="1081"/>
      <c r="F33" s="1082"/>
      <c r="G33" s="1061"/>
      <c r="H33" s="1062"/>
      <c r="I33" s="1062"/>
      <c r="J33" s="1063"/>
      <c r="K33" s="1098"/>
      <c r="L33" s="1099"/>
      <c r="M33" s="1099"/>
      <c r="N33" s="1100"/>
      <c r="O33" s="696"/>
      <c r="P33" s="698" t="s">
        <v>927</v>
      </c>
    </row>
    <row r="34" spans="2:16" ht="15.6" x14ac:dyDescent="0.3">
      <c r="C34" s="1073" t="s">
        <v>931</v>
      </c>
      <c r="D34" s="1073"/>
      <c r="E34" s="1073"/>
      <c r="F34" s="1073"/>
      <c r="G34" s="1035" t="s">
        <v>932</v>
      </c>
      <c r="H34" s="1035"/>
      <c r="I34" s="1035"/>
      <c r="J34" s="1035"/>
      <c r="K34" s="1036" t="s">
        <v>933</v>
      </c>
      <c r="L34" s="1036"/>
      <c r="M34" s="1036"/>
      <c r="N34" s="1036"/>
      <c r="O34" s="697"/>
    </row>
  </sheetData>
  <mergeCells count="16">
    <mergeCell ref="B14:B23"/>
    <mergeCell ref="B24:B33"/>
    <mergeCell ref="B4:B13"/>
    <mergeCell ref="P1:R1"/>
    <mergeCell ref="G34:J34"/>
    <mergeCell ref="K34:N34"/>
    <mergeCell ref="K4:N13"/>
    <mergeCell ref="G14:J23"/>
    <mergeCell ref="G24:J33"/>
    <mergeCell ref="G4:J13"/>
    <mergeCell ref="C34:F34"/>
    <mergeCell ref="C24:F33"/>
    <mergeCell ref="C14:F23"/>
    <mergeCell ref="C4:F13"/>
    <mergeCell ref="K14:N23"/>
    <mergeCell ref="K24:N33"/>
  </mergeCells>
  <hyperlinks>
    <hyperlink ref="P1" location="Menu!A1" display="Return to menu" xr:uid="{00000000-0004-0000-0D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dimension ref="A1:AA61"/>
  <sheetViews>
    <sheetView zoomScale="55" zoomScaleNormal="55" zoomScalePageLayoutView="90" workbookViewId="0">
      <selection activeCell="AA1" sqref="AA1"/>
    </sheetView>
  </sheetViews>
  <sheetFormatPr defaultColWidth="8.88671875" defaultRowHeight="14.4" x14ac:dyDescent="0.3"/>
  <cols>
    <col min="1" max="1" width="12.6640625" bestFit="1" customWidth="1"/>
    <col min="27" max="27" width="21.44140625" bestFit="1" customWidth="1"/>
  </cols>
  <sheetData>
    <row r="1" spans="1:27" ht="21" x14ac:dyDescent="0.4">
      <c r="B1" s="134" t="s">
        <v>101</v>
      </c>
      <c r="AA1" s="7" t="s">
        <v>19</v>
      </c>
    </row>
    <row r="3" spans="1:27" x14ac:dyDescent="0.3">
      <c r="B3" s="10" t="s">
        <v>102</v>
      </c>
      <c r="C3" s="10" t="s">
        <v>103</v>
      </c>
      <c r="D3" s="10" t="s">
        <v>104</v>
      </c>
      <c r="E3" s="10" t="s">
        <v>105</v>
      </c>
      <c r="F3" s="10" t="s">
        <v>106</v>
      </c>
      <c r="G3" s="10" t="s">
        <v>107</v>
      </c>
      <c r="H3" s="10" t="s">
        <v>108</v>
      </c>
      <c r="I3" s="10" t="s">
        <v>109</v>
      </c>
      <c r="J3" s="10" t="s">
        <v>110</v>
      </c>
      <c r="K3" s="10" t="s">
        <v>111</v>
      </c>
    </row>
    <row r="4" spans="1:27" x14ac:dyDescent="0.3">
      <c r="A4" s="10" t="s">
        <v>22</v>
      </c>
      <c r="B4" s="9">
        <f t="shared" ref="B4:K4" si="0">_xlfn.QUARTILE.EXC(B12:B61,3)</f>
        <v>101.08293531117174</v>
      </c>
      <c r="C4" s="9">
        <f t="shared" si="0"/>
        <v>82.036289668799355</v>
      </c>
      <c r="D4" s="9">
        <f t="shared" si="0"/>
        <v>96.082935311171738</v>
      </c>
      <c r="E4" s="9">
        <f t="shared" si="0"/>
        <v>77.036289668799355</v>
      </c>
      <c r="F4" s="9">
        <f t="shared" si="0"/>
        <v>91.082935311171738</v>
      </c>
      <c r="G4" s="9">
        <f t="shared" si="0"/>
        <v>72.036289668799355</v>
      </c>
      <c r="H4" s="9">
        <f t="shared" si="0"/>
        <v>86.082935311171738</v>
      </c>
      <c r="I4" s="9">
        <f t="shared" si="0"/>
        <v>67.036289668799355</v>
      </c>
      <c r="J4" s="9">
        <f t="shared" si="0"/>
        <v>81.082935311171738</v>
      </c>
      <c r="K4" s="9">
        <f t="shared" si="0"/>
        <v>62.036289668799355</v>
      </c>
    </row>
    <row r="5" spans="1:27" x14ac:dyDescent="0.3">
      <c r="A5" s="11">
        <v>0.9</v>
      </c>
      <c r="B5" s="9">
        <f t="shared" ref="B5:K5" si="1">_xlfn.PERCENTILE.EXC(B12:B61,0.9)</f>
        <v>104.83739113502499</v>
      </c>
      <c r="C5" s="9">
        <f t="shared" si="1"/>
        <v>93.2761467123252</v>
      </c>
      <c r="D5" s="9">
        <f t="shared" si="1"/>
        <v>99.837391135024987</v>
      </c>
      <c r="E5" s="9">
        <f t="shared" si="1"/>
        <v>88.2761467123252</v>
      </c>
      <c r="F5" s="9">
        <f t="shared" si="1"/>
        <v>94.837391135024987</v>
      </c>
      <c r="G5" s="9">
        <f t="shared" si="1"/>
        <v>83.2761467123252</v>
      </c>
      <c r="H5" s="9">
        <f t="shared" si="1"/>
        <v>89.837391135024987</v>
      </c>
      <c r="I5" s="9">
        <f t="shared" si="1"/>
        <v>78.2761467123252</v>
      </c>
      <c r="J5" s="9">
        <f t="shared" si="1"/>
        <v>84.837391135024987</v>
      </c>
      <c r="K5" s="9">
        <f t="shared" si="1"/>
        <v>73.2761467123252</v>
      </c>
    </row>
    <row r="6" spans="1:27" x14ac:dyDescent="0.3">
      <c r="A6" s="11">
        <v>0.1</v>
      </c>
      <c r="B6" s="9">
        <f t="shared" ref="B6:K6" si="2">_xlfn.PERCENTILE.EXC(B12:B61,0.1)</f>
        <v>82.795772533609664</v>
      </c>
      <c r="C6" s="9">
        <f t="shared" si="2"/>
        <v>60.177433270667606</v>
      </c>
      <c r="D6" s="9">
        <f t="shared" si="2"/>
        <v>77.795772533609664</v>
      </c>
      <c r="E6" s="9">
        <f t="shared" si="2"/>
        <v>55.177433270667606</v>
      </c>
      <c r="F6" s="9">
        <f t="shared" si="2"/>
        <v>72.795772533609664</v>
      </c>
      <c r="G6" s="9">
        <f t="shared" si="2"/>
        <v>50.177433270667606</v>
      </c>
      <c r="H6" s="9">
        <f t="shared" si="2"/>
        <v>67.795772533609664</v>
      </c>
      <c r="I6" s="9">
        <f t="shared" si="2"/>
        <v>45.177433270667606</v>
      </c>
      <c r="J6" s="9">
        <f t="shared" si="2"/>
        <v>62.795772533609664</v>
      </c>
      <c r="K6" s="9">
        <f t="shared" si="2"/>
        <v>40.177433270667606</v>
      </c>
    </row>
    <row r="7" spans="1:27" x14ac:dyDescent="0.3">
      <c r="A7" s="10" t="s">
        <v>21</v>
      </c>
      <c r="B7" s="9">
        <f t="shared" ref="B7:K7" si="3">_xlfn.QUARTILE.EXC(B12:B61,1)</f>
        <v>88.943320807151309</v>
      </c>
      <c r="C7" s="9">
        <f t="shared" si="3"/>
        <v>66.239918726989785</v>
      </c>
      <c r="D7" s="9">
        <f t="shared" si="3"/>
        <v>83.943320807151309</v>
      </c>
      <c r="E7" s="9">
        <f t="shared" si="3"/>
        <v>61.239918726989785</v>
      </c>
      <c r="F7" s="9">
        <f t="shared" si="3"/>
        <v>78.943320807151309</v>
      </c>
      <c r="G7" s="9">
        <f t="shared" si="3"/>
        <v>56.239918726989785</v>
      </c>
      <c r="H7" s="9">
        <f t="shared" si="3"/>
        <v>73.943320807151309</v>
      </c>
      <c r="I7" s="9">
        <f t="shared" si="3"/>
        <v>51.239918726989785</v>
      </c>
      <c r="J7" s="9">
        <f t="shared" si="3"/>
        <v>68.943320807151309</v>
      </c>
      <c r="K7" s="9">
        <f t="shared" si="3"/>
        <v>46.239918726989785</v>
      </c>
    </row>
    <row r="10" spans="1:27" x14ac:dyDescent="0.3">
      <c r="A10" s="6" t="s">
        <v>20</v>
      </c>
      <c r="B10" s="8">
        <f t="shared" ref="B10:K10" si="4">MEDIAN(B12:B61)</f>
        <v>95.10225138464105</v>
      </c>
      <c r="C10" s="8">
        <f t="shared" si="4"/>
        <v>71.945712874708477</v>
      </c>
      <c r="D10" s="8">
        <f t="shared" si="4"/>
        <v>90.10225138464105</v>
      </c>
      <c r="E10" s="8">
        <f t="shared" si="4"/>
        <v>66.945712874708477</v>
      </c>
      <c r="F10" s="8">
        <f t="shared" si="4"/>
        <v>85.10225138464105</v>
      </c>
      <c r="G10" s="8">
        <f t="shared" si="4"/>
        <v>61.945712874708484</v>
      </c>
      <c r="H10" s="8">
        <f t="shared" si="4"/>
        <v>80.10225138464105</v>
      </c>
      <c r="I10" s="8">
        <f t="shared" si="4"/>
        <v>56.945712874708484</v>
      </c>
      <c r="J10" s="8">
        <f t="shared" si="4"/>
        <v>75.10225138464105</v>
      </c>
      <c r="K10" s="8">
        <f t="shared" si="4"/>
        <v>51.945712874708484</v>
      </c>
    </row>
    <row r="12" spans="1:27" x14ac:dyDescent="0.3">
      <c r="A12" s="6">
        <v>1</v>
      </c>
      <c r="B12" s="133">
        <v>102.91445652211395</v>
      </c>
      <c r="C12" s="133">
        <v>84.501459807377458</v>
      </c>
      <c r="D12" s="133">
        <v>97.914456522113952</v>
      </c>
      <c r="E12" s="133">
        <v>79.501459807377458</v>
      </c>
      <c r="F12" s="133">
        <v>92.914456522113952</v>
      </c>
      <c r="G12" s="133">
        <v>74.501459807377458</v>
      </c>
      <c r="H12" s="133">
        <v>87.914456522113952</v>
      </c>
      <c r="I12" s="133">
        <v>69.501459807377458</v>
      </c>
      <c r="J12" s="133">
        <v>82.914456522113952</v>
      </c>
      <c r="K12" s="133">
        <v>64.501459807377458</v>
      </c>
    </row>
    <row r="13" spans="1:27" x14ac:dyDescent="0.3">
      <c r="A13" s="6">
        <v>2</v>
      </c>
      <c r="B13" s="133">
        <v>102.08151188935381</v>
      </c>
      <c r="C13" s="133">
        <v>75.196845292711373</v>
      </c>
      <c r="D13" s="133">
        <v>97.081511889353806</v>
      </c>
      <c r="E13" s="133">
        <v>70.196845292711373</v>
      </c>
      <c r="F13" s="133">
        <v>92.081511889353806</v>
      </c>
      <c r="G13" s="133">
        <v>65.196845292711373</v>
      </c>
      <c r="H13" s="133">
        <v>87.081511889353806</v>
      </c>
      <c r="I13" s="133">
        <v>60.196845292711373</v>
      </c>
      <c r="J13" s="133">
        <v>82.081511889353806</v>
      </c>
      <c r="K13" s="133">
        <v>55.196845292711373</v>
      </c>
    </row>
    <row r="14" spans="1:27" x14ac:dyDescent="0.3">
      <c r="A14" s="6">
        <v>3</v>
      </c>
      <c r="B14" s="133">
        <v>82.3727583001901</v>
      </c>
      <c r="C14" s="133">
        <v>93.370172726984933</v>
      </c>
      <c r="D14" s="133">
        <v>77.3727583001901</v>
      </c>
      <c r="E14" s="133">
        <v>88.370172726984933</v>
      </c>
      <c r="F14" s="133">
        <v>72.3727583001901</v>
      </c>
      <c r="G14" s="133">
        <v>83.370172726984933</v>
      </c>
      <c r="H14" s="133">
        <v>67.3727583001901</v>
      </c>
      <c r="I14" s="133">
        <v>78.370172726984933</v>
      </c>
      <c r="J14" s="133">
        <v>62.3727583001901</v>
      </c>
      <c r="K14" s="133">
        <v>73.370172726984933</v>
      </c>
    </row>
    <row r="15" spans="1:27" x14ac:dyDescent="0.3">
      <c r="A15" s="6">
        <v>4</v>
      </c>
      <c r="B15" s="133">
        <v>89.247768773534844</v>
      </c>
      <c r="C15" s="133">
        <v>67.69355097500457</v>
      </c>
      <c r="D15" s="133">
        <v>84.247768773534844</v>
      </c>
      <c r="E15" s="133">
        <v>62.69355097500457</v>
      </c>
      <c r="F15" s="133">
        <v>79.247768773534844</v>
      </c>
      <c r="G15" s="133">
        <v>57.69355097500457</v>
      </c>
      <c r="H15" s="133">
        <v>74.247768773534844</v>
      </c>
      <c r="I15" s="133">
        <v>52.69355097500457</v>
      </c>
      <c r="J15" s="133">
        <v>69.247768773534844</v>
      </c>
      <c r="K15" s="133">
        <v>47.69355097500457</v>
      </c>
    </row>
    <row r="16" spans="1:27" x14ac:dyDescent="0.3">
      <c r="A16" s="6">
        <v>5</v>
      </c>
      <c r="B16" s="133">
        <v>97.033003234184704</v>
      </c>
      <c r="C16" s="133">
        <v>69.999382332681577</v>
      </c>
      <c r="D16" s="133">
        <v>92.033003234184704</v>
      </c>
      <c r="E16" s="133">
        <v>64.999382332681577</v>
      </c>
      <c r="F16" s="133">
        <v>87.033003234184704</v>
      </c>
      <c r="G16" s="133">
        <v>59.999382332681577</v>
      </c>
      <c r="H16" s="133">
        <v>82.033003234184704</v>
      </c>
      <c r="I16" s="133">
        <v>54.999382332681577</v>
      </c>
      <c r="J16" s="133">
        <v>77.033003234184704</v>
      </c>
      <c r="K16" s="133">
        <v>49.999382332681577</v>
      </c>
    </row>
    <row r="17" spans="1:11" x14ac:dyDescent="0.3">
      <c r="A17" s="6">
        <v>6</v>
      </c>
      <c r="B17" s="133">
        <v>94.804016977842963</v>
      </c>
      <c r="C17" s="133">
        <v>66.678099280996591</v>
      </c>
      <c r="D17" s="133">
        <v>89.804016977842963</v>
      </c>
      <c r="E17" s="133">
        <v>61.678099280996591</v>
      </c>
      <c r="F17" s="133">
        <v>84.804016977842963</v>
      </c>
      <c r="G17" s="133">
        <v>56.678099280996591</v>
      </c>
      <c r="H17" s="133">
        <v>79.804016977842963</v>
      </c>
      <c r="I17" s="133">
        <v>51.678099280996591</v>
      </c>
      <c r="J17" s="133">
        <v>74.804016977842963</v>
      </c>
      <c r="K17" s="133">
        <v>46.678099280996591</v>
      </c>
    </row>
    <row r="18" spans="1:11" x14ac:dyDescent="0.3">
      <c r="A18" s="6">
        <v>7</v>
      </c>
      <c r="B18" s="133">
        <v>90.421025516663832</v>
      </c>
      <c r="C18" s="133">
        <v>73.679632927609418</v>
      </c>
      <c r="D18" s="133">
        <v>85.421025516663832</v>
      </c>
      <c r="E18" s="133">
        <v>68.679632927609418</v>
      </c>
      <c r="F18" s="133">
        <v>80.421025516663832</v>
      </c>
      <c r="G18" s="133">
        <v>63.679632927609418</v>
      </c>
      <c r="H18" s="133">
        <v>75.421025516663832</v>
      </c>
      <c r="I18" s="133">
        <v>58.679632927609418</v>
      </c>
      <c r="J18" s="133">
        <v>70.421025516663832</v>
      </c>
      <c r="K18" s="133">
        <v>53.679632927609418</v>
      </c>
    </row>
    <row r="19" spans="1:11" x14ac:dyDescent="0.3">
      <c r="A19" s="6">
        <v>8</v>
      </c>
      <c r="B19" s="133">
        <v>106.96020331730024</v>
      </c>
      <c r="C19" s="133">
        <v>74.745520418604997</v>
      </c>
      <c r="D19" s="133">
        <v>101.96020331730024</v>
      </c>
      <c r="E19" s="133">
        <v>69.745520418604997</v>
      </c>
      <c r="F19" s="133">
        <v>96.960203317300241</v>
      </c>
      <c r="G19" s="133">
        <v>64.745520418604997</v>
      </c>
      <c r="H19" s="133">
        <v>91.960203317300241</v>
      </c>
      <c r="I19" s="133">
        <v>59.745520418604997</v>
      </c>
      <c r="J19" s="133">
        <v>86.960203317300241</v>
      </c>
      <c r="K19" s="133">
        <v>54.745520418604997</v>
      </c>
    </row>
    <row r="20" spans="1:11" x14ac:dyDescent="0.3">
      <c r="A20" s="6">
        <v>9</v>
      </c>
      <c r="B20" s="133">
        <v>104.87340384019596</v>
      </c>
      <c r="C20" s="133">
        <v>94.8133055433251</v>
      </c>
      <c r="D20" s="133">
        <v>99.873403840195962</v>
      </c>
      <c r="E20" s="133">
        <v>89.8133055433251</v>
      </c>
      <c r="F20" s="133">
        <v>94.873403840195962</v>
      </c>
      <c r="G20" s="133">
        <v>84.8133055433251</v>
      </c>
      <c r="H20" s="133">
        <v>89.873403840195962</v>
      </c>
      <c r="I20" s="133">
        <v>79.8133055433251</v>
      </c>
      <c r="J20" s="133">
        <v>84.873403840195962</v>
      </c>
      <c r="K20" s="133">
        <v>74.8133055433251</v>
      </c>
    </row>
    <row r="21" spans="1:11" x14ac:dyDescent="0.3">
      <c r="A21" s="6">
        <v>10</v>
      </c>
      <c r="B21" s="133">
        <v>97.858828885399305</v>
      </c>
      <c r="C21" s="133">
        <v>74.136979930198393</v>
      </c>
      <c r="D21" s="133">
        <v>92.858828885399305</v>
      </c>
      <c r="E21" s="133">
        <v>69.136979930198393</v>
      </c>
      <c r="F21" s="133">
        <v>87.858828885399305</v>
      </c>
      <c r="G21" s="133">
        <v>64.136979930198393</v>
      </c>
      <c r="H21" s="133">
        <v>82.858828885399305</v>
      </c>
      <c r="I21" s="133">
        <v>59.136979930198393</v>
      </c>
      <c r="J21" s="133">
        <v>77.858828885399305</v>
      </c>
      <c r="K21" s="133">
        <v>54.136979930198393</v>
      </c>
    </row>
    <row r="22" spans="1:11" x14ac:dyDescent="0.3">
      <c r="A22" s="6">
        <v>11</v>
      </c>
      <c r="B22" s="133">
        <v>88.029976908000734</v>
      </c>
      <c r="C22" s="133">
        <v>95.477878496173574</v>
      </c>
      <c r="D22" s="133">
        <v>83.029976908000734</v>
      </c>
      <c r="E22" s="133">
        <v>90.477878496173574</v>
      </c>
      <c r="F22" s="133">
        <v>78.029976908000734</v>
      </c>
      <c r="G22" s="133">
        <v>85.477878496173574</v>
      </c>
      <c r="H22" s="133">
        <v>73.029976908000734</v>
      </c>
      <c r="I22" s="133">
        <v>80.477878496173574</v>
      </c>
      <c r="J22" s="133">
        <v>68.029976908000734</v>
      </c>
      <c r="K22" s="133">
        <v>75.477878496173574</v>
      </c>
    </row>
    <row r="23" spans="1:11" x14ac:dyDescent="0.3">
      <c r="A23" s="6">
        <v>12</v>
      </c>
      <c r="B23" s="133">
        <v>94.942798191709954</v>
      </c>
      <c r="C23" s="133">
        <v>82.570475203201156</v>
      </c>
      <c r="D23" s="133">
        <v>89.942798191709954</v>
      </c>
      <c r="E23" s="133">
        <v>77.570475203201156</v>
      </c>
      <c r="F23" s="133">
        <v>84.942798191709954</v>
      </c>
      <c r="G23" s="133">
        <v>72.570475203201156</v>
      </c>
      <c r="H23" s="133">
        <v>79.942798191709954</v>
      </c>
      <c r="I23" s="133">
        <v>67.570475203201156</v>
      </c>
      <c r="J23" s="133">
        <v>74.942798191709954</v>
      </c>
      <c r="K23" s="133">
        <v>62.570475203201156</v>
      </c>
    </row>
    <row r="24" spans="1:11" x14ac:dyDescent="0.3">
      <c r="A24" s="6">
        <v>13</v>
      </c>
      <c r="B24" s="133">
        <v>92.823922299435949</v>
      </c>
      <c r="C24" s="133">
        <v>44.475520260684092</v>
      </c>
      <c r="D24" s="133">
        <v>87.823922299435949</v>
      </c>
      <c r="E24" s="133">
        <v>39.475520260684092</v>
      </c>
      <c r="F24" s="133">
        <v>82.823922299435949</v>
      </c>
      <c r="G24" s="133">
        <v>34.475520260684092</v>
      </c>
      <c r="H24" s="133">
        <v>77.823922299435949</v>
      </c>
      <c r="I24" s="133">
        <v>29.475520260684092</v>
      </c>
      <c r="J24" s="133">
        <v>72.823922299435949</v>
      </c>
      <c r="K24" s="133">
        <v>24.475520260684092</v>
      </c>
    </row>
    <row r="25" spans="1:11" x14ac:dyDescent="0.3">
      <c r="A25" s="6">
        <v>14</v>
      </c>
      <c r="B25" s="133">
        <v>93.8237544420424</v>
      </c>
      <c r="C25" s="133">
        <v>64.925377064969354</v>
      </c>
      <c r="D25" s="133">
        <v>88.8237544420424</v>
      </c>
      <c r="E25" s="133">
        <v>59.925377064969354</v>
      </c>
      <c r="F25" s="133">
        <v>83.8237544420424</v>
      </c>
      <c r="G25" s="133">
        <v>54.925377064969354</v>
      </c>
      <c r="H25" s="133">
        <v>78.8237544420424</v>
      </c>
      <c r="I25" s="133">
        <v>49.925377064969354</v>
      </c>
      <c r="J25" s="133">
        <v>73.8237544420424</v>
      </c>
      <c r="K25" s="133">
        <v>44.925377064969354</v>
      </c>
    </row>
    <row r="26" spans="1:11" x14ac:dyDescent="0.3">
      <c r="A26" s="6">
        <v>15</v>
      </c>
      <c r="B26" s="133">
        <v>87.372641730391635</v>
      </c>
      <c r="C26" s="133">
        <v>73.18002557934031</v>
      </c>
      <c r="D26" s="133">
        <v>82.372641730391635</v>
      </c>
      <c r="E26" s="133">
        <v>68.18002557934031</v>
      </c>
      <c r="F26" s="133">
        <v>77.372641730391635</v>
      </c>
      <c r="G26" s="133">
        <v>63.18002557934031</v>
      </c>
      <c r="H26" s="133">
        <v>72.372641730391635</v>
      </c>
      <c r="I26" s="133">
        <v>58.18002557934031</v>
      </c>
      <c r="J26" s="133">
        <v>67.372641730391635</v>
      </c>
      <c r="K26" s="133">
        <v>53.18002557934031</v>
      </c>
    </row>
    <row r="27" spans="1:11" x14ac:dyDescent="0.3">
      <c r="A27" s="6">
        <v>16</v>
      </c>
      <c r="B27" s="133">
        <v>89.490144496204309</v>
      </c>
      <c r="C27" s="133">
        <v>61.488647571358001</v>
      </c>
      <c r="D27" s="133">
        <v>84.490144496204309</v>
      </c>
      <c r="E27" s="133">
        <v>56.488647571358001</v>
      </c>
      <c r="F27" s="133">
        <v>79.490144496204309</v>
      </c>
      <c r="G27" s="133">
        <v>51.488647571358001</v>
      </c>
      <c r="H27" s="133">
        <v>74.490144496204309</v>
      </c>
      <c r="I27" s="133">
        <v>46.488647571358001</v>
      </c>
      <c r="J27" s="133">
        <v>69.490144496204309</v>
      </c>
      <c r="K27" s="133">
        <v>41.488647571358001</v>
      </c>
    </row>
    <row r="28" spans="1:11" x14ac:dyDescent="0.3">
      <c r="A28" s="6">
        <v>17</v>
      </c>
      <c r="B28" s="133">
        <v>101.39191417979046</v>
      </c>
      <c r="C28" s="133">
        <v>70.9118880895888</v>
      </c>
      <c r="D28" s="133">
        <v>96.391914179790462</v>
      </c>
      <c r="E28" s="133">
        <v>65.9118880895888</v>
      </c>
      <c r="F28" s="133">
        <v>91.391914179790462</v>
      </c>
      <c r="G28" s="133">
        <v>60.9118880895888</v>
      </c>
      <c r="H28" s="133">
        <v>86.391914179790462</v>
      </c>
      <c r="I28" s="133">
        <v>55.9118880895888</v>
      </c>
      <c r="J28" s="133">
        <v>81.391914179790462</v>
      </c>
      <c r="K28" s="133">
        <v>50.9118880895888</v>
      </c>
    </row>
    <row r="29" spans="1:11" x14ac:dyDescent="0.3">
      <c r="A29" s="6">
        <v>18</v>
      </c>
      <c r="B29" s="133">
        <v>89.334191801987316</v>
      </c>
      <c r="C29" s="133">
        <v>71.005948521554785</v>
      </c>
      <c r="D29" s="133">
        <v>84.334191801987316</v>
      </c>
      <c r="E29" s="133">
        <v>66.005948521554785</v>
      </c>
      <c r="F29" s="133">
        <v>79.334191801987316</v>
      </c>
      <c r="G29" s="133">
        <v>61.005948521554785</v>
      </c>
      <c r="H29" s="133">
        <v>74.334191801987316</v>
      </c>
      <c r="I29" s="133">
        <v>56.005948521554785</v>
      </c>
      <c r="J29" s="133">
        <v>69.334191801987316</v>
      </c>
      <c r="K29" s="133">
        <v>51.005948521554785</v>
      </c>
    </row>
    <row r="30" spans="1:11" x14ac:dyDescent="0.3">
      <c r="A30" s="6">
        <v>19</v>
      </c>
      <c r="B30" s="133">
        <v>89.587749088678066</v>
      </c>
      <c r="C30" s="133">
        <v>78.236922188592587</v>
      </c>
      <c r="D30" s="133">
        <v>84.587749088678066</v>
      </c>
      <c r="E30" s="133">
        <v>73.236922188592587</v>
      </c>
      <c r="F30" s="133">
        <v>79.587749088678066</v>
      </c>
      <c r="G30" s="133">
        <v>68.236922188592587</v>
      </c>
      <c r="H30" s="133">
        <v>74.587749088678066</v>
      </c>
      <c r="I30" s="133">
        <v>63.236922188592587</v>
      </c>
      <c r="J30" s="133">
        <v>69.587749088678066</v>
      </c>
      <c r="K30" s="133">
        <v>58.236922188592587</v>
      </c>
    </row>
    <row r="31" spans="1:11" x14ac:dyDescent="0.3">
      <c r="A31" s="6">
        <v>20</v>
      </c>
      <c r="B31" s="133">
        <v>82.676049883709595</v>
      </c>
      <c r="C31" s="133">
        <v>61.645894988643064</v>
      </c>
      <c r="D31" s="133">
        <v>77.676049883709595</v>
      </c>
      <c r="E31" s="133">
        <v>56.645894988643064</v>
      </c>
      <c r="F31" s="133">
        <v>72.676049883709595</v>
      </c>
      <c r="G31" s="133">
        <v>51.645894988643064</v>
      </c>
      <c r="H31" s="133">
        <v>67.676049883709595</v>
      </c>
      <c r="I31" s="133">
        <v>46.645894988643064</v>
      </c>
      <c r="J31" s="133">
        <v>62.676049883709595</v>
      </c>
      <c r="K31" s="133">
        <v>41.645894988643064</v>
      </c>
    </row>
    <row r="32" spans="1:11" x14ac:dyDescent="0.3">
      <c r="A32" s="6">
        <v>21</v>
      </c>
      <c r="B32" s="133">
        <v>96.680823445952669</v>
      </c>
      <c r="C32" s="133">
        <v>58.245037722123278</v>
      </c>
      <c r="D32" s="133">
        <v>91.680823445952669</v>
      </c>
      <c r="E32" s="133">
        <v>53.245037722123278</v>
      </c>
      <c r="F32" s="133">
        <v>86.680823445952669</v>
      </c>
      <c r="G32" s="133">
        <v>48.245037722123278</v>
      </c>
      <c r="H32" s="133">
        <v>81.680823445952669</v>
      </c>
      <c r="I32" s="133">
        <v>43.245037722123278</v>
      </c>
      <c r="J32" s="133">
        <v>76.680823445952669</v>
      </c>
      <c r="K32" s="133">
        <v>38.245037722123278</v>
      </c>
    </row>
    <row r="33" spans="1:11" x14ac:dyDescent="0.3">
      <c r="A33" s="6">
        <v>22</v>
      </c>
      <c r="B33" s="133">
        <v>76.207310264225356</v>
      </c>
      <c r="C33" s="133">
        <v>50.41721365611788</v>
      </c>
      <c r="D33" s="133">
        <v>71.207310264225356</v>
      </c>
      <c r="E33" s="133">
        <v>45.41721365611788</v>
      </c>
      <c r="F33" s="133">
        <v>66.207310264225356</v>
      </c>
      <c r="G33" s="133">
        <v>40.41721365611788</v>
      </c>
      <c r="H33" s="133">
        <v>61.207310264225356</v>
      </c>
      <c r="I33" s="133">
        <v>35.41721365611788</v>
      </c>
      <c r="J33" s="133">
        <v>56.207310264225356</v>
      </c>
      <c r="K33" s="133">
        <v>30.41721365611788</v>
      </c>
    </row>
    <row r="34" spans="1:11" x14ac:dyDescent="0.3">
      <c r="A34" s="6">
        <v>23</v>
      </c>
      <c r="B34" s="133">
        <v>74.390697385797282</v>
      </c>
      <c r="C34" s="133">
        <v>71.01049954259058</v>
      </c>
      <c r="D34" s="133">
        <v>69.390697385797282</v>
      </c>
      <c r="E34" s="133">
        <v>66.01049954259058</v>
      </c>
      <c r="F34" s="133">
        <v>64.390697385797282</v>
      </c>
      <c r="G34" s="133">
        <v>61.01049954259058</v>
      </c>
      <c r="H34" s="133">
        <v>59.390697385797282</v>
      </c>
      <c r="I34" s="133">
        <v>56.01049954259058</v>
      </c>
      <c r="J34" s="133">
        <v>54.390697385797282</v>
      </c>
      <c r="K34" s="133">
        <v>51.01049954259058</v>
      </c>
    </row>
    <row r="35" spans="1:11" x14ac:dyDescent="0.3">
      <c r="A35" s="6">
        <v>24</v>
      </c>
      <c r="B35" s="133">
        <v>96.981079222320162</v>
      </c>
      <c r="C35" s="133">
        <v>72.156390714252197</v>
      </c>
      <c r="D35" s="133">
        <v>91.981079222320162</v>
      </c>
      <c r="E35" s="133">
        <v>67.156390714252197</v>
      </c>
      <c r="F35" s="133">
        <v>86.981079222320162</v>
      </c>
      <c r="G35" s="133">
        <v>62.156390714252197</v>
      </c>
      <c r="H35" s="133">
        <v>81.981079222320162</v>
      </c>
      <c r="I35" s="133">
        <v>57.156390714252197</v>
      </c>
      <c r="J35" s="133">
        <v>76.981079222320162</v>
      </c>
      <c r="K35" s="133">
        <v>52.156390714252197</v>
      </c>
    </row>
    <row r="36" spans="1:11" x14ac:dyDescent="0.3">
      <c r="A36" s="6">
        <v>25</v>
      </c>
      <c r="B36" s="133">
        <v>91.155698037325607</v>
      </c>
      <c r="C36" s="133">
        <v>70.305084918483928</v>
      </c>
      <c r="D36" s="133">
        <v>86.155698037325607</v>
      </c>
      <c r="E36" s="133">
        <v>65.305084918483928</v>
      </c>
      <c r="F36" s="133">
        <v>81.155698037325607</v>
      </c>
      <c r="G36" s="133">
        <v>60.305084918483928</v>
      </c>
      <c r="H36" s="133">
        <v>76.155698037325607</v>
      </c>
      <c r="I36" s="133">
        <v>55.305084918483928</v>
      </c>
      <c r="J36" s="133">
        <v>71.155698037325607</v>
      </c>
      <c r="K36" s="133">
        <v>50.305084918483928</v>
      </c>
    </row>
    <row r="37" spans="1:11" x14ac:dyDescent="0.3">
      <c r="A37" s="6">
        <v>26</v>
      </c>
      <c r="B37" s="133">
        <v>82.7071938212205</v>
      </c>
      <c r="C37" s="133">
        <v>74.3434330418185</v>
      </c>
      <c r="D37" s="133">
        <v>77.7071938212205</v>
      </c>
      <c r="E37" s="133">
        <v>69.3434330418185</v>
      </c>
      <c r="F37" s="133">
        <v>72.7071938212205</v>
      </c>
      <c r="G37" s="133">
        <v>64.3434330418185</v>
      </c>
      <c r="H37" s="133">
        <v>67.7071938212205</v>
      </c>
      <c r="I37" s="133">
        <v>59.3434330418185</v>
      </c>
      <c r="J37" s="133">
        <v>62.7071938212205</v>
      </c>
      <c r="K37" s="133">
        <v>54.3434330418185</v>
      </c>
    </row>
    <row r="38" spans="1:11" x14ac:dyDescent="0.3">
      <c r="A38" s="6">
        <v>27</v>
      </c>
      <c r="B38" s="133">
        <v>120.40521135044951</v>
      </c>
      <c r="C38" s="133">
        <v>86.3140451340455</v>
      </c>
      <c r="D38" s="133">
        <v>115.40521135044951</v>
      </c>
      <c r="E38" s="133">
        <v>81.3140451340455</v>
      </c>
      <c r="F38" s="133">
        <v>110.40521135044951</v>
      </c>
      <c r="G38" s="133">
        <v>76.3140451340455</v>
      </c>
      <c r="H38" s="133">
        <v>105.40521135044951</v>
      </c>
      <c r="I38" s="133">
        <v>71.3140451340455</v>
      </c>
      <c r="J38" s="133">
        <v>100.40521135044951</v>
      </c>
      <c r="K38" s="133">
        <v>66.3140451340455</v>
      </c>
    </row>
    <row r="39" spans="1:11" x14ac:dyDescent="0.3">
      <c r="A39" s="6">
        <v>28</v>
      </c>
      <c r="B39" s="133">
        <v>103.90857714695693</v>
      </c>
      <c r="C39" s="133">
        <v>95.652212224158916</v>
      </c>
      <c r="D39" s="133">
        <v>98.908577146956929</v>
      </c>
      <c r="E39" s="133">
        <v>90.652212224158916</v>
      </c>
      <c r="F39" s="133">
        <v>93.908577146956929</v>
      </c>
      <c r="G39" s="133">
        <v>85.652212224158916</v>
      </c>
      <c r="H39" s="133">
        <v>88.908577146956929</v>
      </c>
      <c r="I39" s="133">
        <v>80.652212224158916</v>
      </c>
      <c r="J39" s="133">
        <v>83.908577146956929</v>
      </c>
      <c r="K39" s="133">
        <v>75.652212224158916</v>
      </c>
    </row>
    <row r="40" spans="1:11" x14ac:dyDescent="0.3">
      <c r="A40" s="6">
        <v>29</v>
      </c>
      <c r="B40" s="133">
        <v>105.72212844402529</v>
      </c>
      <c r="C40" s="133">
        <v>69.70997455253206</v>
      </c>
      <c r="D40" s="133">
        <v>100.72212844402529</v>
      </c>
      <c r="E40" s="133">
        <v>64.70997455253206</v>
      </c>
      <c r="F40" s="133">
        <v>95.722128444025287</v>
      </c>
      <c r="G40" s="133">
        <v>59.70997455253206</v>
      </c>
      <c r="H40" s="133">
        <v>90.722128444025287</v>
      </c>
      <c r="I40" s="133">
        <v>54.70997455253206</v>
      </c>
      <c r="J40" s="133">
        <v>85.722128444025287</v>
      </c>
      <c r="K40" s="133">
        <v>49.70997455253206</v>
      </c>
    </row>
    <row r="41" spans="1:11" x14ac:dyDescent="0.3">
      <c r="A41" s="6">
        <v>30</v>
      </c>
      <c r="B41" s="133">
        <v>100.9799423549655</v>
      </c>
      <c r="C41" s="133">
        <v>64.818440787900499</v>
      </c>
      <c r="D41" s="133">
        <v>95.979942354965502</v>
      </c>
      <c r="E41" s="133">
        <v>59.818440787900499</v>
      </c>
      <c r="F41" s="133">
        <v>90.979942354965502</v>
      </c>
      <c r="G41" s="133">
        <v>54.818440787900499</v>
      </c>
      <c r="H41" s="133">
        <v>85.979942354965502</v>
      </c>
      <c r="I41" s="133">
        <v>49.818440787900499</v>
      </c>
      <c r="J41" s="133">
        <v>80.979942354965502</v>
      </c>
      <c r="K41" s="133">
        <v>44.818440787900499</v>
      </c>
    </row>
    <row r="42" spans="1:11" x14ac:dyDescent="0.3">
      <c r="A42" s="6">
        <v>31</v>
      </c>
      <c r="B42" s="133">
        <v>98.936184754432517</v>
      </c>
      <c r="C42" s="133">
        <v>91.796160180900571</v>
      </c>
      <c r="D42" s="133">
        <v>93.936184754432517</v>
      </c>
      <c r="E42" s="133">
        <v>86.796160180900571</v>
      </c>
      <c r="F42" s="133">
        <v>88.936184754432517</v>
      </c>
      <c r="G42" s="133">
        <v>81.796160180900571</v>
      </c>
      <c r="H42" s="133">
        <v>83.936184754432517</v>
      </c>
      <c r="I42" s="133">
        <v>76.796160180900571</v>
      </c>
      <c r="J42" s="133">
        <v>78.936184754432517</v>
      </c>
      <c r="K42" s="133">
        <v>71.796160180900571</v>
      </c>
    </row>
    <row r="43" spans="1:11" x14ac:dyDescent="0.3">
      <c r="A43" s="6">
        <v>32</v>
      </c>
      <c r="B43" s="133">
        <v>95.967393513583374</v>
      </c>
      <c r="C43" s="133">
        <v>60.120887498294195</v>
      </c>
      <c r="D43" s="133">
        <v>90.967393513583374</v>
      </c>
      <c r="E43" s="133">
        <v>55.120887498294195</v>
      </c>
      <c r="F43" s="133">
        <v>85.967393513583374</v>
      </c>
      <c r="G43" s="133">
        <v>50.120887498294195</v>
      </c>
      <c r="H43" s="133">
        <v>80.967393513583374</v>
      </c>
      <c r="I43" s="133">
        <v>45.120887498294195</v>
      </c>
      <c r="J43" s="133">
        <v>75.967393513583374</v>
      </c>
      <c r="K43" s="133">
        <v>40.120887498294195</v>
      </c>
    </row>
    <row r="44" spans="1:11" x14ac:dyDescent="0.3">
      <c r="A44" s="6">
        <v>33</v>
      </c>
      <c r="B44" s="133">
        <v>91.992913524322219</v>
      </c>
      <c r="C44" s="133">
        <v>91.680256105587034</v>
      </c>
      <c r="D44" s="133">
        <v>86.992913524322219</v>
      </c>
      <c r="E44" s="133">
        <v>86.680256105587034</v>
      </c>
      <c r="F44" s="133">
        <v>81.992913524322219</v>
      </c>
      <c r="G44" s="133">
        <v>81.680256105587034</v>
      </c>
      <c r="H44" s="133">
        <v>76.992913524322219</v>
      </c>
      <c r="I44" s="133">
        <v>76.680256105587034</v>
      </c>
      <c r="J44" s="133">
        <v>71.992913524322219</v>
      </c>
      <c r="K44" s="133">
        <v>71.680256105587034</v>
      </c>
    </row>
    <row r="45" spans="1:11" x14ac:dyDescent="0.3">
      <c r="A45" s="6">
        <v>34</v>
      </c>
      <c r="B45" s="133">
        <v>86.687124671133716</v>
      </c>
      <c r="C45" s="133">
        <v>63.127365695770138</v>
      </c>
      <c r="D45" s="133">
        <v>81.687124671133716</v>
      </c>
      <c r="E45" s="133">
        <v>58.127365695770138</v>
      </c>
      <c r="F45" s="133">
        <v>76.687124671133716</v>
      </c>
      <c r="G45" s="133">
        <v>53.127365695770138</v>
      </c>
      <c r="H45" s="133">
        <v>71.687124671133716</v>
      </c>
      <c r="I45" s="133">
        <v>48.127365695770138</v>
      </c>
      <c r="J45" s="133">
        <v>66.687124671133716</v>
      </c>
      <c r="K45" s="133">
        <v>43.127365695770138</v>
      </c>
    </row>
    <row r="46" spans="1:11" x14ac:dyDescent="0.3">
      <c r="A46" s="6">
        <v>35</v>
      </c>
      <c r="B46" s="133">
        <v>83.592980945112132</v>
      </c>
      <c r="C46" s="133">
        <v>67.424274717969382</v>
      </c>
      <c r="D46" s="133">
        <v>78.592980945112132</v>
      </c>
      <c r="E46" s="133">
        <v>62.424274717969382</v>
      </c>
      <c r="F46" s="133">
        <v>73.592980945112132</v>
      </c>
      <c r="G46" s="133">
        <v>57.424274717969382</v>
      </c>
      <c r="H46" s="133">
        <v>68.592980945112132</v>
      </c>
      <c r="I46" s="133">
        <v>52.424274717969382</v>
      </c>
      <c r="J46" s="133">
        <v>63.592980945112132</v>
      </c>
      <c r="K46" s="133">
        <v>47.424274717969382</v>
      </c>
    </row>
    <row r="47" spans="1:11" x14ac:dyDescent="0.3">
      <c r="A47" s="6">
        <v>36</v>
      </c>
      <c r="B47" s="133">
        <v>86.783364793129394</v>
      </c>
      <c r="C47" s="133">
        <v>71.735035035164771</v>
      </c>
      <c r="D47" s="133">
        <v>81.783364793129394</v>
      </c>
      <c r="E47" s="133">
        <v>66.735035035164771</v>
      </c>
      <c r="F47" s="133">
        <v>76.783364793129394</v>
      </c>
      <c r="G47" s="133">
        <v>61.735035035164771</v>
      </c>
      <c r="H47" s="133">
        <v>71.783364793129394</v>
      </c>
      <c r="I47" s="133">
        <v>56.735035035164771</v>
      </c>
      <c r="J47" s="133">
        <v>66.783364793129394</v>
      </c>
      <c r="K47" s="133">
        <v>51.735035035164771</v>
      </c>
    </row>
    <row r="48" spans="1:11" x14ac:dyDescent="0.3">
      <c r="A48" s="6">
        <v>37</v>
      </c>
      <c r="B48" s="133">
        <v>105.39760876179174</v>
      </c>
      <c r="C48" s="133">
        <v>57.596101543574449</v>
      </c>
      <c r="D48" s="133">
        <v>100.39760876179174</v>
      </c>
      <c r="E48" s="133">
        <v>52.596101543574449</v>
      </c>
      <c r="F48" s="133">
        <v>95.397608761791744</v>
      </c>
      <c r="G48" s="133">
        <v>47.596101543574449</v>
      </c>
      <c r="H48" s="133">
        <v>90.397608761791744</v>
      </c>
      <c r="I48" s="133">
        <v>42.596101543574449</v>
      </c>
      <c r="J48" s="133">
        <v>85.397608761791744</v>
      </c>
      <c r="K48" s="133">
        <v>37.596101543574449</v>
      </c>
    </row>
    <row r="49" spans="1:11" x14ac:dyDescent="0.3">
      <c r="A49" s="6">
        <v>38</v>
      </c>
      <c r="B49" s="133">
        <v>97.629062914325871</v>
      </c>
      <c r="C49" s="133">
        <v>81.85822782399876</v>
      </c>
      <c r="D49" s="133">
        <v>92.629062914325871</v>
      </c>
      <c r="E49" s="133">
        <v>76.85822782399876</v>
      </c>
      <c r="F49" s="133">
        <v>87.629062914325871</v>
      </c>
      <c r="G49" s="133">
        <v>71.85822782399876</v>
      </c>
      <c r="H49" s="133">
        <v>82.629062914325871</v>
      </c>
      <c r="I49" s="133">
        <v>66.85822782399876</v>
      </c>
      <c r="J49" s="133">
        <v>77.629062914325871</v>
      </c>
      <c r="K49" s="133">
        <v>61.85822782399876</v>
      </c>
    </row>
    <row r="50" spans="1:11" x14ac:dyDescent="0.3">
      <c r="A50" s="6">
        <v>39</v>
      </c>
      <c r="B50" s="133">
        <v>102.49861814887701</v>
      </c>
      <c r="C50" s="133">
        <v>61.803536034853323</v>
      </c>
      <c r="D50" s="133">
        <v>97.498618148877014</v>
      </c>
      <c r="E50" s="133">
        <v>56.803536034853323</v>
      </c>
      <c r="F50" s="133">
        <v>92.498618148877014</v>
      </c>
      <c r="G50" s="133">
        <v>51.803536034853323</v>
      </c>
      <c r="H50" s="133">
        <v>87.498618148877014</v>
      </c>
      <c r="I50" s="133">
        <v>46.803536034853323</v>
      </c>
      <c r="J50" s="133">
        <v>82.498618148877014</v>
      </c>
      <c r="K50" s="133">
        <v>41.803536034853323</v>
      </c>
    </row>
    <row r="51" spans="1:11" x14ac:dyDescent="0.3">
      <c r="A51" s="6">
        <v>40</v>
      </c>
      <c r="B51" s="133">
        <v>98.348018854615859</v>
      </c>
      <c r="C51" s="133">
        <v>74.227591270398165</v>
      </c>
      <c r="D51" s="133">
        <v>93.348018854615859</v>
      </c>
      <c r="E51" s="133">
        <v>69.227591270398165</v>
      </c>
      <c r="F51" s="133">
        <v>88.348018854615859</v>
      </c>
      <c r="G51" s="133">
        <v>64.227591270398165</v>
      </c>
      <c r="H51" s="133">
        <v>83.348018854615859</v>
      </c>
      <c r="I51" s="133">
        <v>59.227591270398165</v>
      </c>
      <c r="J51" s="133">
        <v>78.348018854615859</v>
      </c>
      <c r="K51" s="133">
        <v>54.227591270398165</v>
      </c>
    </row>
    <row r="52" spans="1:11" x14ac:dyDescent="0.3">
      <c r="A52" s="6">
        <v>41</v>
      </c>
      <c r="B52" s="133">
        <v>93.801001436857888</v>
      </c>
      <c r="C52" s="133">
        <v>60.686345222028336</v>
      </c>
      <c r="D52" s="133">
        <v>88.801001436857888</v>
      </c>
      <c r="E52" s="133">
        <v>55.686345222028336</v>
      </c>
      <c r="F52" s="133">
        <v>83.801001436857888</v>
      </c>
      <c r="G52" s="133">
        <v>50.686345222028336</v>
      </c>
      <c r="H52" s="133">
        <v>78.801001436857888</v>
      </c>
      <c r="I52" s="133">
        <v>45.686345222028336</v>
      </c>
      <c r="J52" s="133">
        <v>73.801001436857888</v>
      </c>
      <c r="K52" s="133">
        <v>40.686345222028336</v>
      </c>
    </row>
    <row r="53" spans="1:11" x14ac:dyDescent="0.3">
      <c r="A53" s="6">
        <v>42</v>
      </c>
      <c r="B53" s="133">
        <v>86.935583122848456</v>
      </c>
      <c r="C53" s="133">
        <v>76.343632821432621</v>
      </c>
      <c r="D53" s="133">
        <v>81.935583122848456</v>
      </c>
      <c r="E53" s="133">
        <v>71.343632821432621</v>
      </c>
      <c r="F53" s="133">
        <v>76.935583122848456</v>
      </c>
      <c r="G53" s="133">
        <v>66.343632821432621</v>
      </c>
      <c r="H53" s="133">
        <v>71.935583122848456</v>
      </c>
      <c r="I53" s="133">
        <v>61.343632821432621</v>
      </c>
      <c r="J53" s="133">
        <v>66.935583122848456</v>
      </c>
      <c r="K53" s="133">
        <v>56.343632821432621</v>
      </c>
    </row>
    <row r="54" spans="1:11" x14ac:dyDescent="0.3">
      <c r="A54" s="6">
        <v>43</v>
      </c>
      <c r="B54" s="133">
        <v>104.51327678848615</v>
      </c>
      <c r="C54" s="133">
        <v>67.204741265090547</v>
      </c>
      <c r="D54" s="133">
        <v>99.513276788486152</v>
      </c>
      <c r="E54" s="133">
        <v>62.204741265090547</v>
      </c>
      <c r="F54" s="133">
        <v>94.513276788486152</v>
      </c>
      <c r="G54" s="133">
        <v>57.204741265090547</v>
      </c>
      <c r="H54" s="133">
        <v>89.513276788486152</v>
      </c>
      <c r="I54" s="133">
        <v>52.204741265090547</v>
      </c>
      <c r="J54" s="133">
        <v>84.513276788486152</v>
      </c>
      <c r="K54" s="133">
        <v>47.204741265090547</v>
      </c>
    </row>
    <row r="55" spans="1:11" x14ac:dyDescent="0.3">
      <c r="A55" s="6">
        <v>44</v>
      </c>
      <c r="B55" s="133">
        <v>102.34815258444611</v>
      </c>
      <c r="C55" s="133">
        <v>104.09180726874891</v>
      </c>
      <c r="D55" s="133">
        <v>97.348152584446112</v>
      </c>
      <c r="E55" s="133">
        <v>99.091807268748909</v>
      </c>
      <c r="F55" s="133">
        <v>92.348152584446112</v>
      </c>
      <c r="G55" s="133">
        <v>94.091807268748909</v>
      </c>
      <c r="H55" s="133">
        <v>87.348152584446112</v>
      </c>
      <c r="I55" s="133">
        <v>89.091807268748909</v>
      </c>
      <c r="J55" s="133">
        <v>82.348152584446112</v>
      </c>
      <c r="K55" s="133">
        <v>84.091807268748909</v>
      </c>
    </row>
    <row r="56" spans="1:11" x14ac:dyDescent="0.3">
      <c r="A56" s="6">
        <v>45</v>
      </c>
      <c r="B56" s="133">
        <v>95.261704577572132</v>
      </c>
      <c r="C56" s="133">
        <v>70.394265996983492</v>
      </c>
      <c r="D56" s="133">
        <v>90.261704577572132</v>
      </c>
      <c r="E56" s="133">
        <v>65.394265996983492</v>
      </c>
      <c r="F56" s="133">
        <v>85.261704577572132</v>
      </c>
      <c r="G56" s="133">
        <v>60.394265996983492</v>
      </c>
      <c r="H56" s="133">
        <v>80.261704577572132</v>
      </c>
      <c r="I56" s="133">
        <v>55.394265996983492</v>
      </c>
      <c r="J56" s="133">
        <v>75.261704577572132</v>
      </c>
      <c r="K56" s="133">
        <v>50.394265996983492</v>
      </c>
    </row>
    <row r="57" spans="1:11" x14ac:dyDescent="0.3">
      <c r="A57" s="6">
        <v>46</v>
      </c>
      <c r="B57" s="133">
        <v>95.343073210450171</v>
      </c>
      <c r="C57" s="133">
        <v>92.429912580387622</v>
      </c>
      <c r="D57" s="133">
        <v>90.343073210450171</v>
      </c>
      <c r="E57" s="133">
        <v>87.429912580387622</v>
      </c>
      <c r="F57" s="133">
        <v>85.343073210450171</v>
      </c>
      <c r="G57" s="133">
        <v>82.429912580387622</v>
      </c>
      <c r="H57" s="133">
        <v>80.343073210450171</v>
      </c>
      <c r="I57" s="133">
        <v>77.429912580387622</v>
      </c>
      <c r="J57" s="133">
        <v>75.343073210450171</v>
      </c>
      <c r="K57" s="133">
        <v>72.429912580387622</v>
      </c>
    </row>
    <row r="58" spans="1:11" x14ac:dyDescent="0.3">
      <c r="A58" s="6">
        <v>47</v>
      </c>
      <c r="B58" s="133">
        <v>96.801443229581878</v>
      </c>
      <c r="C58" s="133">
        <v>66.91580046571778</v>
      </c>
      <c r="D58" s="133">
        <v>91.801443229581878</v>
      </c>
      <c r="E58" s="133">
        <v>61.91580046571778</v>
      </c>
      <c r="F58" s="133">
        <v>86.801443229581878</v>
      </c>
      <c r="G58" s="133">
        <v>56.91580046571778</v>
      </c>
      <c r="H58" s="133">
        <v>81.801443229581878</v>
      </c>
      <c r="I58" s="133">
        <v>51.91580046571778</v>
      </c>
      <c r="J58" s="133">
        <v>76.801443229581878</v>
      </c>
      <c r="K58" s="133">
        <v>46.91580046571778</v>
      </c>
    </row>
    <row r="59" spans="1:11" x14ac:dyDescent="0.3">
      <c r="A59" s="6">
        <v>48</v>
      </c>
      <c r="B59" s="133">
        <v>94.626291992216395</v>
      </c>
      <c r="C59" s="133">
        <v>83.415743549851101</v>
      </c>
      <c r="D59" s="133">
        <v>89.626291992216395</v>
      </c>
      <c r="E59" s="133">
        <v>78.415743549851101</v>
      </c>
      <c r="F59" s="133">
        <v>84.626291992216395</v>
      </c>
      <c r="G59" s="133">
        <v>73.415743549851101</v>
      </c>
      <c r="H59" s="133">
        <v>79.626291992216395</v>
      </c>
      <c r="I59" s="133">
        <v>68.415743549851101</v>
      </c>
      <c r="J59" s="133">
        <v>74.626291992216395</v>
      </c>
      <c r="K59" s="133">
        <v>63.415743549851101</v>
      </c>
    </row>
    <row r="60" spans="1:11" x14ac:dyDescent="0.3">
      <c r="A60" s="6">
        <v>49</v>
      </c>
      <c r="B60" s="133">
        <v>86.229128972432534</v>
      </c>
      <c r="C60" s="133">
        <v>78.185647313675645</v>
      </c>
      <c r="D60" s="133">
        <v>81.229128972432534</v>
      </c>
      <c r="E60" s="133">
        <v>73.185647313675645</v>
      </c>
      <c r="F60" s="133">
        <v>76.229128972432534</v>
      </c>
      <c r="G60" s="133">
        <v>68.185647313675645</v>
      </c>
      <c r="H60" s="133">
        <v>71.229128972432534</v>
      </c>
      <c r="I60" s="133">
        <v>63.185647313675645</v>
      </c>
      <c r="J60" s="133">
        <v>66.229128972432534</v>
      </c>
      <c r="K60" s="133">
        <v>58.185647313675645</v>
      </c>
    </row>
    <row r="61" spans="1:11" x14ac:dyDescent="0.3">
      <c r="A61" s="6">
        <v>50</v>
      </c>
      <c r="B61" s="133">
        <v>96.748711105720005</v>
      </c>
      <c r="C61" s="133">
        <v>72.532064374062514</v>
      </c>
      <c r="D61" s="133">
        <v>91.748711105720005</v>
      </c>
      <c r="E61" s="133">
        <v>67.532064374062514</v>
      </c>
      <c r="F61" s="133">
        <v>86.748711105720005</v>
      </c>
      <c r="G61" s="133">
        <v>62.532064374062514</v>
      </c>
      <c r="H61" s="133">
        <v>81.748711105720005</v>
      </c>
      <c r="I61" s="133">
        <v>57.532064374062514</v>
      </c>
      <c r="J61" s="133">
        <v>76.748711105720005</v>
      </c>
      <c r="K61" s="133">
        <v>52.532064374062514</v>
      </c>
    </row>
  </sheetData>
  <hyperlinks>
    <hyperlink ref="AA1" location="Menu!A1" display="Return to menu" xr:uid="{00000000-0004-0000-0E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dimension ref="A1:K67"/>
  <sheetViews>
    <sheetView zoomScale="90" workbookViewId="0">
      <selection activeCell="K1" sqref="K1"/>
    </sheetView>
  </sheetViews>
  <sheetFormatPr defaultColWidth="8.88671875" defaultRowHeight="13.2" x14ac:dyDescent="0.25"/>
  <cols>
    <col min="1" max="1" width="11.88671875" style="13" customWidth="1"/>
    <col min="2" max="2" width="10" style="13" customWidth="1"/>
    <col min="3" max="3" width="8" style="13" bestFit="1" customWidth="1"/>
    <col min="4" max="4" width="8" style="13" customWidth="1"/>
    <col min="5" max="5" width="9.44140625" style="13" bestFit="1" customWidth="1"/>
    <col min="6" max="6" width="6.6640625" style="13" customWidth="1"/>
    <col min="7" max="7" width="7.44140625" style="13" customWidth="1"/>
    <col min="8" max="8" width="5.6640625" style="13" customWidth="1"/>
    <col min="9" max="10" width="8.88671875" style="13"/>
    <col min="11" max="11" width="20.6640625" style="13" bestFit="1" customWidth="1"/>
    <col min="12" max="16384" width="8.88671875" style="13"/>
  </cols>
  <sheetData>
    <row r="1" spans="1:11" ht="21" x14ac:dyDescent="0.4">
      <c r="A1" s="1110" t="s">
        <v>207</v>
      </c>
      <c r="B1" s="1110"/>
      <c r="C1" s="1110"/>
      <c r="D1" s="1110"/>
      <c r="K1" s="7" t="s">
        <v>19</v>
      </c>
    </row>
    <row r="2" spans="1:11" x14ac:dyDescent="0.25">
      <c r="A2" s="277" t="s">
        <v>208</v>
      </c>
    </row>
    <row r="3" spans="1:11" x14ac:dyDescent="0.25">
      <c r="A3" s="139" t="s">
        <v>209</v>
      </c>
    </row>
    <row r="4" spans="1:11" ht="13.8" thickBot="1" x14ac:dyDescent="0.3"/>
    <row r="5" spans="1:11" x14ac:dyDescent="0.25">
      <c r="A5" s="284" t="s">
        <v>210</v>
      </c>
      <c r="B5" s="285"/>
      <c r="C5" s="1111">
        <f>SUMIF(B10:B59,"&gt;-99999",B10:B59)/COUNTIF(B10:B59,"&gt;-99999")</f>
        <v>6.125</v>
      </c>
      <c r="D5" s="1112"/>
    </row>
    <row r="6" spans="1:11" ht="13.8" hidden="1" thickBot="1" x14ac:dyDescent="0.3">
      <c r="A6" s="286" t="s">
        <v>211</v>
      </c>
      <c r="B6" s="287"/>
      <c r="C6" s="1113">
        <f>SQRT(C5)</f>
        <v>2.4748737341529163</v>
      </c>
      <c r="D6" s="1114"/>
    </row>
    <row r="7" spans="1:11" ht="15.6" x14ac:dyDescent="0.3">
      <c r="E7" s="143"/>
      <c r="F7" s="143"/>
      <c r="G7" s="143"/>
      <c r="J7" s="137" t="s">
        <v>363</v>
      </c>
    </row>
    <row r="8" spans="1:11" x14ac:dyDescent="0.25">
      <c r="B8" s="143" t="s">
        <v>212</v>
      </c>
      <c r="C8" s="143"/>
      <c r="D8" s="143"/>
      <c r="E8" s="143"/>
    </row>
    <row r="9" spans="1:11" x14ac:dyDescent="0.25">
      <c r="A9" s="143" t="s">
        <v>213</v>
      </c>
      <c r="B9" s="143" t="s">
        <v>214</v>
      </c>
      <c r="C9" s="143" t="s">
        <v>215</v>
      </c>
      <c r="D9" s="143" t="s">
        <v>216</v>
      </c>
      <c r="E9" s="143" t="s">
        <v>217</v>
      </c>
    </row>
    <row r="10" spans="1:11" x14ac:dyDescent="0.25">
      <c r="A10" s="13">
        <v>1</v>
      </c>
      <c r="B10" s="288">
        <v>3</v>
      </c>
      <c r="C10" s="13">
        <f>IF(B10&lt;&gt;"",MAX(0,$C$5-3*($C$6)),NA())</f>
        <v>0</v>
      </c>
      <c r="D10" s="13">
        <f>IF(B10&lt;&gt;"",$C$5,NA())</f>
        <v>6.125</v>
      </c>
      <c r="E10" s="13">
        <f>IF(B10&lt;&gt;"",$C$5+3*$C$6,NA())</f>
        <v>13.549621202458749</v>
      </c>
    </row>
    <row r="11" spans="1:11" x14ac:dyDescent="0.25">
      <c r="A11" s="13">
        <v>2</v>
      </c>
      <c r="B11" s="288">
        <v>4</v>
      </c>
      <c r="C11" s="13">
        <f t="shared" ref="C11:C59" si="0">IF(B11&lt;&gt;"",MAX(0,$C$5-3*($C$6)),NA())</f>
        <v>0</v>
      </c>
      <c r="D11" s="13">
        <f t="shared" ref="D11:D59" si="1">IF(B11&lt;&gt;"",$C$5,NA())</f>
        <v>6.125</v>
      </c>
      <c r="E11" s="13">
        <f t="shared" ref="E11:E59" si="2">IF(B11&lt;&gt;"",$C$5+3*$C$6,NA())</f>
        <v>13.549621202458749</v>
      </c>
    </row>
    <row r="12" spans="1:11" x14ac:dyDescent="0.25">
      <c r="A12" s="13">
        <v>3</v>
      </c>
      <c r="B12" s="288">
        <v>5</v>
      </c>
      <c r="C12" s="13">
        <f t="shared" si="0"/>
        <v>0</v>
      </c>
      <c r="D12" s="13">
        <f t="shared" si="1"/>
        <v>6.125</v>
      </c>
      <c r="E12" s="13">
        <f t="shared" si="2"/>
        <v>13.549621202458749</v>
      </c>
    </row>
    <row r="13" spans="1:11" x14ac:dyDescent="0.25">
      <c r="A13" s="13">
        <v>4</v>
      </c>
      <c r="B13" s="288">
        <v>6</v>
      </c>
      <c r="C13" s="13">
        <f t="shared" si="0"/>
        <v>0</v>
      </c>
      <c r="D13" s="13">
        <f t="shared" si="1"/>
        <v>6.125</v>
      </c>
      <c r="E13" s="13">
        <f t="shared" si="2"/>
        <v>13.549621202458749</v>
      </c>
    </row>
    <row r="14" spans="1:11" x14ac:dyDescent="0.25">
      <c r="A14" s="13">
        <v>5</v>
      </c>
      <c r="B14" s="288">
        <v>8</v>
      </c>
      <c r="C14" s="13">
        <f t="shared" si="0"/>
        <v>0</v>
      </c>
      <c r="D14" s="13">
        <f t="shared" si="1"/>
        <v>6.125</v>
      </c>
      <c r="E14" s="13">
        <f t="shared" si="2"/>
        <v>13.549621202458749</v>
      </c>
    </row>
    <row r="15" spans="1:11" x14ac:dyDescent="0.25">
      <c r="A15" s="13">
        <v>6</v>
      </c>
      <c r="B15" s="288">
        <v>12</v>
      </c>
      <c r="C15" s="13">
        <f t="shared" si="0"/>
        <v>0</v>
      </c>
      <c r="D15" s="13">
        <f t="shared" si="1"/>
        <v>6.125</v>
      </c>
      <c r="E15" s="13">
        <f t="shared" si="2"/>
        <v>13.549621202458749</v>
      </c>
    </row>
    <row r="16" spans="1:11" x14ac:dyDescent="0.25">
      <c r="A16" s="13">
        <v>7</v>
      </c>
      <c r="B16" s="288">
        <v>5</v>
      </c>
      <c r="C16" s="13">
        <f t="shared" si="0"/>
        <v>0</v>
      </c>
      <c r="D16" s="13">
        <f t="shared" si="1"/>
        <v>6.125</v>
      </c>
      <c r="E16" s="13">
        <f t="shared" si="2"/>
        <v>13.549621202458749</v>
      </c>
    </row>
    <row r="17" spans="1:5" x14ac:dyDescent="0.25">
      <c r="A17" s="13">
        <v>8</v>
      </c>
      <c r="B17" s="288">
        <v>6</v>
      </c>
      <c r="C17" s="13">
        <f t="shared" si="0"/>
        <v>0</v>
      </c>
      <c r="D17" s="13">
        <f t="shared" si="1"/>
        <v>6.125</v>
      </c>
      <c r="E17" s="13">
        <f t="shared" si="2"/>
        <v>13.549621202458749</v>
      </c>
    </row>
    <row r="18" spans="1:5" x14ac:dyDescent="0.25">
      <c r="A18" s="13">
        <v>9</v>
      </c>
      <c r="B18" s="288"/>
      <c r="C18" s="13" t="e">
        <f t="shared" si="0"/>
        <v>#N/A</v>
      </c>
      <c r="D18" s="13" t="e">
        <f t="shared" si="1"/>
        <v>#N/A</v>
      </c>
      <c r="E18" s="13" t="e">
        <f t="shared" si="2"/>
        <v>#N/A</v>
      </c>
    </row>
    <row r="19" spans="1:5" x14ac:dyDescent="0.25">
      <c r="A19" s="13">
        <v>10</v>
      </c>
      <c r="B19" s="288"/>
      <c r="C19" s="13" t="e">
        <f t="shared" si="0"/>
        <v>#N/A</v>
      </c>
      <c r="D19" s="13" t="e">
        <f t="shared" si="1"/>
        <v>#N/A</v>
      </c>
      <c r="E19" s="13" t="e">
        <f t="shared" si="2"/>
        <v>#N/A</v>
      </c>
    </row>
    <row r="20" spans="1:5" x14ac:dyDescent="0.25">
      <c r="A20" s="13">
        <v>11</v>
      </c>
      <c r="B20" s="288"/>
      <c r="C20" s="13" t="e">
        <f t="shared" si="0"/>
        <v>#N/A</v>
      </c>
      <c r="D20" s="13" t="e">
        <f t="shared" si="1"/>
        <v>#N/A</v>
      </c>
      <c r="E20" s="13" t="e">
        <f t="shared" si="2"/>
        <v>#N/A</v>
      </c>
    </row>
    <row r="21" spans="1:5" x14ac:dyDescent="0.25">
      <c r="A21" s="13">
        <v>12</v>
      </c>
      <c r="B21" s="288"/>
      <c r="C21" s="13" t="e">
        <f t="shared" si="0"/>
        <v>#N/A</v>
      </c>
      <c r="D21" s="13" t="e">
        <f t="shared" si="1"/>
        <v>#N/A</v>
      </c>
      <c r="E21" s="13" t="e">
        <f t="shared" si="2"/>
        <v>#N/A</v>
      </c>
    </row>
    <row r="22" spans="1:5" x14ac:dyDescent="0.25">
      <c r="A22" s="13">
        <v>13</v>
      </c>
      <c r="B22" s="288"/>
      <c r="C22" s="13" t="e">
        <f t="shared" si="0"/>
        <v>#N/A</v>
      </c>
      <c r="D22" s="13" t="e">
        <f t="shared" si="1"/>
        <v>#N/A</v>
      </c>
      <c r="E22" s="13" t="e">
        <f t="shared" si="2"/>
        <v>#N/A</v>
      </c>
    </row>
    <row r="23" spans="1:5" x14ac:dyDescent="0.25">
      <c r="A23" s="13">
        <v>14</v>
      </c>
      <c r="B23" s="288"/>
      <c r="C23" s="13" t="e">
        <f t="shared" si="0"/>
        <v>#N/A</v>
      </c>
      <c r="D23" s="13" t="e">
        <f t="shared" si="1"/>
        <v>#N/A</v>
      </c>
      <c r="E23" s="13" t="e">
        <f t="shared" si="2"/>
        <v>#N/A</v>
      </c>
    </row>
    <row r="24" spans="1:5" x14ac:dyDescent="0.25">
      <c r="A24" s="13">
        <v>15</v>
      </c>
      <c r="B24" s="288"/>
      <c r="C24" s="13" t="e">
        <f t="shared" si="0"/>
        <v>#N/A</v>
      </c>
      <c r="D24" s="13" t="e">
        <f t="shared" si="1"/>
        <v>#N/A</v>
      </c>
      <c r="E24" s="13" t="e">
        <f t="shared" si="2"/>
        <v>#N/A</v>
      </c>
    </row>
    <row r="25" spans="1:5" x14ac:dyDescent="0.25">
      <c r="A25" s="13">
        <v>16</v>
      </c>
      <c r="B25" s="288"/>
      <c r="C25" s="13" t="e">
        <f t="shared" si="0"/>
        <v>#N/A</v>
      </c>
      <c r="D25" s="13" t="e">
        <f t="shared" si="1"/>
        <v>#N/A</v>
      </c>
      <c r="E25" s="13" t="e">
        <f t="shared" si="2"/>
        <v>#N/A</v>
      </c>
    </row>
    <row r="26" spans="1:5" x14ac:dyDescent="0.25">
      <c r="A26" s="13">
        <v>17</v>
      </c>
      <c r="B26" s="288"/>
      <c r="C26" s="13" t="e">
        <f t="shared" si="0"/>
        <v>#N/A</v>
      </c>
      <c r="D26" s="13" t="e">
        <f t="shared" si="1"/>
        <v>#N/A</v>
      </c>
      <c r="E26" s="13" t="e">
        <f t="shared" si="2"/>
        <v>#N/A</v>
      </c>
    </row>
    <row r="27" spans="1:5" x14ac:dyDescent="0.25">
      <c r="A27" s="13">
        <v>18</v>
      </c>
      <c r="B27" s="288"/>
      <c r="C27" s="13" t="e">
        <f t="shared" si="0"/>
        <v>#N/A</v>
      </c>
      <c r="D27" s="13" t="e">
        <f t="shared" si="1"/>
        <v>#N/A</v>
      </c>
      <c r="E27" s="13" t="e">
        <f t="shared" si="2"/>
        <v>#N/A</v>
      </c>
    </row>
    <row r="28" spans="1:5" x14ac:dyDescent="0.25">
      <c r="A28" s="13">
        <v>19</v>
      </c>
      <c r="B28" s="288"/>
      <c r="C28" s="13" t="e">
        <f t="shared" si="0"/>
        <v>#N/A</v>
      </c>
      <c r="D28" s="13" t="e">
        <f t="shared" si="1"/>
        <v>#N/A</v>
      </c>
      <c r="E28" s="13" t="e">
        <f t="shared" si="2"/>
        <v>#N/A</v>
      </c>
    </row>
    <row r="29" spans="1:5" x14ac:dyDescent="0.25">
      <c r="A29" s="13">
        <v>20</v>
      </c>
      <c r="B29" s="288"/>
      <c r="C29" s="13" t="e">
        <f t="shared" si="0"/>
        <v>#N/A</v>
      </c>
      <c r="D29" s="13" t="e">
        <f t="shared" si="1"/>
        <v>#N/A</v>
      </c>
      <c r="E29" s="13" t="e">
        <f t="shared" si="2"/>
        <v>#N/A</v>
      </c>
    </row>
    <row r="30" spans="1:5" x14ac:dyDescent="0.25">
      <c r="A30" s="13">
        <v>21</v>
      </c>
      <c r="B30" s="288"/>
      <c r="C30" s="13" t="e">
        <f t="shared" si="0"/>
        <v>#N/A</v>
      </c>
      <c r="D30" s="13" t="e">
        <f t="shared" si="1"/>
        <v>#N/A</v>
      </c>
      <c r="E30" s="13" t="e">
        <f t="shared" si="2"/>
        <v>#N/A</v>
      </c>
    </row>
    <row r="31" spans="1:5" x14ac:dyDescent="0.25">
      <c r="A31" s="13">
        <v>22</v>
      </c>
      <c r="B31" s="288"/>
      <c r="C31" s="13" t="e">
        <f t="shared" si="0"/>
        <v>#N/A</v>
      </c>
      <c r="D31" s="13" t="e">
        <f t="shared" si="1"/>
        <v>#N/A</v>
      </c>
      <c r="E31" s="13" t="e">
        <f t="shared" si="2"/>
        <v>#N/A</v>
      </c>
    </row>
    <row r="32" spans="1:5" x14ac:dyDescent="0.25">
      <c r="A32" s="13">
        <v>23</v>
      </c>
      <c r="B32" s="288"/>
      <c r="C32" s="13" t="e">
        <f t="shared" si="0"/>
        <v>#N/A</v>
      </c>
      <c r="D32" s="13" t="e">
        <f t="shared" si="1"/>
        <v>#N/A</v>
      </c>
      <c r="E32" s="13" t="e">
        <f t="shared" si="2"/>
        <v>#N/A</v>
      </c>
    </row>
    <row r="33" spans="1:5" x14ac:dyDescent="0.25">
      <c r="A33" s="13">
        <v>24</v>
      </c>
      <c r="B33" s="288"/>
      <c r="C33" s="13" t="e">
        <f t="shared" si="0"/>
        <v>#N/A</v>
      </c>
      <c r="D33" s="13" t="e">
        <f t="shared" si="1"/>
        <v>#N/A</v>
      </c>
      <c r="E33" s="13" t="e">
        <f t="shared" si="2"/>
        <v>#N/A</v>
      </c>
    </row>
    <row r="34" spans="1:5" x14ac:dyDescent="0.25">
      <c r="A34" s="13">
        <v>25</v>
      </c>
      <c r="B34" s="288"/>
      <c r="C34" s="13" t="e">
        <f t="shared" si="0"/>
        <v>#N/A</v>
      </c>
      <c r="D34" s="13" t="e">
        <f t="shared" si="1"/>
        <v>#N/A</v>
      </c>
      <c r="E34" s="13" t="e">
        <f t="shared" si="2"/>
        <v>#N/A</v>
      </c>
    </row>
    <row r="35" spans="1:5" x14ac:dyDescent="0.25">
      <c r="A35" s="13">
        <v>26</v>
      </c>
      <c r="B35" s="288"/>
      <c r="C35" s="13" t="e">
        <f t="shared" si="0"/>
        <v>#N/A</v>
      </c>
      <c r="D35" s="13" t="e">
        <f t="shared" si="1"/>
        <v>#N/A</v>
      </c>
      <c r="E35" s="13" t="e">
        <f t="shared" si="2"/>
        <v>#N/A</v>
      </c>
    </row>
    <row r="36" spans="1:5" x14ac:dyDescent="0.25">
      <c r="A36" s="13">
        <v>27</v>
      </c>
      <c r="B36" s="288"/>
      <c r="C36" s="13" t="e">
        <f t="shared" si="0"/>
        <v>#N/A</v>
      </c>
      <c r="D36" s="13" t="e">
        <f t="shared" si="1"/>
        <v>#N/A</v>
      </c>
      <c r="E36" s="13" t="e">
        <f t="shared" si="2"/>
        <v>#N/A</v>
      </c>
    </row>
    <row r="37" spans="1:5" x14ac:dyDescent="0.25">
      <c r="A37" s="13">
        <v>28</v>
      </c>
      <c r="B37" s="288"/>
      <c r="C37" s="13" t="e">
        <f t="shared" si="0"/>
        <v>#N/A</v>
      </c>
      <c r="D37" s="13" t="e">
        <f t="shared" si="1"/>
        <v>#N/A</v>
      </c>
      <c r="E37" s="13" t="e">
        <f t="shared" si="2"/>
        <v>#N/A</v>
      </c>
    </row>
    <row r="38" spans="1:5" x14ac:dyDescent="0.25">
      <c r="A38" s="13">
        <v>29</v>
      </c>
      <c r="B38" s="288"/>
      <c r="C38" s="13" t="e">
        <f t="shared" si="0"/>
        <v>#N/A</v>
      </c>
      <c r="D38" s="13" t="e">
        <f t="shared" si="1"/>
        <v>#N/A</v>
      </c>
      <c r="E38" s="13" t="e">
        <f t="shared" si="2"/>
        <v>#N/A</v>
      </c>
    </row>
    <row r="39" spans="1:5" x14ac:dyDescent="0.25">
      <c r="A39" s="13">
        <v>30</v>
      </c>
      <c r="B39" s="288"/>
      <c r="C39" s="13" t="e">
        <f t="shared" si="0"/>
        <v>#N/A</v>
      </c>
      <c r="D39" s="13" t="e">
        <f t="shared" si="1"/>
        <v>#N/A</v>
      </c>
      <c r="E39" s="13" t="e">
        <f t="shared" si="2"/>
        <v>#N/A</v>
      </c>
    </row>
    <row r="40" spans="1:5" x14ac:dyDescent="0.25">
      <c r="A40" s="13">
        <v>31</v>
      </c>
      <c r="B40" s="288"/>
      <c r="C40" s="13" t="e">
        <f t="shared" si="0"/>
        <v>#N/A</v>
      </c>
      <c r="D40" s="13" t="e">
        <f t="shared" si="1"/>
        <v>#N/A</v>
      </c>
      <c r="E40" s="13" t="e">
        <f t="shared" si="2"/>
        <v>#N/A</v>
      </c>
    </row>
    <row r="41" spans="1:5" x14ac:dyDescent="0.25">
      <c r="A41" s="13">
        <v>32</v>
      </c>
      <c r="B41" s="288"/>
      <c r="C41" s="13" t="e">
        <f t="shared" si="0"/>
        <v>#N/A</v>
      </c>
      <c r="D41" s="13" t="e">
        <f t="shared" si="1"/>
        <v>#N/A</v>
      </c>
      <c r="E41" s="13" t="e">
        <f t="shared" si="2"/>
        <v>#N/A</v>
      </c>
    </row>
    <row r="42" spans="1:5" x14ac:dyDescent="0.25">
      <c r="A42" s="13">
        <v>33</v>
      </c>
      <c r="B42" s="288"/>
      <c r="C42" s="13" t="e">
        <f t="shared" si="0"/>
        <v>#N/A</v>
      </c>
      <c r="D42" s="13" t="e">
        <f t="shared" si="1"/>
        <v>#N/A</v>
      </c>
      <c r="E42" s="13" t="e">
        <f t="shared" si="2"/>
        <v>#N/A</v>
      </c>
    </row>
    <row r="43" spans="1:5" x14ac:dyDescent="0.25">
      <c r="A43" s="13">
        <v>34</v>
      </c>
      <c r="B43" s="288"/>
      <c r="C43" s="13" t="e">
        <f t="shared" si="0"/>
        <v>#N/A</v>
      </c>
      <c r="D43" s="13" t="e">
        <f t="shared" si="1"/>
        <v>#N/A</v>
      </c>
      <c r="E43" s="13" t="e">
        <f t="shared" si="2"/>
        <v>#N/A</v>
      </c>
    </row>
    <row r="44" spans="1:5" x14ac:dyDescent="0.25">
      <c r="A44" s="13">
        <v>35</v>
      </c>
      <c r="B44" s="288"/>
      <c r="C44" s="13" t="e">
        <f t="shared" si="0"/>
        <v>#N/A</v>
      </c>
      <c r="D44" s="13" t="e">
        <f t="shared" si="1"/>
        <v>#N/A</v>
      </c>
      <c r="E44" s="13" t="e">
        <f t="shared" si="2"/>
        <v>#N/A</v>
      </c>
    </row>
    <row r="45" spans="1:5" x14ac:dyDescent="0.25">
      <c r="A45" s="13">
        <v>36</v>
      </c>
      <c r="B45" s="288"/>
      <c r="C45" s="13" t="e">
        <f t="shared" si="0"/>
        <v>#N/A</v>
      </c>
      <c r="D45" s="13" t="e">
        <f t="shared" si="1"/>
        <v>#N/A</v>
      </c>
      <c r="E45" s="13" t="e">
        <f t="shared" si="2"/>
        <v>#N/A</v>
      </c>
    </row>
    <row r="46" spans="1:5" x14ac:dyDescent="0.25">
      <c r="A46" s="13">
        <v>37</v>
      </c>
      <c r="B46" s="288"/>
      <c r="C46" s="13" t="e">
        <f t="shared" si="0"/>
        <v>#N/A</v>
      </c>
      <c r="D46" s="13" t="e">
        <f t="shared" si="1"/>
        <v>#N/A</v>
      </c>
      <c r="E46" s="13" t="e">
        <f t="shared" si="2"/>
        <v>#N/A</v>
      </c>
    </row>
    <row r="47" spans="1:5" x14ac:dyDescent="0.25">
      <c r="A47" s="13">
        <v>38</v>
      </c>
      <c r="B47" s="288"/>
      <c r="C47" s="13" t="e">
        <f t="shared" si="0"/>
        <v>#N/A</v>
      </c>
      <c r="D47" s="13" t="e">
        <f t="shared" si="1"/>
        <v>#N/A</v>
      </c>
      <c r="E47" s="13" t="e">
        <f t="shared" si="2"/>
        <v>#N/A</v>
      </c>
    </row>
    <row r="48" spans="1:5" x14ac:dyDescent="0.25">
      <c r="A48" s="13">
        <v>39</v>
      </c>
      <c r="B48" s="288"/>
      <c r="C48" s="13" t="e">
        <f t="shared" si="0"/>
        <v>#N/A</v>
      </c>
      <c r="D48" s="13" t="e">
        <f t="shared" si="1"/>
        <v>#N/A</v>
      </c>
      <c r="E48" s="13" t="e">
        <f t="shared" si="2"/>
        <v>#N/A</v>
      </c>
    </row>
    <row r="49" spans="1:8" x14ac:dyDescent="0.25">
      <c r="A49" s="13">
        <v>40</v>
      </c>
      <c r="B49" s="288"/>
      <c r="C49" s="13" t="e">
        <f t="shared" si="0"/>
        <v>#N/A</v>
      </c>
      <c r="D49" s="13" t="e">
        <f t="shared" si="1"/>
        <v>#N/A</v>
      </c>
      <c r="E49" s="13" t="e">
        <f t="shared" si="2"/>
        <v>#N/A</v>
      </c>
    </row>
    <row r="50" spans="1:8" x14ac:dyDescent="0.25">
      <c r="A50" s="13">
        <v>41</v>
      </c>
      <c r="B50" s="288"/>
      <c r="C50" s="13" t="e">
        <f t="shared" si="0"/>
        <v>#N/A</v>
      </c>
      <c r="D50" s="13" t="e">
        <f t="shared" si="1"/>
        <v>#N/A</v>
      </c>
      <c r="E50" s="13" t="e">
        <f t="shared" si="2"/>
        <v>#N/A</v>
      </c>
    </row>
    <row r="51" spans="1:8" x14ac:dyDescent="0.25">
      <c r="A51" s="13">
        <v>42</v>
      </c>
      <c r="B51" s="288"/>
      <c r="C51" s="13" t="e">
        <f t="shared" si="0"/>
        <v>#N/A</v>
      </c>
      <c r="D51" s="13" t="e">
        <f t="shared" si="1"/>
        <v>#N/A</v>
      </c>
      <c r="E51" s="13" t="e">
        <f t="shared" si="2"/>
        <v>#N/A</v>
      </c>
    </row>
    <row r="52" spans="1:8" x14ac:dyDescent="0.25">
      <c r="A52" s="13">
        <v>43</v>
      </c>
      <c r="B52" s="288"/>
      <c r="C52" s="13" t="e">
        <f t="shared" si="0"/>
        <v>#N/A</v>
      </c>
      <c r="D52" s="13" t="e">
        <f t="shared" si="1"/>
        <v>#N/A</v>
      </c>
      <c r="E52" s="13" t="e">
        <f t="shared" si="2"/>
        <v>#N/A</v>
      </c>
    </row>
    <row r="53" spans="1:8" x14ac:dyDescent="0.25">
      <c r="A53" s="13">
        <v>44</v>
      </c>
      <c r="B53" s="288"/>
      <c r="C53" s="13" t="e">
        <f t="shared" si="0"/>
        <v>#N/A</v>
      </c>
      <c r="D53" s="13" t="e">
        <f t="shared" si="1"/>
        <v>#N/A</v>
      </c>
      <c r="E53" s="13" t="e">
        <f t="shared" si="2"/>
        <v>#N/A</v>
      </c>
    </row>
    <row r="54" spans="1:8" x14ac:dyDescent="0.25">
      <c r="A54" s="13">
        <v>45</v>
      </c>
      <c r="B54" s="288"/>
      <c r="C54" s="13" t="e">
        <f t="shared" si="0"/>
        <v>#N/A</v>
      </c>
      <c r="D54" s="13" t="e">
        <f t="shared" si="1"/>
        <v>#N/A</v>
      </c>
      <c r="E54" s="13" t="e">
        <f t="shared" si="2"/>
        <v>#N/A</v>
      </c>
    </row>
    <row r="55" spans="1:8" x14ac:dyDescent="0.25">
      <c r="A55" s="13">
        <v>46</v>
      </c>
      <c r="B55" s="288"/>
      <c r="C55" s="13" t="e">
        <f t="shared" si="0"/>
        <v>#N/A</v>
      </c>
      <c r="D55" s="13" t="e">
        <f t="shared" si="1"/>
        <v>#N/A</v>
      </c>
      <c r="E55" s="13" t="e">
        <f t="shared" si="2"/>
        <v>#N/A</v>
      </c>
    </row>
    <row r="56" spans="1:8" x14ac:dyDescent="0.25">
      <c r="A56" s="13">
        <v>47</v>
      </c>
      <c r="B56" s="288"/>
      <c r="C56" s="13" t="e">
        <f t="shared" si="0"/>
        <v>#N/A</v>
      </c>
      <c r="D56" s="13" t="e">
        <f t="shared" si="1"/>
        <v>#N/A</v>
      </c>
      <c r="E56" s="13" t="e">
        <f t="shared" si="2"/>
        <v>#N/A</v>
      </c>
    </row>
    <row r="57" spans="1:8" x14ac:dyDescent="0.25">
      <c r="A57" s="13">
        <v>48</v>
      </c>
      <c r="B57" s="288"/>
      <c r="C57" s="13" t="e">
        <f t="shared" si="0"/>
        <v>#N/A</v>
      </c>
      <c r="D57" s="13" t="e">
        <f t="shared" si="1"/>
        <v>#N/A</v>
      </c>
      <c r="E57" s="13" t="e">
        <f t="shared" si="2"/>
        <v>#N/A</v>
      </c>
      <c r="F57" s="159"/>
      <c r="G57" s="159"/>
      <c r="H57" s="159"/>
    </row>
    <row r="58" spans="1:8" x14ac:dyDescent="0.25">
      <c r="A58" s="13">
        <v>49</v>
      </c>
      <c r="B58" s="288"/>
      <c r="C58" s="13" t="e">
        <f t="shared" si="0"/>
        <v>#N/A</v>
      </c>
      <c r="D58" s="13" t="e">
        <f t="shared" si="1"/>
        <v>#N/A</v>
      </c>
      <c r="E58" s="13" t="e">
        <f t="shared" si="2"/>
        <v>#N/A</v>
      </c>
      <c r="F58" s="159"/>
      <c r="G58" s="159"/>
      <c r="H58" s="159"/>
    </row>
    <row r="59" spans="1:8" x14ac:dyDescent="0.25">
      <c r="A59" s="13">
        <v>50</v>
      </c>
      <c r="B59" s="288"/>
      <c r="C59" s="13" t="e">
        <f t="shared" si="0"/>
        <v>#N/A</v>
      </c>
      <c r="D59" s="13" t="e">
        <f t="shared" si="1"/>
        <v>#N/A</v>
      </c>
      <c r="E59" s="13" t="e">
        <f t="shared" si="2"/>
        <v>#N/A</v>
      </c>
      <c r="F59" s="40"/>
      <c r="G59" s="40"/>
      <c r="H59" s="40"/>
    </row>
    <row r="60" spans="1:8" x14ac:dyDescent="0.25">
      <c r="A60" s="40"/>
      <c r="B60" s="40"/>
      <c r="C60" s="40"/>
      <c r="D60" s="40"/>
      <c r="E60" s="40"/>
      <c r="F60" s="40"/>
      <c r="G60" s="40"/>
      <c r="H60" s="40"/>
    </row>
    <row r="61" spans="1:8" x14ac:dyDescent="0.25">
      <c r="A61" s="40"/>
      <c r="B61" s="40"/>
      <c r="C61" s="40"/>
      <c r="D61" s="40"/>
      <c r="E61" s="40"/>
      <c r="F61" s="40"/>
      <c r="G61" s="40"/>
      <c r="H61" s="40"/>
    </row>
    <row r="62" spans="1:8" x14ac:dyDescent="0.25">
      <c r="A62" s="40"/>
      <c r="B62" s="40"/>
      <c r="C62" s="40"/>
      <c r="D62" s="40"/>
      <c r="E62" s="40"/>
      <c r="F62" s="40"/>
      <c r="G62" s="40"/>
      <c r="H62" s="40"/>
    </row>
    <row r="63" spans="1:8" x14ac:dyDescent="0.25">
      <c r="A63" s="40"/>
      <c r="B63" s="40"/>
      <c r="C63" s="40"/>
      <c r="D63" s="40"/>
      <c r="E63" s="40"/>
      <c r="F63" s="40"/>
      <c r="G63" s="40"/>
      <c r="H63" s="40"/>
    </row>
    <row r="64" spans="1:8" x14ac:dyDescent="0.25">
      <c r="A64" s="40"/>
      <c r="B64" s="40"/>
      <c r="C64" s="40"/>
      <c r="D64" s="40"/>
      <c r="E64" s="40"/>
      <c r="F64" s="40"/>
      <c r="G64" s="40"/>
      <c r="H64" s="40"/>
    </row>
    <row r="65" spans="1:8" x14ac:dyDescent="0.25">
      <c r="A65" s="40"/>
      <c r="B65" s="40"/>
      <c r="C65" s="40"/>
      <c r="D65" s="40"/>
      <c r="E65" s="40"/>
      <c r="F65" s="40"/>
      <c r="G65" s="40"/>
      <c r="H65" s="40"/>
    </row>
    <row r="66" spans="1:8" x14ac:dyDescent="0.25">
      <c r="A66" s="40"/>
      <c r="B66" s="40"/>
      <c r="C66" s="40"/>
      <c r="D66" s="40"/>
      <c r="E66" s="40"/>
      <c r="F66" s="40"/>
      <c r="G66" s="40"/>
      <c r="H66" s="40"/>
    </row>
    <row r="67" spans="1:8" x14ac:dyDescent="0.25">
      <c r="A67" s="40"/>
      <c r="B67" s="40"/>
      <c r="C67" s="40"/>
      <c r="D67" s="40"/>
      <c r="E67" s="40"/>
      <c r="F67" s="40"/>
      <c r="G67" s="40"/>
      <c r="H67" s="40"/>
    </row>
  </sheetData>
  <mergeCells count="3">
    <mergeCell ref="A1:D1"/>
    <mergeCell ref="C5:D5"/>
    <mergeCell ref="C6:D6"/>
  </mergeCells>
  <dataValidations count="1">
    <dataValidation type="whole" allowBlank="1" showInputMessage="1" showErrorMessage="1" errorTitle="Input Error!" error="The cell entry must be a whole number." sqref="B10:B59" xr:uid="{00000000-0002-0000-0F00-000000000000}">
      <formula1>0</formula1>
      <formula2>999999</formula2>
    </dataValidation>
  </dataValidations>
  <hyperlinks>
    <hyperlink ref="K1" location="Menu!A1" display="Return to menu" xr:uid="{00000000-0004-0000-0F00-000000000000}"/>
  </hyperlinks>
  <pageMargins left="0.75" right="0.75" top="1" bottom="1" header="0.5" footer="0.5"/>
  <pageSetup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P1"/>
  <sheetViews>
    <sheetView showGridLines="0" workbookViewId="0">
      <selection activeCell="P1" sqref="P1"/>
    </sheetView>
  </sheetViews>
  <sheetFormatPr defaultColWidth="8.88671875" defaultRowHeight="13.2" x14ac:dyDescent="0.25"/>
  <cols>
    <col min="1" max="15" width="8.88671875" style="13"/>
    <col min="16" max="16" width="20.6640625" style="13" bestFit="1" customWidth="1"/>
    <col min="17" max="16384" width="8.88671875" style="13"/>
  </cols>
  <sheetData>
    <row r="1" spans="16:16" ht="21" x14ac:dyDescent="0.4">
      <c r="P1" s="7" t="s">
        <v>19</v>
      </c>
    </row>
  </sheetData>
  <hyperlinks>
    <hyperlink ref="P1" location="Menu!A1" display="Return to menu" xr:uid="{00000000-0004-0000-1000-000000000000}"/>
  </hyperlink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24"/>
  <sheetViews>
    <sheetView zoomScale="85" zoomScaleNormal="85" workbookViewId="0">
      <selection activeCell="J1" sqref="J1"/>
    </sheetView>
  </sheetViews>
  <sheetFormatPr defaultRowHeight="14.4" x14ac:dyDescent="0.3"/>
  <cols>
    <col min="1" max="1" width="7.6640625" customWidth="1"/>
    <col min="2" max="2" width="35.6640625" customWidth="1"/>
    <col min="3" max="6" width="20.6640625" customWidth="1"/>
    <col min="7" max="7" width="40.6640625" customWidth="1"/>
    <col min="8" max="8" width="20.6640625" customWidth="1"/>
    <col min="9" max="9" width="15.6640625" customWidth="1"/>
    <col min="10" max="10" width="19" bestFit="1" customWidth="1"/>
  </cols>
  <sheetData>
    <row r="1" spans="1:10" s="740" customFormat="1" ht="36" x14ac:dyDescent="0.3">
      <c r="A1" s="737" t="s">
        <v>957</v>
      </c>
      <c r="B1" s="738" t="s">
        <v>958</v>
      </c>
      <c r="C1" s="738" t="s">
        <v>959</v>
      </c>
      <c r="D1" s="738" t="s">
        <v>960</v>
      </c>
      <c r="E1" s="738" t="s">
        <v>961</v>
      </c>
      <c r="F1" s="738" t="s">
        <v>962</v>
      </c>
      <c r="G1" s="738" t="s">
        <v>982</v>
      </c>
      <c r="H1" s="739" t="s">
        <v>983</v>
      </c>
      <c r="J1" s="753" t="s">
        <v>19</v>
      </c>
    </row>
    <row r="2" spans="1:10" ht="45" customHeight="1" x14ac:dyDescent="0.3">
      <c r="A2" s="741">
        <v>1</v>
      </c>
      <c r="B2" s="742" t="s">
        <v>963</v>
      </c>
      <c r="C2" s="743">
        <v>42767</v>
      </c>
      <c r="D2" s="742" t="s">
        <v>964</v>
      </c>
      <c r="E2" s="742" t="s">
        <v>965</v>
      </c>
      <c r="F2" s="742" t="s">
        <v>966</v>
      </c>
      <c r="G2" s="744" t="s">
        <v>967</v>
      </c>
      <c r="H2" s="745" t="s">
        <v>968</v>
      </c>
    </row>
    <row r="3" spans="1:10" ht="45" customHeight="1" x14ac:dyDescent="0.3">
      <c r="A3" s="741">
        <v>2</v>
      </c>
      <c r="B3" s="742" t="s">
        <v>846</v>
      </c>
      <c r="C3" s="742" t="s">
        <v>969</v>
      </c>
      <c r="D3" s="744" t="s">
        <v>970</v>
      </c>
      <c r="E3" s="742" t="s">
        <v>971</v>
      </c>
      <c r="F3" s="742" t="s">
        <v>972</v>
      </c>
      <c r="G3" s="742" t="s">
        <v>973</v>
      </c>
      <c r="H3" s="745" t="s">
        <v>974</v>
      </c>
    </row>
    <row r="4" spans="1:10" ht="45" customHeight="1" x14ac:dyDescent="0.3">
      <c r="A4" s="741">
        <v>3</v>
      </c>
      <c r="B4" s="742" t="s">
        <v>975</v>
      </c>
      <c r="C4" s="744" t="s">
        <v>976</v>
      </c>
      <c r="D4" s="742" t="s">
        <v>977</v>
      </c>
      <c r="E4" s="742" t="s">
        <v>978</v>
      </c>
      <c r="F4" s="742" t="s">
        <v>979</v>
      </c>
      <c r="G4" s="744" t="s">
        <v>980</v>
      </c>
      <c r="H4" s="745" t="s">
        <v>981</v>
      </c>
    </row>
    <row r="5" spans="1:10" ht="45" customHeight="1" x14ac:dyDescent="0.3">
      <c r="A5" s="741">
        <v>4</v>
      </c>
      <c r="B5" s="742"/>
      <c r="C5" s="742"/>
      <c r="D5" s="742"/>
      <c r="E5" s="742"/>
      <c r="F5" s="742"/>
      <c r="G5" s="742"/>
      <c r="H5" s="745"/>
    </row>
    <row r="6" spans="1:10" ht="45" customHeight="1" x14ac:dyDescent="0.3">
      <c r="A6" s="741">
        <v>5</v>
      </c>
      <c r="B6" s="742"/>
      <c r="C6" s="742"/>
      <c r="D6" s="742"/>
      <c r="E6" s="742"/>
      <c r="F6" s="742"/>
      <c r="G6" s="742"/>
      <c r="H6" s="745"/>
    </row>
    <row r="7" spans="1:10" ht="45" customHeight="1" x14ac:dyDescent="0.3">
      <c r="A7" s="741">
        <v>6</v>
      </c>
      <c r="B7" s="742"/>
      <c r="C7" s="742"/>
      <c r="D7" s="742"/>
      <c r="E7" s="742"/>
      <c r="F7" s="742"/>
      <c r="G7" s="742"/>
      <c r="H7" s="745"/>
    </row>
    <row r="8" spans="1:10" ht="45" customHeight="1" x14ac:dyDescent="0.3">
      <c r="A8" s="741">
        <v>7</v>
      </c>
      <c r="B8" s="742"/>
      <c r="C8" s="742"/>
      <c r="D8" s="742"/>
      <c r="E8" s="742"/>
      <c r="F8" s="742"/>
      <c r="G8" s="742"/>
      <c r="H8" s="745"/>
    </row>
    <row r="9" spans="1:10" ht="45" customHeight="1" x14ac:dyDescent="0.3">
      <c r="A9" s="741">
        <v>8</v>
      </c>
      <c r="B9" s="742"/>
      <c r="C9" s="742"/>
      <c r="D9" s="742"/>
      <c r="E9" s="742"/>
      <c r="F9" s="742"/>
      <c r="G9" s="742"/>
      <c r="H9" s="745"/>
    </row>
    <row r="10" spans="1:10" ht="45" customHeight="1" x14ac:dyDescent="0.3">
      <c r="A10" s="741">
        <v>9</v>
      </c>
      <c r="B10" s="742"/>
      <c r="C10" s="742"/>
      <c r="D10" s="742"/>
      <c r="E10" s="742"/>
      <c r="F10" s="742"/>
      <c r="G10" s="742"/>
      <c r="H10" s="745"/>
    </row>
    <row r="11" spans="1:10" ht="45" customHeight="1" x14ac:dyDescent="0.3">
      <c r="A11" s="741">
        <v>10</v>
      </c>
      <c r="B11" s="742"/>
      <c r="C11" s="742"/>
      <c r="D11" s="742"/>
      <c r="E11" s="742"/>
      <c r="F11" s="742"/>
      <c r="G11" s="742"/>
      <c r="H11" s="745"/>
    </row>
    <row r="12" spans="1:10" ht="45" customHeight="1" x14ac:dyDescent="0.3">
      <c r="A12" s="741">
        <v>11</v>
      </c>
      <c r="B12" s="742"/>
      <c r="C12" s="742"/>
      <c r="D12" s="742"/>
      <c r="E12" s="742"/>
      <c r="F12" s="742"/>
      <c r="G12" s="742"/>
      <c r="H12" s="745"/>
    </row>
    <row r="13" spans="1:10" ht="45" customHeight="1" x14ac:dyDescent="0.3">
      <c r="A13" s="741">
        <v>12</v>
      </c>
      <c r="B13" s="742"/>
      <c r="C13" s="742"/>
      <c r="D13" s="742"/>
      <c r="E13" s="742"/>
      <c r="F13" s="742"/>
      <c r="G13" s="742"/>
      <c r="H13" s="745"/>
    </row>
    <row r="14" spans="1:10" ht="45" customHeight="1" x14ac:dyDescent="0.3">
      <c r="A14" s="741">
        <v>13</v>
      </c>
      <c r="B14" s="742"/>
      <c r="C14" s="742"/>
      <c r="D14" s="742"/>
      <c r="E14" s="742"/>
      <c r="F14" s="742"/>
      <c r="G14" s="742"/>
      <c r="H14" s="745"/>
    </row>
    <row r="15" spans="1:10" ht="45" customHeight="1" x14ac:dyDescent="0.3">
      <c r="A15" s="741">
        <v>14</v>
      </c>
      <c r="B15" s="742"/>
      <c r="C15" s="742"/>
      <c r="D15" s="742"/>
      <c r="E15" s="742"/>
      <c r="F15" s="742"/>
      <c r="G15" s="742"/>
      <c r="H15" s="745"/>
    </row>
    <row r="16" spans="1:10" ht="45" customHeight="1" x14ac:dyDescent="0.3">
      <c r="A16" s="741">
        <v>15</v>
      </c>
      <c r="B16" s="742"/>
      <c r="C16" s="742"/>
      <c r="D16" s="742"/>
      <c r="E16" s="742"/>
      <c r="F16" s="742"/>
      <c r="G16" s="742"/>
      <c r="H16" s="745"/>
    </row>
    <row r="17" spans="1:8" ht="45" customHeight="1" thickBot="1" x14ac:dyDescent="0.35">
      <c r="A17" s="746">
        <v>16</v>
      </c>
      <c r="B17" s="747"/>
      <c r="C17" s="747"/>
      <c r="D17" s="747"/>
      <c r="E17" s="747"/>
      <c r="F17" s="747"/>
      <c r="G17" s="747"/>
      <c r="H17" s="748"/>
    </row>
    <row r="18" spans="1:8" ht="45" customHeight="1" x14ac:dyDescent="0.3"/>
    <row r="19" spans="1:8" ht="45" customHeight="1" x14ac:dyDescent="0.3"/>
    <row r="20" spans="1:8" ht="45" customHeight="1" x14ac:dyDescent="0.3"/>
    <row r="21" spans="1:8" ht="45" customHeight="1" x14ac:dyDescent="0.3"/>
    <row r="22" spans="1:8" ht="45" customHeight="1" x14ac:dyDescent="0.3"/>
    <row r="23" spans="1:8" ht="35.1" customHeight="1" x14ac:dyDescent="0.3"/>
    <row r="24" spans="1:8" ht="35.1" customHeight="1" x14ac:dyDescent="0.3"/>
  </sheetData>
  <hyperlinks>
    <hyperlink ref="J1" location="Menu!A1" display="Return to menu" xr:uid="{00000000-0004-0000-1100-000000000000}"/>
  </hyperlinks>
  <pageMargins left="0.7" right="0.7" top="0.75" bottom="0.75" header="0.3" footer="0.3"/>
  <pageSetup scale="65" orientation="landscape" verticalDpi="0" r:id="rId1"/>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dimension ref="B1:L12"/>
  <sheetViews>
    <sheetView showGridLines="0" zoomScale="145" zoomScaleNormal="145" workbookViewId="0">
      <selection activeCell="L1" sqref="L1"/>
    </sheetView>
  </sheetViews>
  <sheetFormatPr defaultColWidth="15.88671875" defaultRowHeight="14.4" x14ac:dyDescent="0.3"/>
  <cols>
    <col min="1" max="1" width="3.21875" customWidth="1"/>
    <col min="7" max="7" width="20.109375" customWidth="1"/>
    <col min="12" max="12" width="20.6640625" bestFit="1" customWidth="1"/>
  </cols>
  <sheetData>
    <row r="1" spans="2:12" ht="21" x14ac:dyDescent="0.4">
      <c r="B1" s="130" t="s">
        <v>1037</v>
      </c>
      <c r="L1" s="750" t="s">
        <v>19</v>
      </c>
    </row>
    <row r="3" spans="2:12" ht="39" x14ac:dyDescent="0.3">
      <c r="B3" s="937" t="s">
        <v>23</v>
      </c>
      <c r="C3" s="938" t="s">
        <v>1038</v>
      </c>
      <c r="D3" s="938" t="s">
        <v>24</v>
      </c>
      <c r="E3" s="939" t="s">
        <v>1039</v>
      </c>
      <c r="F3" s="940" t="s">
        <v>1040</v>
      </c>
      <c r="G3" s="939" t="s">
        <v>1041</v>
      </c>
      <c r="H3" s="939" t="s">
        <v>1042</v>
      </c>
      <c r="I3" s="941" t="s">
        <v>1043</v>
      </c>
      <c r="J3" s="939" t="s">
        <v>1044</v>
      </c>
    </row>
    <row r="4" spans="2:12" x14ac:dyDescent="0.3">
      <c r="B4" s="942"/>
      <c r="C4" s="942"/>
      <c r="D4" s="942"/>
      <c r="E4" s="942"/>
      <c r="F4" s="942"/>
      <c r="G4" s="942"/>
      <c r="H4" s="942"/>
      <c r="I4" s="942"/>
      <c r="J4" s="942"/>
    </row>
    <row r="5" spans="2:12" x14ac:dyDescent="0.3">
      <c r="B5" s="942"/>
      <c r="C5" s="942"/>
      <c r="D5" s="942"/>
      <c r="E5" s="942"/>
      <c r="F5" s="942"/>
      <c r="G5" s="942"/>
      <c r="H5" s="942"/>
      <c r="I5" s="942"/>
      <c r="J5" s="942"/>
    </row>
    <row r="6" spans="2:12" x14ac:dyDescent="0.3">
      <c r="B6" s="942"/>
      <c r="C6" s="942"/>
      <c r="D6" s="942"/>
      <c r="E6" s="942"/>
      <c r="F6" s="942"/>
      <c r="G6" s="942"/>
      <c r="H6" s="942"/>
      <c r="I6" s="942"/>
      <c r="J6" s="942"/>
    </row>
    <row r="7" spans="2:12" x14ac:dyDescent="0.3">
      <c r="B7" s="942"/>
      <c r="C7" s="942"/>
      <c r="D7" s="942"/>
      <c r="E7" s="942"/>
      <c r="F7" s="942"/>
      <c r="G7" s="942"/>
      <c r="H7" s="942"/>
      <c r="I7" s="942"/>
      <c r="J7" s="942"/>
    </row>
    <row r="8" spans="2:12" x14ac:dyDescent="0.3">
      <c r="B8" s="942"/>
      <c r="C8" s="942"/>
      <c r="D8" s="942"/>
      <c r="E8" s="942"/>
      <c r="F8" s="942"/>
      <c r="G8" s="942"/>
      <c r="H8" s="942"/>
      <c r="I8" s="942"/>
      <c r="J8" s="942"/>
    </row>
    <row r="9" spans="2:12" x14ac:dyDescent="0.3">
      <c r="B9" s="942"/>
      <c r="C9" s="942"/>
      <c r="D9" s="942"/>
      <c r="E9" s="942"/>
      <c r="F9" s="942"/>
      <c r="G9" s="942"/>
      <c r="H9" s="942"/>
      <c r="I9" s="942"/>
      <c r="J9" s="942"/>
    </row>
    <row r="10" spans="2:12" x14ac:dyDescent="0.3">
      <c r="B10" s="942"/>
      <c r="C10" s="942"/>
      <c r="D10" s="942"/>
      <c r="E10" s="942"/>
      <c r="F10" s="942"/>
      <c r="G10" s="942"/>
      <c r="H10" s="942"/>
      <c r="I10" s="942"/>
      <c r="J10" s="942"/>
    </row>
    <row r="11" spans="2:12" x14ac:dyDescent="0.3">
      <c r="B11" s="942"/>
      <c r="C11" s="942"/>
      <c r="D11" s="942"/>
      <c r="E11" s="942"/>
      <c r="F11" s="942"/>
      <c r="G11" s="942"/>
      <c r="H11" s="942"/>
      <c r="I11" s="942"/>
      <c r="J11" s="942"/>
    </row>
    <row r="12" spans="2:12" x14ac:dyDescent="0.3">
      <c r="B12" s="942"/>
      <c r="C12" s="942"/>
      <c r="D12" s="942"/>
      <c r="E12" s="942"/>
      <c r="F12" s="942"/>
      <c r="G12" s="942"/>
      <c r="H12" s="942"/>
      <c r="I12" s="942"/>
      <c r="J12" s="942"/>
    </row>
  </sheetData>
  <hyperlinks>
    <hyperlink ref="L1" location="Menu!A1" display="Return to menu" xr:uid="{00000000-0004-0000-12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B1:O18"/>
  <sheetViews>
    <sheetView showGridLines="0" zoomScale="115" zoomScaleNormal="115" zoomScalePageLayoutView="115" workbookViewId="0">
      <selection activeCell="O1" sqref="O1"/>
    </sheetView>
  </sheetViews>
  <sheetFormatPr defaultColWidth="8.88671875" defaultRowHeight="14.4" x14ac:dyDescent="0.3"/>
  <cols>
    <col min="2" max="2" width="30.44140625" customWidth="1"/>
    <col min="3" max="6" width="3.6640625" bestFit="1" customWidth="1"/>
    <col min="7" max="12" width="3.6640625" customWidth="1"/>
    <col min="13" max="13" width="6.44140625" customWidth="1"/>
    <col min="15" max="15" width="21.44140625" bestFit="1" customWidth="1"/>
  </cols>
  <sheetData>
    <row r="1" spans="2:15" ht="21" x14ac:dyDescent="0.4">
      <c r="O1" s="750" t="s">
        <v>19</v>
      </c>
    </row>
    <row r="2" spans="2:15" x14ac:dyDescent="0.3">
      <c r="B2" s="132" t="s">
        <v>112</v>
      </c>
    </row>
    <row r="3" spans="2:15" x14ac:dyDescent="0.3">
      <c r="B3" s="132" t="s">
        <v>113</v>
      </c>
    </row>
    <row r="4" spans="2:15" x14ac:dyDescent="0.3">
      <c r="C4" t="s">
        <v>61</v>
      </c>
    </row>
    <row r="5" spans="2:15" ht="78" customHeight="1" x14ac:dyDescent="0.3">
      <c r="C5" s="62" t="s">
        <v>35</v>
      </c>
      <c r="D5" s="62" t="s">
        <v>36</v>
      </c>
      <c r="E5" s="62" t="s">
        <v>37</v>
      </c>
      <c r="F5" s="62" t="s">
        <v>38</v>
      </c>
      <c r="G5" s="62" t="s">
        <v>39</v>
      </c>
      <c r="H5" s="62" t="s">
        <v>40</v>
      </c>
      <c r="I5" s="62" t="s">
        <v>41</v>
      </c>
      <c r="J5" s="62" t="s">
        <v>42</v>
      </c>
      <c r="K5" s="62" t="s">
        <v>43</v>
      </c>
      <c r="L5" s="62" t="s">
        <v>44</v>
      </c>
      <c r="M5" s="62" t="s">
        <v>59</v>
      </c>
    </row>
    <row r="6" spans="2:15" x14ac:dyDescent="0.3">
      <c r="B6" s="63" t="s">
        <v>60</v>
      </c>
      <c r="C6" s="66">
        <v>5</v>
      </c>
      <c r="D6" s="66">
        <v>3</v>
      </c>
      <c r="E6" s="66">
        <v>2</v>
      </c>
      <c r="F6" s="66">
        <v>2</v>
      </c>
      <c r="G6" s="66">
        <v>1</v>
      </c>
      <c r="H6" s="66">
        <v>2</v>
      </c>
      <c r="I6" s="66">
        <v>1</v>
      </c>
      <c r="J6" s="66">
        <v>2</v>
      </c>
      <c r="K6" s="66">
        <v>3</v>
      </c>
      <c r="L6" s="66">
        <v>2</v>
      </c>
    </row>
    <row r="7" spans="2:15" x14ac:dyDescent="0.3">
      <c r="B7" s="64" t="s">
        <v>62</v>
      </c>
      <c r="C7" s="65">
        <v>3</v>
      </c>
      <c r="D7" s="65">
        <v>3</v>
      </c>
      <c r="E7" s="65">
        <v>9</v>
      </c>
      <c r="F7" s="65">
        <v>9</v>
      </c>
      <c r="G7" s="65">
        <v>1</v>
      </c>
      <c r="H7" s="65">
        <v>1</v>
      </c>
      <c r="I7" s="65">
        <v>1</v>
      </c>
      <c r="J7" s="65">
        <v>3</v>
      </c>
      <c r="K7" s="65">
        <v>9</v>
      </c>
      <c r="L7" s="65">
        <v>1</v>
      </c>
      <c r="M7" s="64">
        <f>C7*$C$6+D7*$D$6+E7*$E$6+F7*$F$6+$G$6*G7+$H$6*H7+$I$6*I7+$J$6*J7+$K$6*K7+$L$6*L7</f>
        <v>99</v>
      </c>
    </row>
    <row r="8" spans="2:15" x14ac:dyDescent="0.3">
      <c r="B8" s="64" t="s">
        <v>63</v>
      </c>
      <c r="C8" s="65">
        <v>3</v>
      </c>
      <c r="D8" s="65">
        <v>9</v>
      </c>
      <c r="E8" s="65">
        <v>3</v>
      </c>
      <c r="F8" s="65">
        <v>1</v>
      </c>
      <c r="G8" s="65">
        <v>1</v>
      </c>
      <c r="H8" s="65">
        <v>1</v>
      </c>
      <c r="I8" s="65">
        <v>1</v>
      </c>
      <c r="J8" s="65">
        <v>3</v>
      </c>
      <c r="K8" s="65">
        <v>9</v>
      </c>
      <c r="L8" s="65">
        <v>1</v>
      </c>
      <c r="M8" s="64">
        <f t="shared" ref="M8:M18" si="0">C8*$C$6+D8*$D$6+E8*$E$6+F8*$F$6+$G$6*G8+$H$6*H8+$I$6*I8+$J$6*J8+$K$6*K8+$L$6*L8</f>
        <v>89</v>
      </c>
    </row>
    <row r="9" spans="2:15" x14ac:dyDescent="0.3">
      <c r="B9" s="64" t="s">
        <v>64</v>
      </c>
      <c r="C9" s="65">
        <v>3</v>
      </c>
      <c r="D9" s="65">
        <v>0</v>
      </c>
      <c r="E9" s="65">
        <v>3</v>
      </c>
      <c r="F9" s="65">
        <v>3</v>
      </c>
      <c r="G9" s="65">
        <v>1</v>
      </c>
      <c r="H9" s="65">
        <v>1</v>
      </c>
      <c r="I9" s="65">
        <v>1</v>
      </c>
      <c r="J9" s="65">
        <v>3</v>
      </c>
      <c r="K9" s="65">
        <v>9</v>
      </c>
      <c r="L9" s="65">
        <v>1</v>
      </c>
      <c r="M9" s="64">
        <f t="shared" si="0"/>
        <v>66</v>
      </c>
    </row>
    <row r="10" spans="2:15" x14ac:dyDescent="0.3">
      <c r="B10" s="64" t="s">
        <v>65</v>
      </c>
      <c r="C10" s="65">
        <v>3</v>
      </c>
      <c r="D10" s="65">
        <v>1</v>
      </c>
      <c r="E10" s="65">
        <v>3</v>
      </c>
      <c r="F10" s="65">
        <v>9</v>
      </c>
      <c r="G10" s="65">
        <v>1</v>
      </c>
      <c r="H10" s="65">
        <v>1</v>
      </c>
      <c r="I10" s="65">
        <v>1</v>
      </c>
      <c r="J10" s="65">
        <v>3</v>
      </c>
      <c r="K10" s="65">
        <v>9</v>
      </c>
      <c r="L10" s="65">
        <v>1</v>
      </c>
      <c r="M10" s="64">
        <f t="shared" si="0"/>
        <v>81</v>
      </c>
    </row>
    <row r="11" spans="2:15" x14ac:dyDescent="0.3">
      <c r="B11" s="64" t="s">
        <v>66</v>
      </c>
      <c r="C11" s="65">
        <v>3</v>
      </c>
      <c r="D11" s="65">
        <v>3</v>
      </c>
      <c r="E11" s="65">
        <v>9</v>
      </c>
      <c r="F11" s="65">
        <v>9</v>
      </c>
      <c r="G11" s="65">
        <v>1</v>
      </c>
      <c r="H11" s="65">
        <v>1</v>
      </c>
      <c r="I11" s="65">
        <v>1</v>
      </c>
      <c r="J11" s="65">
        <v>3</v>
      </c>
      <c r="K11" s="65">
        <v>9</v>
      </c>
      <c r="L11" s="65">
        <v>1</v>
      </c>
      <c r="M11" s="64">
        <f t="shared" si="0"/>
        <v>99</v>
      </c>
    </row>
    <row r="12" spans="2:15" x14ac:dyDescent="0.3">
      <c r="B12" s="64" t="s">
        <v>67</v>
      </c>
      <c r="C12" s="65">
        <v>3</v>
      </c>
      <c r="D12" s="65">
        <v>9</v>
      </c>
      <c r="E12" s="65">
        <v>3</v>
      </c>
      <c r="F12" s="65">
        <v>1</v>
      </c>
      <c r="G12" s="65">
        <v>1</v>
      </c>
      <c r="H12" s="65">
        <v>1</v>
      </c>
      <c r="I12" s="65">
        <v>1</v>
      </c>
      <c r="J12" s="65">
        <v>3</v>
      </c>
      <c r="K12" s="65">
        <v>9</v>
      </c>
      <c r="L12" s="65">
        <v>1</v>
      </c>
      <c r="M12" s="64">
        <f t="shared" si="0"/>
        <v>89</v>
      </c>
    </row>
    <row r="13" spans="2:15" x14ac:dyDescent="0.3">
      <c r="B13" s="64" t="s">
        <v>68</v>
      </c>
      <c r="C13" s="65">
        <v>3</v>
      </c>
      <c r="D13" s="65">
        <v>3</v>
      </c>
      <c r="E13" s="65">
        <v>9</v>
      </c>
      <c r="F13" s="65">
        <v>9</v>
      </c>
      <c r="G13" s="65">
        <v>1</v>
      </c>
      <c r="H13" s="65">
        <v>1</v>
      </c>
      <c r="I13" s="65">
        <v>1</v>
      </c>
      <c r="J13" s="65">
        <v>3</v>
      </c>
      <c r="K13" s="65">
        <v>9</v>
      </c>
      <c r="L13" s="65">
        <v>1</v>
      </c>
      <c r="M13" s="64">
        <f t="shared" si="0"/>
        <v>99</v>
      </c>
    </row>
    <row r="14" spans="2:15" x14ac:dyDescent="0.3">
      <c r="B14" s="64" t="s">
        <v>69</v>
      </c>
      <c r="C14" s="65">
        <v>3</v>
      </c>
      <c r="D14" s="65">
        <v>9</v>
      </c>
      <c r="E14" s="65">
        <v>3</v>
      </c>
      <c r="F14" s="65">
        <v>1</v>
      </c>
      <c r="G14" s="65">
        <v>1</v>
      </c>
      <c r="H14" s="65">
        <v>1</v>
      </c>
      <c r="I14" s="65">
        <v>1</v>
      </c>
      <c r="J14" s="65">
        <v>3</v>
      </c>
      <c r="K14" s="65">
        <v>9</v>
      </c>
      <c r="L14" s="65">
        <v>1</v>
      </c>
      <c r="M14" s="64">
        <f t="shared" si="0"/>
        <v>89</v>
      </c>
    </row>
    <row r="15" spans="2:15" x14ac:dyDescent="0.3">
      <c r="B15" s="64" t="s">
        <v>70</v>
      </c>
      <c r="C15" s="65">
        <v>3</v>
      </c>
      <c r="D15" s="65">
        <v>3</v>
      </c>
      <c r="E15" s="65">
        <v>9</v>
      </c>
      <c r="F15" s="65">
        <v>9</v>
      </c>
      <c r="G15" s="65">
        <v>1</v>
      </c>
      <c r="H15" s="65">
        <v>1</v>
      </c>
      <c r="I15" s="65">
        <v>1</v>
      </c>
      <c r="J15" s="65">
        <v>3</v>
      </c>
      <c r="K15" s="65">
        <v>9</v>
      </c>
      <c r="L15" s="65">
        <v>1</v>
      </c>
      <c r="M15" s="64">
        <f t="shared" si="0"/>
        <v>99</v>
      </c>
    </row>
    <row r="16" spans="2:15" x14ac:dyDescent="0.3">
      <c r="B16" s="64" t="s">
        <v>71</v>
      </c>
      <c r="C16" s="65">
        <v>3</v>
      </c>
      <c r="D16" s="65">
        <v>9</v>
      </c>
      <c r="E16" s="65">
        <v>3</v>
      </c>
      <c r="F16" s="65">
        <v>1</v>
      </c>
      <c r="G16" s="65">
        <v>1</v>
      </c>
      <c r="H16" s="65">
        <v>1</v>
      </c>
      <c r="I16" s="65">
        <v>1</v>
      </c>
      <c r="J16" s="65">
        <v>3</v>
      </c>
      <c r="K16" s="65">
        <v>9</v>
      </c>
      <c r="L16" s="65">
        <v>1</v>
      </c>
      <c r="M16" s="64">
        <f t="shared" si="0"/>
        <v>89</v>
      </c>
    </row>
    <row r="17" spans="2:13" x14ac:dyDescent="0.3">
      <c r="B17" s="64" t="s">
        <v>72</v>
      </c>
      <c r="C17" s="65">
        <v>3</v>
      </c>
      <c r="D17" s="65">
        <v>0</v>
      </c>
      <c r="E17" s="65">
        <v>3</v>
      </c>
      <c r="F17" s="65">
        <v>3</v>
      </c>
      <c r="G17" s="65">
        <v>1</v>
      </c>
      <c r="H17" s="65">
        <v>1</v>
      </c>
      <c r="I17" s="65">
        <v>1</v>
      </c>
      <c r="J17" s="65">
        <v>3</v>
      </c>
      <c r="K17" s="65">
        <v>9</v>
      </c>
      <c r="L17" s="65">
        <v>1</v>
      </c>
      <c r="M17" s="64">
        <f t="shared" si="0"/>
        <v>66</v>
      </c>
    </row>
    <row r="18" spans="2:13" x14ac:dyDescent="0.3">
      <c r="B18" s="64" t="s">
        <v>73</v>
      </c>
      <c r="C18" s="65">
        <v>3</v>
      </c>
      <c r="D18" s="65">
        <v>1</v>
      </c>
      <c r="E18" s="65">
        <v>3</v>
      </c>
      <c r="F18" s="65">
        <v>9</v>
      </c>
      <c r="G18" s="65">
        <v>1</v>
      </c>
      <c r="H18" s="65">
        <v>1</v>
      </c>
      <c r="I18" s="65">
        <v>1</v>
      </c>
      <c r="J18" s="65">
        <v>3</v>
      </c>
      <c r="K18" s="65">
        <v>9</v>
      </c>
      <c r="L18" s="65">
        <v>1</v>
      </c>
      <c r="M18" s="64">
        <f t="shared" si="0"/>
        <v>81</v>
      </c>
    </row>
  </sheetData>
  <hyperlinks>
    <hyperlink ref="O1" location="Menu!A1" display="Return to menu" xr:uid="{00000000-0004-0000-1300-000000000000}"/>
  </hyperlinks>
  <pageMargins left="0.7" right="0.7" top="0.75" bottom="0.7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X101"/>
  <sheetViews>
    <sheetView showGridLines="0" zoomScale="40" zoomScaleNormal="40" workbookViewId="0">
      <selection activeCell="S1" sqref="S1"/>
    </sheetView>
  </sheetViews>
  <sheetFormatPr defaultColWidth="8.88671875" defaultRowHeight="10.199999999999999" x14ac:dyDescent="0.3"/>
  <cols>
    <col min="1" max="1" width="3.44140625" style="265" customWidth="1"/>
    <col min="2" max="2" width="12.88671875" style="265" customWidth="1"/>
    <col min="3" max="4" width="14" style="265" customWidth="1"/>
    <col min="5" max="5" width="3.109375" style="265" customWidth="1"/>
    <col min="6" max="6" width="14" style="265" customWidth="1"/>
    <col min="7" max="7" width="3.109375" style="265" customWidth="1"/>
    <col min="8" max="8" width="13.21875" style="265" customWidth="1"/>
    <col min="9" max="9" width="3.109375" style="265" customWidth="1"/>
    <col min="10" max="10" width="4.88671875" style="265" customWidth="1"/>
    <col min="11" max="11" width="13.44140625" style="265" customWidth="1"/>
    <col min="12" max="13" width="11.44140625" style="265" customWidth="1"/>
    <col min="14" max="16" width="3.109375" style="265" customWidth="1"/>
    <col min="17" max="17" width="3.44140625" style="265" customWidth="1"/>
    <col min="18" max="18" width="8.88671875" style="265"/>
    <col min="19" max="19" width="20.6640625" style="265" bestFit="1" customWidth="1"/>
    <col min="20" max="20" width="8.88671875" style="265"/>
    <col min="21" max="21" width="99.109375" style="265" bestFit="1" customWidth="1"/>
    <col min="22" max="22" width="52.44140625" style="265" bestFit="1" customWidth="1"/>
    <col min="23" max="23" width="19.6640625" style="265" bestFit="1" customWidth="1"/>
    <col min="24" max="24" width="15" style="265" customWidth="1"/>
    <col min="25" max="255" width="8.88671875" style="265"/>
    <col min="256" max="256" width="3.44140625" style="265" customWidth="1"/>
    <col min="257" max="257" width="12.88671875" style="265" customWidth="1"/>
    <col min="258" max="259" width="14" style="265" customWidth="1"/>
    <col min="260" max="260" width="3.109375" style="265" customWidth="1"/>
    <col min="261" max="261" width="2.44140625" style="265" customWidth="1"/>
    <col min="262" max="262" width="14" style="265" customWidth="1"/>
    <col min="263" max="263" width="3.109375" style="265" customWidth="1"/>
    <col min="264" max="264" width="13.21875" style="265" customWidth="1"/>
    <col min="265" max="265" width="3.109375" style="265" customWidth="1"/>
    <col min="266" max="266" width="4.88671875" style="265" customWidth="1"/>
    <col min="267" max="269" width="11.44140625" style="265" customWidth="1"/>
    <col min="270" max="272" width="3.109375" style="265" customWidth="1"/>
    <col min="273" max="273" width="3.44140625" style="265" customWidth="1"/>
    <col min="274" max="511" width="8.88671875" style="265"/>
    <col min="512" max="512" width="3.44140625" style="265" customWidth="1"/>
    <col min="513" max="513" width="12.88671875" style="265" customWidth="1"/>
    <col min="514" max="515" width="14" style="265" customWidth="1"/>
    <col min="516" max="516" width="3.109375" style="265" customWidth="1"/>
    <col min="517" max="517" width="2.44140625" style="265" customWidth="1"/>
    <col min="518" max="518" width="14" style="265" customWidth="1"/>
    <col min="519" max="519" width="3.109375" style="265" customWidth="1"/>
    <col min="520" max="520" width="13.21875" style="265" customWidth="1"/>
    <col min="521" max="521" width="3.109375" style="265" customWidth="1"/>
    <col min="522" max="522" width="4.88671875" style="265" customWidth="1"/>
    <col min="523" max="525" width="11.44140625" style="265" customWidth="1"/>
    <col min="526" max="528" width="3.109375" style="265" customWidth="1"/>
    <col min="529" max="529" width="3.44140625" style="265" customWidth="1"/>
    <col min="530" max="767" width="8.88671875" style="265"/>
    <col min="768" max="768" width="3.44140625" style="265" customWidth="1"/>
    <col min="769" max="769" width="12.88671875" style="265" customWidth="1"/>
    <col min="770" max="771" width="14" style="265" customWidth="1"/>
    <col min="772" max="772" width="3.109375" style="265" customWidth="1"/>
    <col min="773" max="773" width="2.44140625" style="265" customWidth="1"/>
    <col min="774" max="774" width="14" style="265" customWidth="1"/>
    <col min="775" max="775" width="3.109375" style="265" customWidth="1"/>
    <col min="776" max="776" width="13.21875" style="265" customWidth="1"/>
    <col min="777" max="777" width="3.109375" style="265" customWidth="1"/>
    <col min="778" max="778" width="4.88671875" style="265" customWidth="1"/>
    <col min="779" max="781" width="11.44140625" style="265" customWidth="1"/>
    <col min="782" max="784" width="3.109375" style="265" customWidth="1"/>
    <col min="785" max="785" width="3.44140625" style="265" customWidth="1"/>
    <col min="786" max="1023" width="8.88671875" style="265"/>
    <col min="1024" max="1024" width="3.44140625" style="265" customWidth="1"/>
    <col min="1025" max="1025" width="12.88671875" style="265" customWidth="1"/>
    <col min="1026" max="1027" width="14" style="265" customWidth="1"/>
    <col min="1028" max="1028" width="3.109375" style="265" customWidth="1"/>
    <col min="1029" max="1029" width="2.44140625" style="265" customWidth="1"/>
    <col min="1030" max="1030" width="14" style="265" customWidth="1"/>
    <col min="1031" max="1031" width="3.109375" style="265" customWidth="1"/>
    <col min="1032" max="1032" width="13.21875" style="265" customWidth="1"/>
    <col min="1033" max="1033" width="3.109375" style="265" customWidth="1"/>
    <col min="1034" max="1034" width="4.88671875" style="265" customWidth="1"/>
    <col min="1035" max="1037" width="11.44140625" style="265" customWidth="1"/>
    <col min="1038" max="1040" width="3.109375" style="265" customWidth="1"/>
    <col min="1041" max="1041" width="3.44140625" style="265" customWidth="1"/>
    <col min="1042" max="1279" width="8.88671875" style="265"/>
    <col min="1280" max="1280" width="3.44140625" style="265" customWidth="1"/>
    <col min="1281" max="1281" width="12.88671875" style="265" customWidth="1"/>
    <col min="1282" max="1283" width="14" style="265" customWidth="1"/>
    <col min="1284" max="1284" width="3.109375" style="265" customWidth="1"/>
    <col min="1285" max="1285" width="2.44140625" style="265" customWidth="1"/>
    <col min="1286" max="1286" width="14" style="265" customWidth="1"/>
    <col min="1287" max="1287" width="3.109375" style="265" customWidth="1"/>
    <col min="1288" max="1288" width="13.21875" style="265" customWidth="1"/>
    <col min="1289" max="1289" width="3.109375" style="265" customWidth="1"/>
    <col min="1290" max="1290" width="4.88671875" style="265" customWidth="1"/>
    <col min="1291" max="1293" width="11.44140625" style="265" customWidth="1"/>
    <col min="1294" max="1296" width="3.109375" style="265" customWidth="1"/>
    <col min="1297" max="1297" width="3.44140625" style="265" customWidth="1"/>
    <col min="1298" max="1535" width="8.88671875" style="265"/>
    <col min="1536" max="1536" width="3.44140625" style="265" customWidth="1"/>
    <col min="1537" max="1537" width="12.88671875" style="265" customWidth="1"/>
    <col min="1538" max="1539" width="14" style="265" customWidth="1"/>
    <col min="1540" max="1540" width="3.109375" style="265" customWidth="1"/>
    <col min="1541" max="1541" width="2.44140625" style="265" customWidth="1"/>
    <col min="1542" max="1542" width="14" style="265" customWidth="1"/>
    <col min="1543" max="1543" width="3.109375" style="265" customWidth="1"/>
    <col min="1544" max="1544" width="13.21875" style="265" customWidth="1"/>
    <col min="1545" max="1545" width="3.109375" style="265" customWidth="1"/>
    <col min="1546" max="1546" width="4.88671875" style="265" customWidth="1"/>
    <col min="1547" max="1549" width="11.44140625" style="265" customWidth="1"/>
    <col min="1550" max="1552" width="3.109375" style="265" customWidth="1"/>
    <col min="1553" max="1553" width="3.44140625" style="265" customWidth="1"/>
    <col min="1554" max="1791" width="8.88671875" style="265"/>
    <col min="1792" max="1792" width="3.44140625" style="265" customWidth="1"/>
    <col min="1793" max="1793" width="12.88671875" style="265" customWidth="1"/>
    <col min="1794" max="1795" width="14" style="265" customWidth="1"/>
    <col min="1796" max="1796" width="3.109375" style="265" customWidth="1"/>
    <col min="1797" max="1797" width="2.44140625" style="265" customWidth="1"/>
    <col min="1798" max="1798" width="14" style="265" customWidth="1"/>
    <col min="1799" max="1799" width="3.109375" style="265" customWidth="1"/>
    <col min="1800" max="1800" width="13.21875" style="265" customWidth="1"/>
    <col min="1801" max="1801" width="3.109375" style="265" customWidth="1"/>
    <col min="1802" max="1802" width="4.88671875" style="265" customWidth="1"/>
    <col min="1803" max="1805" width="11.44140625" style="265" customWidth="1"/>
    <col min="1806" max="1808" width="3.109375" style="265" customWidth="1"/>
    <col min="1809" max="1809" width="3.44140625" style="265" customWidth="1"/>
    <col min="1810" max="2047" width="8.88671875" style="265"/>
    <col min="2048" max="2048" width="3.44140625" style="265" customWidth="1"/>
    <col min="2049" max="2049" width="12.88671875" style="265" customWidth="1"/>
    <col min="2050" max="2051" width="14" style="265" customWidth="1"/>
    <col min="2052" max="2052" width="3.109375" style="265" customWidth="1"/>
    <col min="2053" max="2053" width="2.44140625" style="265" customWidth="1"/>
    <col min="2054" max="2054" width="14" style="265" customWidth="1"/>
    <col min="2055" max="2055" width="3.109375" style="265" customWidth="1"/>
    <col min="2056" max="2056" width="13.21875" style="265" customWidth="1"/>
    <col min="2057" max="2057" width="3.109375" style="265" customWidth="1"/>
    <col min="2058" max="2058" width="4.88671875" style="265" customWidth="1"/>
    <col min="2059" max="2061" width="11.44140625" style="265" customWidth="1"/>
    <col min="2062" max="2064" width="3.109375" style="265" customWidth="1"/>
    <col min="2065" max="2065" width="3.44140625" style="265" customWidth="1"/>
    <col min="2066" max="2303" width="8.88671875" style="265"/>
    <col min="2304" max="2304" width="3.44140625" style="265" customWidth="1"/>
    <col min="2305" max="2305" width="12.88671875" style="265" customWidth="1"/>
    <col min="2306" max="2307" width="14" style="265" customWidth="1"/>
    <col min="2308" max="2308" width="3.109375" style="265" customWidth="1"/>
    <col min="2309" max="2309" width="2.44140625" style="265" customWidth="1"/>
    <col min="2310" max="2310" width="14" style="265" customWidth="1"/>
    <col min="2311" max="2311" width="3.109375" style="265" customWidth="1"/>
    <col min="2312" max="2312" width="13.21875" style="265" customWidth="1"/>
    <col min="2313" max="2313" width="3.109375" style="265" customWidth="1"/>
    <col min="2314" max="2314" width="4.88671875" style="265" customWidth="1"/>
    <col min="2315" max="2317" width="11.44140625" style="265" customWidth="1"/>
    <col min="2318" max="2320" width="3.109375" style="265" customWidth="1"/>
    <col min="2321" max="2321" width="3.44140625" style="265" customWidth="1"/>
    <col min="2322" max="2559" width="8.88671875" style="265"/>
    <col min="2560" max="2560" width="3.44140625" style="265" customWidth="1"/>
    <col min="2561" max="2561" width="12.88671875" style="265" customWidth="1"/>
    <col min="2562" max="2563" width="14" style="265" customWidth="1"/>
    <col min="2564" max="2564" width="3.109375" style="265" customWidth="1"/>
    <col min="2565" max="2565" width="2.44140625" style="265" customWidth="1"/>
    <col min="2566" max="2566" width="14" style="265" customWidth="1"/>
    <col min="2567" max="2567" width="3.109375" style="265" customWidth="1"/>
    <col min="2568" max="2568" width="13.21875" style="265" customWidth="1"/>
    <col min="2569" max="2569" width="3.109375" style="265" customWidth="1"/>
    <col min="2570" max="2570" width="4.88671875" style="265" customWidth="1"/>
    <col min="2571" max="2573" width="11.44140625" style="265" customWidth="1"/>
    <col min="2574" max="2576" width="3.109375" style="265" customWidth="1"/>
    <col min="2577" max="2577" width="3.44140625" style="265" customWidth="1"/>
    <col min="2578" max="2815" width="8.88671875" style="265"/>
    <col min="2816" max="2816" width="3.44140625" style="265" customWidth="1"/>
    <col min="2817" max="2817" width="12.88671875" style="265" customWidth="1"/>
    <col min="2818" max="2819" width="14" style="265" customWidth="1"/>
    <col min="2820" max="2820" width="3.109375" style="265" customWidth="1"/>
    <col min="2821" max="2821" width="2.44140625" style="265" customWidth="1"/>
    <col min="2822" max="2822" width="14" style="265" customWidth="1"/>
    <col min="2823" max="2823" width="3.109375" style="265" customWidth="1"/>
    <col min="2824" max="2824" width="13.21875" style="265" customWidth="1"/>
    <col min="2825" max="2825" width="3.109375" style="265" customWidth="1"/>
    <col min="2826" max="2826" width="4.88671875" style="265" customWidth="1"/>
    <col min="2827" max="2829" width="11.44140625" style="265" customWidth="1"/>
    <col min="2830" max="2832" width="3.109375" style="265" customWidth="1"/>
    <col min="2833" max="2833" width="3.44140625" style="265" customWidth="1"/>
    <col min="2834" max="3071" width="8.88671875" style="265"/>
    <col min="3072" max="3072" width="3.44140625" style="265" customWidth="1"/>
    <col min="3073" max="3073" width="12.88671875" style="265" customWidth="1"/>
    <col min="3074" max="3075" width="14" style="265" customWidth="1"/>
    <col min="3076" max="3076" width="3.109375" style="265" customWidth="1"/>
    <col min="3077" max="3077" width="2.44140625" style="265" customWidth="1"/>
    <col min="3078" max="3078" width="14" style="265" customWidth="1"/>
    <col min="3079" max="3079" width="3.109375" style="265" customWidth="1"/>
    <col min="3080" max="3080" width="13.21875" style="265" customWidth="1"/>
    <col min="3081" max="3081" width="3.109375" style="265" customWidth="1"/>
    <col min="3082" max="3082" width="4.88671875" style="265" customWidth="1"/>
    <col min="3083" max="3085" width="11.44140625" style="265" customWidth="1"/>
    <col min="3086" max="3088" width="3.109375" style="265" customWidth="1"/>
    <col min="3089" max="3089" width="3.44140625" style="265" customWidth="1"/>
    <col min="3090" max="3327" width="8.88671875" style="265"/>
    <col min="3328" max="3328" width="3.44140625" style="265" customWidth="1"/>
    <col min="3329" max="3329" width="12.88671875" style="265" customWidth="1"/>
    <col min="3330" max="3331" width="14" style="265" customWidth="1"/>
    <col min="3332" max="3332" width="3.109375" style="265" customWidth="1"/>
    <col min="3333" max="3333" width="2.44140625" style="265" customWidth="1"/>
    <col min="3334" max="3334" width="14" style="265" customWidth="1"/>
    <col min="3335" max="3335" width="3.109375" style="265" customWidth="1"/>
    <col min="3336" max="3336" width="13.21875" style="265" customWidth="1"/>
    <col min="3337" max="3337" width="3.109375" style="265" customWidth="1"/>
    <col min="3338" max="3338" width="4.88671875" style="265" customWidth="1"/>
    <col min="3339" max="3341" width="11.44140625" style="265" customWidth="1"/>
    <col min="3342" max="3344" width="3.109375" style="265" customWidth="1"/>
    <col min="3345" max="3345" width="3.44140625" style="265" customWidth="1"/>
    <col min="3346" max="3583" width="8.88671875" style="265"/>
    <col min="3584" max="3584" width="3.44140625" style="265" customWidth="1"/>
    <col min="3585" max="3585" width="12.88671875" style="265" customWidth="1"/>
    <col min="3586" max="3587" width="14" style="265" customWidth="1"/>
    <col min="3588" max="3588" width="3.109375" style="265" customWidth="1"/>
    <col min="3589" max="3589" width="2.44140625" style="265" customWidth="1"/>
    <col min="3590" max="3590" width="14" style="265" customWidth="1"/>
    <col min="3591" max="3591" width="3.109375" style="265" customWidth="1"/>
    <col min="3592" max="3592" width="13.21875" style="265" customWidth="1"/>
    <col min="3593" max="3593" width="3.109375" style="265" customWidth="1"/>
    <col min="3594" max="3594" width="4.88671875" style="265" customWidth="1"/>
    <col min="3595" max="3597" width="11.44140625" style="265" customWidth="1"/>
    <col min="3598" max="3600" width="3.109375" style="265" customWidth="1"/>
    <col min="3601" max="3601" width="3.44140625" style="265" customWidth="1"/>
    <col min="3602" max="3839" width="8.88671875" style="265"/>
    <col min="3840" max="3840" width="3.44140625" style="265" customWidth="1"/>
    <col min="3841" max="3841" width="12.88671875" style="265" customWidth="1"/>
    <col min="3842" max="3843" width="14" style="265" customWidth="1"/>
    <col min="3844" max="3844" width="3.109375" style="265" customWidth="1"/>
    <col min="3845" max="3845" width="2.44140625" style="265" customWidth="1"/>
    <col min="3846" max="3846" width="14" style="265" customWidth="1"/>
    <col min="3847" max="3847" width="3.109375" style="265" customWidth="1"/>
    <col min="3848" max="3848" width="13.21875" style="265" customWidth="1"/>
    <col min="3849" max="3849" width="3.109375" style="265" customWidth="1"/>
    <col min="3850" max="3850" width="4.88671875" style="265" customWidth="1"/>
    <col min="3851" max="3853" width="11.44140625" style="265" customWidth="1"/>
    <col min="3854" max="3856" width="3.109375" style="265" customWidth="1"/>
    <col min="3857" max="3857" width="3.44140625" style="265" customWidth="1"/>
    <col min="3858" max="4095" width="8.88671875" style="265"/>
    <col min="4096" max="4096" width="3.44140625" style="265" customWidth="1"/>
    <col min="4097" max="4097" width="12.88671875" style="265" customWidth="1"/>
    <col min="4098" max="4099" width="14" style="265" customWidth="1"/>
    <col min="4100" max="4100" width="3.109375" style="265" customWidth="1"/>
    <col min="4101" max="4101" width="2.44140625" style="265" customWidth="1"/>
    <col min="4102" max="4102" width="14" style="265" customWidth="1"/>
    <col min="4103" max="4103" width="3.109375" style="265" customWidth="1"/>
    <col min="4104" max="4104" width="13.21875" style="265" customWidth="1"/>
    <col min="4105" max="4105" width="3.109375" style="265" customWidth="1"/>
    <col min="4106" max="4106" width="4.88671875" style="265" customWidth="1"/>
    <col min="4107" max="4109" width="11.44140625" style="265" customWidth="1"/>
    <col min="4110" max="4112" width="3.109375" style="265" customWidth="1"/>
    <col min="4113" max="4113" width="3.44140625" style="265" customWidth="1"/>
    <col min="4114" max="4351" width="8.88671875" style="265"/>
    <col min="4352" max="4352" width="3.44140625" style="265" customWidth="1"/>
    <col min="4353" max="4353" width="12.88671875" style="265" customWidth="1"/>
    <col min="4354" max="4355" width="14" style="265" customWidth="1"/>
    <col min="4356" max="4356" width="3.109375" style="265" customWidth="1"/>
    <col min="4357" max="4357" width="2.44140625" style="265" customWidth="1"/>
    <col min="4358" max="4358" width="14" style="265" customWidth="1"/>
    <col min="4359" max="4359" width="3.109375" style="265" customWidth="1"/>
    <col min="4360" max="4360" width="13.21875" style="265" customWidth="1"/>
    <col min="4361" max="4361" width="3.109375" style="265" customWidth="1"/>
    <col min="4362" max="4362" width="4.88671875" style="265" customWidth="1"/>
    <col min="4363" max="4365" width="11.44140625" style="265" customWidth="1"/>
    <col min="4366" max="4368" width="3.109375" style="265" customWidth="1"/>
    <col min="4369" max="4369" width="3.44140625" style="265" customWidth="1"/>
    <col min="4370" max="4607" width="8.88671875" style="265"/>
    <col min="4608" max="4608" width="3.44140625" style="265" customWidth="1"/>
    <col min="4609" max="4609" width="12.88671875" style="265" customWidth="1"/>
    <col min="4610" max="4611" width="14" style="265" customWidth="1"/>
    <col min="4612" max="4612" width="3.109375" style="265" customWidth="1"/>
    <col min="4613" max="4613" width="2.44140625" style="265" customWidth="1"/>
    <col min="4614" max="4614" width="14" style="265" customWidth="1"/>
    <col min="4615" max="4615" width="3.109375" style="265" customWidth="1"/>
    <col min="4616" max="4616" width="13.21875" style="265" customWidth="1"/>
    <col min="4617" max="4617" width="3.109375" style="265" customWidth="1"/>
    <col min="4618" max="4618" width="4.88671875" style="265" customWidth="1"/>
    <col min="4619" max="4621" width="11.44140625" style="265" customWidth="1"/>
    <col min="4622" max="4624" width="3.109375" style="265" customWidth="1"/>
    <col min="4625" max="4625" width="3.44140625" style="265" customWidth="1"/>
    <col min="4626" max="4863" width="8.88671875" style="265"/>
    <col min="4864" max="4864" width="3.44140625" style="265" customWidth="1"/>
    <col min="4865" max="4865" width="12.88671875" style="265" customWidth="1"/>
    <col min="4866" max="4867" width="14" style="265" customWidth="1"/>
    <col min="4868" max="4868" width="3.109375" style="265" customWidth="1"/>
    <col min="4869" max="4869" width="2.44140625" style="265" customWidth="1"/>
    <col min="4870" max="4870" width="14" style="265" customWidth="1"/>
    <col min="4871" max="4871" width="3.109375" style="265" customWidth="1"/>
    <col min="4872" max="4872" width="13.21875" style="265" customWidth="1"/>
    <col min="4873" max="4873" width="3.109375" style="265" customWidth="1"/>
    <col min="4874" max="4874" width="4.88671875" style="265" customWidth="1"/>
    <col min="4875" max="4877" width="11.44140625" style="265" customWidth="1"/>
    <col min="4878" max="4880" width="3.109375" style="265" customWidth="1"/>
    <col min="4881" max="4881" width="3.44140625" style="265" customWidth="1"/>
    <col min="4882" max="5119" width="8.88671875" style="265"/>
    <col min="5120" max="5120" width="3.44140625" style="265" customWidth="1"/>
    <col min="5121" max="5121" width="12.88671875" style="265" customWidth="1"/>
    <col min="5122" max="5123" width="14" style="265" customWidth="1"/>
    <col min="5124" max="5124" width="3.109375" style="265" customWidth="1"/>
    <col min="5125" max="5125" width="2.44140625" style="265" customWidth="1"/>
    <col min="5126" max="5126" width="14" style="265" customWidth="1"/>
    <col min="5127" max="5127" width="3.109375" style="265" customWidth="1"/>
    <col min="5128" max="5128" width="13.21875" style="265" customWidth="1"/>
    <col min="5129" max="5129" width="3.109375" style="265" customWidth="1"/>
    <col min="5130" max="5130" width="4.88671875" style="265" customWidth="1"/>
    <col min="5131" max="5133" width="11.44140625" style="265" customWidth="1"/>
    <col min="5134" max="5136" width="3.109375" style="265" customWidth="1"/>
    <col min="5137" max="5137" width="3.44140625" style="265" customWidth="1"/>
    <col min="5138" max="5375" width="8.88671875" style="265"/>
    <col min="5376" max="5376" width="3.44140625" style="265" customWidth="1"/>
    <col min="5377" max="5377" width="12.88671875" style="265" customWidth="1"/>
    <col min="5378" max="5379" width="14" style="265" customWidth="1"/>
    <col min="5380" max="5380" width="3.109375" style="265" customWidth="1"/>
    <col min="5381" max="5381" width="2.44140625" style="265" customWidth="1"/>
    <col min="5382" max="5382" width="14" style="265" customWidth="1"/>
    <col min="5383" max="5383" width="3.109375" style="265" customWidth="1"/>
    <col min="5384" max="5384" width="13.21875" style="265" customWidth="1"/>
    <col min="5385" max="5385" width="3.109375" style="265" customWidth="1"/>
    <col min="5386" max="5386" width="4.88671875" style="265" customWidth="1"/>
    <col min="5387" max="5389" width="11.44140625" style="265" customWidth="1"/>
    <col min="5390" max="5392" width="3.109375" style="265" customWidth="1"/>
    <col min="5393" max="5393" width="3.44140625" style="265" customWidth="1"/>
    <col min="5394" max="5631" width="8.88671875" style="265"/>
    <col min="5632" max="5632" width="3.44140625" style="265" customWidth="1"/>
    <col min="5633" max="5633" width="12.88671875" style="265" customWidth="1"/>
    <col min="5634" max="5635" width="14" style="265" customWidth="1"/>
    <col min="5636" max="5636" width="3.109375" style="265" customWidth="1"/>
    <col min="5637" max="5637" width="2.44140625" style="265" customWidth="1"/>
    <col min="5638" max="5638" width="14" style="265" customWidth="1"/>
    <col min="5639" max="5639" width="3.109375" style="265" customWidth="1"/>
    <col min="5640" max="5640" width="13.21875" style="265" customWidth="1"/>
    <col min="5641" max="5641" width="3.109375" style="265" customWidth="1"/>
    <col min="5642" max="5642" width="4.88671875" style="265" customWidth="1"/>
    <col min="5643" max="5645" width="11.44140625" style="265" customWidth="1"/>
    <col min="5646" max="5648" width="3.109375" style="265" customWidth="1"/>
    <col min="5649" max="5649" width="3.44140625" style="265" customWidth="1"/>
    <col min="5650" max="5887" width="8.88671875" style="265"/>
    <col min="5888" max="5888" width="3.44140625" style="265" customWidth="1"/>
    <col min="5889" max="5889" width="12.88671875" style="265" customWidth="1"/>
    <col min="5890" max="5891" width="14" style="265" customWidth="1"/>
    <col min="5892" max="5892" width="3.109375" style="265" customWidth="1"/>
    <col min="5893" max="5893" width="2.44140625" style="265" customWidth="1"/>
    <col min="5894" max="5894" width="14" style="265" customWidth="1"/>
    <col min="5895" max="5895" width="3.109375" style="265" customWidth="1"/>
    <col min="5896" max="5896" width="13.21875" style="265" customWidth="1"/>
    <col min="5897" max="5897" width="3.109375" style="265" customWidth="1"/>
    <col min="5898" max="5898" width="4.88671875" style="265" customWidth="1"/>
    <col min="5899" max="5901" width="11.44140625" style="265" customWidth="1"/>
    <col min="5902" max="5904" width="3.109375" style="265" customWidth="1"/>
    <col min="5905" max="5905" width="3.44140625" style="265" customWidth="1"/>
    <col min="5906" max="6143" width="8.88671875" style="265"/>
    <col min="6144" max="6144" width="3.44140625" style="265" customWidth="1"/>
    <col min="6145" max="6145" width="12.88671875" style="265" customWidth="1"/>
    <col min="6146" max="6147" width="14" style="265" customWidth="1"/>
    <col min="6148" max="6148" width="3.109375" style="265" customWidth="1"/>
    <col min="6149" max="6149" width="2.44140625" style="265" customWidth="1"/>
    <col min="6150" max="6150" width="14" style="265" customWidth="1"/>
    <col min="6151" max="6151" width="3.109375" style="265" customWidth="1"/>
    <col min="6152" max="6152" width="13.21875" style="265" customWidth="1"/>
    <col min="6153" max="6153" width="3.109375" style="265" customWidth="1"/>
    <col min="6154" max="6154" width="4.88671875" style="265" customWidth="1"/>
    <col min="6155" max="6157" width="11.44140625" style="265" customWidth="1"/>
    <col min="6158" max="6160" width="3.109375" style="265" customWidth="1"/>
    <col min="6161" max="6161" width="3.44140625" style="265" customWidth="1"/>
    <col min="6162" max="6399" width="8.88671875" style="265"/>
    <col min="6400" max="6400" width="3.44140625" style="265" customWidth="1"/>
    <col min="6401" max="6401" width="12.88671875" style="265" customWidth="1"/>
    <col min="6402" max="6403" width="14" style="265" customWidth="1"/>
    <col min="6404" max="6404" width="3.109375" style="265" customWidth="1"/>
    <col min="6405" max="6405" width="2.44140625" style="265" customWidth="1"/>
    <col min="6406" max="6406" width="14" style="265" customWidth="1"/>
    <col min="6407" max="6407" width="3.109375" style="265" customWidth="1"/>
    <col min="6408" max="6408" width="13.21875" style="265" customWidth="1"/>
    <col min="6409" max="6409" width="3.109375" style="265" customWidth="1"/>
    <col min="6410" max="6410" width="4.88671875" style="265" customWidth="1"/>
    <col min="6411" max="6413" width="11.44140625" style="265" customWidth="1"/>
    <col min="6414" max="6416" width="3.109375" style="265" customWidth="1"/>
    <col min="6417" max="6417" width="3.44140625" style="265" customWidth="1"/>
    <col min="6418" max="6655" width="8.88671875" style="265"/>
    <col min="6656" max="6656" width="3.44140625" style="265" customWidth="1"/>
    <col min="6657" max="6657" width="12.88671875" style="265" customWidth="1"/>
    <col min="6658" max="6659" width="14" style="265" customWidth="1"/>
    <col min="6660" max="6660" width="3.109375" style="265" customWidth="1"/>
    <col min="6661" max="6661" width="2.44140625" style="265" customWidth="1"/>
    <col min="6662" max="6662" width="14" style="265" customWidth="1"/>
    <col min="6663" max="6663" width="3.109375" style="265" customWidth="1"/>
    <col min="6664" max="6664" width="13.21875" style="265" customWidth="1"/>
    <col min="6665" max="6665" width="3.109375" style="265" customWidth="1"/>
    <col min="6666" max="6666" width="4.88671875" style="265" customWidth="1"/>
    <col min="6667" max="6669" width="11.44140625" style="265" customWidth="1"/>
    <col min="6670" max="6672" width="3.109375" style="265" customWidth="1"/>
    <col min="6673" max="6673" width="3.44140625" style="265" customWidth="1"/>
    <col min="6674" max="6911" width="8.88671875" style="265"/>
    <col min="6912" max="6912" width="3.44140625" style="265" customWidth="1"/>
    <col min="6913" max="6913" width="12.88671875" style="265" customWidth="1"/>
    <col min="6914" max="6915" width="14" style="265" customWidth="1"/>
    <col min="6916" max="6916" width="3.109375" style="265" customWidth="1"/>
    <col min="6917" max="6917" width="2.44140625" style="265" customWidth="1"/>
    <col min="6918" max="6918" width="14" style="265" customWidth="1"/>
    <col min="6919" max="6919" width="3.109375" style="265" customWidth="1"/>
    <col min="6920" max="6920" width="13.21875" style="265" customWidth="1"/>
    <col min="6921" max="6921" width="3.109375" style="265" customWidth="1"/>
    <col min="6922" max="6922" width="4.88671875" style="265" customWidth="1"/>
    <col min="6923" max="6925" width="11.44140625" style="265" customWidth="1"/>
    <col min="6926" max="6928" width="3.109375" style="265" customWidth="1"/>
    <col min="6929" max="6929" width="3.44140625" style="265" customWidth="1"/>
    <col min="6930" max="7167" width="8.88671875" style="265"/>
    <col min="7168" max="7168" width="3.44140625" style="265" customWidth="1"/>
    <col min="7169" max="7169" width="12.88671875" style="265" customWidth="1"/>
    <col min="7170" max="7171" width="14" style="265" customWidth="1"/>
    <col min="7172" max="7172" width="3.109375" style="265" customWidth="1"/>
    <col min="7173" max="7173" width="2.44140625" style="265" customWidth="1"/>
    <col min="7174" max="7174" width="14" style="265" customWidth="1"/>
    <col min="7175" max="7175" width="3.109375" style="265" customWidth="1"/>
    <col min="7176" max="7176" width="13.21875" style="265" customWidth="1"/>
    <col min="7177" max="7177" width="3.109375" style="265" customWidth="1"/>
    <col min="7178" max="7178" width="4.88671875" style="265" customWidth="1"/>
    <col min="7179" max="7181" width="11.44140625" style="265" customWidth="1"/>
    <col min="7182" max="7184" width="3.109375" style="265" customWidth="1"/>
    <col min="7185" max="7185" width="3.44140625" style="265" customWidth="1"/>
    <col min="7186" max="7423" width="8.88671875" style="265"/>
    <col min="7424" max="7424" width="3.44140625" style="265" customWidth="1"/>
    <col min="7425" max="7425" width="12.88671875" style="265" customWidth="1"/>
    <col min="7426" max="7427" width="14" style="265" customWidth="1"/>
    <col min="7428" max="7428" width="3.109375" style="265" customWidth="1"/>
    <col min="7429" max="7429" width="2.44140625" style="265" customWidth="1"/>
    <col min="7430" max="7430" width="14" style="265" customWidth="1"/>
    <col min="7431" max="7431" width="3.109375" style="265" customWidth="1"/>
    <col min="7432" max="7432" width="13.21875" style="265" customWidth="1"/>
    <col min="7433" max="7433" width="3.109375" style="265" customWidth="1"/>
    <col min="7434" max="7434" width="4.88671875" style="265" customWidth="1"/>
    <col min="7435" max="7437" width="11.44140625" style="265" customWidth="1"/>
    <col min="7438" max="7440" width="3.109375" style="265" customWidth="1"/>
    <col min="7441" max="7441" width="3.44140625" style="265" customWidth="1"/>
    <col min="7442" max="7679" width="8.88671875" style="265"/>
    <col min="7680" max="7680" width="3.44140625" style="265" customWidth="1"/>
    <col min="7681" max="7681" width="12.88671875" style="265" customWidth="1"/>
    <col min="7682" max="7683" width="14" style="265" customWidth="1"/>
    <col min="7684" max="7684" width="3.109375" style="265" customWidth="1"/>
    <col min="7685" max="7685" width="2.44140625" style="265" customWidth="1"/>
    <col min="7686" max="7686" width="14" style="265" customWidth="1"/>
    <col min="7687" max="7687" width="3.109375" style="265" customWidth="1"/>
    <col min="7688" max="7688" width="13.21875" style="265" customWidth="1"/>
    <col min="7689" max="7689" width="3.109375" style="265" customWidth="1"/>
    <col min="7690" max="7690" width="4.88671875" style="265" customWidth="1"/>
    <col min="7691" max="7693" width="11.44140625" style="265" customWidth="1"/>
    <col min="7694" max="7696" width="3.109375" style="265" customWidth="1"/>
    <col min="7697" max="7697" width="3.44140625" style="265" customWidth="1"/>
    <col min="7698" max="7935" width="8.88671875" style="265"/>
    <col min="7936" max="7936" width="3.44140625" style="265" customWidth="1"/>
    <col min="7937" max="7937" width="12.88671875" style="265" customWidth="1"/>
    <col min="7938" max="7939" width="14" style="265" customWidth="1"/>
    <col min="7940" max="7940" width="3.109375" style="265" customWidth="1"/>
    <col min="7941" max="7941" width="2.44140625" style="265" customWidth="1"/>
    <col min="7942" max="7942" width="14" style="265" customWidth="1"/>
    <col min="7943" max="7943" width="3.109375" style="265" customWidth="1"/>
    <col min="7944" max="7944" width="13.21875" style="265" customWidth="1"/>
    <col min="7945" max="7945" width="3.109375" style="265" customWidth="1"/>
    <col min="7946" max="7946" width="4.88671875" style="265" customWidth="1"/>
    <col min="7947" max="7949" width="11.44140625" style="265" customWidth="1"/>
    <col min="7950" max="7952" width="3.109375" style="265" customWidth="1"/>
    <col min="7953" max="7953" width="3.44140625" style="265" customWidth="1"/>
    <col min="7954" max="8191" width="8.88671875" style="265"/>
    <col min="8192" max="8192" width="3.44140625" style="265" customWidth="1"/>
    <col min="8193" max="8193" width="12.88671875" style="265" customWidth="1"/>
    <col min="8194" max="8195" width="14" style="265" customWidth="1"/>
    <col min="8196" max="8196" width="3.109375" style="265" customWidth="1"/>
    <col min="8197" max="8197" width="2.44140625" style="265" customWidth="1"/>
    <col min="8198" max="8198" width="14" style="265" customWidth="1"/>
    <col min="8199" max="8199" width="3.109375" style="265" customWidth="1"/>
    <col min="8200" max="8200" width="13.21875" style="265" customWidth="1"/>
    <col min="8201" max="8201" width="3.109375" style="265" customWidth="1"/>
    <col min="8202" max="8202" width="4.88671875" style="265" customWidth="1"/>
    <col min="8203" max="8205" width="11.44140625" style="265" customWidth="1"/>
    <col min="8206" max="8208" width="3.109375" style="265" customWidth="1"/>
    <col min="8209" max="8209" width="3.44140625" style="265" customWidth="1"/>
    <col min="8210" max="8447" width="8.88671875" style="265"/>
    <col min="8448" max="8448" width="3.44140625" style="265" customWidth="1"/>
    <col min="8449" max="8449" width="12.88671875" style="265" customWidth="1"/>
    <col min="8450" max="8451" width="14" style="265" customWidth="1"/>
    <col min="8452" max="8452" width="3.109375" style="265" customWidth="1"/>
    <col min="8453" max="8453" width="2.44140625" style="265" customWidth="1"/>
    <col min="8454" max="8454" width="14" style="265" customWidth="1"/>
    <col min="8455" max="8455" width="3.109375" style="265" customWidth="1"/>
    <col min="8456" max="8456" width="13.21875" style="265" customWidth="1"/>
    <col min="8457" max="8457" width="3.109375" style="265" customWidth="1"/>
    <col min="8458" max="8458" width="4.88671875" style="265" customWidth="1"/>
    <col min="8459" max="8461" width="11.44140625" style="265" customWidth="1"/>
    <col min="8462" max="8464" width="3.109375" style="265" customWidth="1"/>
    <col min="8465" max="8465" width="3.44140625" style="265" customWidth="1"/>
    <col min="8466" max="8703" width="8.88671875" style="265"/>
    <col min="8704" max="8704" width="3.44140625" style="265" customWidth="1"/>
    <col min="8705" max="8705" width="12.88671875" style="265" customWidth="1"/>
    <col min="8706" max="8707" width="14" style="265" customWidth="1"/>
    <col min="8708" max="8708" width="3.109375" style="265" customWidth="1"/>
    <col min="8709" max="8709" width="2.44140625" style="265" customWidth="1"/>
    <col min="8710" max="8710" width="14" style="265" customWidth="1"/>
    <col min="8711" max="8711" width="3.109375" style="265" customWidth="1"/>
    <col min="8712" max="8712" width="13.21875" style="265" customWidth="1"/>
    <col min="8713" max="8713" width="3.109375" style="265" customWidth="1"/>
    <col min="8714" max="8714" width="4.88671875" style="265" customWidth="1"/>
    <col min="8715" max="8717" width="11.44140625" style="265" customWidth="1"/>
    <col min="8718" max="8720" width="3.109375" style="265" customWidth="1"/>
    <col min="8721" max="8721" width="3.44140625" style="265" customWidth="1"/>
    <col min="8722" max="8959" width="8.88671875" style="265"/>
    <col min="8960" max="8960" width="3.44140625" style="265" customWidth="1"/>
    <col min="8961" max="8961" width="12.88671875" style="265" customWidth="1"/>
    <col min="8962" max="8963" width="14" style="265" customWidth="1"/>
    <col min="8964" max="8964" width="3.109375" style="265" customWidth="1"/>
    <col min="8965" max="8965" width="2.44140625" style="265" customWidth="1"/>
    <col min="8966" max="8966" width="14" style="265" customWidth="1"/>
    <col min="8967" max="8967" width="3.109375" style="265" customWidth="1"/>
    <col min="8968" max="8968" width="13.21875" style="265" customWidth="1"/>
    <col min="8969" max="8969" width="3.109375" style="265" customWidth="1"/>
    <col min="8970" max="8970" width="4.88671875" style="265" customWidth="1"/>
    <col min="8971" max="8973" width="11.44140625" style="265" customWidth="1"/>
    <col min="8974" max="8976" width="3.109375" style="265" customWidth="1"/>
    <col min="8977" max="8977" width="3.44140625" style="265" customWidth="1"/>
    <col min="8978" max="9215" width="8.88671875" style="265"/>
    <col min="9216" max="9216" width="3.44140625" style="265" customWidth="1"/>
    <col min="9217" max="9217" width="12.88671875" style="265" customWidth="1"/>
    <col min="9218" max="9219" width="14" style="265" customWidth="1"/>
    <col min="9220" max="9220" width="3.109375" style="265" customWidth="1"/>
    <col min="9221" max="9221" width="2.44140625" style="265" customWidth="1"/>
    <col min="9222" max="9222" width="14" style="265" customWidth="1"/>
    <col min="9223" max="9223" width="3.109375" style="265" customWidth="1"/>
    <col min="9224" max="9224" width="13.21875" style="265" customWidth="1"/>
    <col min="9225" max="9225" width="3.109375" style="265" customWidth="1"/>
    <col min="9226" max="9226" width="4.88671875" style="265" customWidth="1"/>
    <col min="9227" max="9229" width="11.44140625" style="265" customWidth="1"/>
    <col min="9230" max="9232" width="3.109375" style="265" customWidth="1"/>
    <col min="9233" max="9233" width="3.44140625" style="265" customWidth="1"/>
    <col min="9234" max="9471" width="8.88671875" style="265"/>
    <col min="9472" max="9472" width="3.44140625" style="265" customWidth="1"/>
    <col min="9473" max="9473" width="12.88671875" style="265" customWidth="1"/>
    <col min="9474" max="9475" width="14" style="265" customWidth="1"/>
    <col min="9476" max="9476" width="3.109375" style="265" customWidth="1"/>
    <col min="9477" max="9477" width="2.44140625" style="265" customWidth="1"/>
    <col min="9478" max="9478" width="14" style="265" customWidth="1"/>
    <col min="9479" max="9479" width="3.109375" style="265" customWidth="1"/>
    <col min="9480" max="9480" width="13.21875" style="265" customWidth="1"/>
    <col min="9481" max="9481" width="3.109375" style="265" customWidth="1"/>
    <col min="9482" max="9482" width="4.88671875" style="265" customWidth="1"/>
    <col min="9483" max="9485" width="11.44140625" style="265" customWidth="1"/>
    <col min="9486" max="9488" width="3.109375" style="265" customWidth="1"/>
    <col min="9489" max="9489" width="3.44140625" style="265" customWidth="1"/>
    <col min="9490" max="9727" width="8.88671875" style="265"/>
    <col min="9728" max="9728" width="3.44140625" style="265" customWidth="1"/>
    <col min="9729" max="9729" width="12.88671875" style="265" customWidth="1"/>
    <col min="9730" max="9731" width="14" style="265" customWidth="1"/>
    <col min="9732" max="9732" width="3.109375" style="265" customWidth="1"/>
    <col min="9733" max="9733" width="2.44140625" style="265" customWidth="1"/>
    <col min="9734" max="9734" width="14" style="265" customWidth="1"/>
    <col min="9735" max="9735" width="3.109375" style="265" customWidth="1"/>
    <col min="9736" max="9736" width="13.21875" style="265" customWidth="1"/>
    <col min="9737" max="9737" width="3.109375" style="265" customWidth="1"/>
    <col min="9738" max="9738" width="4.88671875" style="265" customWidth="1"/>
    <col min="9739" max="9741" width="11.44140625" style="265" customWidth="1"/>
    <col min="9742" max="9744" width="3.109375" style="265" customWidth="1"/>
    <col min="9745" max="9745" width="3.44140625" style="265" customWidth="1"/>
    <col min="9746" max="9983" width="8.88671875" style="265"/>
    <col min="9984" max="9984" width="3.44140625" style="265" customWidth="1"/>
    <col min="9985" max="9985" width="12.88671875" style="265" customWidth="1"/>
    <col min="9986" max="9987" width="14" style="265" customWidth="1"/>
    <col min="9988" max="9988" width="3.109375" style="265" customWidth="1"/>
    <col min="9989" max="9989" width="2.44140625" style="265" customWidth="1"/>
    <col min="9990" max="9990" width="14" style="265" customWidth="1"/>
    <col min="9991" max="9991" width="3.109375" style="265" customWidth="1"/>
    <col min="9992" max="9992" width="13.21875" style="265" customWidth="1"/>
    <col min="9993" max="9993" width="3.109375" style="265" customWidth="1"/>
    <col min="9994" max="9994" width="4.88671875" style="265" customWidth="1"/>
    <col min="9995" max="9997" width="11.44140625" style="265" customWidth="1"/>
    <col min="9998" max="10000" width="3.109375" style="265" customWidth="1"/>
    <col min="10001" max="10001" width="3.44140625" style="265" customWidth="1"/>
    <col min="10002" max="10239" width="8.88671875" style="265"/>
    <col min="10240" max="10240" width="3.44140625" style="265" customWidth="1"/>
    <col min="10241" max="10241" width="12.88671875" style="265" customWidth="1"/>
    <col min="10242" max="10243" width="14" style="265" customWidth="1"/>
    <col min="10244" max="10244" width="3.109375" style="265" customWidth="1"/>
    <col min="10245" max="10245" width="2.44140625" style="265" customWidth="1"/>
    <col min="10246" max="10246" width="14" style="265" customWidth="1"/>
    <col min="10247" max="10247" width="3.109375" style="265" customWidth="1"/>
    <col min="10248" max="10248" width="13.21875" style="265" customWidth="1"/>
    <col min="10249" max="10249" width="3.109375" style="265" customWidth="1"/>
    <col min="10250" max="10250" width="4.88671875" style="265" customWidth="1"/>
    <col min="10251" max="10253" width="11.44140625" style="265" customWidth="1"/>
    <col min="10254" max="10256" width="3.109375" style="265" customWidth="1"/>
    <col min="10257" max="10257" width="3.44140625" style="265" customWidth="1"/>
    <col min="10258" max="10495" width="8.88671875" style="265"/>
    <col min="10496" max="10496" width="3.44140625" style="265" customWidth="1"/>
    <col min="10497" max="10497" width="12.88671875" style="265" customWidth="1"/>
    <col min="10498" max="10499" width="14" style="265" customWidth="1"/>
    <col min="10500" max="10500" width="3.109375" style="265" customWidth="1"/>
    <col min="10501" max="10501" width="2.44140625" style="265" customWidth="1"/>
    <col min="10502" max="10502" width="14" style="265" customWidth="1"/>
    <col min="10503" max="10503" width="3.109375" style="265" customWidth="1"/>
    <col min="10504" max="10504" width="13.21875" style="265" customWidth="1"/>
    <col min="10505" max="10505" width="3.109375" style="265" customWidth="1"/>
    <col min="10506" max="10506" width="4.88671875" style="265" customWidth="1"/>
    <col min="10507" max="10509" width="11.44140625" style="265" customWidth="1"/>
    <col min="10510" max="10512" width="3.109375" style="265" customWidth="1"/>
    <col min="10513" max="10513" width="3.44140625" style="265" customWidth="1"/>
    <col min="10514" max="10751" width="8.88671875" style="265"/>
    <col min="10752" max="10752" width="3.44140625" style="265" customWidth="1"/>
    <col min="10753" max="10753" width="12.88671875" style="265" customWidth="1"/>
    <col min="10754" max="10755" width="14" style="265" customWidth="1"/>
    <col min="10756" max="10756" width="3.109375" style="265" customWidth="1"/>
    <col min="10757" max="10757" width="2.44140625" style="265" customWidth="1"/>
    <col min="10758" max="10758" width="14" style="265" customWidth="1"/>
    <col min="10759" max="10759" width="3.109375" style="265" customWidth="1"/>
    <col min="10760" max="10760" width="13.21875" style="265" customWidth="1"/>
    <col min="10761" max="10761" width="3.109375" style="265" customWidth="1"/>
    <col min="10762" max="10762" width="4.88671875" style="265" customWidth="1"/>
    <col min="10763" max="10765" width="11.44140625" style="265" customWidth="1"/>
    <col min="10766" max="10768" width="3.109375" style="265" customWidth="1"/>
    <col min="10769" max="10769" width="3.44140625" style="265" customWidth="1"/>
    <col min="10770" max="11007" width="8.88671875" style="265"/>
    <col min="11008" max="11008" width="3.44140625" style="265" customWidth="1"/>
    <col min="11009" max="11009" width="12.88671875" style="265" customWidth="1"/>
    <col min="11010" max="11011" width="14" style="265" customWidth="1"/>
    <col min="11012" max="11012" width="3.109375" style="265" customWidth="1"/>
    <col min="11013" max="11013" width="2.44140625" style="265" customWidth="1"/>
    <col min="11014" max="11014" width="14" style="265" customWidth="1"/>
    <col min="11015" max="11015" width="3.109375" style="265" customWidth="1"/>
    <col min="11016" max="11016" width="13.21875" style="265" customWidth="1"/>
    <col min="11017" max="11017" width="3.109375" style="265" customWidth="1"/>
    <col min="11018" max="11018" width="4.88671875" style="265" customWidth="1"/>
    <col min="11019" max="11021" width="11.44140625" style="265" customWidth="1"/>
    <col min="11022" max="11024" width="3.109375" style="265" customWidth="1"/>
    <col min="11025" max="11025" width="3.44140625" style="265" customWidth="1"/>
    <col min="11026" max="11263" width="8.88671875" style="265"/>
    <col min="11264" max="11264" width="3.44140625" style="265" customWidth="1"/>
    <col min="11265" max="11265" width="12.88671875" style="265" customWidth="1"/>
    <col min="11266" max="11267" width="14" style="265" customWidth="1"/>
    <col min="11268" max="11268" width="3.109375" style="265" customWidth="1"/>
    <col min="11269" max="11269" width="2.44140625" style="265" customWidth="1"/>
    <col min="11270" max="11270" width="14" style="265" customWidth="1"/>
    <col min="11271" max="11271" width="3.109375" style="265" customWidth="1"/>
    <col min="11272" max="11272" width="13.21875" style="265" customWidth="1"/>
    <col min="11273" max="11273" width="3.109375" style="265" customWidth="1"/>
    <col min="11274" max="11274" width="4.88671875" style="265" customWidth="1"/>
    <col min="11275" max="11277" width="11.44140625" style="265" customWidth="1"/>
    <col min="11278" max="11280" width="3.109375" style="265" customWidth="1"/>
    <col min="11281" max="11281" width="3.44140625" style="265" customWidth="1"/>
    <col min="11282" max="11519" width="8.88671875" style="265"/>
    <col min="11520" max="11520" width="3.44140625" style="265" customWidth="1"/>
    <col min="11521" max="11521" width="12.88671875" style="265" customWidth="1"/>
    <col min="11522" max="11523" width="14" style="265" customWidth="1"/>
    <col min="11524" max="11524" width="3.109375" style="265" customWidth="1"/>
    <col min="11525" max="11525" width="2.44140625" style="265" customWidth="1"/>
    <col min="11526" max="11526" width="14" style="265" customWidth="1"/>
    <col min="11527" max="11527" width="3.109375" style="265" customWidth="1"/>
    <col min="11528" max="11528" width="13.21875" style="265" customWidth="1"/>
    <col min="11529" max="11529" width="3.109375" style="265" customWidth="1"/>
    <col min="11530" max="11530" width="4.88671875" style="265" customWidth="1"/>
    <col min="11531" max="11533" width="11.44140625" style="265" customWidth="1"/>
    <col min="11534" max="11536" width="3.109375" style="265" customWidth="1"/>
    <col min="11537" max="11537" width="3.44140625" style="265" customWidth="1"/>
    <col min="11538" max="11775" width="8.88671875" style="265"/>
    <col min="11776" max="11776" width="3.44140625" style="265" customWidth="1"/>
    <col min="11777" max="11777" width="12.88671875" style="265" customWidth="1"/>
    <col min="11778" max="11779" width="14" style="265" customWidth="1"/>
    <col min="11780" max="11780" width="3.109375" style="265" customWidth="1"/>
    <col min="11781" max="11781" width="2.44140625" style="265" customWidth="1"/>
    <col min="11782" max="11782" width="14" style="265" customWidth="1"/>
    <col min="11783" max="11783" width="3.109375" style="265" customWidth="1"/>
    <col min="11784" max="11784" width="13.21875" style="265" customWidth="1"/>
    <col min="11785" max="11785" width="3.109375" style="265" customWidth="1"/>
    <col min="11786" max="11786" width="4.88671875" style="265" customWidth="1"/>
    <col min="11787" max="11789" width="11.44140625" style="265" customWidth="1"/>
    <col min="11790" max="11792" width="3.109375" style="265" customWidth="1"/>
    <col min="11793" max="11793" width="3.44140625" style="265" customWidth="1"/>
    <col min="11794" max="12031" width="8.88671875" style="265"/>
    <col min="12032" max="12032" width="3.44140625" style="265" customWidth="1"/>
    <col min="12033" max="12033" width="12.88671875" style="265" customWidth="1"/>
    <col min="12034" max="12035" width="14" style="265" customWidth="1"/>
    <col min="12036" max="12036" width="3.109375" style="265" customWidth="1"/>
    <col min="12037" max="12037" width="2.44140625" style="265" customWidth="1"/>
    <col min="12038" max="12038" width="14" style="265" customWidth="1"/>
    <col min="12039" max="12039" width="3.109375" style="265" customWidth="1"/>
    <col min="12040" max="12040" width="13.21875" style="265" customWidth="1"/>
    <col min="12041" max="12041" width="3.109375" style="265" customWidth="1"/>
    <col min="12042" max="12042" width="4.88671875" style="265" customWidth="1"/>
    <col min="12043" max="12045" width="11.44140625" style="265" customWidth="1"/>
    <col min="12046" max="12048" width="3.109375" style="265" customWidth="1"/>
    <col min="12049" max="12049" width="3.44140625" style="265" customWidth="1"/>
    <col min="12050" max="12287" width="8.88671875" style="265"/>
    <col min="12288" max="12288" width="3.44140625" style="265" customWidth="1"/>
    <col min="12289" max="12289" width="12.88671875" style="265" customWidth="1"/>
    <col min="12290" max="12291" width="14" style="265" customWidth="1"/>
    <col min="12292" max="12292" width="3.109375" style="265" customWidth="1"/>
    <col min="12293" max="12293" width="2.44140625" style="265" customWidth="1"/>
    <col min="12294" max="12294" width="14" style="265" customWidth="1"/>
    <col min="12295" max="12295" width="3.109375" style="265" customWidth="1"/>
    <col min="12296" max="12296" width="13.21875" style="265" customWidth="1"/>
    <col min="12297" max="12297" width="3.109375" style="265" customWidth="1"/>
    <col min="12298" max="12298" width="4.88671875" style="265" customWidth="1"/>
    <col min="12299" max="12301" width="11.44140625" style="265" customWidth="1"/>
    <col min="12302" max="12304" width="3.109375" style="265" customWidth="1"/>
    <col min="12305" max="12305" width="3.44140625" style="265" customWidth="1"/>
    <col min="12306" max="12543" width="8.88671875" style="265"/>
    <col min="12544" max="12544" width="3.44140625" style="265" customWidth="1"/>
    <col min="12545" max="12545" width="12.88671875" style="265" customWidth="1"/>
    <col min="12546" max="12547" width="14" style="265" customWidth="1"/>
    <col min="12548" max="12548" width="3.109375" style="265" customWidth="1"/>
    <col min="12549" max="12549" width="2.44140625" style="265" customWidth="1"/>
    <col min="12550" max="12550" width="14" style="265" customWidth="1"/>
    <col min="12551" max="12551" width="3.109375" style="265" customWidth="1"/>
    <col min="12552" max="12552" width="13.21875" style="265" customWidth="1"/>
    <col min="12553" max="12553" width="3.109375" style="265" customWidth="1"/>
    <col min="12554" max="12554" width="4.88671875" style="265" customWidth="1"/>
    <col min="12555" max="12557" width="11.44140625" style="265" customWidth="1"/>
    <col min="12558" max="12560" width="3.109375" style="265" customWidth="1"/>
    <col min="12561" max="12561" width="3.44140625" style="265" customWidth="1"/>
    <col min="12562" max="12799" width="8.88671875" style="265"/>
    <col min="12800" max="12800" width="3.44140625" style="265" customWidth="1"/>
    <col min="12801" max="12801" width="12.88671875" style="265" customWidth="1"/>
    <col min="12802" max="12803" width="14" style="265" customWidth="1"/>
    <col min="12804" max="12804" width="3.109375" style="265" customWidth="1"/>
    <col min="12805" max="12805" width="2.44140625" style="265" customWidth="1"/>
    <col min="12806" max="12806" width="14" style="265" customWidth="1"/>
    <col min="12807" max="12807" width="3.109375" style="265" customWidth="1"/>
    <col min="12808" max="12808" width="13.21875" style="265" customWidth="1"/>
    <col min="12809" max="12809" width="3.109375" style="265" customWidth="1"/>
    <col min="12810" max="12810" width="4.88671875" style="265" customWidth="1"/>
    <col min="12811" max="12813" width="11.44140625" style="265" customWidth="1"/>
    <col min="12814" max="12816" width="3.109375" style="265" customWidth="1"/>
    <col min="12817" max="12817" width="3.44140625" style="265" customWidth="1"/>
    <col min="12818" max="13055" width="8.88671875" style="265"/>
    <col min="13056" max="13056" width="3.44140625" style="265" customWidth="1"/>
    <col min="13057" max="13057" width="12.88671875" style="265" customWidth="1"/>
    <col min="13058" max="13059" width="14" style="265" customWidth="1"/>
    <col min="13060" max="13060" width="3.109375" style="265" customWidth="1"/>
    <col min="13061" max="13061" width="2.44140625" style="265" customWidth="1"/>
    <col min="13062" max="13062" width="14" style="265" customWidth="1"/>
    <col min="13063" max="13063" width="3.109375" style="265" customWidth="1"/>
    <col min="13064" max="13064" width="13.21875" style="265" customWidth="1"/>
    <col min="13065" max="13065" width="3.109375" style="265" customWidth="1"/>
    <col min="13066" max="13066" width="4.88671875" style="265" customWidth="1"/>
    <col min="13067" max="13069" width="11.44140625" style="265" customWidth="1"/>
    <col min="13070" max="13072" width="3.109375" style="265" customWidth="1"/>
    <col min="13073" max="13073" width="3.44140625" style="265" customWidth="1"/>
    <col min="13074" max="13311" width="8.88671875" style="265"/>
    <col min="13312" max="13312" width="3.44140625" style="265" customWidth="1"/>
    <col min="13313" max="13313" width="12.88671875" style="265" customWidth="1"/>
    <col min="13314" max="13315" width="14" style="265" customWidth="1"/>
    <col min="13316" max="13316" width="3.109375" style="265" customWidth="1"/>
    <col min="13317" max="13317" width="2.44140625" style="265" customWidth="1"/>
    <col min="13318" max="13318" width="14" style="265" customWidth="1"/>
    <col min="13319" max="13319" width="3.109375" style="265" customWidth="1"/>
    <col min="13320" max="13320" width="13.21875" style="265" customWidth="1"/>
    <col min="13321" max="13321" width="3.109375" style="265" customWidth="1"/>
    <col min="13322" max="13322" width="4.88671875" style="265" customWidth="1"/>
    <col min="13323" max="13325" width="11.44140625" style="265" customWidth="1"/>
    <col min="13326" max="13328" width="3.109375" style="265" customWidth="1"/>
    <col min="13329" max="13329" width="3.44140625" style="265" customWidth="1"/>
    <col min="13330" max="13567" width="8.88671875" style="265"/>
    <col min="13568" max="13568" width="3.44140625" style="265" customWidth="1"/>
    <col min="13569" max="13569" width="12.88671875" style="265" customWidth="1"/>
    <col min="13570" max="13571" width="14" style="265" customWidth="1"/>
    <col min="13572" max="13572" width="3.109375" style="265" customWidth="1"/>
    <col min="13573" max="13573" width="2.44140625" style="265" customWidth="1"/>
    <col min="13574" max="13574" width="14" style="265" customWidth="1"/>
    <col min="13575" max="13575" width="3.109375" style="265" customWidth="1"/>
    <col min="13576" max="13576" width="13.21875" style="265" customWidth="1"/>
    <col min="13577" max="13577" width="3.109375" style="265" customWidth="1"/>
    <col min="13578" max="13578" width="4.88671875" style="265" customWidth="1"/>
    <col min="13579" max="13581" width="11.44140625" style="265" customWidth="1"/>
    <col min="13582" max="13584" width="3.109375" style="265" customWidth="1"/>
    <col min="13585" max="13585" width="3.44140625" style="265" customWidth="1"/>
    <col min="13586" max="13823" width="8.88671875" style="265"/>
    <col min="13824" max="13824" width="3.44140625" style="265" customWidth="1"/>
    <col min="13825" max="13825" width="12.88671875" style="265" customWidth="1"/>
    <col min="13826" max="13827" width="14" style="265" customWidth="1"/>
    <col min="13828" max="13828" width="3.109375" style="265" customWidth="1"/>
    <col min="13829" max="13829" width="2.44140625" style="265" customWidth="1"/>
    <col min="13830" max="13830" width="14" style="265" customWidth="1"/>
    <col min="13831" max="13831" width="3.109375" style="265" customWidth="1"/>
    <col min="13832" max="13832" width="13.21875" style="265" customWidth="1"/>
    <col min="13833" max="13833" width="3.109375" style="265" customWidth="1"/>
    <col min="13834" max="13834" width="4.88671875" style="265" customWidth="1"/>
    <col min="13835" max="13837" width="11.44140625" style="265" customWidth="1"/>
    <col min="13838" max="13840" width="3.109375" style="265" customWidth="1"/>
    <col min="13841" max="13841" width="3.44140625" style="265" customWidth="1"/>
    <col min="13842" max="14079" width="8.88671875" style="265"/>
    <col min="14080" max="14080" width="3.44140625" style="265" customWidth="1"/>
    <col min="14081" max="14081" width="12.88671875" style="265" customWidth="1"/>
    <col min="14082" max="14083" width="14" style="265" customWidth="1"/>
    <col min="14084" max="14084" width="3.109375" style="265" customWidth="1"/>
    <col min="14085" max="14085" width="2.44140625" style="265" customWidth="1"/>
    <col min="14086" max="14086" width="14" style="265" customWidth="1"/>
    <col min="14087" max="14087" width="3.109375" style="265" customWidth="1"/>
    <col min="14088" max="14088" width="13.21875" style="265" customWidth="1"/>
    <col min="14089" max="14089" width="3.109375" style="265" customWidth="1"/>
    <col min="14090" max="14090" width="4.88671875" style="265" customWidth="1"/>
    <col min="14091" max="14093" width="11.44140625" style="265" customWidth="1"/>
    <col min="14094" max="14096" width="3.109375" style="265" customWidth="1"/>
    <col min="14097" max="14097" width="3.44140625" style="265" customWidth="1"/>
    <col min="14098" max="14335" width="8.88671875" style="265"/>
    <col min="14336" max="14336" width="3.44140625" style="265" customWidth="1"/>
    <col min="14337" max="14337" width="12.88671875" style="265" customWidth="1"/>
    <col min="14338" max="14339" width="14" style="265" customWidth="1"/>
    <col min="14340" max="14340" width="3.109375" style="265" customWidth="1"/>
    <col min="14341" max="14341" width="2.44140625" style="265" customWidth="1"/>
    <col min="14342" max="14342" width="14" style="265" customWidth="1"/>
    <col min="14343" max="14343" width="3.109375" style="265" customWidth="1"/>
    <col min="14344" max="14344" width="13.21875" style="265" customWidth="1"/>
    <col min="14345" max="14345" width="3.109375" style="265" customWidth="1"/>
    <col min="14346" max="14346" width="4.88671875" style="265" customWidth="1"/>
    <col min="14347" max="14349" width="11.44140625" style="265" customWidth="1"/>
    <col min="14350" max="14352" width="3.109375" style="265" customWidth="1"/>
    <col min="14353" max="14353" width="3.44140625" style="265" customWidth="1"/>
    <col min="14354" max="14591" width="8.88671875" style="265"/>
    <col min="14592" max="14592" width="3.44140625" style="265" customWidth="1"/>
    <col min="14593" max="14593" width="12.88671875" style="265" customWidth="1"/>
    <col min="14594" max="14595" width="14" style="265" customWidth="1"/>
    <col min="14596" max="14596" width="3.109375" style="265" customWidth="1"/>
    <col min="14597" max="14597" width="2.44140625" style="265" customWidth="1"/>
    <col min="14598" max="14598" width="14" style="265" customWidth="1"/>
    <col min="14599" max="14599" width="3.109375" style="265" customWidth="1"/>
    <col min="14600" max="14600" width="13.21875" style="265" customWidth="1"/>
    <col min="14601" max="14601" width="3.109375" style="265" customWidth="1"/>
    <col min="14602" max="14602" width="4.88671875" style="265" customWidth="1"/>
    <col min="14603" max="14605" width="11.44140625" style="265" customWidth="1"/>
    <col min="14606" max="14608" width="3.109375" style="265" customWidth="1"/>
    <col min="14609" max="14609" width="3.44140625" style="265" customWidth="1"/>
    <col min="14610" max="14847" width="8.88671875" style="265"/>
    <col min="14848" max="14848" width="3.44140625" style="265" customWidth="1"/>
    <col min="14849" max="14849" width="12.88671875" style="265" customWidth="1"/>
    <col min="14850" max="14851" width="14" style="265" customWidth="1"/>
    <col min="14852" max="14852" width="3.109375" style="265" customWidth="1"/>
    <col min="14853" max="14853" width="2.44140625" style="265" customWidth="1"/>
    <col min="14854" max="14854" width="14" style="265" customWidth="1"/>
    <col min="14855" max="14855" width="3.109375" style="265" customWidth="1"/>
    <col min="14856" max="14856" width="13.21875" style="265" customWidth="1"/>
    <col min="14857" max="14857" width="3.109375" style="265" customWidth="1"/>
    <col min="14858" max="14858" width="4.88671875" style="265" customWidth="1"/>
    <col min="14859" max="14861" width="11.44140625" style="265" customWidth="1"/>
    <col min="14862" max="14864" width="3.109375" style="265" customWidth="1"/>
    <col min="14865" max="14865" width="3.44140625" style="265" customWidth="1"/>
    <col min="14866" max="15103" width="8.88671875" style="265"/>
    <col min="15104" max="15104" width="3.44140625" style="265" customWidth="1"/>
    <col min="15105" max="15105" width="12.88671875" style="265" customWidth="1"/>
    <col min="15106" max="15107" width="14" style="265" customWidth="1"/>
    <col min="15108" max="15108" width="3.109375" style="265" customWidth="1"/>
    <col min="15109" max="15109" width="2.44140625" style="265" customWidth="1"/>
    <col min="15110" max="15110" width="14" style="265" customWidth="1"/>
    <col min="15111" max="15111" width="3.109375" style="265" customWidth="1"/>
    <col min="15112" max="15112" width="13.21875" style="265" customWidth="1"/>
    <col min="15113" max="15113" width="3.109375" style="265" customWidth="1"/>
    <col min="15114" max="15114" width="4.88671875" style="265" customWidth="1"/>
    <col min="15115" max="15117" width="11.44140625" style="265" customWidth="1"/>
    <col min="15118" max="15120" width="3.109375" style="265" customWidth="1"/>
    <col min="15121" max="15121" width="3.44140625" style="265" customWidth="1"/>
    <col min="15122" max="15359" width="8.88671875" style="265"/>
    <col min="15360" max="15360" width="3.44140625" style="265" customWidth="1"/>
    <col min="15361" max="15361" width="12.88671875" style="265" customWidth="1"/>
    <col min="15362" max="15363" width="14" style="265" customWidth="1"/>
    <col min="15364" max="15364" width="3.109375" style="265" customWidth="1"/>
    <col min="15365" max="15365" width="2.44140625" style="265" customWidth="1"/>
    <col min="15366" max="15366" width="14" style="265" customWidth="1"/>
    <col min="15367" max="15367" width="3.109375" style="265" customWidth="1"/>
    <col min="15368" max="15368" width="13.21875" style="265" customWidth="1"/>
    <col min="15369" max="15369" width="3.109375" style="265" customWidth="1"/>
    <col min="15370" max="15370" width="4.88671875" style="265" customWidth="1"/>
    <col min="15371" max="15373" width="11.44140625" style="265" customWidth="1"/>
    <col min="15374" max="15376" width="3.109375" style="265" customWidth="1"/>
    <col min="15377" max="15377" width="3.44140625" style="265" customWidth="1"/>
    <col min="15378" max="15615" width="8.88671875" style="265"/>
    <col min="15616" max="15616" width="3.44140625" style="265" customWidth="1"/>
    <col min="15617" max="15617" width="12.88671875" style="265" customWidth="1"/>
    <col min="15618" max="15619" width="14" style="265" customWidth="1"/>
    <col min="15620" max="15620" width="3.109375" style="265" customWidth="1"/>
    <col min="15621" max="15621" width="2.44140625" style="265" customWidth="1"/>
    <col min="15622" max="15622" width="14" style="265" customWidth="1"/>
    <col min="15623" max="15623" width="3.109375" style="265" customWidth="1"/>
    <col min="15624" max="15624" width="13.21875" style="265" customWidth="1"/>
    <col min="15625" max="15625" width="3.109375" style="265" customWidth="1"/>
    <col min="15626" max="15626" width="4.88671875" style="265" customWidth="1"/>
    <col min="15627" max="15629" width="11.44140625" style="265" customWidth="1"/>
    <col min="15630" max="15632" width="3.109375" style="265" customWidth="1"/>
    <col min="15633" max="15633" width="3.44140625" style="265" customWidth="1"/>
    <col min="15634" max="15871" width="8.88671875" style="265"/>
    <col min="15872" max="15872" width="3.44140625" style="265" customWidth="1"/>
    <col min="15873" max="15873" width="12.88671875" style="265" customWidth="1"/>
    <col min="15874" max="15875" width="14" style="265" customWidth="1"/>
    <col min="15876" max="15876" width="3.109375" style="265" customWidth="1"/>
    <col min="15877" max="15877" width="2.44140625" style="265" customWidth="1"/>
    <col min="15878" max="15878" width="14" style="265" customWidth="1"/>
    <col min="15879" max="15879" width="3.109375" style="265" customWidth="1"/>
    <col min="15880" max="15880" width="13.21875" style="265" customWidth="1"/>
    <col min="15881" max="15881" width="3.109375" style="265" customWidth="1"/>
    <col min="15882" max="15882" width="4.88671875" style="265" customWidth="1"/>
    <col min="15883" max="15885" width="11.44140625" style="265" customWidth="1"/>
    <col min="15886" max="15888" width="3.109375" style="265" customWidth="1"/>
    <col min="15889" max="15889" width="3.44140625" style="265" customWidth="1"/>
    <col min="15890" max="16127" width="8.88671875" style="265"/>
    <col min="16128" max="16128" width="3.44140625" style="265" customWidth="1"/>
    <col min="16129" max="16129" width="12.88671875" style="265" customWidth="1"/>
    <col min="16130" max="16131" width="14" style="265" customWidth="1"/>
    <col min="16132" max="16132" width="3.109375" style="265" customWidth="1"/>
    <col min="16133" max="16133" width="2.44140625" style="265" customWidth="1"/>
    <col min="16134" max="16134" width="14" style="265" customWidth="1"/>
    <col min="16135" max="16135" width="3.109375" style="265" customWidth="1"/>
    <col min="16136" max="16136" width="13.21875" style="265" customWidth="1"/>
    <col min="16137" max="16137" width="3.109375" style="265" customWidth="1"/>
    <col min="16138" max="16138" width="4.88671875" style="265" customWidth="1"/>
    <col min="16139" max="16141" width="11.44140625" style="265" customWidth="1"/>
    <col min="16142" max="16144" width="3.109375" style="265" customWidth="1"/>
    <col min="16145" max="16145" width="3.44140625" style="265" customWidth="1"/>
    <col min="16146" max="16384" width="8.88671875" style="265"/>
  </cols>
  <sheetData>
    <row r="1" spans="1:24" s="263" customFormat="1" ht="53.4" thickBot="1" x14ac:dyDescent="0.35">
      <c r="A1" s="256" t="s">
        <v>178</v>
      </c>
      <c r="B1" s="257" t="s">
        <v>179</v>
      </c>
      <c r="C1" s="257" t="s">
        <v>180</v>
      </c>
      <c r="D1" s="257" t="s">
        <v>181</v>
      </c>
      <c r="E1" s="258" t="s">
        <v>182</v>
      </c>
      <c r="F1" s="257" t="s">
        <v>344</v>
      </c>
      <c r="G1" s="258" t="s">
        <v>183</v>
      </c>
      <c r="H1" s="257" t="s">
        <v>184</v>
      </c>
      <c r="I1" s="260" t="s">
        <v>185</v>
      </c>
      <c r="J1" s="261" t="s">
        <v>186</v>
      </c>
      <c r="K1" s="257" t="s">
        <v>345</v>
      </c>
      <c r="L1" s="257" t="s">
        <v>187</v>
      </c>
      <c r="M1" s="257" t="s">
        <v>188</v>
      </c>
      <c r="N1" s="259" t="s">
        <v>182</v>
      </c>
      <c r="O1" s="259" t="s">
        <v>183</v>
      </c>
      <c r="P1" s="259" t="s">
        <v>185</v>
      </c>
      <c r="Q1" s="262" t="s">
        <v>186</v>
      </c>
      <c r="S1" s="267" t="s">
        <v>19</v>
      </c>
    </row>
    <row r="2" spans="1:24" ht="20.100000000000001" customHeight="1" thickBot="1" x14ac:dyDescent="0.35">
      <c r="A2" s="702">
        <v>1</v>
      </c>
      <c r="B2" s="703" t="s">
        <v>944</v>
      </c>
      <c r="C2" s="703" t="s">
        <v>945</v>
      </c>
      <c r="D2" s="703" t="s">
        <v>946</v>
      </c>
      <c r="E2" s="704">
        <v>7</v>
      </c>
      <c r="F2" s="703" t="s">
        <v>947</v>
      </c>
      <c r="G2" s="704">
        <v>6</v>
      </c>
      <c r="H2" s="703" t="s">
        <v>623</v>
      </c>
      <c r="I2" s="705">
        <v>9</v>
      </c>
      <c r="J2" s="264">
        <f t="shared" ref="J2:J65" si="0">IF(E2*G2*I2=0," ",E2*G2*I2)</f>
        <v>378</v>
      </c>
      <c r="K2" s="703" t="s">
        <v>948</v>
      </c>
      <c r="L2" s="703" t="s">
        <v>949</v>
      </c>
      <c r="M2" s="703" t="s">
        <v>950</v>
      </c>
      <c r="N2" s="703">
        <v>8</v>
      </c>
      <c r="O2" s="703">
        <v>3</v>
      </c>
      <c r="P2" s="703">
        <v>6</v>
      </c>
      <c r="Q2" s="706">
        <f>N2*O2*P2</f>
        <v>144</v>
      </c>
      <c r="U2" s="559" t="s">
        <v>612</v>
      </c>
      <c r="V2" s="560" t="s">
        <v>613</v>
      </c>
      <c r="X2" s="561"/>
    </row>
    <row r="3" spans="1:24" ht="20.100000000000001" customHeight="1" x14ac:dyDescent="0.3">
      <c r="A3" s="702">
        <f>A2+1</f>
        <v>2</v>
      </c>
      <c r="B3" s="703" t="s">
        <v>944</v>
      </c>
      <c r="C3" s="703" t="s">
        <v>951</v>
      </c>
      <c r="D3" s="703" t="s">
        <v>952</v>
      </c>
      <c r="E3" s="704">
        <v>9</v>
      </c>
      <c r="F3" s="703" t="s">
        <v>953</v>
      </c>
      <c r="G3" s="704">
        <v>5</v>
      </c>
      <c r="H3" s="703" t="s">
        <v>623</v>
      </c>
      <c r="I3" s="705">
        <v>9</v>
      </c>
      <c r="J3" s="264">
        <f t="shared" si="0"/>
        <v>405</v>
      </c>
      <c r="K3" s="703" t="s">
        <v>954</v>
      </c>
      <c r="L3" s="703" t="s">
        <v>955</v>
      </c>
      <c r="M3" s="703" t="s">
        <v>956</v>
      </c>
      <c r="N3" s="703">
        <v>6</v>
      </c>
      <c r="O3" s="703">
        <v>2</v>
      </c>
      <c r="P3" s="703">
        <v>4</v>
      </c>
      <c r="Q3" s="706">
        <f t="shared" ref="Q3:Q66" si="1">N3*O3*P3</f>
        <v>48</v>
      </c>
      <c r="U3" s="562" t="s">
        <v>614</v>
      </c>
      <c r="V3" s="563">
        <v>10</v>
      </c>
      <c r="X3" s="561"/>
    </row>
    <row r="4" spans="1:24" ht="20.100000000000001" customHeight="1" x14ac:dyDescent="0.3">
      <c r="A4" s="702">
        <f t="shared" ref="A4:A67" si="2">A3+1</f>
        <v>3</v>
      </c>
      <c r="B4" s="703"/>
      <c r="C4" s="703"/>
      <c r="D4" s="703"/>
      <c r="E4" s="704"/>
      <c r="F4" s="703"/>
      <c r="G4" s="704"/>
      <c r="H4" s="703"/>
      <c r="I4" s="705"/>
      <c r="J4" s="264" t="str">
        <f t="shared" si="0"/>
        <v xml:space="preserve"> </v>
      </c>
      <c r="K4" s="703"/>
      <c r="L4" s="703"/>
      <c r="M4" s="703"/>
      <c r="N4" s="703"/>
      <c r="O4" s="703"/>
      <c r="P4" s="703"/>
      <c r="Q4" s="706">
        <f t="shared" si="1"/>
        <v>0</v>
      </c>
      <c r="U4" s="562" t="s">
        <v>615</v>
      </c>
      <c r="V4" s="563">
        <v>9</v>
      </c>
      <c r="X4" s="561"/>
    </row>
    <row r="5" spans="1:24" ht="20.100000000000001" customHeight="1" x14ac:dyDescent="0.3">
      <c r="A5" s="702">
        <f t="shared" si="2"/>
        <v>4</v>
      </c>
      <c r="B5" s="703"/>
      <c r="C5" s="703"/>
      <c r="D5" s="703"/>
      <c r="E5" s="704"/>
      <c r="F5" s="703"/>
      <c r="G5" s="704"/>
      <c r="H5" s="703"/>
      <c r="I5" s="705"/>
      <c r="J5" s="264" t="str">
        <f t="shared" si="0"/>
        <v xml:space="preserve"> </v>
      </c>
      <c r="K5" s="703"/>
      <c r="L5" s="703"/>
      <c r="M5" s="703"/>
      <c r="N5" s="703"/>
      <c r="O5" s="703"/>
      <c r="P5" s="703"/>
      <c r="Q5" s="706">
        <f t="shared" si="1"/>
        <v>0</v>
      </c>
      <c r="U5" s="562" t="s">
        <v>616</v>
      </c>
      <c r="V5" s="563">
        <v>8</v>
      </c>
      <c r="X5" s="561"/>
    </row>
    <row r="6" spans="1:24" ht="20.100000000000001" customHeight="1" x14ac:dyDescent="0.3">
      <c r="A6" s="702">
        <f t="shared" si="2"/>
        <v>5</v>
      </c>
      <c r="B6" s="703"/>
      <c r="C6" s="703"/>
      <c r="D6" s="703"/>
      <c r="E6" s="704"/>
      <c r="F6" s="703"/>
      <c r="G6" s="704"/>
      <c r="H6" s="703"/>
      <c r="I6" s="705"/>
      <c r="J6" s="264" t="str">
        <f t="shared" si="0"/>
        <v xml:space="preserve"> </v>
      </c>
      <c r="K6" s="703"/>
      <c r="L6" s="703"/>
      <c r="M6" s="703"/>
      <c r="N6" s="703"/>
      <c r="O6" s="703"/>
      <c r="P6" s="703"/>
      <c r="Q6" s="706">
        <f t="shared" si="1"/>
        <v>0</v>
      </c>
      <c r="U6" s="562" t="s">
        <v>617</v>
      </c>
      <c r="V6" s="563">
        <v>7</v>
      </c>
      <c r="X6" s="561"/>
    </row>
    <row r="7" spans="1:24" ht="20.100000000000001" customHeight="1" x14ac:dyDescent="0.3">
      <c r="A7" s="702">
        <f t="shared" si="2"/>
        <v>6</v>
      </c>
      <c r="B7" s="703"/>
      <c r="C7" s="703"/>
      <c r="D7" s="703"/>
      <c r="E7" s="704"/>
      <c r="F7" s="703"/>
      <c r="G7" s="704"/>
      <c r="H7" s="703"/>
      <c r="I7" s="705"/>
      <c r="J7" s="264" t="str">
        <f t="shared" si="0"/>
        <v xml:space="preserve"> </v>
      </c>
      <c r="K7" s="703"/>
      <c r="L7" s="703"/>
      <c r="M7" s="703"/>
      <c r="N7" s="703"/>
      <c r="O7" s="703"/>
      <c r="P7" s="703"/>
      <c r="Q7" s="706">
        <f t="shared" si="1"/>
        <v>0</v>
      </c>
      <c r="U7" s="562" t="s">
        <v>618</v>
      </c>
      <c r="V7" s="563">
        <v>6</v>
      </c>
      <c r="X7" s="561"/>
    </row>
    <row r="8" spans="1:24" ht="20.100000000000001" customHeight="1" x14ac:dyDescent="0.3">
      <c r="A8" s="702">
        <f t="shared" si="2"/>
        <v>7</v>
      </c>
      <c r="B8" s="703"/>
      <c r="C8" s="703"/>
      <c r="D8" s="703"/>
      <c r="E8" s="704"/>
      <c r="F8" s="703"/>
      <c r="G8" s="704"/>
      <c r="H8" s="703"/>
      <c r="I8" s="705"/>
      <c r="J8" s="264" t="str">
        <f t="shared" si="0"/>
        <v xml:space="preserve"> </v>
      </c>
      <c r="K8" s="703"/>
      <c r="L8" s="703"/>
      <c r="M8" s="703"/>
      <c r="N8" s="703"/>
      <c r="O8" s="703"/>
      <c r="P8" s="703"/>
      <c r="Q8" s="706">
        <f t="shared" si="1"/>
        <v>0</v>
      </c>
      <c r="U8" s="562" t="s">
        <v>619</v>
      </c>
      <c r="V8" s="563">
        <v>5</v>
      </c>
      <c r="X8" s="561"/>
    </row>
    <row r="9" spans="1:24" ht="20.100000000000001" customHeight="1" x14ac:dyDescent="0.3">
      <c r="A9" s="702">
        <f t="shared" si="2"/>
        <v>8</v>
      </c>
      <c r="B9" s="703"/>
      <c r="C9" s="703"/>
      <c r="D9" s="703"/>
      <c r="E9" s="704"/>
      <c r="F9" s="703"/>
      <c r="G9" s="704"/>
      <c r="H9" s="703"/>
      <c r="I9" s="705"/>
      <c r="J9" s="264" t="str">
        <f t="shared" si="0"/>
        <v xml:space="preserve"> </v>
      </c>
      <c r="K9" s="703"/>
      <c r="L9" s="703"/>
      <c r="M9" s="703"/>
      <c r="N9" s="703"/>
      <c r="O9" s="703"/>
      <c r="P9" s="703"/>
      <c r="Q9" s="706">
        <f t="shared" si="1"/>
        <v>0</v>
      </c>
      <c r="U9" s="562" t="s">
        <v>620</v>
      </c>
      <c r="V9" s="563">
        <v>4</v>
      </c>
      <c r="X9" s="561"/>
    </row>
    <row r="10" spans="1:24" ht="20.100000000000001" customHeight="1" x14ac:dyDescent="0.3">
      <c r="A10" s="702">
        <f t="shared" si="2"/>
        <v>9</v>
      </c>
      <c r="B10" s="703"/>
      <c r="C10" s="703"/>
      <c r="D10" s="703"/>
      <c r="E10" s="704"/>
      <c r="F10" s="703"/>
      <c r="G10" s="704"/>
      <c r="H10" s="703"/>
      <c r="I10" s="705"/>
      <c r="J10" s="264" t="str">
        <f t="shared" si="0"/>
        <v xml:space="preserve"> </v>
      </c>
      <c r="K10" s="703"/>
      <c r="L10" s="703"/>
      <c r="M10" s="703"/>
      <c r="N10" s="703"/>
      <c r="O10" s="703"/>
      <c r="P10" s="703"/>
      <c r="Q10" s="706">
        <f t="shared" si="1"/>
        <v>0</v>
      </c>
      <c r="U10" s="562" t="s">
        <v>621</v>
      </c>
      <c r="V10" s="563">
        <v>3</v>
      </c>
      <c r="X10" s="561"/>
    </row>
    <row r="11" spans="1:24" ht="20.100000000000001" customHeight="1" x14ac:dyDescent="0.3">
      <c r="A11" s="702">
        <f t="shared" si="2"/>
        <v>10</v>
      </c>
      <c r="B11" s="703"/>
      <c r="C11" s="703"/>
      <c r="D11" s="703"/>
      <c r="E11" s="704"/>
      <c r="F11" s="703"/>
      <c r="G11" s="704"/>
      <c r="H11" s="703"/>
      <c r="I11" s="705"/>
      <c r="J11" s="264" t="str">
        <f t="shared" si="0"/>
        <v xml:space="preserve"> </v>
      </c>
      <c r="K11" s="703"/>
      <c r="L11" s="703"/>
      <c r="M11" s="703"/>
      <c r="N11" s="703"/>
      <c r="O11" s="703"/>
      <c r="P11" s="703"/>
      <c r="Q11" s="706">
        <f t="shared" si="1"/>
        <v>0</v>
      </c>
      <c r="U11" s="562" t="s">
        <v>622</v>
      </c>
      <c r="V11" s="563">
        <v>2</v>
      </c>
      <c r="X11" s="561"/>
    </row>
    <row r="12" spans="1:24" ht="20.100000000000001" customHeight="1" thickBot="1" x14ac:dyDescent="0.35">
      <c r="A12" s="702">
        <f t="shared" si="2"/>
        <v>11</v>
      </c>
      <c r="B12" s="703"/>
      <c r="C12" s="703"/>
      <c r="D12" s="703"/>
      <c r="E12" s="704"/>
      <c r="F12" s="703"/>
      <c r="G12" s="704"/>
      <c r="H12" s="703"/>
      <c r="I12" s="705"/>
      <c r="J12" s="264" t="str">
        <f t="shared" si="0"/>
        <v xml:space="preserve"> </v>
      </c>
      <c r="K12" s="703"/>
      <c r="L12" s="703"/>
      <c r="M12" s="703"/>
      <c r="N12" s="703"/>
      <c r="O12" s="703"/>
      <c r="P12" s="703"/>
      <c r="Q12" s="706">
        <f t="shared" si="1"/>
        <v>0</v>
      </c>
      <c r="U12" s="564" t="s">
        <v>623</v>
      </c>
      <c r="V12" s="565">
        <v>1</v>
      </c>
      <c r="X12" s="561"/>
    </row>
    <row r="13" spans="1:24" ht="20.100000000000001" customHeight="1" x14ac:dyDescent="0.3">
      <c r="A13" s="702">
        <f t="shared" si="2"/>
        <v>12</v>
      </c>
      <c r="B13" s="703"/>
      <c r="C13" s="703"/>
      <c r="D13" s="703"/>
      <c r="E13" s="704"/>
      <c r="F13" s="703"/>
      <c r="G13" s="704"/>
      <c r="H13" s="703"/>
      <c r="I13" s="705"/>
      <c r="J13" s="264" t="str">
        <f t="shared" si="0"/>
        <v xml:space="preserve"> </v>
      </c>
      <c r="K13" s="703"/>
      <c r="L13" s="703"/>
      <c r="M13" s="703"/>
      <c r="N13" s="703"/>
      <c r="O13" s="703"/>
      <c r="P13" s="703"/>
      <c r="Q13" s="706">
        <f t="shared" si="1"/>
        <v>0</v>
      </c>
      <c r="U13" s="561"/>
      <c r="V13" s="566"/>
      <c r="W13" s="561"/>
      <c r="X13" s="561"/>
    </row>
    <row r="14" spans="1:24" ht="20.100000000000001" customHeight="1" thickBot="1" x14ac:dyDescent="0.35">
      <c r="A14" s="702">
        <f t="shared" si="2"/>
        <v>13</v>
      </c>
      <c r="B14" s="703"/>
      <c r="C14" s="703"/>
      <c r="D14" s="703"/>
      <c r="E14" s="704"/>
      <c r="F14" s="703"/>
      <c r="G14" s="704"/>
      <c r="H14" s="703"/>
      <c r="I14" s="705"/>
      <c r="J14" s="264" t="str">
        <f t="shared" si="0"/>
        <v xml:space="preserve"> </v>
      </c>
      <c r="K14" s="703"/>
      <c r="L14" s="703"/>
      <c r="M14" s="703"/>
      <c r="N14" s="703"/>
      <c r="O14" s="703"/>
      <c r="P14" s="703"/>
      <c r="Q14" s="706">
        <f t="shared" si="1"/>
        <v>0</v>
      </c>
      <c r="U14" s="561"/>
      <c r="V14" s="566"/>
      <c r="W14" s="561"/>
      <c r="X14" s="561"/>
    </row>
    <row r="15" spans="1:24" ht="20.100000000000001" customHeight="1" thickBot="1" x14ac:dyDescent="0.35">
      <c r="A15" s="702">
        <f t="shared" si="2"/>
        <v>14</v>
      </c>
      <c r="B15" s="703"/>
      <c r="C15" s="703"/>
      <c r="D15" s="703"/>
      <c r="E15" s="704"/>
      <c r="F15" s="703"/>
      <c r="G15" s="704"/>
      <c r="H15" s="703"/>
      <c r="I15" s="705"/>
      <c r="J15" s="264" t="str">
        <f t="shared" si="0"/>
        <v xml:space="preserve"> </v>
      </c>
      <c r="K15" s="703"/>
      <c r="L15" s="703"/>
      <c r="M15" s="703"/>
      <c r="N15" s="703"/>
      <c r="O15" s="703"/>
      <c r="P15" s="703"/>
      <c r="Q15" s="706">
        <f t="shared" si="1"/>
        <v>0</v>
      </c>
      <c r="U15" s="567" t="s">
        <v>624</v>
      </c>
      <c r="V15" s="568" t="s">
        <v>625</v>
      </c>
      <c r="W15" s="569" t="s">
        <v>626</v>
      </c>
      <c r="X15" s="560" t="s">
        <v>627</v>
      </c>
    </row>
    <row r="16" spans="1:24" ht="20.100000000000001" customHeight="1" x14ac:dyDescent="0.3">
      <c r="A16" s="702">
        <f t="shared" si="2"/>
        <v>15</v>
      </c>
      <c r="B16" s="703"/>
      <c r="C16" s="703"/>
      <c r="D16" s="703"/>
      <c r="E16" s="704"/>
      <c r="F16" s="703"/>
      <c r="G16" s="704"/>
      <c r="H16" s="703"/>
      <c r="I16" s="705"/>
      <c r="J16" s="264" t="str">
        <f t="shared" si="0"/>
        <v xml:space="preserve"> </v>
      </c>
      <c r="K16" s="703"/>
      <c r="L16" s="703"/>
      <c r="M16" s="703"/>
      <c r="N16" s="703"/>
      <c r="O16" s="703"/>
      <c r="P16" s="703"/>
      <c r="Q16" s="706">
        <f t="shared" si="1"/>
        <v>0</v>
      </c>
      <c r="U16" s="570" t="s">
        <v>628</v>
      </c>
      <c r="V16" s="571" t="s">
        <v>629</v>
      </c>
      <c r="W16" s="572" t="s">
        <v>630</v>
      </c>
      <c r="X16" s="563">
        <v>10</v>
      </c>
    </row>
    <row r="17" spans="1:24" ht="20.100000000000001" customHeight="1" x14ac:dyDescent="0.3">
      <c r="A17" s="702">
        <f t="shared" si="2"/>
        <v>16</v>
      </c>
      <c r="B17" s="703"/>
      <c r="C17" s="703"/>
      <c r="D17" s="703"/>
      <c r="E17" s="704"/>
      <c r="F17" s="703"/>
      <c r="G17" s="704"/>
      <c r="H17" s="703"/>
      <c r="I17" s="705"/>
      <c r="J17" s="264" t="str">
        <f t="shared" si="0"/>
        <v xml:space="preserve"> </v>
      </c>
      <c r="K17" s="703"/>
      <c r="L17" s="703"/>
      <c r="M17" s="703"/>
      <c r="N17" s="703"/>
      <c r="O17" s="703"/>
      <c r="P17" s="703"/>
      <c r="Q17" s="706">
        <f t="shared" si="1"/>
        <v>0</v>
      </c>
      <c r="U17" s="573" t="s">
        <v>631</v>
      </c>
      <c r="V17" s="572" t="s">
        <v>632</v>
      </c>
      <c r="W17" s="571" t="s">
        <v>633</v>
      </c>
      <c r="X17" s="563">
        <v>9</v>
      </c>
    </row>
    <row r="18" spans="1:24" ht="20.100000000000001" customHeight="1" x14ac:dyDescent="0.3">
      <c r="A18" s="702">
        <f t="shared" si="2"/>
        <v>17</v>
      </c>
      <c r="B18" s="703"/>
      <c r="C18" s="703"/>
      <c r="D18" s="703"/>
      <c r="E18" s="704"/>
      <c r="F18" s="703"/>
      <c r="G18" s="704"/>
      <c r="H18" s="703"/>
      <c r="I18" s="705"/>
      <c r="J18" s="264" t="str">
        <f t="shared" si="0"/>
        <v xml:space="preserve"> </v>
      </c>
      <c r="K18" s="703"/>
      <c r="L18" s="703"/>
      <c r="M18" s="703"/>
      <c r="N18" s="703"/>
      <c r="O18" s="703"/>
      <c r="P18" s="703"/>
      <c r="Q18" s="706">
        <f t="shared" si="1"/>
        <v>0</v>
      </c>
      <c r="U18" s="570" t="s">
        <v>634</v>
      </c>
      <c r="V18" s="572" t="s">
        <v>635</v>
      </c>
      <c r="W18" s="571" t="s">
        <v>636</v>
      </c>
      <c r="X18" s="563">
        <v>8</v>
      </c>
    </row>
    <row r="19" spans="1:24" ht="20.100000000000001" customHeight="1" x14ac:dyDescent="0.3">
      <c r="A19" s="702">
        <f t="shared" si="2"/>
        <v>18</v>
      </c>
      <c r="B19" s="703"/>
      <c r="C19" s="703"/>
      <c r="D19" s="703"/>
      <c r="E19" s="704"/>
      <c r="F19" s="703"/>
      <c r="G19" s="704"/>
      <c r="H19" s="703"/>
      <c r="I19" s="705"/>
      <c r="J19" s="264" t="str">
        <f t="shared" si="0"/>
        <v xml:space="preserve"> </v>
      </c>
      <c r="K19" s="703"/>
      <c r="L19" s="703"/>
      <c r="M19" s="703"/>
      <c r="N19" s="703"/>
      <c r="O19" s="703"/>
      <c r="P19" s="703"/>
      <c r="Q19" s="706">
        <f t="shared" si="1"/>
        <v>0</v>
      </c>
      <c r="U19" s="573" t="s">
        <v>637</v>
      </c>
      <c r="V19" s="572" t="s">
        <v>638</v>
      </c>
      <c r="W19" s="571" t="s">
        <v>639</v>
      </c>
      <c r="X19" s="563">
        <v>7</v>
      </c>
    </row>
    <row r="20" spans="1:24" ht="20.100000000000001" customHeight="1" x14ac:dyDescent="0.3">
      <c r="A20" s="702">
        <f t="shared" si="2"/>
        <v>19</v>
      </c>
      <c r="B20" s="703"/>
      <c r="C20" s="703"/>
      <c r="D20" s="703"/>
      <c r="E20" s="704"/>
      <c r="F20" s="703"/>
      <c r="G20" s="704"/>
      <c r="H20" s="703"/>
      <c r="I20" s="705"/>
      <c r="J20" s="264" t="str">
        <f t="shared" si="0"/>
        <v xml:space="preserve"> </v>
      </c>
      <c r="K20" s="703"/>
      <c r="L20" s="703"/>
      <c r="M20" s="703"/>
      <c r="N20" s="703"/>
      <c r="O20" s="703"/>
      <c r="P20" s="703"/>
      <c r="Q20" s="706">
        <f t="shared" si="1"/>
        <v>0</v>
      </c>
      <c r="U20" s="570" t="s">
        <v>640</v>
      </c>
      <c r="V20" s="572" t="s">
        <v>641</v>
      </c>
      <c r="W20" s="571" t="s">
        <v>642</v>
      </c>
      <c r="X20" s="563">
        <v>6</v>
      </c>
    </row>
    <row r="21" spans="1:24" ht="20.100000000000001" customHeight="1" x14ac:dyDescent="0.3">
      <c r="A21" s="702">
        <f t="shared" si="2"/>
        <v>20</v>
      </c>
      <c r="B21" s="703"/>
      <c r="C21" s="703"/>
      <c r="D21" s="703"/>
      <c r="E21" s="704"/>
      <c r="F21" s="703"/>
      <c r="G21" s="704"/>
      <c r="H21" s="703"/>
      <c r="I21" s="705"/>
      <c r="J21" s="264" t="str">
        <f t="shared" si="0"/>
        <v xml:space="preserve"> </v>
      </c>
      <c r="K21" s="703"/>
      <c r="L21" s="703"/>
      <c r="M21" s="703"/>
      <c r="N21" s="703"/>
      <c r="O21" s="703"/>
      <c r="P21" s="703"/>
      <c r="Q21" s="706">
        <f t="shared" si="1"/>
        <v>0</v>
      </c>
      <c r="U21" s="574" t="s">
        <v>643</v>
      </c>
      <c r="V21" s="572" t="s">
        <v>644</v>
      </c>
      <c r="W21" s="571" t="s">
        <v>645</v>
      </c>
      <c r="X21" s="563">
        <v>5</v>
      </c>
    </row>
    <row r="22" spans="1:24" ht="20.100000000000001" customHeight="1" x14ac:dyDescent="0.3">
      <c r="A22" s="702">
        <f t="shared" si="2"/>
        <v>21</v>
      </c>
      <c r="B22" s="703"/>
      <c r="C22" s="703"/>
      <c r="D22" s="703"/>
      <c r="E22" s="704"/>
      <c r="F22" s="703"/>
      <c r="G22" s="704"/>
      <c r="H22" s="703"/>
      <c r="I22" s="705"/>
      <c r="J22" s="264" t="str">
        <f t="shared" si="0"/>
        <v xml:space="preserve"> </v>
      </c>
      <c r="K22" s="703"/>
      <c r="L22" s="703"/>
      <c r="M22" s="703"/>
      <c r="N22" s="703"/>
      <c r="O22" s="703"/>
      <c r="P22" s="703"/>
      <c r="Q22" s="706">
        <f t="shared" si="1"/>
        <v>0</v>
      </c>
      <c r="U22" s="573" t="s">
        <v>646</v>
      </c>
      <c r="V22" s="572" t="s">
        <v>647</v>
      </c>
      <c r="W22" s="571" t="s">
        <v>648</v>
      </c>
      <c r="X22" s="563">
        <v>4</v>
      </c>
    </row>
    <row r="23" spans="1:24" ht="20.100000000000001" customHeight="1" x14ac:dyDescent="0.3">
      <c r="A23" s="702">
        <f t="shared" si="2"/>
        <v>22</v>
      </c>
      <c r="B23" s="703"/>
      <c r="C23" s="703"/>
      <c r="D23" s="703"/>
      <c r="E23" s="704"/>
      <c r="F23" s="703"/>
      <c r="G23" s="704"/>
      <c r="H23" s="703"/>
      <c r="I23" s="705"/>
      <c r="J23" s="264" t="str">
        <f t="shared" si="0"/>
        <v xml:space="preserve"> </v>
      </c>
      <c r="K23" s="703"/>
      <c r="L23" s="703"/>
      <c r="M23" s="703"/>
      <c r="N23" s="703"/>
      <c r="O23" s="703"/>
      <c r="P23" s="703"/>
      <c r="Q23" s="706">
        <f t="shared" si="1"/>
        <v>0</v>
      </c>
      <c r="U23" s="575" t="s">
        <v>649</v>
      </c>
      <c r="V23" s="572" t="s">
        <v>650</v>
      </c>
      <c r="W23" s="571" t="s">
        <v>651</v>
      </c>
      <c r="X23" s="563">
        <v>3</v>
      </c>
    </row>
    <row r="24" spans="1:24" ht="20.100000000000001" customHeight="1" x14ac:dyDescent="0.3">
      <c r="A24" s="702">
        <f t="shared" si="2"/>
        <v>23</v>
      </c>
      <c r="B24" s="703"/>
      <c r="C24" s="703"/>
      <c r="D24" s="703"/>
      <c r="E24" s="704"/>
      <c r="F24" s="703"/>
      <c r="G24" s="704"/>
      <c r="H24" s="703"/>
      <c r="I24" s="705"/>
      <c r="J24" s="264" t="str">
        <f t="shared" si="0"/>
        <v xml:space="preserve"> </v>
      </c>
      <c r="K24" s="703"/>
      <c r="L24" s="703"/>
      <c r="M24" s="703"/>
      <c r="N24" s="703"/>
      <c r="O24" s="703"/>
      <c r="P24" s="703"/>
      <c r="Q24" s="706">
        <f t="shared" si="1"/>
        <v>0</v>
      </c>
      <c r="U24" s="575" t="s">
        <v>652</v>
      </c>
      <c r="V24" s="572" t="s">
        <v>653</v>
      </c>
      <c r="W24" s="571" t="s">
        <v>654</v>
      </c>
      <c r="X24" s="563">
        <v>2</v>
      </c>
    </row>
    <row r="25" spans="1:24" ht="20.100000000000001" customHeight="1" thickBot="1" x14ac:dyDescent="0.35">
      <c r="A25" s="702">
        <f t="shared" si="2"/>
        <v>24</v>
      </c>
      <c r="B25" s="703"/>
      <c r="C25" s="703"/>
      <c r="D25" s="703"/>
      <c r="E25" s="704"/>
      <c r="F25" s="703"/>
      <c r="G25" s="704"/>
      <c r="H25" s="703"/>
      <c r="I25" s="705"/>
      <c r="J25" s="264" t="str">
        <f t="shared" si="0"/>
        <v xml:space="preserve"> </v>
      </c>
      <c r="K25" s="703"/>
      <c r="L25" s="703"/>
      <c r="M25" s="703"/>
      <c r="N25" s="703"/>
      <c r="O25" s="703"/>
      <c r="P25" s="703"/>
      <c r="Q25" s="706">
        <f t="shared" si="1"/>
        <v>0</v>
      </c>
      <c r="U25" s="576" t="s">
        <v>655</v>
      </c>
      <c r="V25" s="577" t="s">
        <v>656</v>
      </c>
      <c r="W25" s="577" t="s">
        <v>657</v>
      </c>
      <c r="X25" s="565">
        <v>1</v>
      </c>
    </row>
    <row r="26" spans="1:24" ht="20.100000000000001" customHeight="1" thickBot="1" x14ac:dyDescent="0.35">
      <c r="A26" s="702">
        <f t="shared" si="2"/>
        <v>25</v>
      </c>
      <c r="B26" s="703"/>
      <c r="C26" s="703"/>
      <c r="D26" s="703"/>
      <c r="E26" s="704"/>
      <c r="F26" s="703"/>
      <c r="G26" s="704"/>
      <c r="H26" s="703"/>
      <c r="I26" s="705"/>
      <c r="J26" s="264" t="str">
        <f t="shared" si="0"/>
        <v xml:space="preserve"> </v>
      </c>
      <c r="K26" s="703"/>
      <c r="L26" s="703"/>
      <c r="M26" s="703"/>
      <c r="N26" s="703"/>
      <c r="O26" s="703"/>
      <c r="P26" s="703"/>
      <c r="Q26" s="706">
        <f t="shared" si="1"/>
        <v>0</v>
      </c>
      <c r="U26" s="561"/>
      <c r="V26" s="566"/>
      <c r="W26" s="561"/>
      <c r="X26" s="561"/>
    </row>
    <row r="27" spans="1:24" ht="20.100000000000001" customHeight="1" thickBot="1" x14ac:dyDescent="0.35">
      <c r="A27" s="702">
        <f t="shared" si="2"/>
        <v>26</v>
      </c>
      <c r="B27" s="703"/>
      <c r="C27" s="703"/>
      <c r="D27" s="703"/>
      <c r="E27" s="704"/>
      <c r="F27" s="703"/>
      <c r="G27" s="704"/>
      <c r="H27" s="703"/>
      <c r="I27" s="705"/>
      <c r="J27" s="264" t="str">
        <f t="shared" si="0"/>
        <v xml:space="preserve"> </v>
      </c>
      <c r="K27" s="703"/>
      <c r="L27" s="703"/>
      <c r="M27" s="703"/>
      <c r="N27" s="703"/>
      <c r="O27" s="703"/>
      <c r="P27" s="703"/>
      <c r="Q27" s="706">
        <f t="shared" si="1"/>
        <v>0</v>
      </c>
      <c r="U27" s="578" t="s">
        <v>658</v>
      </c>
      <c r="V27" s="579" t="s">
        <v>674</v>
      </c>
      <c r="W27" s="580" t="s">
        <v>695</v>
      </c>
      <c r="X27" s="561"/>
    </row>
    <row r="28" spans="1:24" ht="20.100000000000001" customHeight="1" x14ac:dyDescent="0.3">
      <c r="A28" s="702">
        <f t="shared" si="2"/>
        <v>27</v>
      </c>
      <c r="B28" s="703"/>
      <c r="C28" s="703"/>
      <c r="D28" s="703"/>
      <c r="E28" s="704"/>
      <c r="F28" s="703"/>
      <c r="G28" s="704"/>
      <c r="H28" s="703"/>
      <c r="I28" s="705"/>
      <c r="J28" s="264" t="str">
        <f t="shared" si="0"/>
        <v xml:space="preserve"> </v>
      </c>
      <c r="K28" s="703"/>
      <c r="L28" s="703"/>
      <c r="M28" s="703"/>
      <c r="N28" s="703"/>
      <c r="O28" s="703"/>
      <c r="P28" s="703"/>
      <c r="Q28" s="706">
        <f t="shared" si="1"/>
        <v>0</v>
      </c>
      <c r="U28" s="581" t="s">
        <v>659</v>
      </c>
      <c r="V28" s="582" t="s">
        <v>660</v>
      </c>
      <c r="W28" s="583">
        <v>10</v>
      </c>
      <c r="X28" s="561"/>
    </row>
    <row r="29" spans="1:24" ht="20.100000000000001" customHeight="1" x14ac:dyDescent="0.3">
      <c r="A29" s="702">
        <f t="shared" si="2"/>
        <v>28</v>
      </c>
      <c r="B29" s="703"/>
      <c r="C29" s="703"/>
      <c r="D29" s="703"/>
      <c r="E29" s="704"/>
      <c r="F29" s="703"/>
      <c r="G29" s="704"/>
      <c r="H29" s="703"/>
      <c r="I29" s="705"/>
      <c r="J29" s="264" t="str">
        <f t="shared" si="0"/>
        <v xml:space="preserve"> </v>
      </c>
      <c r="K29" s="703"/>
      <c r="L29" s="703"/>
      <c r="M29" s="703"/>
      <c r="N29" s="703"/>
      <c r="O29" s="703"/>
      <c r="P29" s="703"/>
      <c r="Q29" s="706">
        <f t="shared" si="1"/>
        <v>0</v>
      </c>
      <c r="U29" s="581" t="s">
        <v>661</v>
      </c>
      <c r="V29" s="582" t="s">
        <v>662</v>
      </c>
      <c r="W29" s="583">
        <v>9</v>
      </c>
      <c r="X29" s="561"/>
    </row>
    <row r="30" spans="1:24" ht="20.100000000000001" customHeight="1" x14ac:dyDescent="0.3">
      <c r="A30" s="702">
        <f t="shared" si="2"/>
        <v>29</v>
      </c>
      <c r="B30" s="703"/>
      <c r="C30" s="703"/>
      <c r="D30" s="703"/>
      <c r="E30" s="704"/>
      <c r="F30" s="703"/>
      <c r="G30" s="704"/>
      <c r="H30" s="703"/>
      <c r="I30" s="705"/>
      <c r="J30" s="264" t="str">
        <f t="shared" si="0"/>
        <v xml:space="preserve"> </v>
      </c>
      <c r="K30" s="703"/>
      <c r="L30" s="703"/>
      <c r="M30" s="703"/>
      <c r="N30" s="703"/>
      <c r="O30" s="703"/>
      <c r="P30" s="703"/>
      <c r="Q30" s="706">
        <f t="shared" si="1"/>
        <v>0</v>
      </c>
      <c r="U30" s="581" t="s">
        <v>663</v>
      </c>
      <c r="V30" s="582" t="s">
        <v>664</v>
      </c>
      <c r="W30" s="583">
        <v>8</v>
      </c>
      <c r="X30" s="561"/>
    </row>
    <row r="31" spans="1:24" ht="20.100000000000001" customHeight="1" x14ac:dyDescent="0.3">
      <c r="A31" s="702">
        <f t="shared" si="2"/>
        <v>30</v>
      </c>
      <c r="B31" s="703"/>
      <c r="C31" s="703"/>
      <c r="D31" s="703"/>
      <c r="E31" s="704"/>
      <c r="F31" s="703"/>
      <c r="G31" s="704"/>
      <c r="H31" s="703"/>
      <c r="I31" s="705"/>
      <c r="J31" s="264" t="str">
        <f t="shared" si="0"/>
        <v xml:space="preserve"> </v>
      </c>
      <c r="K31" s="703"/>
      <c r="L31" s="703"/>
      <c r="M31" s="703"/>
      <c r="N31" s="703"/>
      <c r="O31" s="703"/>
      <c r="P31" s="703"/>
      <c r="Q31" s="706">
        <f t="shared" si="1"/>
        <v>0</v>
      </c>
      <c r="U31" s="581" t="s">
        <v>620</v>
      </c>
      <c r="V31" s="582" t="s">
        <v>665</v>
      </c>
      <c r="W31" s="583">
        <v>7</v>
      </c>
      <c r="X31" s="561"/>
    </row>
    <row r="32" spans="1:24" ht="20.100000000000001" customHeight="1" x14ac:dyDescent="0.3">
      <c r="A32" s="702">
        <f t="shared" si="2"/>
        <v>31</v>
      </c>
      <c r="B32" s="703"/>
      <c r="C32" s="703"/>
      <c r="D32" s="703"/>
      <c r="E32" s="704"/>
      <c r="F32" s="703"/>
      <c r="G32" s="704"/>
      <c r="H32" s="703"/>
      <c r="I32" s="705"/>
      <c r="J32" s="264" t="str">
        <f t="shared" si="0"/>
        <v xml:space="preserve"> </v>
      </c>
      <c r="K32" s="703"/>
      <c r="L32" s="703"/>
      <c r="M32" s="703"/>
      <c r="N32" s="703"/>
      <c r="O32" s="703"/>
      <c r="P32" s="703"/>
      <c r="Q32" s="706">
        <f t="shared" si="1"/>
        <v>0</v>
      </c>
      <c r="U32" s="581" t="s">
        <v>619</v>
      </c>
      <c r="V32" s="582" t="s">
        <v>666</v>
      </c>
      <c r="W32" s="583">
        <v>6</v>
      </c>
      <c r="X32" s="561"/>
    </row>
    <row r="33" spans="1:24" ht="20.100000000000001" customHeight="1" x14ac:dyDescent="0.3">
      <c r="A33" s="702">
        <f t="shared" si="2"/>
        <v>32</v>
      </c>
      <c r="B33" s="703"/>
      <c r="C33" s="703"/>
      <c r="D33" s="703"/>
      <c r="E33" s="704"/>
      <c r="F33" s="703"/>
      <c r="G33" s="704"/>
      <c r="H33" s="703"/>
      <c r="I33" s="705"/>
      <c r="J33" s="264" t="str">
        <f t="shared" si="0"/>
        <v xml:space="preserve"> </v>
      </c>
      <c r="K33" s="703"/>
      <c r="L33" s="703"/>
      <c r="M33" s="703"/>
      <c r="N33" s="703"/>
      <c r="O33" s="703"/>
      <c r="P33" s="703"/>
      <c r="Q33" s="706">
        <f t="shared" si="1"/>
        <v>0</v>
      </c>
      <c r="U33" s="581" t="s">
        <v>618</v>
      </c>
      <c r="V33" s="582" t="s">
        <v>667</v>
      </c>
      <c r="W33" s="583">
        <v>5</v>
      </c>
      <c r="X33" s="561"/>
    </row>
    <row r="34" spans="1:24" ht="20.100000000000001" customHeight="1" x14ac:dyDescent="0.3">
      <c r="A34" s="702">
        <f t="shared" si="2"/>
        <v>33</v>
      </c>
      <c r="B34" s="703"/>
      <c r="C34" s="703"/>
      <c r="D34" s="703"/>
      <c r="E34" s="704"/>
      <c r="F34" s="703"/>
      <c r="G34" s="704"/>
      <c r="H34" s="703"/>
      <c r="I34" s="705"/>
      <c r="J34" s="264" t="str">
        <f t="shared" si="0"/>
        <v xml:space="preserve"> </v>
      </c>
      <c r="K34" s="703"/>
      <c r="L34" s="703"/>
      <c r="M34" s="703"/>
      <c r="N34" s="703"/>
      <c r="O34" s="703"/>
      <c r="P34" s="703"/>
      <c r="Q34" s="706">
        <f t="shared" si="1"/>
        <v>0</v>
      </c>
      <c r="U34" s="581" t="s">
        <v>668</v>
      </c>
      <c r="V34" s="582" t="s">
        <v>669</v>
      </c>
      <c r="W34" s="583">
        <v>4</v>
      </c>
      <c r="X34" s="561"/>
    </row>
    <row r="35" spans="1:24" ht="20.100000000000001" customHeight="1" x14ac:dyDescent="0.3">
      <c r="A35" s="702">
        <f t="shared" si="2"/>
        <v>34</v>
      </c>
      <c r="B35" s="703"/>
      <c r="C35" s="703"/>
      <c r="D35" s="703"/>
      <c r="E35" s="704"/>
      <c r="F35" s="703"/>
      <c r="G35" s="704"/>
      <c r="H35" s="703"/>
      <c r="I35" s="705"/>
      <c r="J35" s="264" t="str">
        <f t="shared" si="0"/>
        <v xml:space="preserve"> </v>
      </c>
      <c r="K35" s="703"/>
      <c r="L35" s="703"/>
      <c r="M35" s="703"/>
      <c r="N35" s="703"/>
      <c r="O35" s="703"/>
      <c r="P35" s="703"/>
      <c r="Q35" s="706">
        <f t="shared" si="1"/>
        <v>0</v>
      </c>
      <c r="U35" s="581" t="s">
        <v>617</v>
      </c>
      <c r="V35" s="582" t="s">
        <v>670</v>
      </c>
      <c r="W35" s="583">
        <v>3</v>
      </c>
      <c r="X35" s="561"/>
    </row>
    <row r="36" spans="1:24" ht="20.100000000000001" customHeight="1" x14ac:dyDescent="0.3">
      <c r="A36" s="702">
        <f t="shared" si="2"/>
        <v>35</v>
      </c>
      <c r="B36" s="703"/>
      <c r="C36" s="703"/>
      <c r="D36" s="703"/>
      <c r="E36" s="704"/>
      <c r="F36" s="703"/>
      <c r="G36" s="704"/>
      <c r="H36" s="703"/>
      <c r="I36" s="705"/>
      <c r="J36" s="264" t="str">
        <f t="shared" si="0"/>
        <v xml:space="preserve"> </v>
      </c>
      <c r="K36" s="703"/>
      <c r="L36" s="703"/>
      <c r="M36" s="703"/>
      <c r="N36" s="703"/>
      <c r="O36" s="703"/>
      <c r="P36" s="703"/>
      <c r="Q36" s="706">
        <f t="shared" si="1"/>
        <v>0</v>
      </c>
      <c r="U36" s="581" t="s">
        <v>616</v>
      </c>
      <c r="V36" s="582" t="s">
        <v>671</v>
      </c>
      <c r="W36" s="583">
        <v>2</v>
      </c>
      <c r="X36" s="561"/>
    </row>
    <row r="37" spans="1:24" ht="20.100000000000001" customHeight="1" thickBot="1" x14ac:dyDescent="0.35">
      <c r="A37" s="702">
        <f t="shared" si="2"/>
        <v>36</v>
      </c>
      <c r="B37" s="703"/>
      <c r="C37" s="703"/>
      <c r="D37" s="703"/>
      <c r="E37" s="704"/>
      <c r="F37" s="703"/>
      <c r="G37" s="704"/>
      <c r="H37" s="703"/>
      <c r="I37" s="705"/>
      <c r="J37" s="264" t="str">
        <f t="shared" si="0"/>
        <v xml:space="preserve"> </v>
      </c>
      <c r="K37" s="703"/>
      <c r="L37" s="703"/>
      <c r="M37" s="703"/>
      <c r="N37" s="703"/>
      <c r="O37" s="703"/>
      <c r="P37" s="703"/>
      <c r="Q37" s="706">
        <f t="shared" si="1"/>
        <v>0</v>
      </c>
      <c r="U37" s="584" t="s">
        <v>672</v>
      </c>
      <c r="V37" s="585" t="s">
        <v>673</v>
      </c>
      <c r="W37" s="586">
        <v>1</v>
      </c>
      <c r="X37" s="561"/>
    </row>
    <row r="38" spans="1:24" ht="20.100000000000001" customHeight="1" x14ac:dyDescent="0.3">
      <c r="A38" s="702">
        <f t="shared" si="2"/>
        <v>37</v>
      </c>
      <c r="B38" s="703"/>
      <c r="C38" s="703"/>
      <c r="D38" s="703"/>
      <c r="E38" s="704"/>
      <c r="F38" s="703"/>
      <c r="G38" s="704"/>
      <c r="H38" s="703"/>
      <c r="I38" s="705"/>
      <c r="J38" s="264" t="str">
        <f t="shared" si="0"/>
        <v xml:space="preserve"> </v>
      </c>
      <c r="K38" s="703"/>
      <c r="L38" s="703"/>
      <c r="M38" s="703"/>
      <c r="N38" s="703"/>
      <c r="O38" s="703"/>
      <c r="P38" s="703"/>
      <c r="Q38" s="706">
        <f t="shared" si="1"/>
        <v>0</v>
      </c>
    </row>
    <row r="39" spans="1:24" ht="20.100000000000001" customHeight="1" x14ac:dyDescent="0.3">
      <c r="A39" s="702">
        <f t="shared" si="2"/>
        <v>38</v>
      </c>
      <c r="B39" s="703"/>
      <c r="C39" s="703"/>
      <c r="D39" s="703"/>
      <c r="E39" s="704"/>
      <c r="F39" s="703"/>
      <c r="G39" s="704"/>
      <c r="H39" s="703"/>
      <c r="I39" s="705"/>
      <c r="J39" s="264" t="str">
        <f t="shared" si="0"/>
        <v xml:space="preserve"> </v>
      </c>
      <c r="K39" s="703"/>
      <c r="L39" s="703"/>
      <c r="M39" s="703"/>
      <c r="N39" s="703"/>
      <c r="O39" s="703"/>
      <c r="P39" s="703"/>
      <c r="Q39" s="706">
        <f t="shared" si="1"/>
        <v>0</v>
      </c>
    </row>
    <row r="40" spans="1:24" ht="20.100000000000001" customHeight="1" x14ac:dyDescent="0.3">
      <c r="A40" s="702">
        <f t="shared" si="2"/>
        <v>39</v>
      </c>
      <c r="B40" s="703"/>
      <c r="C40" s="703"/>
      <c r="D40" s="703"/>
      <c r="E40" s="704"/>
      <c r="F40" s="703"/>
      <c r="G40" s="704"/>
      <c r="H40" s="703"/>
      <c r="I40" s="705"/>
      <c r="J40" s="264" t="str">
        <f t="shared" si="0"/>
        <v xml:space="preserve"> </v>
      </c>
      <c r="K40" s="703"/>
      <c r="L40" s="703"/>
      <c r="M40" s="703"/>
      <c r="N40" s="703"/>
      <c r="O40" s="703"/>
      <c r="P40" s="703"/>
      <c r="Q40" s="706">
        <f t="shared" si="1"/>
        <v>0</v>
      </c>
    </row>
    <row r="41" spans="1:24" ht="20.100000000000001" customHeight="1" x14ac:dyDescent="0.3">
      <c r="A41" s="702">
        <f t="shared" si="2"/>
        <v>40</v>
      </c>
      <c r="B41" s="703"/>
      <c r="C41" s="703"/>
      <c r="D41" s="703"/>
      <c r="E41" s="704"/>
      <c r="F41" s="703"/>
      <c r="G41" s="704"/>
      <c r="H41" s="703"/>
      <c r="I41" s="705"/>
      <c r="J41" s="264" t="str">
        <f t="shared" si="0"/>
        <v xml:space="preserve"> </v>
      </c>
      <c r="K41" s="703"/>
      <c r="L41" s="703"/>
      <c r="M41" s="703"/>
      <c r="N41" s="703"/>
      <c r="O41" s="703"/>
      <c r="P41" s="703"/>
      <c r="Q41" s="706">
        <f t="shared" si="1"/>
        <v>0</v>
      </c>
    </row>
    <row r="42" spans="1:24" ht="20.100000000000001" customHeight="1" x14ac:dyDescent="0.3">
      <c r="A42" s="702">
        <f t="shared" si="2"/>
        <v>41</v>
      </c>
      <c r="B42" s="703"/>
      <c r="C42" s="703"/>
      <c r="D42" s="703"/>
      <c r="E42" s="704"/>
      <c r="F42" s="703"/>
      <c r="G42" s="704"/>
      <c r="H42" s="703"/>
      <c r="I42" s="705"/>
      <c r="J42" s="264" t="str">
        <f t="shared" si="0"/>
        <v xml:space="preserve"> </v>
      </c>
      <c r="K42" s="703"/>
      <c r="L42" s="703"/>
      <c r="M42" s="703"/>
      <c r="N42" s="703"/>
      <c r="O42" s="703"/>
      <c r="P42" s="703"/>
      <c r="Q42" s="706">
        <f t="shared" si="1"/>
        <v>0</v>
      </c>
    </row>
    <row r="43" spans="1:24" ht="20.100000000000001" customHeight="1" x14ac:dyDescent="0.3">
      <c r="A43" s="702">
        <f t="shared" si="2"/>
        <v>42</v>
      </c>
      <c r="B43" s="703"/>
      <c r="C43" s="703"/>
      <c r="D43" s="703"/>
      <c r="E43" s="704"/>
      <c r="F43" s="703"/>
      <c r="G43" s="704"/>
      <c r="H43" s="703"/>
      <c r="I43" s="705"/>
      <c r="J43" s="264" t="str">
        <f t="shared" si="0"/>
        <v xml:space="preserve"> </v>
      </c>
      <c r="K43" s="703"/>
      <c r="L43" s="703"/>
      <c r="M43" s="703"/>
      <c r="N43" s="703"/>
      <c r="O43" s="703"/>
      <c r="P43" s="703"/>
      <c r="Q43" s="706">
        <f t="shared" si="1"/>
        <v>0</v>
      </c>
    </row>
    <row r="44" spans="1:24" ht="20.100000000000001" customHeight="1" x14ac:dyDescent="0.3">
      <c r="A44" s="702">
        <f t="shared" si="2"/>
        <v>43</v>
      </c>
      <c r="B44" s="703"/>
      <c r="C44" s="703"/>
      <c r="D44" s="703"/>
      <c r="E44" s="704"/>
      <c r="F44" s="703"/>
      <c r="G44" s="704"/>
      <c r="H44" s="703"/>
      <c r="I44" s="705"/>
      <c r="J44" s="264" t="str">
        <f t="shared" si="0"/>
        <v xml:space="preserve"> </v>
      </c>
      <c r="K44" s="703"/>
      <c r="L44" s="703"/>
      <c r="M44" s="703"/>
      <c r="N44" s="703"/>
      <c r="O44" s="703"/>
      <c r="P44" s="703"/>
      <c r="Q44" s="706">
        <f t="shared" si="1"/>
        <v>0</v>
      </c>
    </row>
    <row r="45" spans="1:24" ht="20.100000000000001" customHeight="1" x14ac:dyDescent="0.3">
      <c r="A45" s="702">
        <f t="shared" si="2"/>
        <v>44</v>
      </c>
      <c r="B45" s="703"/>
      <c r="C45" s="703"/>
      <c r="D45" s="703"/>
      <c r="E45" s="704"/>
      <c r="F45" s="703"/>
      <c r="G45" s="704"/>
      <c r="H45" s="703"/>
      <c r="I45" s="705"/>
      <c r="J45" s="264" t="str">
        <f t="shared" si="0"/>
        <v xml:space="preserve"> </v>
      </c>
      <c r="K45" s="703"/>
      <c r="L45" s="703"/>
      <c r="M45" s="703"/>
      <c r="N45" s="703"/>
      <c r="O45" s="703"/>
      <c r="P45" s="703"/>
      <c r="Q45" s="706">
        <f t="shared" si="1"/>
        <v>0</v>
      </c>
    </row>
    <row r="46" spans="1:24" ht="20.100000000000001" customHeight="1" x14ac:dyDescent="0.3">
      <c r="A46" s="702">
        <f t="shared" si="2"/>
        <v>45</v>
      </c>
      <c r="B46" s="703"/>
      <c r="C46" s="703"/>
      <c r="D46" s="703"/>
      <c r="E46" s="704"/>
      <c r="F46" s="703"/>
      <c r="G46" s="704"/>
      <c r="H46" s="703"/>
      <c r="I46" s="705"/>
      <c r="J46" s="264" t="str">
        <f t="shared" si="0"/>
        <v xml:space="preserve"> </v>
      </c>
      <c r="K46" s="703"/>
      <c r="L46" s="703"/>
      <c r="M46" s="703"/>
      <c r="N46" s="703"/>
      <c r="O46" s="703"/>
      <c r="P46" s="703"/>
      <c r="Q46" s="706">
        <f t="shared" si="1"/>
        <v>0</v>
      </c>
    </row>
    <row r="47" spans="1:24" ht="20.100000000000001" customHeight="1" x14ac:dyDescent="0.3">
      <c r="A47" s="702">
        <f t="shared" si="2"/>
        <v>46</v>
      </c>
      <c r="B47" s="703"/>
      <c r="C47" s="703"/>
      <c r="D47" s="703"/>
      <c r="E47" s="704"/>
      <c r="F47" s="703"/>
      <c r="G47" s="704"/>
      <c r="H47" s="703"/>
      <c r="I47" s="705"/>
      <c r="J47" s="264" t="str">
        <f t="shared" si="0"/>
        <v xml:space="preserve"> </v>
      </c>
      <c r="K47" s="703"/>
      <c r="L47" s="703"/>
      <c r="M47" s="703"/>
      <c r="N47" s="703"/>
      <c r="O47" s="703"/>
      <c r="P47" s="703"/>
      <c r="Q47" s="706">
        <f t="shared" si="1"/>
        <v>0</v>
      </c>
    </row>
    <row r="48" spans="1:24" ht="20.100000000000001" customHeight="1" x14ac:dyDescent="0.3">
      <c r="A48" s="702">
        <f t="shared" si="2"/>
        <v>47</v>
      </c>
      <c r="B48" s="703"/>
      <c r="C48" s="703"/>
      <c r="D48" s="703"/>
      <c r="E48" s="704"/>
      <c r="F48" s="703"/>
      <c r="G48" s="704"/>
      <c r="H48" s="703"/>
      <c r="I48" s="705"/>
      <c r="J48" s="264" t="str">
        <f t="shared" si="0"/>
        <v xml:space="preserve"> </v>
      </c>
      <c r="K48" s="703"/>
      <c r="L48" s="703"/>
      <c r="M48" s="703"/>
      <c r="N48" s="703"/>
      <c r="O48" s="703"/>
      <c r="P48" s="703"/>
      <c r="Q48" s="706">
        <f t="shared" si="1"/>
        <v>0</v>
      </c>
    </row>
    <row r="49" spans="1:17" ht="20.100000000000001" customHeight="1" x14ac:dyDescent="0.3">
      <c r="A49" s="702">
        <f t="shared" si="2"/>
        <v>48</v>
      </c>
      <c r="B49" s="703"/>
      <c r="C49" s="703"/>
      <c r="D49" s="703"/>
      <c r="E49" s="704"/>
      <c r="F49" s="703"/>
      <c r="G49" s="704"/>
      <c r="H49" s="703"/>
      <c r="I49" s="705"/>
      <c r="J49" s="264" t="str">
        <f t="shared" si="0"/>
        <v xml:space="preserve"> </v>
      </c>
      <c r="K49" s="703"/>
      <c r="L49" s="703"/>
      <c r="M49" s="703"/>
      <c r="N49" s="703"/>
      <c r="O49" s="703"/>
      <c r="P49" s="703"/>
      <c r="Q49" s="706">
        <f t="shared" si="1"/>
        <v>0</v>
      </c>
    </row>
    <row r="50" spans="1:17" ht="20.100000000000001" customHeight="1" x14ac:dyDescent="0.3">
      <c r="A50" s="702">
        <f t="shared" si="2"/>
        <v>49</v>
      </c>
      <c r="B50" s="703"/>
      <c r="C50" s="703"/>
      <c r="D50" s="703"/>
      <c r="E50" s="704"/>
      <c r="F50" s="703"/>
      <c r="G50" s="704"/>
      <c r="H50" s="703"/>
      <c r="I50" s="705"/>
      <c r="J50" s="264" t="str">
        <f t="shared" si="0"/>
        <v xml:space="preserve"> </v>
      </c>
      <c r="K50" s="703"/>
      <c r="L50" s="703"/>
      <c r="M50" s="703"/>
      <c r="N50" s="703"/>
      <c r="O50" s="703"/>
      <c r="P50" s="703"/>
      <c r="Q50" s="706">
        <f t="shared" si="1"/>
        <v>0</v>
      </c>
    </row>
    <row r="51" spans="1:17" ht="20.100000000000001" customHeight="1" x14ac:dyDescent="0.3">
      <c r="A51" s="702">
        <f t="shared" si="2"/>
        <v>50</v>
      </c>
      <c r="B51" s="703"/>
      <c r="C51" s="703"/>
      <c r="D51" s="703"/>
      <c r="E51" s="704"/>
      <c r="F51" s="703"/>
      <c r="G51" s="704"/>
      <c r="H51" s="703"/>
      <c r="I51" s="705"/>
      <c r="J51" s="264" t="str">
        <f t="shared" si="0"/>
        <v xml:space="preserve"> </v>
      </c>
      <c r="K51" s="703"/>
      <c r="L51" s="703"/>
      <c r="M51" s="703"/>
      <c r="N51" s="703"/>
      <c r="O51" s="703"/>
      <c r="P51" s="703"/>
      <c r="Q51" s="706">
        <f t="shared" si="1"/>
        <v>0</v>
      </c>
    </row>
    <row r="52" spans="1:17" ht="20.100000000000001" customHeight="1" x14ac:dyDescent="0.3">
      <c r="A52" s="702">
        <f t="shared" si="2"/>
        <v>51</v>
      </c>
      <c r="B52" s="703"/>
      <c r="C52" s="703"/>
      <c r="D52" s="703"/>
      <c r="E52" s="704"/>
      <c r="F52" s="703"/>
      <c r="G52" s="704"/>
      <c r="H52" s="703"/>
      <c r="I52" s="705"/>
      <c r="J52" s="264" t="str">
        <f t="shared" si="0"/>
        <v xml:space="preserve"> </v>
      </c>
      <c r="K52" s="703"/>
      <c r="L52" s="703"/>
      <c r="M52" s="703"/>
      <c r="N52" s="703"/>
      <c r="O52" s="703"/>
      <c r="P52" s="703"/>
      <c r="Q52" s="706">
        <f t="shared" si="1"/>
        <v>0</v>
      </c>
    </row>
    <row r="53" spans="1:17" ht="20.100000000000001" customHeight="1" x14ac:dyDescent="0.3">
      <c r="A53" s="702">
        <f t="shared" si="2"/>
        <v>52</v>
      </c>
      <c r="B53" s="703"/>
      <c r="C53" s="703"/>
      <c r="D53" s="703"/>
      <c r="E53" s="704"/>
      <c r="F53" s="703"/>
      <c r="G53" s="704"/>
      <c r="H53" s="703"/>
      <c r="I53" s="705"/>
      <c r="J53" s="264" t="str">
        <f t="shared" si="0"/>
        <v xml:space="preserve"> </v>
      </c>
      <c r="K53" s="703"/>
      <c r="L53" s="703"/>
      <c r="M53" s="703"/>
      <c r="N53" s="703"/>
      <c r="O53" s="703"/>
      <c r="P53" s="703"/>
      <c r="Q53" s="706">
        <f t="shared" si="1"/>
        <v>0</v>
      </c>
    </row>
    <row r="54" spans="1:17" ht="20.100000000000001" customHeight="1" x14ac:dyDescent="0.3">
      <c r="A54" s="702">
        <f t="shared" si="2"/>
        <v>53</v>
      </c>
      <c r="B54" s="703"/>
      <c r="C54" s="703"/>
      <c r="D54" s="703"/>
      <c r="E54" s="704"/>
      <c r="F54" s="703"/>
      <c r="G54" s="704"/>
      <c r="H54" s="703"/>
      <c r="I54" s="705"/>
      <c r="J54" s="264" t="str">
        <f t="shared" si="0"/>
        <v xml:space="preserve"> </v>
      </c>
      <c r="K54" s="703"/>
      <c r="L54" s="703"/>
      <c r="M54" s="703"/>
      <c r="N54" s="703"/>
      <c r="O54" s="703"/>
      <c r="P54" s="703"/>
      <c r="Q54" s="706">
        <f t="shared" si="1"/>
        <v>0</v>
      </c>
    </row>
    <row r="55" spans="1:17" ht="20.100000000000001" customHeight="1" x14ac:dyDescent="0.3">
      <c r="A55" s="702">
        <f t="shared" si="2"/>
        <v>54</v>
      </c>
      <c r="B55" s="703"/>
      <c r="C55" s="703"/>
      <c r="D55" s="703"/>
      <c r="E55" s="704"/>
      <c r="F55" s="703"/>
      <c r="G55" s="704"/>
      <c r="H55" s="703"/>
      <c r="I55" s="705"/>
      <c r="J55" s="264" t="str">
        <f t="shared" si="0"/>
        <v xml:space="preserve"> </v>
      </c>
      <c r="K55" s="703"/>
      <c r="L55" s="703"/>
      <c r="M55" s="703"/>
      <c r="N55" s="703"/>
      <c r="O55" s="703"/>
      <c r="P55" s="703"/>
      <c r="Q55" s="706">
        <f t="shared" si="1"/>
        <v>0</v>
      </c>
    </row>
    <row r="56" spans="1:17" ht="20.100000000000001" customHeight="1" x14ac:dyDescent="0.3">
      <c r="A56" s="702">
        <f t="shared" si="2"/>
        <v>55</v>
      </c>
      <c r="B56" s="703"/>
      <c r="C56" s="703"/>
      <c r="D56" s="703"/>
      <c r="E56" s="704"/>
      <c r="F56" s="703"/>
      <c r="G56" s="704"/>
      <c r="H56" s="703"/>
      <c r="I56" s="705"/>
      <c r="J56" s="264" t="str">
        <f t="shared" si="0"/>
        <v xml:space="preserve"> </v>
      </c>
      <c r="K56" s="703"/>
      <c r="L56" s="703"/>
      <c r="M56" s="703"/>
      <c r="N56" s="703"/>
      <c r="O56" s="703"/>
      <c r="P56" s="703"/>
      <c r="Q56" s="706">
        <f t="shared" si="1"/>
        <v>0</v>
      </c>
    </row>
    <row r="57" spans="1:17" ht="20.100000000000001" customHeight="1" x14ac:dyDescent="0.3">
      <c r="A57" s="702">
        <f t="shared" si="2"/>
        <v>56</v>
      </c>
      <c r="B57" s="703"/>
      <c r="C57" s="703"/>
      <c r="D57" s="703"/>
      <c r="E57" s="704"/>
      <c r="F57" s="703"/>
      <c r="G57" s="704"/>
      <c r="H57" s="703"/>
      <c r="I57" s="705"/>
      <c r="J57" s="264" t="str">
        <f t="shared" si="0"/>
        <v xml:space="preserve"> </v>
      </c>
      <c r="K57" s="703"/>
      <c r="L57" s="703"/>
      <c r="M57" s="703"/>
      <c r="N57" s="703"/>
      <c r="O57" s="703"/>
      <c r="P57" s="703"/>
      <c r="Q57" s="706">
        <f t="shared" si="1"/>
        <v>0</v>
      </c>
    </row>
    <row r="58" spans="1:17" ht="20.100000000000001" customHeight="1" x14ac:dyDescent="0.3">
      <c r="A58" s="702">
        <f t="shared" si="2"/>
        <v>57</v>
      </c>
      <c r="B58" s="703"/>
      <c r="C58" s="703"/>
      <c r="D58" s="703"/>
      <c r="E58" s="704"/>
      <c r="F58" s="703"/>
      <c r="G58" s="704"/>
      <c r="H58" s="703"/>
      <c r="I58" s="705"/>
      <c r="J58" s="264" t="str">
        <f t="shared" si="0"/>
        <v xml:space="preserve"> </v>
      </c>
      <c r="K58" s="703"/>
      <c r="L58" s="703"/>
      <c r="M58" s="703"/>
      <c r="N58" s="703"/>
      <c r="O58" s="703"/>
      <c r="P58" s="703"/>
      <c r="Q58" s="706">
        <f t="shared" si="1"/>
        <v>0</v>
      </c>
    </row>
    <row r="59" spans="1:17" ht="20.100000000000001" customHeight="1" x14ac:dyDescent="0.3">
      <c r="A59" s="702">
        <f t="shared" si="2"/>
        <v>58</v>
      </c>
      <c r="B59" s="703"/>
      <c r="C59" s="703"/>
      <c r="D59" s="703"/>
      <c r="E59" s="704"/>
      <c r="F59" s="703"/>
      <c r="G59" s="704"/>
      <c r="H59" s="703"/>
      <c r="I59" s="705"/>
      <c r="J59" s="264" t="str">
        <f t="shared" si="0"/>
        <v xml:space="preserve"> </v>
      </c>
      <c r="K59" s="703"/>
      <c r="L59" s="703"/>
      <c r="M59" s="703"/>
      <c r="N59" s="703"/>
      <c r="O59" s="703"/>
      <c r="P59" s="703"/>
      <c r="Q59" s="706">
        <f t="shared" si="1"/>
        <v>0</v>
      </c>
    </row>
    <row r="60" spans="1:17" ht="20.100000000000001" customHeight="1" x14ac:dyDescent="0.3">
      <c r="A60" s="702">
        <f t="shared" si="2"/>
        <v>59</v>
      </c>
      <c r="B60" s="703"/>
      <c r="C60" s="703"/>
      <c r="D60" s="703"/>
      <c r="E60" s="704"/>
      <c r="F60" s="703"/>
      <c r="G60" s="704"/>
      <c r="H60" s="703"/>
      <c r="I60" s="705"/>
      <c r="J60" s="264" t="str">
        <f t="shared" si="0"/>
        <v xml:space="preserve"> </v>
      </c>
      <c r="K60" s="703"/>
      <c r="L60" s="703"/>
      <c r="M60" s="703"/>
      <c r="N60" s="703"/>
      <c r="O60" s="703"/>
      <c r="P60" s="703"/>
      <c r="Q60" s="706">
        <f t="shared" si="1"/>
        <v>0</v>
      </c>
    </row>
    <row r="61" spans="1:17" ht="20.100000000000001" customHeight="1" x14ac:dyDescent="0.3">
      <c r="A61" s="702">
        <f t="shared" si="2"/>
        <v>60</v>
      </c>
      <c r="B61" s="703"/>
      <c r="C61" s="703"/>
      <c r="D61" s="703"/>
      <c r="E61" s="704"/>
      <c r="F61" s="703"/>
      <c r="G61" s="704"/>
      <c r="H61" s="703"/>
      <c r="I61" s="705"/>
      <c r="J61" s="264" t="str">
        <f t="shared" si="0"/>
        <v xml:space="preserve"> </v>
      </c>
      <c r="K61" s="703"/>
      <c r="L61" s="703"/>
      <c r="M61" s="703"/>
      <c r="N61" s="703"/>
      <c r="O61" s="703"/>
      <c r="P61" s="703"/>
      <c r="Q61" s="706">
        <f t="shared" si="1"/>
        <v>0</v>
      </c>
    </row>
    <row r="62" spans="1:17" ht="20.100000000000001" customHeight="1" x14ac:dyDescent="0.3">
      <c r="A62" s="702">
        <f t="shared" si="2"/>
        <v>61</v>
      </c>
      <c r="B62" s="703"/>
      <c r="C62" s="703"/>
      <c r="D62" s="703"/>
      <c r="E62" s="704"/>
      <c r="F62" s="703"/>
      <c r="G62" s="704"/>
      <c r="H62" s="703"/>
      <c r="I62" s="705"/>
      <c r="J62" s="264" t="str">
        <f t="shared" si="0"/>
        <v xml:space="preserve"> </v>
      </c>
      <c r="K62" s="703"/>
      <c r="L62" s="703"/>
      <c r="M62" s="703"/>
      <c r="N62" s="703"/>
      <c r="O62" s="703"/>
      <c r="P62" s="703"/>
      <c r="Q62" s="706">
        <f t="shared" si="1"/>
        <v>0</v>
      </c>
    </row>
    <row r="63" spans="1:17" ht="20.100000000000001" customHeight="1" x14ac:dyDescent="0.3">
      <c r="A63" s="702">
        <f t="shared" si="2"/>
        <v>62</v>
      </c>
      <c r="B63" s="703"/>
      <c r="C63" s="703"/>
      <c r="D63" s="703"/>
      <c r="E63" s="704"/>
      <c r="F63" s="703"/>
      <c r="G63" s="704"/>
      <c r="H63" s="703"/>
      <c r="I63" s="705"/>
      <c r="J63" s="264" t="str">
        <f t="shared" si="0"/>
        <v xml:space="preserve"> </v>
      </c>
      <c r="K63" s="703"/>
      <c r="L63" s="703"/>
      <c r="M63" s="703"/>
      <c r="N63" s="703"/>
      <c r="O63" s="703"/>
      <c r="P63" s="703"/>
      <c r="Q63" s="706">
        <f t="shared" si="1"/>
        <v>0</v>
      </c>
    </row>
    <row r="64" spans="1:17" ht="20.100000000000001" customHeight="1" x14ac:dyDescent="0.3">
      <c r="A64" s="702">
        <f t="shared" si="2"/>
        <v>63</v>
      </c>
      <c r="B64" s="703"/>
      <c r="C64" s="703"/>
      <c r="D64" s="703"/>
      <c r="E64" s="704"/>
      <c r="F64" s="703"/>
      <c r="G64" s="704"/>
      <c r="H64" s="703"/>
      <c r="I64" s="705"/>
      <c r="J64" s="264" t="str">
        <f t="shared" si="0"/>
        <v xml:space="preserve"> </v>
      </c>
      <c r="K64" s="703"/>
      <c r="L64" s="703"/>
      <c r="M64" s="703"/>
      <c r="N64" s="703"/>
      <c r="O64" s="703"/>
      <c r="P64" s="703"/>
      <c r="Q64" s="706">
        <f t="shared" si="1"/>
        <v>0</v>
      </c>
    </row>
    <row r="65" spans="1:17" ht="20.100000000000001" customHeight="1" x14ac:dyDescent="0.3">
      <c r="A65" s="702">
        <f t="shared" si="2"/>
        <v>64</v>
      </c>
      <c r="B65" s="703"/>
      <c r="C65" s="703"/>
      <c r="D65" s="703"/>
      <c r="E65" s="704"/>
      <c r="F65" s="703"/>
      <c r="G65" s="704"/>
      <c r="H65" s="703"/>
      <c r="I65" s="705"/>
      <c r="J65" s="264" t="str">
        <f t="shared" si="0"/>
        <v xml:space="preserve"> </v>
      </c>
      <c r="K65" s="703"/>
      <c r="L65" s="703"/>
      <c r="M65" s="703"/>
      <c r="N65" s="703"/>
      <c r="O65" s="703"/>
      <c r="P65" s="703"/>
      <c r="Q65" s="706">
        <f t="shared" si="1"/>
        <v>0</v>
      </c>
    </row>
    <row r="66" spans="1:17" ht="20.100000000000001" customHeight="1" x14ac:dyDescent="0.3">
      <c r="A66" s="702">
        <f t="shared" si="2"/>
        <v>65</v>
      </c>
      <c r="B66" s="703"/>
      <c r="C66" s="703"/>
      <c r="D66" s="703"/>
      <c r="E66" s="704"/>
      <c r="F66" s="703"/>
      <c r="G66" s="704"/>
      <c r="H66" s="703"/>
      <c r="I66" s="705"/>
      <c r="J66" s="264" t="str">
        <f t="shared" ref="J66:J97" si="3">IF(E66*G66*I66=0," ",E66*G66*I66)</f>
        <v xml:space="preserve"> </v>
      </c>
      <c r="K66" s="703"/>
      <c r="L66" s="703"/>
      <c r="M66" s="703"/>
      <c r="N66" s="703"/>
      <c r="O66" s="703"/>
      <c r="P66" s="703"/>
      <c r="Q66" s="706">
        <f t="shared" si="1"/>
        <v>0</v>
      </c>
    </row>
    <row r="67" spans="1:17" ht="20.100000000000001" customHeight="1" x14ac:dyDescent="0.3">
      <c r="A67" s="702">
        <f t="shared" si="2"/>
        <v>66</v>
      </c>
      <c r="B67" s="703"/>
      <c r="C67" s="703"/>
      <c r="D67" s="703"/>
      <c r="E67" s="704"/>
      <c r="F67" s="703"/>
      <c r="G67" s="704"/>
      <c r="H67" s="703"/>
      <c r="I67" s="705"/>
      <c r="J67" s="264" t="str">
        <f t="shared" si="3"/>
        <v xml:space="preserve"> </v>
      </c>
      <c r="K67" s="703"/>
      <c r="L67" s="703"/>
      <c r="M67" s="703"/>
      <c r="N67" s="703"/>
      <c r="O67" s="703"/>
      <c r="P67" s="703"/>
      <c r="Q67" s="706">
        <f t="shared" ref="Q67:Q101" si="4">N67*O67*P67</f>
        <v>0</v>
      </c>
    </row>
    <row r="68" spans="1:17" ht="20.100000000000001" customHeight="1" x14ac:dyDescent="0.3">
      <c r="A68" s="702">
        <f t="shared" ref="A68:A99" si="5">A67+1</f>
        <v>67</v>
      </c>
      <c r="B68" s="703"/>
      <c r="C68" s="703"/>
      <c r="D68" s="703"/>
      <c r="E68" s="704"/>
      <c r="F68" s="703"/>
      <c r="G68" s="704"/>
      <c r="H68" s="703"/>
      <c r="I68" s="705"/>
      <c r="J68" s="264" t="str">
        <f t="shared" si="3"/>
        <v xml:space="preserve"> </v>
      </c>
      <c r="K68" s="703"/>
      <c r="L68" s="703"/>
      <c r="M68" s="703"/>
      <c r="N68" s="703"/>
      <c r="O68" s="703"/>
      <c r="P68" s="703"/>
      <c r="Q68" s="706">
        <f t="shared" si="4"/>
        <v>0</v>
      </c>
    </row>
    <row r="69" spans="1:17" ht="20.100000000000001" customHeight="1" x14ac:dyDescent="0.3">
      <c r="A69" s="702">
        <f t="shared" si="5"/>
        <v>68</v>
      </c>
      <c r="B69" s="703"/>
      <c r="C69" s="703"/>
      <c r="D69" s="703"/>
      <c r="E69" s="704"/>
      <c r="F69" s="703"/>
      <c r="G69" s="704"/>
      <c r="H69" s="703"/>
      <c r="I69" s="705"/>
      <c r="J69" s="264" t="str">
        <f t="shared" si="3"/>
        <v xml:space="preserve"> </v>
      </c>
      <c r="K69" s="703"/>
      <c r="L69" s="703"/>
      <c r="M69" s="703"/>
      <c r="N69" s="703"/>
      <c r="O69" s="703"/>
      <c r="P69" s="703"/>
      <c r="Q69" s="706">
        <f t="shared" si="4"/>
        <v>0</v>
      </c>
    </row>
    <row r="70" spans="1:17" ht="20.100000000000001" customHeight="1" x14ac:dyDescent="0.3">
      <c r="A70" s="702">
        <f t="shared" si="5"/>
        <v>69</v>
      </c>
      <c r="B70" s="703"/>
      <c r="C70" s="703"/>
      <c r="D70" s="703"/>
      <c r="E70" s="704"/>
      <c r="F70" s="703"/>
      <c r="G70" s="704"/>
      <c r="H70" s="703"/>
      <c r="I70" s="705"/>
      <c r="J70" s="264" t="str">
        <f t="shared" si="3"/>
        <v xml:space="preserve"> </v>
      </c>
      <c r="K70" s="703"/>
      <c r="L70" s="703"/>
      <c r="M70" s="703"/>
      <c r="N70" s="703"/>
      <c r="O70" s="703"/>
      <c r="P70" s="703"/>
      <c r="Q70" s="706">
        <f t="shared" si="4"/>
        <v>0</v>
      </c>
    </row>
    <row r="71" spans="1:17" ht="20.100000000000001" customHeight="1" x14ac:dyDescent="0.3">
      <c r="A71" s="702">
        <f t="shared" si="5"/>
        <v>70</v>
      </c>
      <c r="B71" s="703"/>
      <c r="C71" s="703"/>
      <c r="D71" s="703"/>
      <c r="E71" s="704"/>
      <c r="F71" s="703"/>
      <c r="G71" s="704"/>
      <c r="H71" s="703"/>
      <c r="I71" s="705"/>
      <c r="J71" s="264" t="str">
        <f t="shared" si="3"/>
        <v xml:space="preserve"> </v>
      </c>
      <c r="K71" s="703"/>
      <c r="L71" s="703"/>
      <c r="M71" s="703"/>
      <c r="N71" s="703"/>
      <c r="O71" s="703"/>
      <c r="P71" s="703"/>
      <c r="Q71" s="706">
        <f t="shared" si="4"/>
        <v>0</v>
      </c>
    </row>
    <row r="72" spans="1:17" ht="20.100000000000001" customHeight="1" x14ac:dyDescent="0.3">
      <c r="A72" s="702">
        <f t="shared" si="5"/>
        <v>71</v>
      </c>
      <c r="B72" s="703"/>
      <c r="C72" s="703"/>
      <c r="D72" s="703"/>
      <c r="E72" s="704"/>
      <c r="F72" s="703"/>
      <c r="G72" s="704"/>
      <c r="H72" s="703"/>
      <c r="I72" s="705"/>
      <c r="J72" s="264" t="str">
        <f t="shared" si="3"/>
        <v xml:space="preserve"> </v>
      </c>
      <c r="K72" s="703"/>
      <c r="L72" s="703"/>
      <c r="M72" s="703"/>
      <c r="N72" s="703"/>
      <c r="O72" s="703"/>
      <c r="P72" s="703"/>
      <c r="Q72" s="706">
        <f t="shared" si="4"/>
        <v>0</v>
      </c>
    </row>
    <row r="73" spans="1:17" ht="20.100000000000001" customHeight="1" x14ac:dyDescent="0.3">
      <c r="A73" s="702">
        <f t="shared" si="5"/>
        <v>72</v>
      </c>
      <c r="B73" s="703"/>
      <c r="C73" s="703"/>
      <c r="D73" s="703"/>
      <c r="E73" s="704"/>
      <c r="F73" s="703"/>
      <c r="G73" s="704"/>
      <c r="H73" s="703"/>
      <c r="I73" s="705"/>
      <c r="J73" s="264" t="str">
        <f t="shared" si="3"/>
        <v xml:space="preserve"> </v>
      </c>
      <c r="K73" s="703"/>
      <c r="L73" s="703"/>
      <c r="M73" s="703"/>
      <c r="N73" s="703"/>
      <c r="O73" s="703"/>
      <c r="P73" s="703"/>
      <c r="Q73" s="706">
        <f t="shared" si="4"/>
        <v>0</v>
      </c>
    </row>
    <row r="74" spans="1:17" ht="20.100000000000001" customHeight="1" x14ac:dyDescent="0.3">
      <c r="A74" s="702">
        <f t="shared" si="5"/>
        <v>73</v>
      </c>
      <c r="B74" s="703"/>
      <c r="C74" s="703"/>
      <c r="D74" s="703"/>
      <c r="E74" s="704"/>
      <c r="F74" s="703"/>
      <c r="G74" s="704"/>
      <c r="H74" s="703"/>
      <c r="I74" s="705"/>
      <c r="J74" s="264" t="str">
        <f t="shared" si="3"/>
        <v xml:space="preserve"> </v>
      </c>
      <c r="K74" s="703"/>
      <c r="L74" s="703"/>
      <c r="M74" s="703"/>
      <c r="N74" s="703"/>
      <c r="O74" s="703"/>
      <c r="P74" s="703"/>
      <c r="Q74" s="706">
        <f t="shared" si="4"/>
        <v>0</v>
      </c>
    </row>
    <row r="75" spans="1:17" ht="20.100000000000001" customHeight="1" x14ac:dyDescent="0.3">
      <c r="A75" s="702">
        <f t="shared" si="5"/>
        <v>74</v>
      </c>
      <c r="B75" s="703"/>
      <c r="C75" s="703"/>
      <c r="D75" s="703"/>
      <c r="E75" s="704"/>
      <c r="F75" s="703"/>
      <c r="G75" s="704"/>
      <c r="H75" s="703"/>
      <c r="I75" s="705"/>
      <c r="J75" s="264" t="str">
        <f t="shared" si="3"/>
        <v xml:space="preserve"> </v>
      </c>
      <c r="K75" s="703"/>
      <c r="L75" s="703"/>
      <c r="M75" s="703"/>
      <c r="N75" s="703"/>
      <c r="O75" s="703"/>
      <c r="P75" s="703"/>
      <c r="Q75" s="706">
        <f t="shared" si="4"/>
        <v>0</v>
      </c>
    </row>
    <row r="76" spans="1:17" ht="20.100000000000001" customHeight="1" x14ac:dyDescent="0.3">
      <c r="A76" s="702">
        <f t="shared" si="5"/>
        <v>75</v>
      </c>
      <c r="B76" s="703"/>
      <c r="C76" s="703"/>
      <c r="D76" s="703"/>
      <c r="E76" s="704"/>
      <c r="F76" s="703"/>
      <c r="G76" s="704"/>
      <c r="H76" s="703"/>
      <c r="I76" s="705"/>
      <c r="J76" s="264" t="str">
        <f t="shared" si="3"/>
        <v xml:space="preserve"> </v>
      </c>
      <c r="K76" s="703"/>
      <c r="L76" s="703"/>
      <c r="M76" s="703"/>
      <c r="N76" s="703"/>
      <c r="O76" s="703"/>
      <c r="P76" s="703"/>
      <c r="Q76" s="706">
        <f t="shared" si="4"/>
        <v>0</v>
      </c>
    </row>
    <row r="77" spans="1:17" ht="20.100000000000001" customHeight="1" x14ac:dyDescent="0.3">
      <c r="A77" s="702">
        <f t="shared" si="5"/>
        <v>76</v>
      </c>
      <c r="B77" s="703"/>
      <c r="C77" s="703"/>
      <c r="D77" s="703"/>
      <c r="E77" s="704"/>
      <c r="F77" s="703"/>
      <c r="G77" s="704"/>
      <c r="H77" s="703"/>
      <c r="I77" s="705"/>
      <c r="J77" s="264" t="str">
        <f t="shared" si="3"/>
        <v xml:space="preserve"> </v>
      </c>
      <c r="K77" s="703"/>
      <c r="L77" s="703"/>
      <c r="M77" s="703"/>
      <c r="N77" s="703"/>
      <c r="O77" s="703"/>
      <c r="P77" s="703"/>
      <c r="Q77" s="706">
        <f t="shared" si="4"/>
        <v>0</v>
      </c>
    </row>
    <row r="78" spans="1:17" ht="20.100000000000001" customHeight="1" x14ac:dyDescent="0.3">
      <c r="A78" s="702">
        <f t="shared" si="5"/>
        <v>77</v>
      </c>
      <c r="B78" s="703"/>
      <c r="C78" s="703"/>
      <c r="D78" s="703"/>
      <c r="E78" s="704"/>
      <c r="F78" s="703"/>
      <c r="G78" s="704"/>
      <c r="H78" s="703"/>
      <c r="I78" s="705"/>
      <c r="J78" s="264" t="str">
        <f t="shared" si="3"/>
        <v xml:space="preserve"> </v>
      </c>
      <c r="K78" s="703"/>
      <c r="L78" s="703"/>
      <c r="M78" s="703"/>
      <c r="N78" s="703"/>
      <c r="O78" s="703"/>
      <c r="P78" s="703"/>
      <c r="Q78" s="706">
        <f t="shared" si="4"/>
        <v>0</v>
      </c>
    </row>
    <row r="79" spans="1:17" ht="20.100000000000001" customHeight="1" x14ac:dyDescent="0.3">
      <c r="A79" s="702">
        <f t="shared" si="5"/>
        <v>78</v>
      </c>
      <c r="B79" s="703"/>
      <c r="C79" s="703"/>
      <c r="D79" s="703"/>
      <c r="E79" s="704"/>
      <c r="F79" s="703"/>
      <c r="G79" s="704"/>
      <c r="H79" s="703"/>
      <c r="I79" s="705"/>
      <c r="J79" s="264" t="str">
        <f t="shared" si="3"/>
        <v xml:space="preserve"> </v>
      </c>
      <c r="K79" s="703"/>
      <c r="L79" s="703"/>
      <c r="M79" s="703"/>
      <c r="N79" s="703"/>
      <c r="O79" s="703"/>
      <c r="P79" s="703"/>
      <c r="Q79" s="706">
        <f t="shared" si="4"/>
        <v>0</v>
      </c>
    </row>
    <row r="80" spans="1:17" ht="20.100000000000001" customHeight="1" x14ac:dyDescent="0.3">
      <c r="A80" s="702">
        <f t="shared" si="5"/>
        <v>79</v>
      </c>
      <c r="B80" s="703"/>
      <c r="C80" s="703"/>
      <c r="D80" s="703"/>
      <c r="E80" s="704"/>
      <c r="F80" s="703"/>
      <c r="G80" s="704"/>
      <c r="H80" s="703"/>
      <c r="I80" s="705"/>
      <c r="J80" s="264" t="str">
        <f t="shared" si="3"/>
        <v xml:space="preserve"> </v>
      </c>
      <c r="K80" s="703"/>
      <c r="L80" s="703"/>
      <c r="M80" s="703"/>
      <c r="N80" s="703"/>
      <c r="O80" s="703"/>
      <c r="P80" s="703"/>
      <c r="Q80" s="706">
        <f t="shared" si="4"/>
        <v>0</v>
      </c>
    </row>
    <row r="81" spans="1:17" ht="20.100000000000001" customHeight="1" x14ac:dyDescent="0.3">
      <c r="A81" s="702">
        <f t="shared" si="5"/>
        <v>80</v>
      </c>
      <c r="B81" s="703"/>
      <c r="C81" s="703"/>
      <c r="D81" s="703"/>
      <c r="E81" s="704"/>
      <c r="F81" s="703"/>
      <c r="G81" s="704"/>
      <c r="H81" s="703"/>
      <c r="I81" s="705"/>
      <c r="J81" s="264" t="str">
        <f t="shared" si="3"/>
        <v xml:space="preserve"> </v>
      </c>
      <c r="K81" s="703"/>
      <c r="L81" s="703"/>
      <c r="M81" s="703"/>
      <c r="N81" s="703"/>
      <c r="O81" s="703"/>
      <c r="P81" s="703"/>
      <c r="Q81" s="706">
        <f t="shared" si="4"/>
        <v>0</v>
      </c>
    </row>
    <row r="82" spans="1:17" ht="20.100000000000001" customHeight="1" x14ac:dyDescent="0.3">
      <c r="A82" s="702">
        <f t="shared" si="5"/>
        <v>81</v>
      </c>
      <c r="B82" s="703"/>
      <c r="C82" s="703"/>
      <c r="D82" s="703"/>
      <c r="E82" s="704"/>
      <c r="F82" s="703"/>
      <c r="G82" s="704"/>
      <c r="H82" s="703"/>
      <c r="I82" s="705"/>
      <c r="J82" s="264" t="str">
        <f t="shared" si="3"/>
        <v xml:space="preserve"> </v>
      </c>
      <c r="K82" s="703"/>
      <c r="L82" s="703"/>
      <c r="M82" s="703"/>
      <c r="N82" s="703"/>
      <c r="O82" s="703"/>
      <c r="P82" s="703"/>
      <c r="Q82" s="706">
        <f t="shared" si="4"/>
        <v>0</v>
      </c>
    </row>
    <row r="83" spans="1:17" ht="20.100000000000001" customHeight="1" x14ac:dyDescent="0.3">
      <c r="A83" s="702">
        <f t="shared" si="5"/>
        <v>82</v>
      </c>
      <c r="B83" s="703"/>
      <c r="C83" s="703"/>
      <c r="D83" s="703"/>
      <c r="E83" s="704"/>
      <c r="F83" s="703"/>
      <c r="G83" s="704"/>
      <c r="H83" s="703"/>
      <c r="I83" s="705"/>
      <c r="J83" s="264" t="str">
        <f t="shared" si="3"/>
        <v xml:space="preserve"> </v>
      </c>
      <c r="K83" s="703"/>
      <c r="L83" s="703"/>
      <c r="M83" s="703"/>
      <c r="N83" s="703"/>
      <c r="O83" s="703"/>
      <c r="P83" s="703"/>
      <c r="Q83" s="706">
        <f t="shared" si="4"/>
        <v>0</v>
      </c>
    </row>
    <row r="84" spans="1:17" ht="20.100000000000001" customHeight="1" x14ac:dyDescent="0.3">
      <c r="A84" s="702">
        <f t="shared" si="5"/>
        <v>83</v>
      </c>
      <c r="B84" s="703"/>
      <c r="C84" s="703"/>
      <c r="D84" s="703"/>
      <c r="E84" s="704"/>
      <c r="F84" s="703"/>
      <c r="G84" s="704"/>
      <c r="H84" s="703"/>
      <c r="I84" s="705"/>
      <c r="J84" s="264" t="str">
        <f t="shared" si="3"/>
        <v xml:space="preserve"> </v>
      </c>
      <c r="K84" s="703"/>
      <c r="L84" s="703"/>
      <c r="M84" s="703"/>
      <c r="N84" s="703"/>
      <c r="O84" s="703"/>
      <c r="P84" s="703"/>
      <c r="Q84" s="706">
        <f t="shared" si="4"/>
        <v>0</v>
      </c>
    </row>
    <row r="85" spans="1:17" ht="20.100000000000001" customHeight="1" x14ac:dyDescent="0.3">
      <c r="A85" s="702">
        <f t="shared" si="5"/>
        <v>84</v>
      </c>
      <c r="B85" s="703"/>
      <c r="C85" s="703"/>
      <c r="D85" s="703"/>
      <c r="E85" s="704"/>
      <c r="F85" s="703"/>
      <c r="G85" s="704"/>
      <c r="H85" s="703"/>
      <c r="I85" s="705"/>
      <c r="J85" s="264" t="str">
        <f t="shared" si="3"/>
        <v xml:space="preserve"> </v>
      </c>
      <c r="K85" s="703"/>
      <c r="L85" s="703"/>
      <c r="M85" s="703"/>
      <c r="N85" s="703"/>
      <c r="O85" s="703"/>
      <c r="P85" s="703"/>
      <c r="Q85" s="706">
        <f t="shared" si="4"/>
        <v>0</v>
      </c>
    </row>
    <row r="86" spans="1:17" ht="20.100000000000001" customHeight="1" x14ac:dyDescent="0.3">
      <c r="A86" s="702">
        <f t="shared" si="5"/>
        <v>85</v>
      </c>
      <c r="B86" s="703"/>
      <c r="C86" s="703"/>
      <c r="D86" s="703"/>
      <c r="E86" s="704"/>
      <c r="F86" s="703"/>
      <c r="G86" s="704"/>
      <c r="H86" s="703"/>
      <c r="I86" s="705"/>
      <c r="J86" s="264" t="str">
        <f t="shared" si="3"/>
        <v xml:space="preserve"> </v>
      </c>
      <c r="K86" s="703"/>
      <c r="L86" s="703"/>
      <c r="M86" s="703"/>
      <c r="N86" s="703"/>
      <c r="O86" s="703"/>
      <c r="P86" s="703"/>
      <c r="Q86" s="706">
        <f t="shared" si="4"/>
        <v>0</v>
      </c>
    </row>
    <row r="87" spans="1:17" ht="20.100000000000001" customHeight="1" x14ac:dyDescent="0.3">
      <c r="A87" s="702">
        <f t="shared" si="5"/>
        <v>86</v>
      </c>
      <c r="B87" s="703"/>
      <c r="C87" s="703"/>
      <c r="D87" s="703"/>
      <c r="E87" s="704"/>
      <c r="F87" s="703"/>
      <c r="G87" s="704"/>
      <c r="H87" s="703"/>
      <c r="I87" s="705"/>
      <c r="J87" s="264" t="str">
        <f t="shared" si="3"/>
        <v xml:space="preserve"> </v>
      </c>
      <c r="K87" s="703"/>
      <c r="L87" s="703"/>
      <c r="M87" s="703"/>
      <c r="N87" s="703"/>
      <c r="O87" s="703"/>
      <c r="P87" s="703"/>
      <c r="Q87" s="706">
        <f t="shared" si="4"/>
        <v>0</v>
      </c>
    </row>
    <row r="88" spans="1:17" ht="20.100000000000001" customHeight="1" x14ac:dyDescent="0.3">
      <c r="A88" s="702">
        <f t="shared" si="5"/>
        <v>87</v>
      </c>
      <c r="B88" s="703"/>
      <c r="C88" s="703"/>
      <c r="D88" s="703"/>
      <c r="E88" s="704"/>
      <c r="F88" s="703"/>
      <c r="G88" s="704"/>
      <c r="H88" s="703"/>
      <c r="I88" s="705"/>
      <c r="J88" s="264" t="str">
        <f t="shared" si="3"/>
        <v xml:space="preserve"> </v>
      </c>
      <c r="K88" s="703"/>
      <c r="L88" s="703"/>
      <c r="M88" s="703"/>
      <c r="N88" s="703"/>
      <c r="O88" s="703"/>
      <c r="P88" s="703"/>
      <c r="Q88" s="706">
        <f t="shared" si="4"/>
        <v>0</v>
      </c>
    </row>
    <row r="89" spans="1:17" ht="20.100000000000001" customHeight="1" x14ac:dyDescent="0.3">
      <c r="A89" s="702">
        <f t="shared" si="5"/>
        <v>88</v>
      </c>
      <c r="B89" s="703"/>
      <c r="C89" s="703"/>
      <c r="D89" s="703"/>
      <c r="E89" s="704"/>
      <c r="F89" s="703"/>
      <c r="G89" s="704"/>
      <c r="H89" s="703"/>
      <c r="I89" s="705"/>
      <c r="J89" s="264" t="str">
        <f t="shared" si="3"/>
        <v xml:space="preserve"> </v>
      </c>
      <c r="K89" s="703"/>
      <c r="L89" s="703"/>
      <c r="M89" s="703"/>
      <c r="N89" s="703"/>
      <c r="O89" s="703"/>
      <c r="P89" s="703"/>
      <c r="Q89" s="706">
        <f t="shared" si="4"/>
        <v>0</v>
      </c>
    </row>
    <row r="90" spans="1:17" ht="20.100000000000001" customHeight="1" x14ac:dyDescent="0.3">
      <c r="A90" s="702">
        <f t="shared" si="5"/>
        <v>89</v>
      </c>
      <c r="B90" s="703"/>
      <c r="C90" s="703"/>
      <c r="D90" s="703"/>
      <c r="E90" s="704"/>
      <c r="F90" s="703"/>
      <c r="G90" s="704"/>
      <c r="H90" s="703"/>
      <c r="I90" s="705"/>
      <c r="J90" s="264" t="str">
        <f t="shared" si="3"/>
        <v xml:space="preserve"> </v>
      </c>
      <c r="K90" s="703"/>
      <c r="L90" s="703"/>
      <c r="M90" s="703"/>
      <c r="N90" s="703"/>
      <c r="O90" s="703"/>
      <c r="P90" s="703"/>
      <c r="Q90" s="706">
        <f t="shared" si="4"/>
        <v>0</v>
      </c>
    </row>
    <row r="91" spans="1:17" ht="20.100000000000001" customHeight="1" x14ac:dyDescent="0.3">
      <c r="A91" s="702">
        <f t="shared" si="5"/>
        <v>90</v>
      </c>
      <c r="B91" s="703"/>
      <c r="C91" s="703"/>
      <c r="D91" s="703"/>
      <c r="E91" s="704"/>
      <c r="F91" s="703"/>
      <c r="G91" s="704"/>
      <c r="H91" s="703"/>
      <c r="I91" s="705"/>
      <c r="J91" s="264" t="str">
        <f t="shared" si="3"/>
        <v xml:space="preserve"> </v>
      </c>
      <c r="K91" s="703"/>
      <c r="L91" s="703"/>
      <c r="M91" s="703"/>
      <c r="N91" s="703"/>
      <c r="O91" s="703"/>
      <c r="P91" s="703"/>
      <c r="Q91" s="706">
        <f t="shared" si="4"/>
        <v>0</v>
      </c>
    </row>
    <row r="92" spans="1:17" ht="20.100000000000001" customHeight="1" x14ac:dyDescent="0.3">
      <c r="A92" s="702">
        <f t="shared" si="5"/>
        <v>91</v>
      </c>
      <c r="B92" s="703"/>
      <c r="C92" s="703"/>
      <c r="D92" s="703"/>
      <c r="E92" s="704"/>
      <c r="F92" s="703"/>
      <c r="G92" s="704"/>
      <c r="H92" s="703"/>
      <c r="I92" s="705"/>
      <c r="J92" s="264" t="str">
        <f t="shared" si="3"/>
        <v xml:space="preserve"> </v>
      </c>
      <c r="K92" s="703"/>
      <c r="L92" s="703"/>
      <c r="M92" s="703"/>
      <c r="N92" s="703"/>
      <c r="O92" s="703"/>
      <c r="P92" s="703"/>
      <c r="Q92" s="706">
        <f t="shared" si="4"/>
        <v>0</v>
      </c>
    </row>
    <row r="93" spans="1:17" ht="20.100000000000001" customHeight="1" x14ac:dyDescent="0.3">
      <c r="A93" s="702">
        <f t="shared" si="5"/>
        <v>92</v>
      </c>
      <c r="B93" s="703"/>
      <c r="C93" s="703"/>
      <c r="D93" s="703"/>
      <c r="E93" s="704"/>
      <c r="F93" s="703"/>
      <c r="G93" s="704"/>
      <c r="H93" s="703"/>
      <c r="I93" s="705"/>
      <c r="J93" s="264" t="str">
        <f t="shared" si="3"/>
        <v xml:space="preserve"> </v>
      </c>
      <c r="K93" s="703"/>
      <c r="L93" s="703"/>
      <c r="M93" s="703"/>
      <c r="N93" s="703"/>
      <c r="O93" s="703"/>
      <c r="P93" s="703"/>
      <c r="Q93" s="706">
        <f t="shared" si="4"/>
        <v>0</v>
      </c>
    </row>
    <row r="94" spans="1:17" ht="20.100000000000001" customHeight="1" x14ac:dyDescent="0.3">
      <c r="A94" s="702">
        <f t="shared" si="5"/>
        <v>93</v>
      </c>
      <c r="B94" s="703"/>
      <c r="C94" s="703"/>
      <c r="D94" s="703"/>
      <c r="E94" s="704"/>
      <c r="F94" s="703"/>
      <c r="G94" s="704"/>
      <c r="H94" s="703"/>
      <c r="I94" s="705"/>
      <c r="J94" s="264" t="str">
        <f t="shared" si="3"/>
        <v xml:space="preserve"> </v>
      </c>
      <c r="K94" s="703"/>
      <c r="L94" s="703"/>
      <c r="M94" s="703"/>
      <c r="N94" s="703"/>
      <c r="O94" s="703"/>
      <c r="P94" s="703"/>
      <c r="Q94" s="706">
        <f t="shared" si="4"/>
        <v>0</v>
      </c>
    </row>
    <row r="95" spans="1:17" ht="20.100000000000001" customHeight="1" x14ac:dyDescent="0.3">
      <c r="A95" s="702">
        <f t="shared" si="5"/>
        <v>94</v>
      </c>
      <c r="B95" s="703"/>
      <c r="C95" s="703"/>
      <c r="D95" s="703"/>
      <c r="E95" s="704"/>
      <c r="F95" s="703"/>
      <c r="G95" s="704"/>
      <c r="H95" s="703"/>
      <c r="I95" s="705"/>
      <c r="J95" s="264" t="str">
        <f t="shared" si="3"/>
        <v xml:space="preserve"> </v>
      </c>
      <c r="K95" s="703"/>
      <c r="L95" s="703"/>
      <c r="M95" s="703"/>
      <c r="N95" s="703"/>
      <c r="O95" s="703"/>
      <c r="P95" s="703"/>
      <c r="Q95" s="706">
        <f t="shared" si="4"/>
        <v>0</v>
      </c>
    </row>
    <row r="96" spans="1:17" ht="20.100000000000001" customHeight="1" x14ac:dyDescent="0.3">
      <c r="A96" s="702">
        <f t="shared" si="5"/>
        <v>95</v>
      </c>
      <c r="B96" s="703"/>
      <c r="C96" s="703"/>
      <c r="D96" s="703"/>
      <c r="E96" s="704"/>
      <c r="F96" s="703"/>
      <c r="G96" s="704"/>
      <c r="H96" s="703"/>
      <c r="I96" s="705"/>
      <c r="J96" s="264" t="str">
        <f t="shared" si="3"/>
        <v xml:space="preserve"> </v>
      </c>
      <c r="K96" s="703"/>
      <c r="L96" s="703"/>
      <c r="M96" s="703"/>
      <c r="N96" s="703"/>
      <c r="O96" s="703"/>
      <c r="P96" s="703"/>
      <c r="Q96" s="706">
        <f t="shared" si="4"/>
        <v>0</v>
      </c>
    </row>
    <row r="97" spans="1:17" ht="20.100000000000001" customHeight="1" x14ac:dyDescent="0.3">
      <c r="A97" s="702">
        <f t="shared" si="5"/>
        <v>96</v>
      </c>
      <c r="B97" s="703"/>
      <c r="C97" s="703"/>
      <c r="D97" s="703"/>
      <c r="E97" s="704"/>
      <c r="F97" s="703"/>
      <c r="G97" s="704"/>
      <c r="H97" s="703"/>
      <c r="I97" s="705"/>
      <c r="J97" s="264" t="str">
        <f t="shared" si="3"/>
        <v xml:space="preserve"> </v>
      </c>
      <c r="K97" s="703"/>
      <c r="L97" s="703"/>
      <c r="M97" s="703"/>
      <c r="N97" s="703"/>
      <c r="O97" s="703"/>
      <c r="P97" s="703"/>
      <c r="Q97" s="706">
        <f t="shared" si="4"/>
        <v>0</v>
      </c>
    </row>
    <row r="98" spans="1:17" ht="20.100000000000001" customHeight="1" x14ac:dyDescent="0.3">
      <c r="A98" s="702">
        <f t="shared" si="5"/>
        <v>97</v>
      </c>
      <c r="B98" s="703"/>
      <c r="C98" s="703"/>
      <c r="D98" s="703"/>
      <c r="E98" s="704"/>
      <c r="F98" s="703"/>
      <c r="G98" s="704"/>
      <c r="H98" s="703"/>
      <c r="I98" s="705"/>
      <c r="J98" s="264" t="str">
        <f>IF(E98*G98*I98=0," ",E98*G98*I98)</f>
        <v xml:space="preserve"> </v>
      </c>
      <c r="K98" s="703"/>
      <c r="L98" s="703"/>
      <c r="M98" s="703"/>
      <c r="N98" s="703"/>
      <c r="O98" s="703"/>
      <c r="P98" s="703"/>
      <c r="Q98" s="706">
        <f t="shared" si="4"/>
        <v>0</v>
      </c>
    </row>
    <row r="99" spans="1:17" ht="20.100000000000001" customHeight="1" x14ac:dyDescent="0.3">
      <c r="A99" s="702">
        <f t="shared" si="5"/>
        <v>98</v>
      </c>
      <c r="B99" s="703"/>
      <c r="C99" s="703"/>
      <c r="D99" s="703"/>
      <c r="E99" s="704"/>
      <c r="F99" s="703"/>
      <c r="G99" s="704"/>
      <c r="H99" s="703"/>
      <c r="I99" s="705"/>
      <c r="J99" s="264" t="str">
        <f>IF(E99*G99*I99=0," ",E99*G99*I99)</f>
        <v xml:space="preserve"> </v>
      </c>
      <c r="K99" s="703"/>
      <c r="L99" s="703"/>
      <c r="M99" s="703"/>
      <c r="N99" s="703"/>
      <c r="O99" s="703"/>
      <c r="P99" s="703"/>
      <c r="Q99" s="706">
        <f t="shared" si="4"/>
        <v>0</v>
      </c>
    </row>
    <row r="100" spans="1:17" ht="20.100000000000001" customHeight="1" x14ac:dyDescent="0.3">
      <c r="A100" s="702">
        <f>A99+1</f>
        <v>99</v>
      </c>
      <c r="B100" s="703"/>
      <c r="C100" s="703"/>
      <c r="D100" s="703"/>
      <c r="E100" s="704"/>
      <c r="F100" s="703"/>
      <c r="G100" s="704"/>
      <c r="H100" s="703"/>
      <c r="I100" s="705"/>
      <c r="J100" s="264" t="str">
        <f>IF(E100*G100*I100=0," ",E100*G100*I100)</f>
        <v xml:space="preserve"> </v>
      </c>
      <c r="K100" s="703"/>
      <c r="L100" s="703"/>
      <c r="M100" s="703"/>
      <c r="N100" s="703"/>
      <c r="O100" s="703"/>
      <c r="P100" s="703"/>
      <c r="Q100" s="706">
        <f t="shared" si="4"/>
        <v>0</v>
      </c>
    </row>
    <row r="101" spans="1:17" ht="20.100000000000001" customHeight="1" thickBot="1" x14ac:dyDescent="0.35">
      <c r="A101" s="707">
        <f>A100+1</f>
        <v>100</v>
      </c>
      <c r="B101" s="708"/>
      <c r="C101" s="708"/>
      <c r="D101" s="708"/>
      <c r="E101" s="709"/>
      <c r="F101" s="708"/>
      <c r="G101" s="709"/>
      <c r="H101" s="708"/>
      <c r="I101" s="710"/>
      <c r="J101" s="266" t="str">
        <f>IF(E101*G101*I101=0," ",E101*G101*I101)</f>
        <v xml:space="preserve"> </v>
      </c>
      <c r="K101" s="708"/>
      <c r="L101" s="708"/>
      <c r="M101" s="708"/>
      <c r="N101" s="708"/>
      <c r="O101" s="708"/>
      <c r="P101" s="708"/>
      <c r="Q101" s="706">
        <f t="shared" si="4"/>
        <v>0</v>
      </c>
    </row>
  </sheetData>
  <hyperlinks>
    <hyperlink ref="S1" location="Menu!A1" display="Return to menu" xr:uid="{00000000-0004-0000-1400-000000000000}"/>
  </hyperlinks>
  <printOptions horizontalCentered="1"/>
  <pageMargins left="0.25" right="0.25" top="1" bottom="1" header="0.5" footer="0.5"/>
  <pageSetup orientation="landscape" r:id="rId1"/>
  <headerFooter alignWithMargins="0">
    <oddFooter>&amp;L&amp;A&amp;RPage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1:M37"/>
  <sheetViews>
    <sheetView showGridLines="0" zoomScale="85" zoomScaleNormal="85" workbookViewId="0">
      <selection activeCell="M1" sqref="M1"/>
    </sheetView>
  </sheetViews>
  <sheetFormatPr defaultColWidth="8.88671875" defaultRowHeight="14.4" x14ac:dyDescent="0.3"/>
  <cols>
    <col min="3" max="3" width="9.109375" customWidth="1"/>
    <col min="4" max="4" width="2" customWidth="1"/>
    <col min="5" max="5" width="24.44140625" customWidth="1"/>
    <col min="7" max="7" width="26.109375" customWidth="1"/>
    <col min="9" max="9" width="26.44140625" customWidth="1"/>
    <col min="10" max="10" width="2.21875" customWidth="1"/>
    <col min="13" max="13" width="31.5546875" customWidth="1"/>
  </cols>
  <sheetData>
    <row r="1" spans="3:13" ht="21" x14ac:dyDescent="0.4">
      <c r="M1" s="750" t="s">
        <v>19</v>
      </c>
    </row>
    <row r="2" spans="3:13" ht="15" thickBot="1" x14ac:dyDescent="0.35"/>
    <row r="3" spans="3:13" ht="22.2" thickTop="1" thickBot="1" x14ac:dyDescent="0.45">
      <c r="C3" s="10" t="s">
        <v>686</v>
      </c>
      <c r="E3" s="587" t="s">
        <v>687</v>
      </c>
      <c r="G3" s="588" t="s">
        <v>688</v>
      </c>
      <c r="I3" s="589" t="s">
        <v>689</v>
      </c>
      <c r="K3" s="171" t="s">
        <v>686</v>
      </c>
      <c r="M3" s="700" t="s">
        <v>943</v>
      </c>
    </row>
    <row r="4" spans="3:13" ht="15.6" thickTop="1" thickBot="1" x14ac:dyDescent="0.35"/>
    <row r="5" spans="3:13" x14ac:dyDescent="0.3">
      <c r="C5">
        <v>3</v>
      </c>
      <c r="E5" s="590" t="s">
        <v>807</v>
      </c>
      <c r="G5" s="1115" t="s">
        <v>1000</v>
      </c>
      <c r="I5" s="591" t="s">
        <v>999</v>
      </c>
      <c r="K5" s="557">
        <v>3</v>
      </c>
      <c r="M5" s="701"/>
    </row>
    <row r="6" spans="3:13" x14ac:dyDescent="0.3">
      <c r="G6" s="1116"/>
      <c r="K6" s="557"/>
      <c r="M6" s="701"/>
    </row>
    <row r="7" spans="3:13" ht="28.8" x14ac:dyDescent="0.3">
      <c r="C7">
        <v>4</v>
      </c>
      <c r="E7" s="590" t="s">
        <v>808</v>
      </c>
      <c r="G7" s="1116"/>
      <c r="I7" s="591" t="s">
        <v>810</v>
      </c>
      <c r="K7" s="557">
        <v>3</v>
      </c>
      <c r="M7" s="701"/>
    </row>
    <row r="8" spans="3:13" x14ac:dyDescent="0.3">
      <c r="G8" s="1116"/>
      <c r="K8" s="557"/>
      <c r="M8" s="701"/>
    </row>
    <row r="9" spans="3:13" x14ac:dyDescent="0.3">
      <c r="C9">
        <v>3</v>
      </c>
      <c r="E9" s="590" t="s">
        <v>809</v>
      </c>
      <c r="G9" s="1116"/>
      <c r="I9" s="591" t="s">
        <v>811</v>
      </c>
      <c r="K9" s="557">
        <v>3</v>
      </c>
      <c r="M9" s="701"/>
    </row>
    <row r="10" spans="3:13" x14ac:dyDescent="0.3">
      <c r="G10" s="1116"/>
      <c r="K10" s="557"/>
      <c r="M10" s="701"/>
    </row>
    <row r="11" spans="3:13" ht="28.8" x14ac:dyDescent="0.3">
      <c r="C11">
        <v>2</v>
      </c>
      <c r="E11" s="590" t="s">
        <v>998</v>
      </c>
      <c r="G11" s="1116"/>
      <c r="I11" s="591" t="s">
        <v>812</v>
      </c>
      <c r="K11" s="557">
        <v>1</v>
      </c>
      <c r="M11" s="701"/>
    </row>
    <row r="12" spans="3:13" x14ac:dyDescent="0.3">
      <c r="G12" s="1116"/>
      <c r="K12" s="557"/>
      <c r="M12" s="701"/>
    </row>
    <row r="13" spans="3:13" x14ac:dyDescent="0.3">
      <c r="C13">
        <v>0</v>
      </c>
      <c r="E13" s="590"/>
      <c r="G13" s="1116"/>
      <c r="I13" s="591"/>
      <c r="K13" s="557">
        <v>0</v>
      </c>
      <c r="M13" s="701"/>
    </row>
    <row r="14" spans="3:13" x14ac:dyDescent="0.3">
      <c r="G14" s="1116"/>
      <c r="K14" s="557"/>
      <c r="M14" s="701"/>
    </row>
    <row r="15" spans="3:13" x14ac:dyDescent="0.3">
      <c r="C15">
        <v>0</v>
      </c>
      <c r="E15" s="590"/>
      <c r="G15" s="1116"/>
      <c r="I15" s="591"/>
      <c r="K15" s="557">
        <v>0</v>
      </c>
      <c r="M15" s="701"/>
    </row>
    <row r="16" spans="3:13" x14ac:dyDescent="0.3">
      <c r="G16" s="1116"/>
      <c r="K16" s="557"/>
      <c r="M16" s="701"/>
    </row>
    <row r="17" spans="3:13" x14ac:dyDescent="0.3">
      <c r="C17">
        <v>0</v>
      </c>
      <c r="E17" s="590"/>
      <c r="G17" s="1116"/>
      <c r="I17" s="591"/>
      <c r="K17" s="557">
        <v>0</v>
      </c>
      <c r="M17" s="701"/>
    </row>
    <row r="18" spans="3:13" x14ac:dyDescent="0.3">
      <c r="G18" s="1116"/>
      <c r="K18" s="557"/>
      <c r="M18" s="701"/>
    </row>
    <row r="19" spans="3:13" x14ac:dyDescent="0.3">
      <c r="C19">
        <v>0</v>
      </c>
      <c r="E19" s="590"/>
      <c r="G19" s="1116"/>
      <c r="I19" s="591"/>
      <c r="K19" s="557">
        <v>0</v>
      </c>
      <c r="M19" s="701"/>
    </row>
    <row r="20" spans="3:13" x14ac:dyDescent="0.3">
      <c r="G20" s="1116"/>
      <c r="K20" s="557"/>
      <c r="M20" s="701"/>
    </row>
    <row r="21" spans="3:13" x14ac:dyDescent="0.3">
      <c r="C21">
        <v>0</v>
      </c>
      <c r="E21" s="590"/>
      <c r="G21" s="1116"/>
      <c r="I21" s="591"/>
      <c r="K21" s="557">
        <v>0</v>
      </c>
      <c r="M21" s="701"/>
    </row>
    <row r="22" spans="3:13" x14ac:dyDescent="0.3">
      <c r="G22" s="1116"/>
      <c r="K22" s="557"/>
      <c r="M22" s="701"/>
    </row>
    <row r="23" spans="3:13" x14ac:dyDescent="0.3">
      <c r="C23">
        <v>0</v>
      </c>
      <c r="E23" s="590"/>
      <c r="G23" s="1116"/>
      <c r="I23" s="591"/>
      <c r="K23" s="557">
        <v>0</v>
      </c>
      <c r="M23" s="701"/>
    </row>
    <row r="24" spans="3:13" x14ac:dyDescent="0.3">
      <c r="G24" s="1116"/>
      <c r="K24" s="557"/>
      <c r="M24" s="701"/>
    </row>
    <row r="25" spans="3:13" x14ac:dyDescent="0.3">
      <c r="C25">
        <v>0</v>
      </c>
      <c r="E25" s="590"/>
      <c r="G25" s="1116"/>
      <c r="I25" s="591"/>
      <c r="K25" s="557">
        <v>0</v>
      </c>
      <c r="M25" s="701"/>
    </row>
    <row r="26" spans="3:13" x14ac:dyDescent="0.3">
      <c r="G26" s="1116"/>
      <c r="K26" s="557"/>
      <c r="M26" s="701"/>
    </row>
    <row r="27" spans="3:13" x14ac:dyDescent="0.3">
      <c r="C27">
        <v>0</v>
      </c>
      <c r="E27" s="590"/>
      <c r="G27" s="1116"/>
      <c r="I27" s="591"/>
      <c r="K27" s="557">
        <v>0</v>
      </c>
      <c r="M27" s="701"/>
    </row>
    <row r="28" spans="3:13" x14ac:dyDescent="0.3">
      <c r="G28" s="1116"/>
      <c r="K28" s="557"/>
      <c r="M28" s="701"/>
    </row>
    <row r="29" spans="3:13" x14ac:dyDescent="0.3">
      <c r="C29">
        <v>0</v>
      </c>
      <c r="E29" s="590"/>
      <c r="G29" s="1116"/>
      <c r="I29" s="591"/>
      <c r="K29" s="557">
        <v>0</v>
      </c>
      <c r="M29" s="701"/>
    </row>
    <row r="30" spans="3:13" x14ac:dyDescent="0.3">
      <c r="G30" s="1116"/>
      <c r="K30" s="557"/>
      <c r="M30" s="701"/>
    </row>
    <row r="31" spans="3:13" x14ac:dyDescent="0.3">
      <c r="C31">
        <v>0</v>
      </c>
      <c r="E31" s="590"/>
      <c r="G31" s="1116"/>
      <c r="I31" s="591"/>
      <c r="K31" s="557">
        <v>0</v>
      </c>
      <c r="M31" s="701"/>
    </row>
    <row r="32" spans="3:13" x14ac:dyDescent="0.3">
      <c r="G32" s="1116"/>
      <c r="K32" s="557"/>
      <c r="M32" s="701"/>
    </row>
    <row r="33" spans="3:13" x14ac:dyDescent="0.3">
      <c r="C33">
        <v>0</v>
      </c>
      <c r="E33" s="590"/>
      <c r="G33" s="1116"/>
      <c r="I33" s="591"/>
      <c r="K33" s="557">
        <v>0</v>
      </c>
      <c r="M33" s="701"/>
    </row>
    <row r="34" spans="3:13" x14ac:dyDescent="0.3">
      <c r="G34" s="1116"/>
      <c r="K34" s="557"/>
      <c r="M34" s="701"/>
    </row>
    <row r="35" spans="3:13" ht="15" thickBot="1" x14ac:dyDescent="0.35">
      <c r="C35">
        <v>0</v>
      </c>
      <c r="E35" s="590"/>
      <c r="G35" s="1117"/>
      <c r="I35" s="591"/>
      <c r="K35" s="557">
        <v>0</v>
      </c>
      <c r="M35" s="701"/>
    </row>
    <row r="36" spans="3:13" x14ac:dyDescent="0.3">
      <c r="K36" s="557"/>
    </row>
    <row r="37" spans="3:13" x14ac:dyDescent="0.3">
      <c r="C37" s="592">
        <f>SUM(C5:C35)</f>
        <v>12</v>
      </c>
      <c r="K37" s="593">
        <f>SUM(K5:K35)</f>
        <v>10</v>
      </c>
    </row>
  </sheetData>
  <mergeCells count="1">
    <mergeCell ref="G5:G35"/>
  </mergeCells>
  <hyperlinks>
    <hyperlink ref="M1" location="Menu!A1" display="Return to menu" xr:uid="{00000000-0004-0000-15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25"/>
  <sheetViews>
    <sheetView workbookViewId="0">
      <selection activeCell="N1" sqref="N1:O1"/>
    </sheetView>
  </sheetViews>
  <sheetFormatPr defaultColWidth="8.88671875" defaultRowHeight="14.4" x14ac:dyDescent="0.3"/>
  <cols>
    <col min="1" max="11" width="10.6640625" customWidth="1"/>
  </cols>
  <sheetData>
    <row r="1" spans="1:15" ht="35.1" customHeight="1" thickBot="1" x14ac:dyDescent="0.35">
      <c r="A1" s="631" t="s">
        <v>806</v>
      </c>
      <c r="B1" s="961" t="s">
        <v>798</v>
      </c>
      <c r="C1" s="962"/>
      <c r="D1" s="962"/>
      <c r="E1" s="962"/>
      <c r="F1" s="963"/>
      <c r="G1" s="961" t="s">
        <v>799</v>
      </c>
      <c r="H1" s="962"/>
      <c r="I1" s="962"/>
      <c r="J1" s="962"/>
      <c r="K1" s="963"/>
      <c r="N1" s="967" t="s">
        <v>19</v>
      </c>
      <c r="O1" s="967"/>
    </row>
    <row r="2" spans="1:15" ht="35.1" customHeight="1" x14ac:dyDescent="0.3">
      <c r="A2" s="950" t="s">
        <v>596</v>
      </c>
      <c r="B2" s="952" t="s">
        <v>823</v>
      </c>
      <c r="C2" s="953"/>
      <c r="D2" s="953"/>
      <c r="E2" s="953"/>
      <c r="F2" s="954"/>
      <c r="G2" s="952" t="s">
        <v>824</v>
      </c>
      <c r="H2" s="953"/>
      <c r="I2" s="953"/>
      <c r="J2" s="953"/>
      <c r="K2" s="954"/>
    </row>
    <row r="3" spans="1:15" ht="35.1" customHeight="1" x14ac:dyDescent="0.3">
      <c r="A3" s="951"/>
      <c r="B3" s="955"/>
      <c r="C3" s="956"/>
      <c r="D3" s="956"/>
      <c r="E3" s="956"/>
      <c r="F3" s="957"/>
      <c r="G3" s="955"/>
      <c r="H3" s="956"/>
      <c r="I3" s="956"/>
      <c r="J3" s="956"/>
      <c r="K3" s="957"/>
    </row>
    <row r="4" spans="1:15" ht="35.1" customHeight="1" x14ac:dyDescent="0.3">
      <c r="A4" s="951"/>
      <c r="B4" s="955"/>
      <c r="C4" s="956"/>
      <c r="D4" s="956"/>
      <c r="E4" s="956"/>
      <c r="F4" s="957"/>
      <c r="G4" s="955"/>
      <c r="H4" s="956"/>
      <c r="I4" s="956"/>
      <c r="J4" s="956"/>
      <c r="K4" s="957"/>
    </row>
    <row r="5" spans="1:15" ht="35.1" customHeight="1" thickBot="1" x14ac:dyDescent="0.35">
      <c r="A5" s="951"/>
      <c r="B5" s="958"/>
      <c r="C5" s="959"/>
      <c r="D5" s="959"/>
      <c r="E5" s="959"/>
      <c r="F5" s="960"/>
      <c r="G5" s="958"/>
      <c r="H5" s="959"/>
      <c r="I5" s="959"/>
      <c r="J5" s="959"/>
      <c r="K5" s="960"/>
    </row>
    <row r="6" spans="1:15" ht="35.1" customHeight="1" x14ac:dyDescent="0.3">
      <c r="A6" s="950" t="s">
        <v>595</v>
      </c>
      <c r="B6" s="952" t="s">
        <v>822</v>
      </c>
      <c r="C6" s="953"/>
      <c r="D6" s="953"/>
      <c r="E6" s="953"/>
      <c r="F6" s="954"/>
      <c r="G6" s="952" t="s">
        <v>821</v>
      </c>
      <c r="H6" s="953"/>
      <c r="I6" s="953"/>
      <c r="J6" s="953"/>
      <c r="K6" s="954"/>
    </row>
    <row r="7" spans="1:15" ht="35.1" customHeight="1" x14ac:dyDescent="0.3">
      <c r="A7" s="951"/>
      <c r="B7" s="955"/>
      <c r="C7" s="956"/>
      <c r="D7" s="956"/>
      <c r="E7" s="956"/>
      <c r="F7" s="957"/>
      <c r="G7" s="955"/>
      <c r="H7" s="956"/>
      <c r="I7" s="956"/>
      <c r="J7" s="956"/>
      <c r="K7" s="957"/>
    </row>
    <row r="8" spans="1:15" ht="35.1" customHeight="1" x14ac:dyDescent="0.3">
      <c r="A8" s="951"/>
      <c r="B8" s="955"/>
      <c r="C8" s="956"/>
      <c r="D8" s="956"/>
      <c r="E8" s="956"/>
      <c r="F8" s="957"/>
      <c r="G8" s="955"/>
      <c r="H8" s="956"/>
      <c r="I8" s="956"/>
      <c r="J8" s="956"/>
      <c r="K8" s="957"/>
    </row>
    <row r="9" spans="1:15" ht="35.1" customHeight="1" x14ac:dyDescent="0.3">
      <c r="A9" s="951"/>
      <c r="B9" s="955"/>
      <c r="C9" s="956"/>
      <c r="D9" s="956"/>
      <c r="E9" s="956"/>
      <c r="F9" s="957"/>
      <c r="G9" s="955"/>
      <c r="H9" s="956"/>
      <c r="I9" s="956"/>
      <c r="J9" s="956"/>
      <c r="K9" s="957"/>
    </row>
    <row r="10" spans="1:15" ht="35.1" customHeight="1" thickBot="1" x14ac:dyDescent="0.35">
      <c r="A10" s="951"/>
      <c r="B10" s="958"/>
      <c r="C10" s="959"/>
      <c r="D10" s="959"/>
      <c r="E10" s="959"/>
      <c r="F10" s="960"/>
      <c r="G10" s="958"/>
      <c r="H10" s="959"/>
      <c r="I10" s="959"/>
      <c r="J10" s="959"/>
      <c r="K10" s="960"/>
    </row>
    <row r="11" spans="1:15" ht="35.1" customHeight="1" x14ac:dyDescent="0.3">
      <c r="A11" s="950" t="s">
        <v>800</v>
      </c>
      <c r="B11" s="952" t="s">
        <v>813</v>
      </c>
      <c r="C11" s="953"/>
      <c r="D11" s="953"/>
      <c r="E11" s="953"/>
      <c r="F11" s="954"/>
      <c r="G11" s="952" t="s">
        <v>814</v>
      </c>
      <c r="H11" s="953"/>
      <c r="I11" s="953"/>
      <c r="J11" s="953"/>
      <c r="K11" s="954"/>
    </row>
    <row r="12" spans="1:15" ht="35.1" customHeight="1" x14ac:dyDescent="0.3">
      <c r="A12" s="951"/>
      <c r="B12" s="955"/>
      <c r="C12" s="956"/>
      <c r="D12" s="956"/>
      <c r="E12" s="956"/>
      <c r="F12" s="957"/>
      <c r="G12" s="955"/>
      <c r="H12" s="956"/>
      <c r="I12" s="956"/>
      <c r="J12" s="956"/>
      <c r="K12" s="957"/>
    </row>
    <row r="13" spans="1:15" ht="35.1" customHeight="1" thickBot="1" x14ac:dyDescent="0.35">
      <c r="A13" s="951"/>
      <c r="B13" s="958"/>
      <c r="C13" s="959"/>
      <c r="D13" s="959"/>
      <c r="E13" s="959"/>
      <c r="F13" s="960"/>
      <c r="G13" s="958"/>
      <c r="H13" s="959"/>
      <c r="I13" s="959"/>
      <c r="J13" s="959"/>
      <c r="K13" s="960"/>
    </row>
    <row r="14" spans="1:15" ht="35.1" customHeight="1" x14ac:dyDescent="0.3">
      <c r="A14" s="950" t="s">
        <v>801</v>
      </c>
      <c r="B14" s="952" t="s">
        <v>815</v>
      </c>
      <c r="C14" s="953"/>
      <c r="D14" s="953"/>
      <c r="E14" s="953"/>
      <c r="F14" s="954"/>
      <c r="G14" s="952" t="s">
        <v>816</v>
      </c>
      <c r="H14" s="953"/>
      <c r="I14" s="953"/>
      <c r="J14" s="953"/>
      <c r="K14" s="954"/>
    </row>
    <row r="15" spans="1:15" ht="35.1" customHeight="1" x14ac:dyDescent="0.3">
      <c r="A15" s="951"/>
      <c r="B15" s="955"/>
      <c r="C15" s="956"/>
      <c r="D15" s="956"/>
      <c r="E15" s="956"/>
      <c r="F15" s="957"/>
      <c r="G15" s="955"/>
      <c r="H15" s="956"/>
      <c r="I15" s="956"/>
      <c r="J15" s="956"/>
      <c r="K15" s="957"/>
    </row>
    <row r="16" spans="1:15" ht="35.1" customHeight="1" thickBot="1" x14ac:dyDescent="0.35">
      <c r="A16" s="951"/>
      <c r="B16" s="958"/>
      <c r="C16" s="959"/>
      <c r="D16" s="959"/>
      <c r="E16" s="959"/>
      <c r="F16" s="960"/>
      <c r="G16" s="958"/>
      <c r="H16" s="959"/>
      <c r="I16" s="959"/>
      <c r="J16" s="959"/>
      <c r="K16" s="960"/>
    </row>
    <row r="17" spans="1:11" ht="35.1" customHeight="1" x14ac:dyDescent="0.3">
      <c r="A17" s="950" t="s">
        <v>802</v>
      </c>
      <c r="B17" s="952" t="s">
        <v>817</v>
      </c>
      <c r="C17" s="953"/>
      <c r="D17" s="953"/>
      <c r="E17" s="953"/>
      <c r="F17" s="954"/>
      <c r="G17" s="952" t="s">
        <v>818</v>
      </c>
      <c r="H17" s="953"/>
      <c r="I17" s="953"/>
      <c r="J17" s="953"/>
      <c r="K17" s="954"/>
    </row>
    <row r="18" spans="1:11" ht="35.1" customHeight="1" x14ac:dyDescent="0.3">
      <c r="A18" s="951"/>
      <c r="B18" s="955"/>
      <c r="C18" s="956"/>
      <c r="D18" s="956"/>
      <c r="E18" s="956"/>
      <c r="F18" s="957"/>
      <c r="G18" s="955"/>
      <c r="H18" s="956"/>
      <c r="I18" s="956"/>
      <c r="J18" s="956"/>
      <c r="K18" s="957"/>
    </row>
    <row r="19" spans="1:11" ht="35.1" customHeight="1" thickBot="1" x14ac:dyDescent="0.35">
      <c r="A19" s="951"/>
      <c r="B19" s="958"/>
      <c r="C19" s="959"/>
      <c r="D19" s="959"/>
      <c r="E19" s="959"/>
      <c r="F19" s="960"/>
      <c r="G19" s="958"/>
      <c r="H19" s="959"/>
      <c r="I19" s="959"/>
      <c r="J19" s="959"/>
      <c r="K19" s="960"/>
    </row>
    <row r="20" spans="1:11" ht="35.1" customHeight="1" x14ac:dyDescent="0.3">
      <c r="A20" s="950" t="s">
        <v>803</v>
      </c>
      <c r="B20" s="952" t="s">
        <v>819</v>
      </c>
      <c r="C20" s="953"/>
      <c r="D20" s="953"/>
      <c r="E20" s="953"/>
      <c r="F20" s="954"/>
      <c r="G20" s="952" t="s">
        <v>820</v>
      </c>
      <c r="H20" s="953"/>
      <c r="I20" s="953"/>
      <c r="J20" s="953"/>
      <c r="K20" s="954"/>
    </row>
    <row r="21" spans="1:11" ht="35.1" customHeight="1" x14ac:dyDescent="0.3">
      <c r="A21" s="951"/>
      <c r="B21" s="955"/>
      <c r="C21" s="956"/>
      <c r="D21" s="956"/>
      <c r="E21" s="956"/>
      <c r="F21" s="957"/>
      <c r="G21" s="955"/>
      <c r="H21" s="956"/>
      <c r="I21" s="956"/>
      <c r="J21" s="956"/>
      <c r="K21" s="957"/>
    </row>
    <row r="22" spans="1:11" ht="35.1" customHeight="1" thickBot="1" x14ac:dyDescent="0.35">
      <c r="A22" s="951"/>
      <c r="B22" s="958"/>
      <c r="C22" s="959"/>
      <c r="D22" s="959"/>
      <c r="E22" s="959"/>
      <c r="F22" s="960"/>
      <c r="G22" s="958"/>
      <c r="H22" s="959"/>
      <c r="I22" s="959"/>
      <c r="J22" s="959"/>
      <c r="K22" s="960"/>
    </row>
    <row r="23" spans="1:11" ht="35.1" customHeight="1" x14ac:dyDescent="0.3">
      <c r="A23" s="964" t="s">
        <v>804</v>
      </c>
      <c r="B23" s="952" t="s">
        <v>825</v>
      </c>
      <c r="C23" s="953"/>
      <c r="D23" s="953"/>
      <c r="E23" s="953"/>
      <c r="F23" s="954"/>
      <c r="G23" s="952" t="s">
        <v>805</v>
      </c>
      <c r="H23" s="953"/>
      <c r="I23" s="953"/>
      <c r="J23" s="953"/>
      <c r="K23" s="954"/>
    </row>
    <row r="24" spans="1:11" ht="35.1" customHeight="1" x14ac:dyDescent="0.3">
      <c r="A24" s="965"/>
      <c r="B24" s="955"/>
      <c r="C24" s="956"/>
      <c r="D24" s="956"/>
      <c r="E24" s="956"/>
      <c r="F24" s="957"/>
      <c r="G24" s="955"/>
      <c r="H24" s="956"/>
      <c r="I24" s="956"/>
      <c r="J24" s="956"/>
      <c r="K24" s="957"/>
    </row>
    <row r="25" spans="1:11" ht="35.1" customHeight="1" thickBot="1" x14ac:dyDescent="0.35">
      <c r="A25" s="966"/>
      <c r="B25" s="958"/>
      <c r="C25" s="959"/>
      <c r="D25" s="959"/>
      <c r="E25" s="959"/>
      <c r="F25" s="960"/>
      <c r="G25" s="958"/>
      <c r="H25" s="959"/>
      <c r="I25" s="959"/>
      <c r="J25" s="959"/>
      <c r="K25" s="960"/>
    </row>
  </sheetData>
  <mergeCells count="24">
    <mergeCell ref="A23:A25"/>
    <mergeCell ref="B23:F25"/>
    <mergeCell ref="G23:K25"/>
    <mergeCell ref="N1:O1"/>
    <mergeCell ref="A17:A19"/>
    <mergeCell ref="B17:F19"/>
    <mergeCell ref="G17:K19"/>
    <mergeCell ref="A20:A22"/>
    <mergeCell ref="B20:F22"/>
    <mergeCell ref="G20:K22"/>
    <mergeCell ref="A11:A13"/>
    <mergeCell ref="B11:F13"/>
    <mergeCell ref="G11:K13"/>
    <mergeCell ref="A14:A16"/>
    <mergeCell ref="B14:F16"/>
    <mergeCell ref="G14:K16"/>
    <mergeCell ref="A6:A10"/>
    <mergeCell ref="B6:F10"/>
    <mergeCell ref="G6:K10"/>
    <mergeCell ref="B1:F1"/>
    <mergeCell ref="G1:K1"/>
    <mergeCell ref="A2:A5"/>
    <mergeCell ref="B2:F5"/>
    <mergeCell ref="G2:K5"/>
  </mergeCells>
  <hyperlinks>
    <hyperlink ref="N1" location="Menu!A1" display="Return to menu" xr:uid="{00000000-0004-0000-0300-000000000000}"/>
  </hyperlinks>
  <pageMargins left="0.7" right="0.7" top="0.75" bottom="0.75" header="0.3" footer="0.3"/>
  <pageSetup scale="7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40C29-8F6A-4339-A7B8-B357500AB067}">
  <sheetPr>
    <pageSetUpPr fitToPage="1"/>
  </sheetPr>
  <dimension ref="K1:T6"/>
  <sheetViews>
    <sheetView showGridLines="0" showRowColHeaders="0" topLeftCell="A16" zoomScale="130" zoomScaleNormal="130" workbookViewId="0">
      <selection sqref="A1:J50"/>
    </sheetView>
  </sheetViews>
  <sheetFormatPr defaultColWidth="9.109375" defaultRowHeight="12.6" x14ac:dyDescent="0.25"/>
  <cols>
    <col min="1" max="16384" width="9.109375" style="457"/>
  </cols>
  <sheetData>
    <row r="1" spans="11:20" ht="21" x14ac:dyDescent="0.4">
      <c r="K1" s="1034" t="s">
        <v>19</v>
      </c>
      <c r="L1" s="1034"/>
      <c r="M1" s="1034"/>
    </row>
    <row r="2" spans="11:20" ht="13.2" x14ac:dyDescent="0.25">
      <c r="L2" s="308"/>
      <c r="M2" s="308"/>
      <c r="N2" s="308"/>
      <c r="O2" s="308"/>
      <c r="P2" s="308"/>
      <c r="Q2" s="308"/>
      <c r="R2" s="308"/>
      <c r="S2" s="308"/>
      <c r="T2" s="308"/>
    </row>
    <row r="3" spans="11:20" ht="13.2" x14ac:dyDescent="0.25">
      <c r="K3" s="308"/>
      <c r="L3" s="308"/>
      <c r="M3" s="308"/>
      <c r="N3" s="308"/>
      <c r="O3" s="308"/>
      <c r="P3" s="308"/>
      <c r="R3" s="308"/>
      <c r="S3" s="308"/>
      <c r="T3" s="308"/>
    </row>
    <row r="4" spans="11:20" ht="18" x14ac:dyDescent="0.35">
      <c r="K4" s="452" t="s">
        <v>336</v>
      </c>
      <c r="L4" s="308"/>
      <c r="M4" s="308"/>
      <c r="N4" s="308"/>
      <c r="O4" s="308"/>
      <c r="P4" s="308"/>
      <c r="Q4" s="308"/>
      <c r="R4" s="308"/>
      <c r="S4" s="308"/>
      <c r="T4" s="308"/>
    </row>
    <row r="6" spans="11:20" ht="15.6" x14ac:dyDescent="0.3">
      <c r="K6" s="454" t="s">
        <v>588</v>
      </c>
    </row>
  </sheetData>
  <mergeCells count="1">
    <mergeCell ref="K1:M1"/>
  </mergeCells>
  <hyperlinks>
    <hyperlink ref="K1" location="Menu!A1" display="Return to menu" xr:uid="{8DC7244D-6156-45CD-ADB1-39762C97941D}"/>
  </hyperlinks>
  <printOptions horizontalCentered="1" verticalCentered="1"/>
  <pageMargins left="0" right="0" top="0.52" bottom="0" header="0.5" footer="0.5"/>
  <pageSetup orientation="portrait" verticalDpi="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F883A-142C-4E26-92E3-1037D12F61DE}">
  <dimension ref="A1:S136"/>
  <sheetViews>
    <sheetView showGridLines="0" zoomScaleNormal="100" workbookViewId="0">
      <selection activeCell="C19" sqref="C19"/>
    </sheetView>
  </sheetViews>
  <sheetFormatPr defaultColWidth="9.109375" defaultRowHeight="12.75" customHeight="1" zeroHeight="1" x14ac:dyDescent="0.3"/>
  <cols>
    <col min="1" max="1" width="13.109375" style="711" customWidth="1"/>
    <col min="2" max="2" width="3.21875" style="458" customWidth="1"/>
    <col min="3" max="12" width="9.109375" style="458" customWidth="1"/>
    <col min="13" max="13" width="9.6640625" style="458" bestFit="1" customWidth="1"/>
    <col min="14" max="14" width="9.109375" style="458" customWidth="1"/>
    <col min="15" max="15" width="0.21875" style="458" customWidth="1"/>
    <col min="16" max="16384" width="9.109375" style="458"/>
  </cols>
  <sheetData>
    <row r="1" spans="1:19" ht="26.25" customHeight="1" x14ac:dyDescent="0.4">
      <c r="A1" s="1125" t="s">
        <v>366</v>
      </c>
      <c r="B1" s="1126"/>
      <c r="C1" s="1126"/>
      <c r="D1" s="1126"/>
      <c r="E1" s="1126"/>
      <c r="F1" s="1126"/>
      <c r="G1" s="1126"/>
      <c r="H1" s="1126"/>
      <c r="I1" s="1126"/>
      <c r="J1" s="1126"/>
      <c r="K1" s="1126"/>
      <c r="L1" s="1126"/>
      <c r="M1" s="1126"/>
      <c r="N1" s="1127"/>
      <c r="Q1" s="1034" t="s">
        <v>19</v>
      </c>
      <c r="R1" s="1034"/>
      <c r="S1" s="1034"/>
    </row>
    <row r="2" spans="1:19" ht="15.75" customHeight="1" x14ac:dyDescent="0.3">
      <c r="A2" s="1133" t="s">
        <v>367</v>
      </c>
      <c r="B2" s="1133"/>
      <c r="C2" s="1143"/>
      <c r="D2" s="1143"/>
      <c r="E2" s="1143"/>
      <c r="G2" s="459"/>
      <c r="H2" s="1143"/>
      <c r="I2" s="1143"/>
      <c r="J2" s="1143"/>
      <c r="L2" s="459"/>
      <c r="M2" s="1144"/>
      <c r="N2" s="1144"/>
    </row>
    <row r="3" spans="1:19" ht="15.75" customHeight="1" x14ac:dyDescent="0.3">
      <c r="A3" s="1133" t="s">
        <v>368</v>
      </c>
      <c r="B3" s="1133"/>
      <c r="C3" s="1143" t="s">
        <v>369</v>
      </c>
      <c r="D3" s="1143"/>
      <c r="E3" s="1143"/>
      <c r="G3" s="459"/>
      <c r="H3" s="1143"/>
      <c r="I3" s="1143"/>
      <c r="J3" s="1143"/>
      <c r="L3" s="459"/>
      <c r="M3" s="1143"/>
      <c r="N3" s="1143"/>
      <c r="P3" s="512" t="s">
        <v>589</v>
      </c>
    </row>
    <row r="4" spans="1:19" ht="15.75" customHeight="1" x14ac:dyDescent="0.3">
      <c r="A4" s="1133" t="s">
        <v>370</v>
      </c>
      <c r="B4" s="1133"/>
      <c r="C4" s="1143"/>
      <c r="D4" s="1143"/>
      <c r="E4" s="1143"/>
      <c r="G4" s="459"/>
      <c r="H4" s="1143"/>
      <c r="I4" s="1143"/>
      <c r="J4" s="1143"/>
      <c r="N4" s="460"/>
    </row>
    <row r="5" spans="1:19" ht="15.75" customHeight="1" x14ac:dyDescent="0.3">
      <c r="B5" s="459"/>
      <c r="G5" s="459"/>
      <c r="N5" s="460"/>
    </row>
    <row r="6" spans="1:19" ht="15.75" customHeight="1" x14ac:dyDescent="0.3">
      <c r="A6" s="1133" t="s">
        <v>371</v>
      </c>
      <c r="B6" s="1133"/>
      <c r="C6" s="776">
        <v>0.52</v>
      </c>
      <c r="E6" s="459" t="s">
        <v>372</v>
      </c>
      <c r="F6" s="777">
        <f>3-COUNTIF(C12:C14,"")</f>
        <v>2</v>
      </c>
      <c r="G6" s="459" t="s">
        <v>373</v>
      </c>
      <c r="H6" s="777">
        <f>IF(F6=2,0.8862,IF(F6=3,0.5908,""))</f>
        <v>0.88619999999999999</v>
      </c>
      <c r="J6" s="459" t="s">
        <v>374</v>
      </c>
      <c r="K6" s="777">
        <f>(MAX(N15,N20,N25)-MIN(N15,N20,N25))</f>
        <v>4.2999999999999705E-3</v>
      </c>
      <c r="L6" s="459" t="s">
        <v>375</v>
      </c>
      <c r="M6" s="777">
        <f>IF(F6=2,3.27,IF(F6=3,2.58,""))</f>
        <v>3.27</v>
      </c>
      <c r="N6" s="460"/>
    </row>
    <row r="7" spans="1:19" ht="15.75" customHeight="1" x14ac:dyDescent="0.3">
      <c r="A7" s="1133" t="s">
        <v>376</v>
      </c>
      <c r="B7" s="1133"/>
      <c r="C7" s="776">
        <v>0.48</v>
      </c>
      <c r="E7" s="459" t="s">
        <v>377</v>
      </c>
      <c r="F7" s="777">
        <f>SUM((1-COUNTBLANK(C12)),(1-COUNTBLANK(C17)),(1-COUNTBLANK(C22)))</f>
        <v>2</v>
      </c>
      <c r="G7" s="459" t="s">
        <v>378</v>
      </c>
      <c r="H7" s="777">
        <f>IF(F7=2,0.7071,IF(F7=3,0.5231,""))</f>
        <v>0.70709999999999995</v>
      </c>
      <c r="J7" s="459" t="s">
        <v>379</v>
      </c>
      <c r="K7" s="777">
        <f>N29</f>
        <v>2.5000000000000022E-3</v>
      </c>
      <c r="L7" s="459" t="s">
        <v>380</v>
      </c>
      <c r="M7" s="777">
        <f>N28</f>
        <v>9.7500000000001474E-3</v>
      </c>
      <c r="N7" s="460"/>
    </row>
    <row r="8" spans="1:19" ht="15.75" customHeight="1" x14ac:dyDescent="0.3">
      <c r="A8" s="1134" t="s">
        <v>381</v>
      </c>
      <c r="B8" s="1135"/>
      <c r="C8" s="778">
        <f>MAX(C6:C7)-MIN(C6:C7)</f>
        <v>4.0000000000000036E-2</v>
      </c>
      <c r="E8" s="459" t="s">
        <v>382</v>
      </c>
      <c r="F8" s="777">
        <f>10-COUNTIF(C12:L12,"")</f>
        <v>5</v>
      </c>
      <c r="G8" s="459" t="s">
        <v>383</v>
      </c>
      <c r="H8" s="777">
        <f>VLOOKUP(F8,G58:H66,2)</f>
        <v>0.40300000000000002</v>
      </c>
      <c r="N8" s="460"/>
    </row>
    <row r="9" spans="1:19" ht="15.75" customHeight="1" x14ac:dyDescent="0.3">
      <c r="A9" s="712"/>
      <c r="B9" s="713"/>
      <c r="C9" s="713"/>
      <c r="D9" s="713"/>
      <c r="E9" s="713"/>
      <c r="F9" s="713"/>
      <c r="G9" s="713"/>
      <c r="H9" s="713"/>
      <c r="I9" s="713"/>
      <c r="J9" s="713"/>
      <c r="K9" s="713"/>
      <c r="L9" s="713"/>
      <c r="M9" s="713"/>
      <c r="N9" s="714"/>
    </row>
    <row r="10" spans="1:19" ht="15.75" customHeight="1" x14ac:dyDescent="0.3">
      <c r="A10" s="1136" t="s">
        <v>384</v>
      </c>
      <c r="B10" s="1137"/>
      <c r="C10" s="1140" t="s">
        <v>385</v>
      </c>
      <c r="D10" s="1140"/>
      <c r="E10" s="1140"/>
      <c r="F10" s="1140"/>
      <c r="G10" s="1140"/>
      <c r="H10" s="1140"/>
      <c r="I10" s="1140"/>
      <c r="J10" s="1140"/>
      <c r="K10" s="1140"/>
      <c r="L10" s="1140"/>
      <c r="M10" s="1141" t="s">
        <v>124</v>
      </c>
      <c r="N10" s="1141"/>
    </row>
    <row r="11" spans="1:19" ht="15.75" customHeight="1" x14ac:dyDescent="0.3">
      <c r="A11" s="1138"/>
      <c r="B11" s="1139"/>
      <c r="C11" s="779">
        <v>1</v>
      </c>
      <c r="D11" s="779">
        <v>2</v>
      </c>
      <c r="E11" s="779">
        <v>3</v>
      </c>
      <c r="F11" s="779">
        <v>4</v>
      </c>
      <c r="G11" s="779">
        <v>5</v>
      </c>
      <c r="H11" s="779">
        <v>6</v>
      </c>
      <c r="I11" s="779">
        <v>7</v>
      </c>
      <c r="J11" s="779">
        <v>8</v>
      </c>
      <c r="K11" s="779">
        <v>9</v>
      </c>
      <c r="L11" s="779">
        <v>10</v>
      </c>
      <c r="M11" s="1142"/>
      <c r="N11" s="1142"/>
    </row>
    <row r="12" spans="1:19" ht="18" customHeight="1" x14ac:dyDescent="0.3">
      <c r="A12" s="780" t="s">
        <v>35</v>
      </c>
      <c r="B12" s="781">
        <v>1</v>
      </c>
      <c r="C12" s="782">
        <v>0.52100000000000002</v>
      </c>
      <c r="D12" s="782">
        <v>0.52200000000000002</v>
      </c>
      <c r="E12" s="782">
        <v>0.52300000000000002</v>
      </c>
      <c r="F12" s="782">
        <v>0.52100000000000002</v>
      </c>
      <c r="G12" s="782">
        <v>0.52500000000000002</v>
      </c>
      <c r="H12" s="776"/>
      <c r="I12" s="776"/>
      <c r="J12" s="776"/>
      <c r="K12" s="776"/>
      <c r="L12" s="780"/>
      <c r="M12" s="1129">
        <f>IF(C12="","",IF($F$6&lt;1,"",AVERAGE(C12:L12)))</f>
        <v>0.52239999999999998</v>
      </c>
      <c r="N12" s="1130"/>
    </row>
    <row r="13" spans="1:19" ht="18" customHeight="1" x14ac:dyDescent="0.3">
      <c r="A13" s="783"/>
      <c r="B13" s="784">
        <v>2</v>
      </c>
      <c r="C13" s="782">
        <v>0.52100000000000002</v>
      </c>
      <c r="D13" s="782">
        <v>0.54</v>
      </c>
      <c r="E13" s="782">
        <v>0.52400000000000002</v>
      </c>
      <c r="F13" s="782">
        <v>0.52200000000000002</v>
      </c>
      <c r="G13" s="782">
        <v>0.52400000000000002</v>
      </c>
      <c r="H13" s="776"/>
      <c r="I13" s="776"/>
      <c r="J13" s="776"/>
      <c r="K13" s="776"/>
      <c r="L13" s="780"/>
      <c r="M13" s="1129">
        <f>IF(C13="","",IF($F$6&lt;1,"",AVERAGE(C13:L13)))</f>
        <v>0.5262</v>
      </c>
      <c r="N13" s="1130"/>
    </row>
    <row r="14" spans="1:19" ht="18" customHeight="1" x14ac:dyDescent="0.3">
      <c r="A14" s="783"/>
      <c r="B14" s="784">
        <v>3</v>
      </c>
      <c r="C14" s="776"/>
      <c r="D14" s="776"/>
      <c r="E14" s="776"/>
      <c r="F14" s="776"/>
      <c r="G14" s="776"/>
      <c r="H14" s="776"/>
      <c r="I14" s="776"/>
      <c r="J14" s="776"/>
      <c r="K14" s="776"/>
      <c r="L14" s="776"/>
      <c r="M14" s="1129" t="str">
        <f>IF(C14="","",IF($F$6&lt;1,"",AVERAGE(C14:L14)))</f>
        <v/>
      </c>
      <c r="N14" s="1130"/>
    </row>
    <row r="15" spans="1:19" ht="18" customHeight="1" x14ac:dyDescent="0.3">
      <c r="A15" s="783"/>
      <c r="B15" s="784" t="s">
        <v>124</v>
      </c>
      <c r="C15" s="778">
        <f>IF($F$7&lt;1,"",IF($F$8&lt;C11,"",AVERAGE(C12:C14)))</f>
        <v>0.52100000000000002</v>
      </c>
      <c r="D15" s="778">
        <f t="shared" ref="D15:L15" si="0">IF($F$7&lt;1,"",IF($F$8&lt;D11,"",AVERAGE(D12:D14)))</f>
        <v>0.53100000000000003</v>
      </c>
      <c r="E15" s="778">
        <f t="shared" si="0"/>
        <v>0.52350000000000008</v>
      </c>
      <c r="F15" s="778">
        <f t="shared" si="0"/>
        <v>0.52150000000000007</v>
      </c>
      <c r="G15" s="778">
        <f t="shared" si="0"/>
        <v>0.52449999999999997</v>
      </c>
      <c r="H15" s="778" t="str">
        <f t="shared" si="0"/>
        <v/>
      </c>
      <c r="I15" s="778" t="str">
        <f t="shared" si="0"/>
        <v/>
      </c>
      <c r="J15" s="778" t="str">
        <f t="shared" si="0"/>
        <v/>
      </c>
      <c r="K15" s="778" t="str">
        <f t="shared" si="0"/>
        <v/>
      </c>
      <c r="L15" s="778" t="str">
        <f t="shared" si="0"/>
        <v/>
      </c>
      <c r="M15" s="785" t="s">
        <v>386</v>
      </c>
      <c r="N15" s="786">
        <f>IF(C15="","",AVERAGE(C15:L15))</f>
        <v>0.52429999999999999</v>
      </c>
    </row>
    <row r="16" spans="1:19" ht="18" customHeight="1" x14ac:dyDescent="0.3">
      <c r="A16" s="783"/>
      <c r="B16" s="784" t="s">
        <v>128</v>
      </c>
      <c r="C16" s="778">
        <f>IF($F$7&lt;1,"",IF($F$8&lt;C11,"",MAX(C12:C14)-MIN(C12:C14)))</f>
        <v>0</v>
      </c>
      <c r="D16" s="778">
        <f t="shared" ref="D16:L16" si="1">IF($F$7&lt;1,"",IF($F$8&lt;D11,"",MAX(D12:D14)-MIN(D12:D14)))</f>
        <v>1.8000000000000016E-2</v>
      </c>
      <c r="E16" s="778">
        <f t="shared" si="1"/>
        <v>1.0000000000000009E-3</v>
      </c>
      <c r="F16" s="778">
        <f t="shared" si="1"/>
        <v>1.0000000000000009E-3</v>
      </c>
      <c r="G16" s="778">
        <f t="shared" si="1"/>
        <v>1.0000000000000009E-3</v>
      </c>
      <c r="H16" s="778" t="str">
        <f t="shared" si="1"/>
        <v/>
      </c>
      <c r="I16" s="778" t="str">
        <f t="shared" si="1"/>
        <v/>
      </c>
      <c r="J16" s="778" t="str">
        <f t="shared" si="1"/>
        <v/>
      </c>
      <c r="K16" s="778" t="str">
        <f t="shared" si="1"/>
        <v/>
      </c>
      <c r="L16" s="778" t="str">
        <f t="shared" si="1"/>
        <v/>
      </c>
      <c r="M16" s="785" t="s">
        <v>387</v>
      </c>
      <c r="N16" s="786">
        <f>IF(C16="","",AVERAGE(C16:L16))</f>
        <v>4.2000000000000041E-3</v>
      </c>
    </row>
    <row r="17" spans="1:14" ht="18" customHeight="1" x14ac:dyDescent="0.3">
      <c r="A17" s="780" t="s">
        <v>36</v>
      </c>
      <c r="B17" s="781">
        <v>1</v>
      </c>
      <c r="C17" s="776">
        <v>0.51100000000000001</v>
      </c>
      <c r="D17" s="776">
        <v>0.52100000000000002</v>
      </c>
      <c r="E17" s="776">
        <v>0.52200000000000002</v>
      </c>
      <c r="F17" s="776">
        <v>0.52400000000000002</v>
      </c>
      <c r="G17" s="776">
        <v>0.52100000000000002</v>
      </c>
      <c r="H17" s="776"/>
      <c r="I17" s="776"/>
      <c r="J17" s="776"/>
      <c r="K17" s="776"/>
      <c r="L17" s="780"/>
      <c r="M17" s="1129">
        <f>IF(C17="","",IF($F$6&lt;1,"",AVERAGE(C17:L17)))</f>
        <v>0.51980000000000004</v>
      </c>
      <c r="N17" s="1130"/>
    </row>
    <row r="18" spans="1:14" ht="18" customHeight="1" x14ac:dyDescent="0.3">
      <c r="A18" s="783"/>
      <c r="B18" s="784">
        <v>2</v>
      </c>
      <c r="C18" s="776">
        <v>0.51300000000000001</v>
      </c>
      <c r="D18" s="776">
        <v>0.52200000000000002</v>
      </c>
      <c r="E18" s="776">
        <v>0.52200000000000002</v>
      </c>
      <c r="F18" s="776">
        <v>0.52300000000000002</v>
      </c>
      <c r="G18" s="776">
        <v>0.52100000000000002</v>
      </c>
      <c r="H18" s="776"/>
      <c r="I18" s="776"/>
      <c r="J18" s="776"/>
      <c r="K18" s="776"/>
      <c r="L18" s="780"/>
      <c r="M18" s="1129">
        <f>IF(C18="","",IF($F$6&lt;1,"",AVERAGE(C18:L18)))</f>
        <v>0.5202</v>
      </c>
      <c r="N18" s="1130"/>
    </row>
    <row r="19" spans="1:14" ht="18" customHeight="1" x14ac:dyDescent="0.3">
      <c r="A19" s="783"/>
      <c r="B19" s="784">
        <v>3</v>
      </c>
      <c r="C19" s="776"/>
      <c r="D19" s="776"/>
      <c r="E19" s="776"/>
      <c r="F19" s="776"/>
      <c r="G19" s="776"/>
      <c r="H19" s="776"/>
      <c r="I19" s="776"/>
      <c r="J19" s="776"/>
      <c r="K19" s="776"/>
      <c r="L19" s="780"/>
      <c r="M19" s="1129" t="str">
        <f>IF(C19="","",IF($F$6&lt;1,"",AVERAGE(C19:L19)))</f>
        <v/>
      </c>
      <c r="N19" s="1130"/>
    </row>
    <row r="20" spans="1:14" ht="18" customHeight="1" x14ac:dyDescent="0.3">
      <c r="A20" s="783"/>
      <c r="B20" s="784" t="s">
        <v>124</v>
      </c>
      <c r="C20" s="778">
        <f>IF($F$7&lt;2,"",IF($F$8&lt;C11,"",AVERAGE(C17:C19)))</f>
        <v>0.51200000000000001</v>
      </c>
      <c r="D20" s="778">
        <f t="shared" ref="D20:L20" si="2">IF($F$7&lt;2,"",IF($F$8&lt;D11,"",AVERAGE(D17:D19)))</f>
        <v>0.52150000000000007</v>
      </c>
      <c r="E20" s="778">
        <f t="shared" si="2"/>
        <v>0.52200000000000002</v>
      </c>
      <c r="F20" s="778">
        <f t="shared" si="2"/>
        <v>0.52350000000000008</v>
      </c>
      <c r="G20" s="778">
        <f t="shared" si="2"/>
        <v>0.52100000000000002</v>
      </c>
      <c r="H20" s="778" t="str">
        <f t="shared" si="2"/>
        <v/>
      </c>
      <c r="I20" s="778" t="str">
        <f t="shared" si="2"/>
        <v/>
      </c>
      <c r="J20" s="778" t="str">
        <f t="shared" si="2"/>
        <v/>
      </c>
      <c r="K20" s="778" t="str">
        <f t="shared" si="2"/>
        <v/>
      </c>
      <c r="L20" s="778" t="str">
        <f t="shared" si="2"/>
        <v/>
      </c>
      <c r="M20" s="785" t="s">
        <v>388</v>
      </c>
      <c r="N20" s="786">
        <f>IF(C20="","",AVERAGE(C20:L20))</f>
        <v>0.52</v>
      </c>
    </row>
    <row r="21" spans="1:14" ht="18" customHeight="1" x14ac:dyDescent="0.3">
      <c r="A21" s="783"/>
      <c r="B21" s="784" t="s">
        <v>128</v>
      </c>
      <c r="C21" s="778">
        <f>IF($F$7&lt;2,"",IF($F$8&lt;C11,"",MAX(C17:C19)-MIN(C17:C19)))</f>
        <v>2.0000000000000018E-3</v>
      </c>
      <c r="D21" s="778">
        <f t="shared" ref="D21:L21" si="3">IF($F$7&lt;2,"",IF($F$8&lt;D11,"",MAX(D17:D19)-MIN(D17:D19)))</f>
        <v>1.0000000000000009E-3</v>
      </c>
      <c r="E21" s="778">
        <f t="shared" si="3"/>
        <v>0</v>
      </c>
      <c r="F21" s="778">
        <f t="shared" si="3"/>
        <v>1.0000000000000009E-3</v>
      </c>
      <c r="G21" s="778">
        <f t="shared" si="3"/>
        <v>0</v>
      </c>
      <c r="H21" s="778" t="str">
        <f t="shared" si="3"/>
        <v/>
      </c>
      <c r="I21" s="778" t="str">
        <f t="shared" si="3"/>
        <v/>
      </c>
      <c r="J21" s="778" t="str">
        <f t="shared" si="3"/>
        <v/>
      </c>
      <c r="K21" s="778" t="str">
        <f t="shared" si="3"/>
        <v/>
      </c>
      <c r="L21" s="778" t="str">
        <f t="shared" si="3"/>
        <v/>
      </c>
      <c r="M21" s="785" t="s">
        <v>389</v>
      </c>
      <c r="N21" s="786">
        <f>IF(C21="","",AVERAGE(C21:L21))</f>
        <v>8.0000000000000069E-4</v>
      </c>
    </row>
    <row r="22" spans="1:14" ht="18" customHeight="1" x14ac:dyDescent="0.3">
      <c r="A22" s="780" t="s">
        <v>37</v>
      </c>
      <c r="B22" s="781">
        <v>1</v>
      </c>
      <c r="C22" s="776"/>
      <c r="D22" s="776"/>
      <c r="E22" s="776"/>
      <c r="F22" s="776"/>
      <c r="G22" s="776"/>
      <c r="H22" s="776"/>
      <c r="I22" s="776"/>
      <c r="J22" s="776"/>
      <c r="K22" s="776"/>
      <c r="L22" s="780"/>
      <c r="M22" s="1129" t="str">
        <f>IF(C22="","",IF($F$6&lt;1,"",AVERAGE(C22:L22)))</f>
        <v/>
      </c>
      <c r="N22" s="1130"/>
    </row>
    <row r="23" spans="1:14" ht="18" customHeight="1" x14ac:dyDescent="0.3">
      <c r="A23" s="783"/>
      <c r="B23" s="784">
        <v>2</v>
      </c>
      <c r="C23" s="776"/>
      <c r="D23" s="776"/>
      <c r="E23" s="776"/>
      <c r="F23" s="776"/>
      <c r="G23" s="776"/>
      <c r="H23" s="776"/>
      <c r="I23" s="776"/>
      <c r="J23" s="776"/>
      <c r="K23" s="776"/>
      <c r="L23" s="780"/>
      <c r="M23" s="1129" t="str">
        <f>IF(C23="","",IF($F$6&lt;1,"",AVERAGE(C23:L23)))</f>
        <v/>
      </c>
      <c r="N23" s="1130"/>
    </row>
    <row r="24" spans="1:14" ht="18" customHeight="1" x14ac:dyDescent="0.3">
      <c r="A24" s="783"/>
      <c r="B24" s="784">
        <v>3</v>
      </c>
      <c r="C24" s="776"/>
      <c r="D24" s="776"/>
      <c r="E24" s="776"/>
      <c r="F24" s="776"/>
      <c r="G24" s="776"/>
      <c r="H24" s="776"/>
      <c r="I24" s="776"/>
      <c r="J24" s="776"/>
      <c r="K24" s="776"/>
      <c r="L24" s="780"/>
      <c r="M24" s="1129" t="str">
        <f>IF(C24="","",IF($F$6&lt;1,"",AVERAGE(C24:L24)))</f>
        <v/>
      </c>
      <c r="N24" s="1130"/>
    </row>
    <row r="25" spans="1:14" ht="18" customHeight="1" x14ac:dyDescent="0.3">
      <c r="A25" s="783"/>
      <c r="B25" s="784" t="s">
        <v>124</v>
      </c>
      <c r="C25" s="778" t="str">
        <f>IF($F$7&lt;3,"",IF($F$8&lt;C11,"",AVERAGE(C22:C24)))</f>
        <v/>
      </c>
      <c r="D25" s="778" t="str">
        <f t="shared" ref="D25:L25" si="4">IF($F$7&lt;3,"",IF($F$8&lt;D11,"",AVERAGE(D22:D24)))</f>
        <v/>
      </c>
      <c r="E25" s="778" t="str">
        <f t="shared" si="4"/>
        <v/>
      </c>
      <c r="F25" s="778" t="str">
        <f t="shared" si="4"/>
        <v/>
      </c>
      <c r="G25" s="778" t="str">
        <f t="shared" si="4"/>
        <v/>
      </c>
      <c r="H25" s="778" t="str">
        <f t="shared" si="4"/>
        <v/>
      </c>
      <c r="I25" s="778" t="str">
        <f t="shared" si="4"/>
        <v/>
      </c>
      <c r="J25" s="778" t="str">
        <f t="shared" si="4"/>
        <v/>
      </c>
      <c r="K25" s="778" t="str">
        <f t="shared" si="4"/>
        <v/>
      </c>
      <c r="L25" s="778" t="str">
        <f t="shared" si="4"/>
        <v/>
      </c>
      <c r="M25" s="785" t="s">
        <v>390</v>
      </c>
      <c r="N25" s="786" t="str">
        <f>IF(C25="","",AVERAGE(C25:L25))</f>
        <v/>
      </c>
    </row>
    <row r="26" spans="1:14" ht="18" customHeight="1" x14ac:dyDescent="0.3">
      <c r="A26" s="783"/>
      <c r="B26" s="784" t="s">
        <v>128</v>
      </c>
      <c r="C26" s="778" t="str">
        <f>IF($F$7&lt;3,"",IF($F$8&lt;C11,"",MAX(C22:C24)-MIN(C22:C24)))</f>
        <v/>
      </c>
      <c r="D26" s="778" t="str">
        <f t="shared" ref="D26:L26" si="5">IF($F$7&lt;3,"",IF($F$8&lt;D11,"",MAX(D22:D24)-MIN(D22:D24)))</f>
        <v/>
      </c>
      <c r="E26" s="778" t="str">
        <f t="shared" si="5"/>
        <v/>
      </c>
      <c r="F26" s="778" t="str">
        <f t="shared" si="5"/>
        <v/>
      </c>
      <c r="G26" s="778" t="str">
        <f t="shared" si="5"/>
        <v/>
      </c>
      <c r="H26" s="778" t="str">
        <f t="shared" si="5"/>
        <v/>
      </c>
      <c r="I26" s="778" t="str">
        <f t="shared" si="5"/>
        <v/>
      </c>
      <c r="J26" s="778" t="str">
        <f t="shared" si="5"/>
        <v/>
      </c>
      <c r="K26" s="778" t="str">
        <f t="shared" si="5"/>
        <v/>
      </c>
      <c r="L26" s="778" t="str">
        <f t="shared" si="5"/>
        <v/>
      </c>
      <c r="M26" s="785" t="s">
        <v>391</v>
      </c>
      <c r="N26" s="786" t="str">
        <f>IF(C26="","",AVERAGE(C26:L26))</f>
        <v/>
      </c>
    </row>
    <row r="27" spans="1:14" ht="15.75" customHeight="1" x14ac:dyDescent="0.3">
      <c r="A27" s="1122" t="s">
        <v>392</v>
      </c>
      <c r="B27" s="1124"/>
      <c r="C27" s="1118">
        <f>IF($F$8&lt;C11,"",AVERAGE(C12:C14,C17:C19,C22:C24))</f>
        <v>0.51649999999999996</v>
      </c>
      <c r="D27" s="1118">
        <f t="shared" ref="D27:L27" si="6">IF($F$8&lt;D11,"",AVERAGE(D12:D14,D17:D19,D22:D24))</f>
        <v>0.52625000000000011</v>
      </c>
      <c r="E27" s="1118">
        <f t="shared" si="6"/>
        <v>0.52275000000000005</v>
      </c>
      <c r="F27" s="1118">
        <f t="shared" si="6"/>
        <v>0.52250000000000008</v>
      </c>
      <c r="G27" s="1118">
        <f t="shared" si="6"/>
        <v>0.52274999999999994</v>
      </c>
      <c r="H27" s="1118" t="str">
        <f t="shared" si="6"/>
        <v/>
      </c>
      <c r="I27" s="1118" t="str">
        <f t="shared" si="6"/>
        <v/>
      </c>
      <c r="J27" s="1118" t="str">
        <f t="shared" si="6"/>
        <v/>
      </c>
      <c r="K27" s="1118" t="str">
        <f t="shared" si="6"/>
        <v/>
      </c>
      <c r="L27" s="1118" t="str">
        <f t="shared" si="6"/>
        <v/>
      </c>
      <c r="M27" s="787" t="s">
        <v>393</v>
      </c>
      <c r="N27" s="788">
        <f>AVERAGE(M12:N14,M17:N19,M22:N24)</f>
        <v>0.52215</v>
      </c>
    </row>
    <row r="28" spans="1:14" ht="15.75" customHeight="1" x14ac:dyDescent="0.3">
      <c r="A28" s="1131"/>
      <c r="B28" s="1132"/>
      <c r="C28" s="1118"/>
      <c r="D28" s="1118"/>
      <c r="E28" s="1118"/>
      <c r="F28" s="1118"/>
      <c r="G28" s="1118"/>
      <c r="H28" s="1118"/>
      <c r="I28" s="1118"/>
      <c r="J28" s="1118"/>
      <c r="K28" s="1118"/>
      <c r="L28" s="1118"/>
      <c r="M28" s="715" t="s">
        <v>394</v>
      </c>
      <c r="N28" s="716">
        <f>MAX(C27:L28)-MIN(C27:L28)</f>
        <v>9.7500000000001474E-3</v>
      </c>
    </row>
    <row r="29" spans="1:14" ht="18" customHeight="1" x14ac:dyDescent="0.3">
      <c r="A29" s="783" t="str">
        <f>CONCATENATE("[","(",M16,N16," + ",M21,N21," + ",M26,N26,")"," / ",E7,F7,"]"," = Rbarbar")</f>
        <v>[(Rbar a = 0.0042 + Rbar b = 0.000800000000000001 + Rbar c = ) / # of appraisers = 2] = Rbarbar</v>
      </c>
      <c r="B29" s="789"/>
      <c r="C29" s="789"/>
      <c r="D29" s="789"/>
      <c r="E29" s="789"/>
      <c r="F29" s="789"/>
      <c r="G29" s="789"/>
      <c r="H29" s="789"/>
      <c r="I29" s="789"/>
      <c r="J29" s="789"/>
      <c r="K29" s="789"/>
      <c r="L29" s="790"/>
      <c r="M29" s="785" t="s">
        <v>379</v>
      </c>
      <c r="N29" s="786">
        <f>AVERAGE(N16,N21,N26)</f>
        <v>2.5000000000000022E-3</v>
      </c>
    </row>
    <row r="30" spans="1:14" ht="18" customHeight="1" x14ac:dyDescent="0.3">
      <c r="A30" s="783" t="str">
        <f>CONCATENATE("(","Max Xbar = ",MAX(N15,N20,N25),")"," - ","Min Xbar = ",MIN(N15,N20,N25),") = Xbar diff",)</f>
        <v>(Max Xbar = 0.5243) - Min Xbar = 0.52) = Xbar diff</v>
      </c>
      <c r="B30" s="789"/>
      <c r="C30" s="789"/>
      <c r="D30" s="789"/>
      <c r="E30" s="789"/>
      <c r="F30" s="789"/>
      <c r="G30" s="789"/>
      <c r="H30" s="789"/>
      <c r="I30" s="789"/>
      <c r="J30" s="789"/>
      <c r="K30" s="789"/>
      <c r="L30" s="790"/>
      <c r="M30" s="791" t="s">
        <v>395</v>
      </c>
      <c r="N30" s="786">
        <f>MAX(N15,N20,N25)-MIN(N15,N20,N25)</f>
        <v>4.2999999999999705E-3</v>
      </c>
    </row>
    <row r="31" spans="1:14" ht="18" customHeight="1" x14ac:dyDescent="0.3">
      <c r="A31" s="783" t="str">
        <f>CONCATENATE("(",M29,N29,")"," x (D4 = ",IF(F6=2,3.27,IF(F6=3,2.58,"")),") = UCL R")</f>
        <v>(Rbarbar = 0.0025) x (D4 = 3.27) = UCL R</v>
      </c>
      <c r="B31" s="789"/>
      <c r="C31" s="789"/>
      <c r="D31" s="789"/>
      <c r="E31" s="789"/>
      <c r="F31" s="789"/>
      <c r="G31" s="789"/>
      <c r="H31" s="789"/>
      <c r="I31" s="789"/>
      <c r="J31" s="789"/>
      <c r="K31" s="789"/>
      <c r="L31" s="790"/>
      <c r="M31" s="791" t="s">
        <v>396</v>
      </c>
      <c r="N31" s="786">
        <f>IF(F6=2,3.27,IF(F6=3,2.58,""))*N29</f>
        <v>8.1750000000000069E-3</v>
      </c>
    </row>
    <row r="32" spans="1:14" ht="34.5" customHeight="1" x14ac:dyDescent="0.3">
      <c r="A32" s="1125" t="s">
        <v>397</v>
      </c>
      <c r="B32" s="1126"/>
      <c r="C32" s="1126"/>
      <c r="D32" s="1126"/>
      <c r="E32" s="1126"/>
      <c r="F32" s="1126"/>
      <c r="G32" s="1126"/>
      <c r="H32" s="1126"/>
      <c r="I32" s="1126"/>
      <c r="J32" s="1126"/>
      <c r="K32" s="1126"/>
      <c r="L32" s="1126"/>
      <c r="M32" s="1126"/>
      <c r="N32" s="1127"/>
    </row>
    <row r="33" spans="1:14" ht="15.75" customHeight="1" x14ac:dyDescent="0.3">
      <c r="B33" s="459" t="s">
        <v>367</v>
      </c>
      <c r="C33" s="1118" t="str">
        <f>IF(C2="","",C2)</f>
        <v/>
      </c>
      <c r="D33" s="1118"/>
      <c r="E33" s="1118"/>
      <c r="G33" s="459" t="s">
        <v>398</v>
      </c>
      <c r="H33" s="1118" t="str">
        <f>IF(H2="","",H2)</f>
        <v/>
      </c>
      <c r="I33" s="1118"/>
      <c r="J33" s="1118"/>
      <c r="L33" s="459" t="s">
        <v>399</v>
      </c>
      <c r="M33" s="1128" t="str">
        <f>IF(M2="","",M2)</f>
        <v/>
      </c>
      <c r="N33" s="1128"/>
    </row>
    <row r="34" spans="1:14" ht="15.75" customHeight="1" x14ac:dyDescent="0.3">
      <c r="B34" s="459" t="s">
        <v>368</v>
      </c>
      <c r="C34" s="1118" t="str">
        <f>IF(C3="","",C3)</f>
        <v>Outside Diameter</v>
      </c>
      <c r="D34" s="1118"/>
      <c r="E34" s="1118"/>
      <c r="G34" s="459" t="s">
        <v>400</v>
      </c>
      <c r="H34" s="1118" t="str">
        <f>IF(H3="","",H3)</f>
        <v/>
      </c>
      <c r="I34" s="1118"/>
      <c r="J34" s="1118"/>
      <c r="L34" s="459" t="s">
        <v>401</v>
      </c>
      <c r="M34" s="1118" t="str">
        <f>IF(M3="","",M3)</f>
        <v/>
      </c>
      <c r="N34" s="1118"/>
    </row>
    <row r="35" spans="1:14" ht="15.75" customHeight="1" x14ac:dyDescent="0.3">
      <c r="B35" s="459" t="s">
        <v>370</v>
      </c>
      <c r="C35" s="1118" t="str">
        <f>IF(C4="","",C4)</f>
        <v/>
      </c>
      <c r="D35" s="1118"/>
      <c r="E35" s="1118"/>
      <c r="G35" s="459" t="s">
        <v>402</v>
      </c>
      <c r="H35" s="1118" t="str">
        <f>IF(H4="","",H4)</f>
        <v/>
      </c>
      <c r="I35" s="1118"/>
      <c r="J35" s="1118"/>
      <c r="N35" s="460"/>
    </row>
    <row r="36" spans="1:14" ht="15.75" customHeight="1" x14ac:dyDescent="0.3">
      <c r="N36" s="460"/>
    </row>
    <row r="37" spans="1:14" ht="15.75" customHeight="1" x14ac:dyDescent="0.3">
      <c r="B37" s="459" t="s">
        <v>371</v>
      </c>
      <c r="C37" s="778">
        <f>C6</f>
        <v>0.52</v>
      </c>
      <c r="E37" s="459" t="s">
        <v>372</v>
      </c>
      <c r="F37" s="777">
        <f>F6</f>
        <v>2</v>
      </c>
      <c r="G37" s="459" t="s">
        <v>403</v>
      </c>
      <c r="H37" s="777">
        <f>H6</f>
        <v>0.88619999999999999</v>
      </c>
      <c r="J37" s="459" t="s">
        <v>374</v>
      </c>
      <c r="K37" s="778">
        <f>K6</f>
        <v>4.2999999999999705E-3</v>
      </c>
      <c r="L37" s="459" t="s">
        <v>404</v>
      </c>
      <c r="M37" s="777">
        <f>M6</f>
        <v>3.27</v>
      </c>
      <c r="N37" s="460"/>
    </row>
    <row r="38" spans="1:14" ht="15.75" customHeight="1" x14ac:dyDescent="0.3">
      <c r="B38" s="459" t="s">
        <v>376</v>
      </c>
      <c r="C38" s="778">
        <f>C7</f>
        <v>0.48</v>
      </c>
      <c r="E38" s="459" t="s">
        <v>377</v>
      </c>
      <c r="F38" s="777">
        <f>F7</f>
        <v>2</v>
      </c>
      <c r="G38" s="459" t="s">
        <v>405</v>
      </c>
      <c r="H38" s="777">
        <f>H7</f>
        <v>0.70709999999999995</v>
      </c>
      <c r="J38" s="459" t="s">
        <v>379</v>
      </c>
      <c r="K38" s="778">
        <f>K7</f>
        <v>2.5000000000000022E-3</v>
      </c>
      <c r="L38" s="459" t="s">
        <v>394</v>
      </c>
      <c r="M38" s="777">
        <f>M7</f>
        <v>9.7500000000001474E-3</v>
      </c>
      <c r="N38" s="460"/>
    </row>
    <row r="39" spans="1:14" ht="15.75" customHeight="1" x14ac:dyDescent="0.3">
      <c r="B39" s="459" t="s">
        <v>381</v>
      </c>
      <c r="C39" s="778">
        <f>C8</f>
        <v>4.0000000000000036E-2</v>
      </c>
      <c r="E39" s="459" t="s">
        <v>382</v>
      </c>
      <c r="F39" s="777">
        <f>F8</f>
        <v>5</v>
      </c>
      <c r="G39" s="459" t="s">
        <v>406</v>
      </c>
      <c r="H39" s="777">
        <f>H8</f>
        <v>0.40300000000000002</v>
      </c>
      <c r="N39" s="460"/>
    </row>
    <row r="40" spans="1:14" ht="15.75" customHeight="1" x14ac:dyDescent="0.3">
      <c r="N40" s="460"/>
    </row>
    <row r="41" spans="1:14" ht="15.3" customHeight="1" x14ac:dyDescent="0.3">
      <c r="A41" s="1119" t="s">
        <v>407</v>
      </c>
      <c r="B41" s="1120"/>
      <c r="C41" s="1120"/>
      <c r="D41" s="1120"/>
      <c r="E41" s="1120"/>
      <c r="F41" s="1120"/>
      <c r="G41" s="1120"/>
      <c r="H41" s="1121"/>
      <c r="I41" s="1122" t="s">
        <v>408</v>
      </c>
      <c r="J41" s="1123"/>
      <c r="K41" s="1123"/>
      <c r="L41" s="1123"/>
      <c r="M41" s="1123"/>
      <c r="N41" s="1124"/>
    </row>
    <row r="42" spans="1:14" ht="15.3" customHeight="1" x14ac:dyDescent="0.3">
      <c r="A42" s="792" t="s">
        <v>409</v>
      </c>
      <c r="B42" s="793"/>
      <c r="C42" s="793"/>
      <c r="D42" s="793"/>
      <c r="E42" s="793"/>
      <c r="F42" s="793"/>
      <c r="G42" s="793"/>
      <c r="H42" s="794"/>
      <c r="I42" s="792" t="s">
        <v>410</v>
      </c>
      <c r="J42" s="793"/>
      <c r="K42" s="793"/>
      <c r="L42" s="793"/>
      <c r="M42" s="793"/>
      <c r="N42" s="794"/>
    </row>
    <row r="43" spans="1:14" ht="15.3" customHeight="1" thickBot="1" x14ac:dyDescent="0.35">
      <c r="A43" s="717"/>
      <c r="B43" s="461" t="s">
        <v>411</v>
      </c>
      <c r="C43" s="462" t="s">
        <v>412</v>
      </c>
      <c r="D43" s="462"/>
      <c r="E43" s="462"/>
      <c r="F43" s="462"/>
      <c r="G43" s="462"/>
      <c r="H43" s="463"/>
      <c r="I43" s="717"/>
      <c r="J43" s="464" t="s">
        <v>413</v>
      </c>
      <c r="K43" s="462" t="s">
        <v>414</v>
      </c>
      <c r="L43" s="462"/>
      <c r="M43" s="462"/>
      <c r="N43" s="463"/>
    </row>
    <row r="44" spans="1:14" ht="15.3" customHeight="1" x14ac:dyDescent="0.3">
      <c r="A44" s="717"/>
      <c r="B44" s="461" t="s">
        <v>415</v>
      </c>
      <c r="C44" s="465" t="str">
        <f>IF(H6="",0,CONCATENATE("(",N29,")"," x (",H6,")"))</f>
        <v>(0.0025) x (0.8862)</v>
      </c>
      <c r="D44" s="462"/>
      <c r="E44" s="462"/>
      <c r="F44" s="462"/>
      <c r="G44" s="466" t="s">
        <v>175</v>
      </c>
      <c r="H44" s="467" t="s">
        <v>416</v>
      </c>
      <c r="I44" s="462"/>
      <c r="J44" s="464" t="s">
        <v>417</v>
      </c>
      <c r="K44" s="462" t="str">
        <f>CONCATENATE("100 [",C45," / ",C64," ]")</f>
        <v>100 [0.0022 / 0.0054 ]</v>
      </c>
      <c r="L44" s="462"/>
      <c r="M44" s="462"/>
      <c r="N44" s="463"/>
    </row>
    <row r="45" spans="1:14" ht="15.3" customHeight="1" x14ac:dyDescent="0.3">
      <c r="A45" s="717"/>
      <c r="B45" s="461" t="s">
        <v>415</v>
      </c>
      <c r="C45" s="465">
        <f>IF(H6="",0,ROUND((N29*H6),5-LEN(INT((N29*H6)))))</f>
        <v>2.2000000000000001E-3</v>
      </c>
      <c r="D45" s="462"/>
      <c r="E45" s="462"/>
      <c r="F45" s="462"/>
      <c r="G45" s="795">
        <v>2</v>
      </c>
      <c r="H45" s="796">
        <v>0.88619999999999999</v>
      </c>
      <c r="I45" s="462"/>
      <c r="J45" s="464" t="s">
        <v>417</v>
      </c>
      <c r="K45" s="468">
        <f>100*(C45/C64)</f>
        <v>40.74074074074074</v>
      </c>
      <c r="L45" s="465" t="s">
        <v>418</v>
      </c>
      <c r="M45" s="462"/>
      <c r="N45" s="463"/>
    </row>
    <row r="46" spans="1:14" ht="15.3" customHeight="1" thickBot="1" x14ac:dyDescent="0.35">
      <c r="A46" s="717"/>
      <c r="B46" s="462"/>
      <c r="C46" s="462"/>
      <c r="D46" s="462"/>
      <c r="E46" s="462"/>
      <c r="F46" s="462"/>
      <c r="G46" s="797">
        <v>3</v>
      </c>
      <c r="H46" s="798">
        <v>0.59079999999999999</v>
      </c>
      <c r="I46" s="718"/>
      <c r="J46" s="718"/>
      <c r="K46" s="718"/>
      <c r="L46" s="718"/>
      <c r="M46" s="718"/>
      <c r="N46" s="719"/>
    </row>
    <row r="47" spans="1:14" ht="15.3" customHeight="1" x14ac:dyDescent="0.3">
      <c r="A47" s="792" t="s">
        <v>419</v>
      </c>
      <c r="B47" s="793"/>
      <c r="C47" s="793"/>
      <c r="D47" s="793"/>
      <c r="E47" s="793"/>
      <c r="F47" s="793"/>
      <c r="G47" s="462"/>
      <c r="H47" s="463"/>
      <c r="I47" s="792" t="s">
        <v>420</v>
      </c>
      <c r="J47" s="793"/>
      <c r="K47" s="793"/>
      <c r="L47" s="793"/>
      <c r="M47" s="793"/>
      <c r="N47" s="794"/>
    </row>
    <row r="48" spans="1:14" ht="15.3" customHeight="1" x14ac:dyDescent="0.3">
      <c r="A48" s="717"/>
      <c r="B48" s="461" t="s">
        <v>421</v>
      </c>
      <c r="C48" s="469" t="str">
        <f>CONCATENATE("SQRT{(","Xbar diff"," x ","K 2",")^2 - (","EV","/[(","# parts)"," x ","(# trials",")])}")</f>
        <v>SQRT{(Xbar diff x K 2)^2 - (EV/[(# parts) x (# trials)])}</v>
      </c>
      <c r="D48" s="462"/>
      <c r="E48" s="462"/>
      <c r="F48" s="462"/>
      <c r="G48" s="464"/>
      <c r="H48" s="470"/>
      <c r="I48" s="717"/>
      <c r="J48" s="464" t="s">
        <v>422</v>
      </c>
      <c r="K48" s="462" t="s">
        <v>423</v>
      </c>
      <c r="L48" s="462"/>
      <c r="M48" s="462"/>
      <c r="N48" s="463"/>
    </row>
    <row r="49" spans="1:14" ht="15.3" customHeight="1" thickBot="1" x14ac:dyDescent="0.35">
      <c r="A49" s="717"/>
      <c r="B49" s="461" t="s">
        <v>415</v>
      </c>
      <c r="C49" s="465" t="str">
        <f>IF(H7="",0,CONCATENATE("SQRT(",ROUND((K37*H38)^2,5-LEN(INT((K37*H38)^2)))," - ",ROUND((N29*H6)^2/(F8*F6),5-LEN(INT((N29*H6)^2/(F8*F6)))),")"))</f>
        <v>SQRT(0 - 0)</v>
      </c>
      <c r="D49" s="462"/>
      <c r="E49" s="462"/>
      <c r="F49" s="462"/>
      <c r="G49" s="464"/>
      <c r="H49" s="470"/>
      <c r="I49" s="717"/>
      <c r="J49" s="464" t="s">
        <v>417</v>
      </c>
      <c r="K49" s="462" t="str">
        <f>CONCATENATE("100 [",C50," / ",C64," ]")</f>
        <v>100 [0.003 / 0.0054 ]</v>
      </c>
      <c r="L49" s="462"/>
      <c r="M49" s="462"/>
      <c r="N49" s="463"/>
    </row>
    <row r="50" spans="1:14" ht="15.3" customHeight="1" x14ac:dyDescent="0.3">
      <c r="A50" s="717"/>
      <c r="B50" s="461" t="s">
        <v>415</v>
      </c>
      <c r="C50" s="471">
        <f>IF(H7="",0,ROUND(SQRT((K37*H38)^2-(N29*H6)^2/(F8*F6)),5-LEN(INT((SQRT((K37*H38)^2-(N29*H6)^2/(F8*F6)))))))</f>
        <v>3.0000000000000001E-3</v>
      </c>
      <c r="D50" s="462"/>
      <c r="E50" s="462"/>
      <c r="F50" s="466" t="s">
        <v>424</v>
      </c>
      <c r="G50" s="472">
        <v>2</v>
      </c>
      <c r="H50" s="467">
        <v>3</v>
      </c>
      <c r="I50" s="462"/>
      <c r="J50" s="464" t="s">
        <v>417</v>
      </c>
      <c r="K50" s="468">
        <f>100*(C50/C64)</f>
        <v>55.555555555555557</v>
      </c>
      <c r="L50" s="465" t="s">
        <v>418</v>
      </c>
      <c r="M50" s="462"/>
      <c r="N50" s="463"/>
    </row>
    <row r="51" spans="1:14" ht="15.3" customHeight="1" thickBot="1" x14ac:dyDescent="0.35">
      <c r="A51" s="717"/>
      <c r="B51" s="462"/>
      <c r="C51" s="462"/>
      <c r="D51" s="462"/>
      <c r="E51" s="462"/>
      <c r="F51" s="797" t="s">
        <v>176</v>
      </c>
      <c r="G51" s="799">
        <v>0.70709999999999995</v>
      </c>
      <c r="H51" s="798">
        <v>0.52310000000000001</v>
      </c>
      <c r="I51" s="718"/>
      <c r="J51" s="718"/>
      <c r="K51" s="718"/>
      <c r="L51" s="718"/>
      <c r="M51" s="718"/>
      <c r="N51" s="719"/>
    </row>
    <row r="52" spans="1:14" ht="15.3" customHeight="1" x14ac:dyDescent="0.3">
      <c r="A52" s="792" t="s">
        <v>425</v>
      </c>
      <c r="B52" s="793"/>
      <c r="C52" s="793"/>
      <c r="D52" s="793"/>
      <c r="E52" s="793"/>
      <c r="F52" s="462"/>
      <c r="G52" s="462"/>
      <c r="H52" s="463"/>
      <c r="I52" s="792" t="s">
        <v>426</v>
      </c>
      <c r="J52" s="793"/>
      <c r="K52" s="793"/>
      <c r="L52" s="793"/>
      <c r="M52" s="793"/>
      <c r="N52" s="794"/>
    </row>
    <row r="53" spans="1:14" ht="15.3" customHeight="1" x14ac:dyDescent="0.3">
      <c r="A53" s="717"/>
      <c r="B53" s="461" t="s">
        <v>427</v>
      </c>
      <c r="C53" s="462" t="s">
        <v>428</v>
      </c>
      <c r="D53" s="462"/>
      <c r="E53" s="462"/>
      <c r="F53" s="462"/>
      <c r="G53" s="462"/>
      <c r="H53" s="463"/>
      <c r="I53" s="717"/>
      <c r="J53" s="464" t="s">
        <v>429</v>
      </c>
      <c r="K53" s="462" t="s">
        <v>430</v>
      </c>
      <c r="L53" s="462"/>
      <c r="M53" s="462"/>
      <c r="N53" s="463"/>
    </row>
    <row r="54" spans="1:14" ht="15.3" customHeight="1" x14ac:dyDescent="0.3">
      <c r="A54" s="717"/>
      <c r="B54" s="461" t="s">
        <v>431</v>
      </c>
      <c r="C54" s="462" t="str">
        <f>CONCATENATE("SQRT [ ",ROUND((C45)^2,5-LEN(INT((C45)^2)))," + ",ROUND((C50^2),5-LEN(INT((C50^2))))," ]")</f>
        <v>SQRT [ 0 + 0 ]</v>
      </c>
      <c r="D54" s="462"/>
      <c r="E54" s="462"/>
      <c r="F54" s="462"/>
      <c r="G54" s="462"/>
      <c r="H54" s="463"/>
      <c r="I54" s="717"/>
      <c r="J54" s="464" t="s">
        <v>417</v>
      </c>
      <c r="K54" s="462" t="str">
        <f>CONCATENATE("100 [",C55," / ",C64," ]")</f>
        <v>100 [0.0037 / 0.0054 ]</v>
      </c>
      <c r="L54" s="462"/>
      <c r="M54" s="462"/>
      <c r="N54" s="463"/>
    </row>
    <row r="55" spans="1:14" ht="15.3" customHeight="1" x14ac:dyDescent="0.3">
      <c r="A55" s="717"/>
      <c r="B55" s="461" t="s">
        <v>431</v>
      </c>
      <c r="C55" s="465">
        <f>ROUND(SQRT((C45^2)+(C50^2)),5-LEN(INT((SQRT((C45^2)+(C50^2))))))</f>
        <v>3.7000000000000002E-3</v>
      </c>
      <c r="D55" s="462"/>
      <c r="E55" s="462"/>
      <c r="F55" s="462"/>
      <c r="G55" s="462"/>
      <c r="H55" s="463"/>
      <c r="I55" s="717"/>
      <c r="J55" s="464" t="s">
        <v>417</v>
      </c>
      <c r="K55" s="468">
        <f>100*(C55/C64)</f>
        <v>68.518518518518519</v>
      </c>
      <c r="L55" s="465" t="s">
        <v>418</v>
      </c>
      <c r="M55" s="462"/>
      <c r="N55" s="463"/>
    </row>
    <row r="56" spans="1:14" ht="15.3" customHeight="1" thickBot="1" x14ac:dyDescent="0.35">
      <c r="A56" s="720"/>
      <c r="B56" s="718"/>
      <c r="C56" s="718"/>
      <c r="D56" s="718"/>
      <c r="E56" s="718"/>
      <c r="F56" s="718"/>
      <c r="G56" s="462"/>
      <c r="H56" s="463"/>
      <c r="I56" s="720"/>
      <c r="J56" s="718"/>
      <c r="K56" s="718"/>
      <c r="L56" s="718"/>
      <c r="M56" s="718"/>
      <c r="N56" s="719"/>
    </row>
    <row r="57" spans="1:14" ht="15.3" customHeight="1" x14ac:dyDescent="0.3">
      <c r="A57" s="792" t="s">
        <v>432</v>
      </c>
      <c r="B57" s="793"/>
      <c r="C57" s="793"/>
      <c r="D57" s="793"/>
      <c r="E57" s="793"/>
      <c r="F57" s="793"/>
      <c r="G57" s="466" t="s">
        <v>433</v>
      </c>
      <c r="H57" s="467" t="s">
        <v>434</v>
      </c>
      <c r="I57" s="793" t="s">
        <v>435</v>
      </c>
      <c r="J57" s="793"/>
      <c r="K57" s="793"/>
      <c r="L57" s="793"/>
      <c r="M57" s="793"/>
      <c r="N57" s="794"/>
    </row>
    <row r="58" spans="1:14" ht="15.3" customHeight="1" x14ac:dyDescent="0.3">
      <c r="A58" s="717"/>
      <c r="B58" s="461" t="s">
        <v>436</v>
      </c>
      <c r="C58" s="462" t="s">
        <v>437</v>
      </c>
      <c r="D58" s="462"/>
      <c r="E58" s="462"/>
      <c r="F58" s="462"/>
      <c r="G58" s="795">
        <v>2</v>
      </c>
      <c r="H58" s="796">
        <v>0.70709999999999995</v>
      </c>
      <c r="I58" s="462"/>
      <c r="J58" s="464" t="s">
        <v>438</v>
      </c>
      <c r="K58" s="462" t="s">
        <v>439</v>
      </c>
      <c r="L58" s="462"/>
      <c r="M58" s="462"/>
      <c r="N58" s="463"/>
    </row>
    <row r="59" spans="1:14" ht="15.3" customHeight="1" x14ac:dyDescent="0.3">
      <c r="A59" s="717"/>
      <c r="B59" s="461" t="s">
        <v>415</v>
      </c>
      <c r="C59" s="465">
        <f>ROUND((M7*H8),5-LEN(INT(((M7*H8)))))</f>
        <v>3.8999999999999998E-3</v>
      </c>
      <c r="D59" s="462"/>
      <c r="E59" s="462"/>
      <c r="F59" s="462"/>
      <c r="G59" s="795">
        <v>3</v>
      </c>
      <c r="H59" s="796">
        <v>0.52310000000000001</v>
      </c>
      <c r="I59" s="462"/>
      <c r="J59" s="464" t="s">
        <v>440</v>
      </c>
      <c r="K59" s="462" t="str">
        <f>CONCATENATE("100 [",C59," / ",C64," ]")</f>
        <v>100 [0.0039 / 0.0054 ]</v>
      </c>
      <c r="L59" s="462"/>
      <c r="M59" s="462"/>
      <c r="N59" s="463"/>
    </row>
    <row r="60" spans="1:14" ht="15.3" customHeight="1" x14ac:dyDescent="0.3">
      <c r="A60" s="720"/>
      <c r="B60" s="718"/>
      <c r="C60" s="718"/>
      <c r="D60" s="718"/>
      <c r="E60" s="718"/>
      <c r="F60" s="718"/>
      <c r="G60" s="795">
        <v>4</v>
      </c>
      <c r="H60" s="796">
        <v>0.44669999999999999</v>
      </c>
      <c r="I60" s="462"/>
      <c r="J60" s="464" t="s">
        <v>440</v>
      </c>
      <c r="K60" s="468">
        <f>100*(C59/C64)</f>
        <v>72.222222222222214</v>
      </c>
      <c r="L60" s="465" t="s">
        <v>418</v>
      </c>
      <c r="M60" s="462"/>
      <c r="N60" s="463"/>
    </row>
    <row r="61" spans="1:14" ht="15.3" customHeight="1" x14ac:dyDescent="0.3">
      <c r="A61" s="792" t="s">
        <v>441</v>
      </c>
      <c r="B61" s="793"/>
      <c r="C61" s="793"/>
      <c r="D61" s="793"/>
      <c r="E61" s="793"/>
      <c r="F61" s="793"/>
      <c r="G61" s="795">
        <v>5</v>
      </c>
      <c r="H61" s="796">
        <v>0.40300000000000002</v>
      </c>
      <c r="I61" s="718"/>
      <c r="J61" s="718"/>
      <c r="K61" s="718"/>
      <c r="L61" s="718"/>
      <c r="M61" s="718"/>
      <c r="N61" s="719"/>
    </row>
    <row r="62" spans="1:14" ht="15.3" customHeight="1" x14ac:dyDescent="0.3">
      <c r="A62" s="717"/>
      <c r="B62" s="461" t="s">
        <v>442</v>
      </c>
      <c r="C62" s="462" t="s">
        <v>443</v>
      </c>
      <c r="D62" s="462"/>
      <c r="E62" s="462"/>
      <c r="F62" s="462"/>
      <c r="G62" s="795">
        <v>6</v>
      </c>
      <c r="H62" s="796">
        <v>0.37419999999999998</v>
      </c>
      <c r="I62" s="793" t="s">
        <v>444</v>
      </c>
      <c r="J62" s="793"/>
      <c r="K62" s="793"/>
      <c r="L62" s="793"/>
      <c r="M62" s="793"/>
      <c r="N62" s="794"/>
    </row>
    <row r="63" spans="1:14" ht="15.3" customHeight="1" x14ac:dyDescent="0.3">
      <c r="A63" s="717"/>
      <c r="B63" s="461" t="s">
        <v>415</v>
      </c>
      <c r="C63" s="462" t="str">
        <f>CONCATENATE("SQRT [",ROUND((C55)^2,5-LEN(INT((C55)^2)))," + ",ROUND((C59^2),5-LEN(INT((C59^2))))," ]")</f>
        <v>SQRT [0 + 0 ]</v>
      </c>
      <c r="D63" s="462"/>
      <c r="E63" s="462"/>
      <c r="F63" s="462"/>
      <c r="G63" s="795">
        <v>7</v>
      </c>
      <c r="H63" s="796">
        <v>0.35339999999999999</v>
      </c>
      <c r="I63" s="462"/>
      <c r="J63" s="464" t="s">
        <v>445</v>
      </c>
      <c r="K63" s="462" t="s">
        <v>446</v>
      </c>
      <c r="L63" s="462"/>
      <c r="M63" s="462"/>
      <c r="N63" s="463"/>
    </row>
    <row r="64" spans="1:14" ht="15.3" customHeight="1" x14ac:dyDescent="0.3">
      <c r="A64" s="717"/>
      <c r="B64" s="461" t="s">
        <v>415</v>
      </c>
      <c r="C64" s="465">
        <f>ROUND(SQRT((C55^2)+(C59^2)),5-LEN(INT(SQRT((C55^2)+(C59^2)))))</f>
        <v>5.4000000000000003E-3</v>
      </c>
      <c r="D64" s="462"/>
      <c r="E64" s="462"/>
      <c r="F64" s="462"/>
      <c r="G64" s="795">
        <v>8</v>
      </c>
      <c r="H64" s="796">
        <v>0.33750000000000002</v>
      </c>
      <c r="I64" s="462"/>
      <c r="J64" s="464" t="s">
        <v>440</v>
      </c>
      <c r="K64" s="462" t="str">
        <f>CONCATENATE("1.41 (",C59," / ",C55," )")</f>
        <v>1.41 (0.0039 / 0.0037 )</v>
      </c>
      <c r="L64" s="462"/>
      <c r="M64" s="462"/>
      <c r="N64" s="463"/>
    </row>
    <row r="65" spans="1:14" ht="15.3" customHeight="1" x14ac:dyDescent="0.3">
      <c r="A65" s="717"/>
      <c r="B65" s="462"/>
      <c r="C65" s="462"/>
      <c r="D65" s="462"/>
      <c r="E65" s="462"/>
      <c r="F65" s="462"/>
      <c r="G65" s="795">
        <v>9</v>
      </c>
      <c r="H65" s="796">
        <v>0.32490000000000002</v>
      </c>
      <c r="I65" s="462"/>
      <c r="J65" s="464" t="s">
        <v>440</v>
      </c>
      <c r="K65" s="468">
        <f>1.41*(C59/C55)</f>
        <v>1.486216216216216</v>
      </c>
      <c r="L65" s="465" t="s">
        <v>447</v>
      </c>
      <c r="M65" s="462"/>
      <c r="N65" s="473">
        <f>ROUNDDOWN(K65,0)</f>
        <v>1</v>
      </c>
    </row>
    <row r="66" spans="1:14" ht="15.3" customHeight="1" thickBot="1" x14ac:dyDescent="0.35">
      <c r="A66" s="720"/>
      <c r="B66" s="718"/>
      <c r="C66" s="718"/>
      <c r="D66" s="718"/>
      <c r="E66" s="718"/>
      <c r="F66" s="718"/>
      <c r="G66" s="797">
        <v>10</v>
      </c>
      <c r="H66" s="798">
        <v>0.31459999999999999</v>
      </c>
      <c r="I66" s="718"/>
      <c r="J66" s="718"/>
      <c r="K66" s="718"/>
      <c r="L66" s="718"/>
      <c r="M66" s="718"/>
      <c r="N66" s="719"/>
    </row>
    <row r="67" spans="1:14" ht="34.5" customHeight="1" x14ac:dyDescent="0.3">
      <c r="A67" s="1125" t="s">
        <v>448</v>
      </c>
      <c r="B67" s="1126"/>
      <c r="C67" s="1126"/>
      <c r="D67" s="1126"/>
      <c r="E67" s="1126"/>
      <c r="F67" s="1126"/>
      <c r="G67" s="1126"/>
      <c r="H67" s="1126"/>
      <c r="I67" s="1126"/>
      <c r="J67" s="1126"/>
      <c r="K67" s="1126"/>
      <c r="L67" s="1126"/>
      <c r="M67" s="1126"/>
      <c r="N67" s="1127"/>
    </row>
    <row r="68" spans="1:14" ht="15.75" customHeight="1" x14ac:dyDescent="0.3">
      <c r="B68" s="459" t="s">
        <v>367</v>
      </c>
      <c r="C68" s="1118" t="str">
        <f>IF(C2="","",C2)</f>
        <v/>
      </c>
      <c r="D68" s="1118"/>
      <c r="E68" s="1118"/>
      <c r="G68" s="459" t="s">
        <v>398</v>
      </c>
      <c r="H68" s="1118" t="str">
        <f>IF(H2="","",H2)</f>
        <v/>
      </c>
      <c r="I68" s="1118"/>
      <c r="J68" s="1118"/>
      <c r="L68" s="459" t="s">
        <v>399</v>
      </c>
      <c r="M68" s="1128" t="str">
        <f>IF(M2="","",M2)</f>
        <v/>
      </c>
      <c r="N68" s="1128"/>
    </row>
    <row r="69" spans="1:14" ht="15.75" customHeight="1" x14ac:dyDescent="0.3">
      <c r="B69" s="459" t="s">
        <v>368</v>
      </c>
      <c r="C69" s="1118" t="str">
        <f>IF(C3="","",C3)</f>
        <v>Outside Diameter</v>
      </c>
      <c r="D69" s="1118"/>
      <c r="E69" s="1118"/>
      <c r="G69" s="459" t="s">
        <v>400</v>
      </c>
      <c r="H69" s="1118" t="str">
        <f>IF(H3="","",H3)</f>
        <v/>
      </c>
      <c r="I69" s="1118"/>
      <c r="J69" s="1118"/>
      <c r="L69" s="459" t="s">
        <v>401</v>
      </c>
      <c r="M69" s="1118" t="str">
        <f>IF(M3="","",M3)</f>
        <v/>
      </c>
      <c r="N69" s="1118"/>
    </row>
    <row r="70" spans="1:14" ht="15.75" customHeight="1" x14ac:dyDescent="0.3">
      <c r="B70" s="459" t="s">
        <v>370</v>
      </c>
      <c r="C70" s="1118" t="str">
        <f>IF(C4="","",C4)</f>
        <v/>
      </c>
      <c r="D70" s="1118"/>
      <c r="E70" s="1118"/>
      <c r="G70" s="459" t="s">
        <v>402</v>
      </c>
      <c r="H70" s="1118" t="str">
        <f>IF(H4="","",H4)</f>
        <v/>
      </c>
      <c r="I70" s="1118"/>
      <c r="J70" s="1118"/>
      <c r="N70" s="460"/>
    </row>
    <row r="71" spans="1:14" ht="15.75" customHeight="1" x14ac:dyDescent="0.3">
      <c r="N71" s="460"/>
    </row>
    <row r="72" spans="1:14" ht="15.75" customHeight="1" x14ac:dyDescent="0.3">
      <c r="B72" s="459" t="s">
        <v>371</v>
      </c>
      <c r="C72" s="778">
        <f>C6</f>
        <v>0.52</v>
      </c>
      <c r="E72" s="459" t="s">
        <v>372</v>
      </c>
      <c r="F72" s="777">
        <f>F6</f>
        <v>2</v>
      </c>
      <c r="G72" s="459" t="s">
        <v>403</v>
      </c>
      <c r="H72" s="777">
        <f>H6</f>
        <v>0.88619999999999999</v>
      </c>
      <c r="J72" s="459" t="s">
        <v>374</v>
      </c>
      <c r="K72" s="778">
        <f>K6</f>
        <v>4.2999999999999705E-3</v>
      </c>
      <c r="L72" s="459" t="s">
        <v>404</v>
      </c>
      <c r="M72" s="777">
        <f>M6</f>
        <v>3.27</v>
      </c>
      <c r="N72" s="460"/>
    </row>
    <row r="73" spans="1:14" ht="15.75" customHeight="1" x14ac:dyDescent="0.3">
      <c r="B73" s="459" t="s">
        <v>376</v>
      </c>
      <c r="C73" s="778">
        <f>C7</f>
        <v>0.48</v>
      </c>
      <c r="E73" s="459" t="s">
        <v>377</v>
      </c>
      <c r="F73" s="777">
        <f>F7</f>
        <v>2</v>
      </c>
      <c r="G73" s="459" t="s">
        <v>405</v>
      </c>
      <c r="H73" s="777">
        <f>H7</f>
        <v>0.70709999999999995</v>
      </c>
      <c r="J73" s="459" t="s">
        <v>379</v>
      </c>
      <c r="K73" s="778">
        <f>K7</f>
        <v>2.5000000000000022E-3</v>
      </c>
      <c r="L73" s="459" t="s">
        <v>394</v>
      </c>
      <c r="M73" s="777">
        <f>M7</f>
        <v>9.7500000000001474E-3</v>
      </c>
      <c r="N73" s="460"/>
    </row>
    <row r="74" spans="1:14" ht="15.75" customHeight="1" x14ac:dyDescent="0.3">
      <c r="B74" s="459" t="s">
        <v>381</v>
      </c>
      <c r="C74" s="778">
        <f>C8</f>
        <v>4.0000000000000036E-2</v>
      </c>
      <c r="E74" s="459" t="s">
        <v>382</v>
      </c>
      <c r="F74" s="777">
        <f>F8</f>
        <v>5</v>
      </c>
      <c r="G74" s="459" t="s">
        <v>406</v>
      </c>
      <c r="H74" s="777">
        <f>H8</f>
        <v>0.40300000000000002</v>
      </c>
      <c r="N74" s="460"/>
    </row>
    <row r="75" spans="1:14" ht="15.75" customHeight="1" x14ac:dyDescent="0.3">
      <c r="N75" s="460"/>
    </row>
    <row r="76" spans="1:14" ht="15.3" customHeight="1" x14ac:dyDescent="0.3">
      <c r="A76" s="1119" t="s">
        <v>407</v>
      </c>
      <c r="B76" s="1120"/>
      <c r="C76" s="1120"/>
      <c r="D76" s="1120"/>
      <c r="E76" s="1120"/>
      <c r="F76" s="1120"/>
      <c r="G76" s="1120"/>
      <c r="H76" s="1121"/>
      <c r="I76" s="1122" t="s">
        <v>449</v>
      </c>
      <c r="J76" s="1123"/>
      <c r="K76" s="1123"/>
      <c r="L76" s="1123"/>
      <c r="M76" s="1123"/>
      <c r="N76" s="1124"/>
    </row>
    <row r="77" spans="1:14" ht="15.3" customHeight="1" x14ac:dyDescent="0.3">
      <c r="A77" s="792" t="s">
        <v>409</v>
      </c>
      <c r="B77" s="793"/>
      <c r="C77" s="793"/>
      <c r="D77" s="793"/>
      <c r="E77" s="793"/>
      <c r="F77" s="793"/>
      <c r="G77" s="793"/>
      <c r="H77" s="794"/>
      <c r="I77" s="792" t="s">
        <v>410</v>
      </c>
      <c r="J77" s="793"/>
      <c r="K77" s="793"/>
      <c r="L77" s="793"/>
      <c r="M77" s="793"/>
      <c r="N77" s="794"/>
    </row>
    <row r="78" spans="1:14" ht="15.3" customHeight="1" thickBot="1" x14ac:dyDescent="0.35">
      <c r="A78" s="717"/>
      <c r="B78" s="461" t="s">
        <v>411</v>
      </c>
      <c r="C78" s="462" t="s">
        <v>450</v>
      </c>
      <c r="D78" s="462"/>
      <c r="E78" s="462"/>
      <c r="F78" s="462"/>
      <c r="G78" s="462"/>
      <c r="H78" s="463"/>
      <c r="I78" s="717"/>
      <c r="J78" s="464" t="s">
        <v>413</v>
      </c>
      <c r="K78" s="462" t="s">
        <v>451</v>
      </c>
      <c r="L78" s="462"/>
      <c r="M78" s="462"/>
      <c r="N78" s="463"/>
    </row>
    <row r="79" spans="1:14" ht="15.3" customHeight="1" x14ac:dyDescent="0.3">
      <c r="A79" s="717"/>
      <c r="B79" s="461" t="s">
        <v>415</v>
      </c>
      <c r="C79" s="465" t="str">
        <f>IF(H6="",0,CONCATENATE("(",N29,")"," x (",H6,")"," x (5.1)"))</f>
        <v>(0.0025) x (0.8862) x (5.1)</v>
      </c>
      <c r="D79" s="462"/>
      <c r="E79" s="462"/>
      <c r="F79" s="462"/>
      <c r="G79" s="466" t="s">
        <v>175</v>
      </c>
      <c r="H79" s="467" t="s">
        <v>416</v>
      </c>
      <c r="I79" s="462"/>
      <c r="J79" s="464" t="s">
        <v>417</v>
      </c>
      <c r="K79" s="462" t="str">
        <f>CONCATENATE("100 [",C80," / ",C74," ]")</f>
        <v>100 [0.0113 / 0.04 ]</v>
      </c>
      <c r="L79" s="462"/>
      <c r="M79" s="462"/>
      <c r="N79" s="463"/>
    </row>
    <row r="80" spans="1:14" ht="15.3" customHeight="1" x14ac:dyDescent="0.3">
      <c r="A80" s="717"/>
      <c r="B80" s="461" t="s">
        <v>415</v>
      </c>
      <c r="C80" s="465">
        <f>IF(H6="",0,ROUND((N29*H6*5.1),5-LEN(INT((N29*H6*5.1)))))</f>
        <v>1.1299999999999999E-2</v>
      </c>
      <c r="D80" s="462"/>
      <c r="E80" s="462"/>
      <c r="F80" s="462"/>
      <c r="G80" s="795">
        <v>2</v>
      </c>
      <c r="H80" s="796">
        <v>0.88619999999999999</v>
      </c>
      <c r="I80" s="462"/>
      <c r="J80" s="464" t="s">
        <v>417</v>
      </c>
      <c r="K80" s="468">
        <f>IF(OR(COUNTBLANK(C6)=1,COUNTBLANK(C7)=1),"Enter Tol",100*(C80/C74))</f>
        <v>28.249999999999975</v>
      </c>
      <c r="L80" s="465" t="s">
        <v>418</v>
      </c>
      <c r="M80" s="462"/>
      <c r="N80" s="463"/>
    </row>
    <row r="81" spans="1:14" ht="15.3" customHeight="1" thickBot="1" x14ac:dyDescent="0.35">
      <c r="A81" s="717"/>
      <c r="B81" s="462"/>
      <c r="C81" s="462"/>
      <c r="D81" s="462"/>
      <c r="E81" s="462"/>
      <c r="F81" s="462"/>
      <c r="G81" s="797">
        <v>3</v>
      </c>
      <c r="H81" s="798">
        <v>0.59079999999999999</v>
      </c>
      <c r="I81" s="718"/>
      <c r="J81" s="718"/>
      <c r="K81" s="718"/>
      <c r="L81" s="718"/>
      <c r="M81" s="718"/>
      <c r="N81" s="719"/>
    </row>
    <row r="82" spans="1:14" ht="15.3" customHeight="1" x14ac:dyDescent="0.3">
      <c r="A82" s="792" t="s">
        <v>419</v>
      </c>
      <c r="B82" s="793"/>
      <c r="C82" s="793"/>
      <c r="D82" s="793"/>
      <c r="E82" s="793"/>
      <c r="F82" s="793"/>
      <c r="G82" s="462"/>
      <c r="H82" s="463"/>
      <c r="I82" s="792" t="s">
        <v>420</v>
      </c>
      <c r="J82" s="793"/>
      <c r="K82" s="793"/>
      <c r="L82" s="793"/>
      <c r="M82" s="793"/>
      <c r="N82" s="794"/>
    </row>
    <row r="83" spans="1:14" ht="15.3" customHeight="1" x14ac:dyDescent="0.3">
      <c r="A83" s="717"/>
      <c r="B83" s="461" t="s">
        <v>421</v>
      </c>
      <c r="C83" s="469" t="str">
        <f>CONCATENATE("(5.1 Sigma) x SQRT{(","Xbar diff"," x ","K 2",")^2 - (","EV","/[(","# parts)"," x ","(# trials",")])}")</f>
        <v>(5.1 Sigma) x SQRT{(Xbar diff x K 2)^2 - (EV/[(# parts) x (# trials)])}</v>
      </c>
      <c r="D83" s="462"/>
      <c r="E83" s="462"/>
      <c r="F83" s="462"/>
      <c r="G83" s="464"/>
      <c r="H83" s="470"/>
      <c r="I83" s="717"/>
      <c r="J83" s="464" t="s">
        <v>422</v>
      </c>
      <c r="K83" s="462" t="s">
        <v>452</v>
      </c>
      <c r="L83" s="462"/>
      <c r="M83" s="462"/>
      <c r="N83" s="463"/>
    </row>
    <row r="84" spans="1:14" ht="15.3" customHeight="1" thickBot="1" x14ac:dyDescent="0.35">
      <c r="A84" s="717"/>
      <c r="B84" s="461" t="s">
        <v>415</v>
      </c>
      <c r="C84" s="465" t="str">
        <f>IF(H7="",0,CONCATENATE("(5.1) x SQRT(",ROUND((K72*H73)^2,5-LEN(INT((K72*H73)^2)))," - ",ROUND((N29*H6)^2/(F8*F6),5-LEN(INT((N29*H6)^2/(F8*F6)))),")"))</f>
        <v>(5.1) x SQRT(0 - 0)</v>
      </c>
      <c r="D84" s="462"/>
      <c r="E84" s="462"/>
      <c r="F84" s="462"/>
      <c r="G84" s="464"/>
      <c r="H84" s="470"/>
      <c r="I84" s="717"/>
      <c r="J84" s="464" t="s">
        <v>417</v>
      </c>
      <c r="K84" s="462" t="str">
        <f>CONCATENATE("100 [",C85," / ",C74," ]")</f>
        <v>100 [0.0151 / 0.04 ]</v>
      </c>
      <c r="L84" s="462"/>
      <c r="M84" s="462"/>
      <c r="N84" s="463"/>
    </row>
    <row r="85" spans="1:14" ht="15.3" customHeight="1" x14ac:dyDescent="0.3">
      <c r="A85" s="717"/>
      <c r="B85" s="461" t="s">
        <v>415</v>
      </c>
      <c r="C85" s="471">
        <f>IF(H7="",0,ROUND(5.1*SQRT((K72*H73)^2-(N29*H6)^2/(F8*F6)),5-LEN(INT((5.1*SQRT((K72*H73)^2-(N29*H6)^2/(F8*F6)))))))</f>
        <v>1.5100000000000001E-2</v>
      </c>
      <c r="D85" s="462"/>
      <c r="E85" s="462"/>
      <c r="F85" s="466" t="s">
        <v>424</v>
      </c>
      <c r="G85" s="472">
        <v>2</v>
      </c>
      <c r="H85" s="467">
        <v>3</v>
      </c>
      <c r="I85" s="462"/>
      <c r="J85" s="464" t="s">
        <v>417</v>
      </c>
      <c r="K85" s="468">
        <f>IF(OR(COUNTBLANK(C6)=1,COUNTBLANK(C7)=1),"Enter Tol",100*(C85/C74))</f>
        <v>37.749999999999964</v>
      </c>
      <c r="L85" s="465" t="s">
        <v>418</v>
      </c>
      <c r="M85" s="462"/>
      <c r="N85" s="463"/>
    </row>
    <row r="86" spans="1:14" ht="15.3" customHeight="1" thickBot="1" x14ac:dyDescent="0.35">
      <c r="A86" s="717"/>
      <c r="B86" s="462"/>
      <c r="C86" s="462"/>
      <c r="D86" s="462"/>
      <c r="E86" s="462"/>
      <c r="F86" s="797" t="s">
        <v>176</v>
      </c>
      <c r="G86" s="799">
        <v>0.70709999999999995</v>
      </c>
      <c r="H86" s="798">
        <v>0.52310000000000001</v>
      </c>
      <c r="I86" s="718"/>
      <c r="J86" s="718"/>
      <c r="K86" s="718"/>
      <c r="L86" s="718"/>
      <c r="M86" s="718"/>
      <c r="N86" s="719"/>
    </row>
    <row r="87" spans="1:14" ht="15.3" customHeight="1" x14ac:dyDescent="0.3">
      <c r="A87" s="792" t="s">
        <v>425</v>
      </c>
      <c r="B87" s="793"/>
      <c r="C87" s="793"/>
      <c r="D87" s="793"/>
      <c r="E87" s="793"/>
      <c r="F87" s="462"/>
      <c r="G87" s="462"/>
      <c r="H87" s="463"/>
      <c r="I87" s="792" t="s">
        <v>426</v>
      </c>
      <c r="J87" s="793"/>
      <c r="K87" s="793"/>
      <c r="L87" s="793"/>
      <c r="M87" s="793"/>
      <c r="N87" s="794"/>
    </row>
    <row r="88" spans="1:14" ht="15.3" customHeight="1" x14ac:dyDescent="0.3">
      <c r="A88" s="717"/>
      <c r="B88" s="461" t="s">
        <v>427</v>
      </c>
      <c r="C88" s="462" t="s">
        <v>428</v>
      </c>
      <c r="D88" s="462"/>
      <c r="E88" s="462"/>
      <c r="F88" s="462"/>
      <c r="G88" s="462"/>
      <c r="H88" s="463"/>
      <c r="I88" s="717"/>
      <c r="J88" s="464" t="s">
        <v>429</v>
      </c>
      <c r="K88" s="462" t="s">
        <v>453</v>
      </c>
      <c r="L88" s="462"/>
      <c r="M88" s="462"/>
      <c r="N88" s="463"/>
    </row>
    <row r="89" spans="1:14" ht="15.3" customHeight="1" x14ac:dyDescent="0.3">
      <c r="A89" s="717"/>
      <c r="B89" s="461" t="s">
        <v>431</v>
      </c>
      <c r="C89" s="462" t="str">
        <f>CONCATENATE("SQRT [ ",ROUND((C80)^2,5-LEN(INT((C80)^2)))," + ",ROUND((C85^2),5-LEN(INT((C85^2))))," ]")</f>
        <v>SQRT [ 0.0001 + 0.0002 ]</v>
      </c>
      <c r="D89" s="462"/>
      <c r="E89" s="462"/>
      <c r="F89" s="462"/>
      <c r="G89" s="462"/>
      <c r="H89" s="463"/>
      <c r="I89" s="717"/>
      <c r="J89" s="464" t="s">
        <v>417</v>
      </c>
      <c r="K89" s="462" t="str">
        <f>CONCATENATE("100 [",C90," / ",C74," ]")</f>
        <v>100 [0.0189 / 0.04 ]</v>
      </c>
      <c r="L89" s="462"/>
      <c r="M89" s="462"/>
      <c r="N89" s="463"/>
    </row>
    <row r="90" spans="1:14" ht="15.3" customHeight="1" x14ac:dyDescent="0.3">
      <c r="A90" s="717"/>
      <c r="B90" s="461" t="s">
        <v>431</v>
      </c>
      <c r="C90" s="465">
        <f>ROUND(SQRT((C80^2)+(C85^2)),5-LEN(INT((SQRT((C80^2)+(C85^2))))))</f>
        <v>1.89E-2</v>
      </c>
      <c r="D90" s="462"/>
      <c r="E90" s="462"/>
      <c r="F90" s="462"/>
      <c r="G90" s="462"/>
      <c r="H90" s="463"/>
      <c r="I90" s="717"/>
      <c r="J90" s="464" t="s">
        <v>417</v>
      </c>
      <c r="K90" s="468">
        <f>IF(OR(COUNTBLANK(C6)=1,COUNTBLANK(C7)=1),"Enter Tol",100*(C90/C74))</f>
        <v>47.249999999999957</v>
      </c>
      <c r="L90" s="465" t="s">
        <v>418</v>
      </c>
      <c r="M90" s="462"/>
      <c r="N90" s="463"/>
    </row>
    <row r="91" spans="1:14" ht="15.3" customHeight="1" thickBot="1" x14ac:dyDescent="0.35">
      <c r="A91" s="720"/>
      <c r="B91" s="718"/>
      <c r="C91" s="718"/>
      <c r="D91" s="718"/>
      <c r="E91" s="718"/>
      <c r="F91" s="718"/>
      <c r="G91" s="462"/>
      <c r="H91" s="463"/>
      <c r="I91" s="720"/>
      <c r="J91" s="718"/>
      <c r="K91" s="718"/>
      <c r="L91" s="718"/>
      <c r="M91" s="718"/>
      <c r="N91" s="719"/>
    </row>
    <row r="92" spans="1:14" ht="15.3" customHeight="1" x14ac:dyDescent="0.3">
      <c r="A92" s="792" t="s">
        <v>432</v>
      </c>
      <c r="B92" s="793"/>
      <c r="C92" s="793"/>
      <c r="D92" s="793"/>
      <c r="E92" s="793"/>
      <c r="F92" s="793"/>
      <c r="G92" s="466" t="s">
        <v>433</v>
      </c>
      <c r="H92" s="467" t="s">
        <v>434</v>
      </c>
      <c r="I92" s="793" t="s">
        <v>435</v>
      </c>
      <c r="J92" s="793"/>
      <c r="K92" s="793"/>
      <c r="L92" s="793"/>
      <c r="M92" s="793"/>
      <c r="N92" s="794"/>
    </row>
    <row r="93" spans="1:14" ht="15.3" customHeight="1" x14ac:dyDescent="0.3">
      <c r="A93" s="717"/>
      <c r="B93" s="461" t="s">
        <v>436</v>
      </c>
      <c r="C93" s="462" t="s">
        <v>454</v>
      </c>
      <c r="D93" s="462"/>
      <c r="E93" s="462"/>
      <c r="F93" s="462"/>
      <c r="G93" s="795">
        <v>2</v>
      </c>
      <c r="H93" s="796">
        <v>0.70709999999999995</v>
      </c>
      <c r="I93" s="462"/>
      <c r="J93" s="464" t="s">
        <v>438</v>
      </c>
      <c r="K93" s="462" t="s">
        <v>455</v>
      </c>
      <c r="L93" s="462"/>
      <c r="M93" s="462"/>
      <c r="N93" s="463"/>
    </row>
    <row r="94" spans="1:14" ht="15.3" customHeight="1" x14ac:dyDescent="0.3">
      <c r="A94" s="717"/>
      <c r="B94" s="461" t="s">
        <v>415</v>
      </c>
      <c r="C94" s="465" t="str">
        <f>CONCATENATE("(",N28,") x (",H8,") x (",5.1,")")</f>
        <v>(0.00975000000000015) x (0.403) x (5.1)</v>
      </c>
      <c r="D94" s="462"/>
      <c r="E94" s="462"/>
      <c r="F94" s="462"/>
      <c r="G94" s="795">
        <v>3</v>
      </c>
      <c r="H94" s="796">
        <v>0.52310000000000001</v>
      </c>
      <c r="I94" s="462"/>
      <c r="J94" s="464" t="s">
        <v>440</v>
      </c>
      <c r="K94" s="462" t="str">
        <f>CONCATENATE("100 [",C95," / ",C74," ]")</f>
        <v>100 [0.01989 / 0.04 ]</v>
      </c>
      <c r="L94" s="462"/>
      <c r="M94" s="462"/>
      <c r="N94" s="463"/>
    </row>
    <row r="95" spans="1:14" ht="15.3" customHeight="1" x14ac:dyDescent="0.3">
      <c r="A95" s="717"/>
      <c r="B95" s="461" t="s">
        <v>415</v>
      </c>
      <c r="C95" s="465">
        <f>5.1*ROUND((M7*H8),5-LEN(INT(((M7*H8)))))</f>
        <v>1.9889999999999998E-2</v>
      </c>
      <c r="D95" s="462"/>
      <c r="E95" s="462"/>
      <c r="F95" s="462"/>
      <c r="G95" s="795">
        <v>4</v>
      </c>
      <c r="H95" s="796">
        <v>0.44669999999999999</v>
      </c>
      <c r="I95" s="462"/>
      <c r="J95" s="464" t="s">
        <v>440</v>
      </c>
      <c r="K95" s="468">
        <f>IF(OR(COUNTBLANK(C6)=1,COUNTBLANK(C7)=1),"Enter Tol",100*(C95/C74))</f>
        <v>49.724999999999952</v>
      </c>
      <c r="L95" s="465" t="s">
        <v>418</v>
      </c>
      <c r="M95" s="462"/>
      <c r="N95" s="463"/>
    </row>
    <row r="96" spans="1:14" ht="15.3" customHeight="1" x14ac:dyDescent="0.3">
      <c r="A96" s="720"/>
      <c r="B96" s="462"/>
      <c r="C96" s="462"/>
      <c r="D96" s="462"/>
      <c r="E96" s="462"/>
      <c r="F96" s="462"/>
      <c r="G96" s="795">
        <v>5</v>
      </c>
      <c r="H96" s="796">
        <v>0.40300000000000002</v>
      </c>
      <c r="I96" s="718"/>
      <c r="J96" s="718"/>
      <c r="K96" s="718"/>
      <c r="L96" s="718"/>
      <c r="M96" s="718"/>
      <c r="N96" s="719"/>
    </row>
    <row r="97" spans="1:14" ht="15.3" customHeight="1" x14ac:dyDescent="0.3">
      <c r="A97" s="792" t="s">
        <v>456</v>
      </c>
      <c r="B97" s="793"/>
      <c r="C97" s="793"/>
      <c r="D97" s="793"/>
      <c r="E97" s="793"/>
      <c r="F97" s="793"/>
      <c r="G97" s="795">
        <v>6</v>
      </c>
      <c r="H97" s="796">
        <v>0.37419999999999998</v>
      </c>
      <c r="I97" s="793" t="s">
        <v>444</v>
      </c>
      <c r="J97" s="793"/>
      <c r="K97" s="793"/>
      <c r="L97" s="793"/>
      <c r="M97" s="793"/>
      <c r="N97" s="794"/>
    </row>
    <row r="98" spans="1:14" ht="15.3" customHeight="1" x14ac:dyDescent="0.3">
      <c r="A98" s="717"/>
      <c r="B98" s="461" t="s">
        <v>442</v>
      </c>
      <c r="C98" s="462" t="s">
        <v>457</v>
      </c>
      <c r="D98" s="462"/>
      <c r="E98" s="462"/>
      <c r="F98" s="462"/>
      <c r="G98" s="795">
        <v>7</v>
      </c>
      <c r="H98" s="796">
        <v>0.35339999999999999</v>
      </c>
      <c r="I98" s="462"/>
      <c r="J98" s="464" t="s">
        <v>445</v>
      </c>
      <c r="K98" s="462" t="s">
        <v>446</v>
      </c>
      <c r="L98" s="462"/>
      <c r="M98" s="462"/>
      <c r="N98" s="463"/>
    </row>
    <row r="99" spans="1:14" ht="15.3" customHeight="1" x14ac:dyDescent="0.3">
      <c r="A99" s="717"/>
      <c r="B99" s="461" t="s">
        <v>415</v>
      </c>
      <c r="C99" s="462" t="str">
        <f>CONCATENATE(C6, " - ",C7)</f>
        <v>0.52 - 0.48</v>
      </c>
      <c r="D99" s="462"/>
      <c r="E99" s="462"/>
      <c r="F99" s="462"/>
      <c r="G99" s="795">
        <v>8</v>
      </c>
      <c r="H99" s="796">
        <v>0.33750000000000002</v>
      </c>
      <c r="I99" s="462"/>
      <c r="J99" s="464" t="s">
        <v>440</v>
      </c>
      <c r="K99" s="462" t="str">
        <f>CONCATENATE("1.41 (",C95," / ",C90," )")</f>
        <v>1.41 (0.01989 / 0.0189 )</v>
      </c>
      <c r="L99" s="462"/>
      <c r="M99" s="462"/>
      <c r="N99" s="463"/>
    </row>
    <row r="100" spans="1:14" ht="15.3" customHeight="1" x14ac:dyDescent="0.3">
      <c r="A100" s="717"/>
      <c r="B100" s="461" t="s">
        <v>415</v>
      </c>
      <c r="C100" s="465">
        <f>C6-C7</f>
        <v>4.0000000000000036E-2</v>
      </c>
      <c r="D100" s="462"/>
      <c r="E100" s="462"/>
      <c r="F100" s="462"/>
      <c r="G100" s="795">
        <v>9</v>
      </c>
      <c r="H100" s="796">
        <v>0.32490000000000002</v>
      </c>
      <c r="I100" s="462"/>
      <c r="J100" s="464" t="s">
        <v>440</v>
      </c>
      <c r="K100" s="468">
        <f>1.41*(C95/C90)</f>
        <v>1.4838571428571425</v>
      </c>
      <c r="L100" s="465" t="s">
        <v>447</v>
      </c>
      <c r="M100" s="462"/>
      <c r="N100" s="473">
        <f>ROUNDDOWN(K100,0)</f>
        <v>1</v>
      </c>
    </row>
    <row r="101" spans="1:14" ht="15.3" customHeight="1" x14ac:dyDescent="0.3">
      <c r="A101" s="720"/>
      <c r="B101" s="718"/>
      <c r="C101" s="718"/>
      <c r="D101" s="718"/>
      <c r="E101" s="718"/>
      <c r="F101" s="718"/>
      <c r="G101" s="795">
        <v>10</v>
      </c>
      <c r="H101" s="796">
        <v>0.31459999999999999</v>
      </c>
      <c r="I101" s="718"/>
      <c r="J101" s="718"/>
      <c r="K101" s="718"/>
      <c r="L101" s="718"/>
      <c r="M101" s="718"/>
      <c r="N101" s="719"/>
    </row>
    <row r="102" spans="1:14" ht="13.2" hidden="1" x14ac:dyDescent="0.3"/>
    <row r="103" spans="1:14" ht="13.2" hidden="1" x14ac:dyDescent="0.3"/>
    <row r="104" spans="1:14" ht="13.2" hidden="1" x14ac:dyDescent="0.3"/>
    <row r="105" spans="1:14" ht="13.2" hidden="1" x14ac:dyDescent="0.3"/>
    <row r="106" spans="1:14" ht="13.2" hidden="1" x14ac:dyDescent="0.3"/>
    <row r="107" spans="1:14" ht="13.2" hidden="1" x14ac:dyDescent="0.3"/>
    <row r="108" spans="1:14" ht="13.2" hidden="1" x14ac:dyDescent="0.3"/>
    <row r="109" spans="1:14" ht="13.2" hidden="1" x14ac:dyDescent="0.3"/>
    <row r="110" spans="1:14" ht="13.2" hidden="1" x14ac:dyDescent="0.3"/>
    <row r="111" spans="1:14" ht="13.2" hidden="1" x14ac:dyDescent="0.3"/>
    <row r="112" spans="1:14" ht="13.2" hidden="1" x14ac:dyDescent="0.3"/>
    <row r="113" ht="13.2" hidden="1" x14ac:dyDescent="0.3"/>
    <row r="114" ht="13.2" hidden="1" x14ac:dyDescent="0.3"/>
    <row r="115" ht="13.2" hidden="1" x14ac:dyDescent="0.3"/>
    <row r="116" ht="13.2" hidden="1" x14ac:dyDescent="0.3"/>
    <row r="117" ht="13.2" hidden="1" x14ac:dyDescent="0.3"/>
    <row r="118" ht="13.2" hidden="1" x14ac:dyDescent="0.3"/>
    <row r="119" ht="13.2" hidden="1" x14ac:dyDescent="0.3"/>
    <row r="120" ht="13.2" hidden="1" x14ac:dyDescent="0.3"/>
    <row r="121" ht="13.2" hidden="1" x14ac:dyDescent="0.3"/>
    <row r="122" ht="13.2" hidden="1" x14ac:dyDescent="0.3"/>
    <row r="123" ht="13.2" hidden="1" x14ac:dyDescent="0.3"/>
    <row r="124" ht="13.2" hidden="1" x14ac:dyDescent="0.3"/>
    <row r="125" ht="13.2" hidden="1" x14ac:dyDescent="0.3"/>
    <row r="126" ht="13.2" hidden="1" x14ac:dyDescent="0.3"/>
    <row r="127" ht="13.2" hidden="1" x14ac:dyDescent="0.3"/>
    <row r="128" ht="13.2" hidden="1" x14ac:dyDescent="0.3"/>
    <row r="129" ht="13.2" hidden="1" x14ac:dyDescent="0.3"/>
    <row r="130" ht="13.2" hidden="1" x14ac:dyDescent="0.3"/>
    <row r="131" ht="13.2" hidden="1" x14ac:dyDescent="0.3"/>
    <row r="132" ht="13.2" hidden="1" x14ac:dyDescent="0.3"/>
    <row r="133" ht="13.2" hidden="1" x14ac:dyDescent="0.3"/>
    <row r="134" ht="13.2" hidden="1" x14ac:dyDescent="0.3"/>
    <row r="135" ht="13.2" hidden="1" x14ac:dyDescent="0.3"/>
    <row r="136" ht="13.2" hidden="1" x14ac:dyDescent="0.3"/>
  </sheetData>
  <mergeCells count="61">
    <mergeCell ref="A1:N1"/>
    <mergeCell ref="Q1:S1"/>
    <mergeCell ref="A2:B2"/>
    <mergeCell ref="C2:E2"/>
    <mergeCell ref="H2:J2"/>
    <mergeCell ref="M2:N2"/>
    <mergeCell ref="A3:B3"/>
    <mergeCell ref="C3:E3"/>
    <mergeCell ref="H3:J3"/>
    <mergeCell ref="M3:N3"/>
    <mergeCell ref="A4:B4"/>
    <mergeCell ref="C4:E4"/>
    <mergeCell ref="H4:J4"/>
    <mergeCell ref="M19:N19"/>
    <mergeCell ref="A6:B6"/>
    <mergeCell ref="A7:B7"/>
    <mergeCell ref="A8:B8"/>
    <mergeCell ref="A10:B11"/>
    <mergeCell ref="C10:L10"/>
    <mergeCell ref="M10:N11"/>
    <mergeCell ref="M12:N12"/>
    <mergeCell ref="M13:N13"/>
    <mergeCell ref="M14:N14"/>
    <mergeCell ref="M17:N17"/>
    <mergeCell ref="M18:N18"/>
    <mergeCell ref="M22:N22"/>
    <mergeCell ref="M23:N23"/>
    <mergeCell ref="M24:N24"/>
    <mergeCell ref="A27:B28"/>
    <mergeCell ref="C27:C28"/>
    <mergeCell ref="D27:D28"/>
    <mergeCell ref="E27:E28"/>
    <mergeCell ref="F27:F28"/>
    <mergeCell ref="G27:G28"/>
    <mergeCell ref="H27:H28"/>
    <mergeCell ref="A41:H41"/>
    <mergeCell ref="I41:N41"/>
    <mergeCell ref="I27:I28"/>
    <mergeCell ref="J27:J28"/>
    <mergeCell ref="K27:K28"/>
    <mergeCell ref="L27:L28"/>
    <mergeCell ref="A32:N32"/>
    <mergeCell ref="C33:E33"/>
    <mergeCell ref="H33:J33"/>
    <mergeCell ref="M33:N33"/>
    <mergeCell ref="C34:E34"/>
    <mergeCell ref="H34:J34"/>
    <mergeCell ref="M34:N34"/>
    <mergeCell ref="C35:E35"/>
    <mergeCell ref="H35:J35"/>
    <mergeCell ref="C70:E70"/>
    <mergeCell ref="H70:J70"/>
    <mergeCell ref="A76:H76"/>
    <mergeCell ref="I76:N76"/>
    <mergeCell ref="A67:N67"/>
    <mergeCell ref="C68:E68"/>
    <mergeCell ref="H68:J68"/>
    <mergeCell ref="M68:N68"/>
    <mergeCell ref="C69:E69"/>
    <mergeCell ref="H69:J69"/>
    <mergeCell ref="M69:N69"/>
  </mergeCells>
  <hyperlinks>
    <hyperlink ref="Q1" location="Menu!A1" display="Return to menu" xr:uid="{5F538553-1F2B-4E7B-92E2-4A540E3E3D88}"/>
  </hyperlinks>
  <printOptions horizontalCentered="1" verticalCentered="1"/>
  <pageMargins left="0" right="0" top="0.5" bottom="0.5" header="0.33" footer="0.5"/>
  <pageSetup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9A10-7CF5-4ACC-B9E5-7195B2060DF9}">
  <sheetPr>
    <pageSetUpPr fitToPage="1"/>
  </sheetPr>
  <dimension ref="A1:V45"/>
  <sheetViews>
    <sheetView showGridLines="0" zoomScale="70" zoomScaleNormal="70" workbookViewId="0">
      <selection activeCell="T1" sqref="T1:V1"/>
    </sheetView>
  </sheetViews>
  <sheetFormatPr defaultColWidth="9.109375" defaultRowHeight="12.75" customHeight="1" zeroHeight="1" x14ac:dyDescent="0.25"/>
  <cols>
    <col min="1" max="18" width="11" style="476" customWidth="1"/>
    <col min="19" max="19" width="9.88671875" style="476" customWidth="1"/>
    <col min="20" max="16384" width="9.109375" style="476"/>
  </cols>
  <sheetData>
    <row r="1" spans="1:22" s="474" customFormat="1" ht="18" customHeight="1" x14ac:dyDescent="0.4">
      <c r="A1" s="772" t="str">
        <f>CONCATENATE("Gage R&amp;R for ",'GRR AIAG GR&amp;R'!C3)</f>
        <v>Gage R&amp;R for Outside Diameter</v>
      </c>
      <c r="C1" s="475"/>
      <c r="D1" s="475"/>
      <c r="E1" s="475"/>
      <c r="F1" s="475"/>
      <c r="G1" s="475"/>
      <c r="T1" s="1034" t="s">
        <v>19</v>
      </c>
      <c r="U1" s="1034"/>
      <c r="V1" s="1034"/>
    </row>
    <row r="2" spans="1:22" s="474" customFormat="1" ht="18" customHeight="1" x14ac:dyDescent="0.3">
      <c r="B2" s="1146" t="s">
        <v>458</v>
      </c>
      <c r="C2" s="1146"/>
      <c r="D2" s="1150" t="str">
        <f>IF('GRR AIAG GR&amp;R'!$H$2="","",'GRR AIAG GR&amp;R'!$H$2)</f>
        <v/>
      </c>
      <c r="E2" s="1151"/>
      <c r="F2" s="1152"/>
      <c r="H2" s="1146" t="s">
        <v>459</v>
      </c>
      <c r="I2" s="1146"/>
      <c r="J2" s="1150" t="str">
        <f>IF('GRR AIAG GR&amp;R'!C2="","",'GRR AIAG GR&amp;R'!C2)</f>
        <v/>
      </c>
      <c r="K2" s="1151"/>
      <c r="L2" s="1152"/>
      <c r="N2" s="1146" t="s">
        <v>460</v>
      </c>
      <c r="O2" s="1146"/>
      <c r="P2" s="1145">
        <f>IF('GRR AIAG GR&amp;R'!C6="","",'GRR AIAG GR&amp;R'!C6)</f>
        <v>0.52</v>
      </c>
      <c r="Q2" s="1145"/>
    </row>
    <row r="3" spans="1:22" s="474" customFormat="1" ht="18" customHeight="1" x14ac:dyDescent="0.3">
      <c r="B3" s="1146" t="s">
        <v>461</v>
      </c>
      <c r="C3" s="1146"/>
      <c r="D3" s="1147" t="str">
        <f>IF('GRR AIAG GR&amp;R'!$M$2="","",'GRR AIAG GR&amp;R'!$M$2)</f>
        <v/>
      </c>
      <c r="E3" s="1148"/>
      <c r="F3" s="1149"/>
      <c r="H3" s="1146" t="s">
        <v>462</v>
      </c>
      <c r="I3" s="1146"/>
      <c r="J3" s="1150" t="str">
        <f>IF('GRR AIAG GR&amp;R'!H3="","",'GRR AIAG GR&amp;R'!H3)</f>
        <v/>
      </c>
      <c r="K3" s="1151"/>
      <c r="L3" s="1152"/>
      <c r="N3" s="1146" t="s">
        <v>463</v>
      </c>
      <c r="O3" s="1146"/>
      <c r="P3" s="1145">
        <f>IF('GRR AIAG GR&amp;R'!C7="","",'GRR AIAG GR&amp;R'!C7)</f>
        <v>0.48</v>
      </c>
      <c r="Q3" s="1145"/>
    </row>
    <row r="4" spans="1:22" s="474" customFormat="1" ht="18" customHeight="1" x14ac:dyDescent="0.3">
      <c r="B4" s="1146" t="s">
        <v>464</v>
      </c>
      <c r="C4" s="1146"/>
      <c r="D4" s="1150" t="str">
        <f>IF('GRR AIAG GR&amp;R'!$M$3="","",'GRR AIAG GR&amp;R'!$M$3)</f>
        <v/>
      </c>
      <c r="E4" s="1151"/>
      <c r="F4" s="1152"/>
      <c r="H4" s="1146" t="s">
        <v>465</v>
      </c>
      <c r="I4" s="1146"/>
      <c r="J4" s="1150" t="str">
        <f>IF('GRR AIAG GR&amp;R'!H4="","",'GRR AIAG GR&amp;R'!H4)</f>
        <v/>
      </c>
      <c r="K4" s="1151"/>
      <c r="L4" s="1152"/>
      <c r="N4" s="1146" t="s">
        <v>466</v>
      </c>
      <c r="O4" s="1146"/>
      <c r="P4" s="1145">
        <f>IF('GRR AIAG GR&amp;R'!C8="","",'GRR AIAG GR&amp;R'!C8)</f>
        <v>4.0000000000000036E-2</v>
      </c>
      <c r="Q4" s="1145"/>
    </row>
    <row r="5" spans="1:22" ht="18" customHeight="1" x14ac:dyDescent="0.25"/>
    <row r="6" spans="1:22" ht="20.100000000000001" customHeight="1" x14ac:dyDescent="0.25">
      <c r="S6" s="512" t="s">
        <v>590</v>
      </c>
    </row>
    <row r="7" spans="1:22" ht="20.100000000000001" customHeight="1" x14ac:dyDescent="0.25"/>
    <row r="8" spans="1:22" ht="20.100000000000001" customHeight="1" x14ac:dyDescent="0.25"/>
    <row r="9" spans="1:22" ht="20.100000000000001" customHeight="1" x14ac:dyDescent="0.25"/>
    <row r="10" spans="1:22" ht="20.100000000000001" customHeight="1" x14ac:dyDescent="0.25"/>
    <row r="11" spans="1:22" ht="20.100000000000001" customHeight="1" x14ac:dyDescent="0.25"/>
    <row r="12" spans="1:22" ht="20.100000000000001" customHeight="1" x14ac:dyDescent="0.25"/>
    <row r="13" spans="1:22" ht="20.100000000000001" customHeight="1" x14ac:dyDescent="0.25"/>
    <row r="14" spans="1:22" ht="20.100000000000001" customHeight="1" x14ac:dyDescent="0.25"/>
    <row r="15" spans="1:22" ht="20.100000000000001" customHeight="1" x14ac:dyDescent="0.25"/>
    <row r="16" spans="1:22" ht="20.100000000000001" customHeight="1" x14ac:dyDescent="0.25">
      <c r="S16" s="512"/>
    </row>
    <row r="17" ht="20.100000000000001" customHeight="1" x14ac:dyDescent="0.25"/>
    <row r="18" ht="20.100000000000001" customHeight="1" x14ac:dyDescent="0.25"/>
    <row r="19" ht="20.100000000000001" customHeight="1" x14ac:dyDescent="0.25"/>
    <row r="20" ht="20.100000000000001" customHeight="1" x14ac:dyDescent="0.25"/>
    <row r="21" ht="20.100000000000001" customHeight="1" x14ac:dyDescent="0.25"/>
    <row r="22" ht="20.100000000000001" customHeight="1" x14ac:dyDescent="0.25"/>
    <row r="23" ht="20.100000000000001" customHeight="1" x14ac:dyDescent="0.25"/>
    <row r="24" ht="20.100000000000001" customHeight="1" x14ac:dyDescent="0.25"/>
    <row r="25" ht="20.100000000000001" customHeight="1" x14ac:dyDescent="0.25"/>
    <row r="26" ht="20.100000000000001" customHeight="1" x14ac:dyDescent="0.25"/>
    <row r="27" ht="20.100000000000001" customHeight="1" x14ac:dyDescent="0.25"/>
    <row r="28" ht="20.100000000000001" customHeight="1" x14ac:dyDescent="0.25"/>
    <row r="29" ht="20.100000000000001" customHeight="1" x14ac:dyDescent="0.25"/>
    <row r="30" ht="20.100000000000001" customHeight="1" x14ac:dyDescent="0.25"/>
    <row r="31" ht="20.100000000000001" customHeight="1" x14ac:dyDescent="0.25"/>
    <row r="32" ht="20.100000000000001" customHeight="1" x14ac:dyDescent="0.25"/>
    <row r="33" ht="20.100000000000001" customHeight="1" x14ac:dyDescent="0.25"/>
    <row r="34" ht="20.100000000000001" customHeight="1" x14ac:dyDescent="0.25"/>
    <row r="35" ht="20.100000000000001" customHeight="1" x14ac:dyDescent="0.25"/>
    <row r="36" ht="20.100000000000001" customHeight="1" x14ac:dyDescent="0.25"/>
    <row r="37" ht="20.100000000000001" customHeight="1" x14ac:dyDescent="0.25"/>
    <row r="38" ht="20.100000000000001" customHeight="1" x14ac:dyDescent="0.25"/>
    <row r="39" ht="20.100000000000001" customHeight="1" x14ac:dyDescent="0.25"/>
    <row r="40" ht="20.100000000000001" customHeight="1" x14ac:dyDescent="0.25"/>
    <row r="41" ht="20.100000000000001" customHeight="1" x14ac:dyDescent="0.25"/>
    <row r="42" ht="20.100000000000001" customHeight="1" x14ac:dyDescent="0.25"/>
    <row r="43" ht="20.100000000000001" customHeight="1" x14ac:dyDescent="0.25"/>
    <row r="44" ht="20.100000000000001" customHeight="1" x14ac:dyDescent="0.25"/>
    <row r="45" ht="20.100000000000001" customHeight="1" x14ac:dyDescent="0.25"/>
  </sheetData>
  <mergeCells count="19">
    <mergeCell ref="T1:V1"/>
    <mergeCell ref="B2:C2"/>
    <mergeCell ref="D2:F2"/>
    <mergeCell ref="H2:I2"/>
    <mergeCell ref="J2:L2"/>
    <mergeCell ref="N2:O2"/>
    <mergeCell ref="P2:Q2"/>
    <mergeCell ref="P4:Q4"/>
    <mergeCell ref="B3:C3"/>
    <mergeCell ref="D3:F3"/>
    <mergeCell ref="H3:I3"/>
    <mergeCell ref="J3:L3"/>
    <mergeCell ref="N3:O3"/>
    <mergeCell ref="P3:Q3"/>
    <mergeCell ref="B4:C4"/>
    <mergeCell ref="D4:F4"/>
    <mergeCell ref="H4:I4"/>
    <mergeCell ref="J4:L4"/>
    <mergeCell ref="N4:O4"/>
  </mergeCells>
  <hyperlinks>
    <hyperlink ref="T1" location="Menu!A1" display="Return to menu" xr:uid="{5490B0C8-3767-41E8-92A4-9B77C576ABCB}"/>
  </hyperlinks>
  <printOptions horizontalCentered="1"/>
  <pageMargins left="0" right="0" top="0" bottom="0" header="0" footer="0.5"/>
  <pageSetup scale="67" orientation="landscape" verticalDpi="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A97A5-D7CD-4168-898D-D61C8607AAC1}">
  <sheetPr>
    <pageSetUpPr fitToPage="1"/>
  </sheetPr>
  <dimension ref="A1:AF128"/>
  <sheetViews>
    <sheetView showGridLines="0" zoomScale="85" zoomScaleNormal="85" workbookViewId="0">
      <selection activeCell="T1" sqref="T1:V1"/>
    </sheetView>
  </sheetViews>
  <sheetFormatPr defaultColWidth="9.109375" defaultRowHeight="12.75" customHeight="1" zeroHeight="1" x14ac:dyDescent="0.25"/>
  <cols>
    <col min="1" max="1" width="8.44140625" style="479" customWidth="1"/>
    <col min="2" max="5" width="11" style="479" customWidth="1"/>
    <col min="6" max="6" width="19.5546875" style="479" bestFit="1" customWidth="1"/>
    <col min="7" max="7" width="9.88671875" style="479" customWidth="1"/>
    <col min="8" max="17" width="11" style="479" customWidth="1"/>
    <col min="18" max="18" width="8.44140625" style="479" customWidth="1"/>
    <col min="19" max="19" width="9.88671875" style="479" customWidth="1"/>
    <col min="20" max="16384" width="9.109375" style="479"/>
  </cols>
  <sheetData>
    <row r="1" spans="1:32" s="477" customFormat="1" ht="18" customHeight="1" x14ac:dyDescent="0.4">
      <c r="A1" s="772" t="str">
        <f>CONCATENATE("Gage R&amp;R for ",'GRR AIAG GR&amp;R'!C3)</f>
        <v>Gage R&amp;R for Outside Diameter</v>
      </c>
      <c r="B1" s="474"/>
      <c r="C1" s="475"/>
      <c r="D1" s="475"/>
      <c r="E1" s="475"/>
      <c r="F1" s="475"/>
      <c r="G1" s="475"/>
      <c r="H1" s="474"/>
      <c r="I1" s="474"/>
      <c r="J1" s="474"/>
      <c r="K1" s="474"/>
      <c r="L1" s="474"/>
      <c r="M1" s="474"/>
      <c r="N1" s="474"/>
      <c r="O1" s="474"/>
      <c r="P1" s="474"/>
      <c r="Q1" s="474"/>
      <c r="R1" s="474"/>
      <c r="S1" s="474"/>
      <c r="T1" s="1034" t="s">
        <v>19</v>
      </c>
      <c r="U1" s="1034"/>
      <c r="V1" s="1034"/>
      <c r="W1" s="474"/>
      <c r="X1" s="474"/>
      <c r="Y1" s="474"/>
      <c r="Z1" s="474"/>
      <c r="AA1" s="474"/>
      <c r="AB1" s="474"/>
      <c r="AC1" s="474"/>
      <c r="AD1" s="474"/>
      <c r="AE1" s="474"/>
      <c r="AF1" s="474"/>
    </row>
    <row r="2" spans="1:32" s="477" customFormat="1" ht="18" customHeight="1" x14ac:dyDescent="0.3">
      <c r="A2" s="474"/>
      <c r="B2" s="1146" t="s">
        <v>458</v>
      </c>
      <c r="C2" s="1146"/>
      <c r="D2" s="1150" t="str">
        <f>IF('GRR AIAG GR&amp;R'!$H$2="","",'GRR AIAG GR&amp;R'!$H$2)</f>
        <v/>
      </c>
      <c r="E2" s="1151"/>
      <c r="F2" s="1152"/>
      <c r="G2" s="474"/>
      <c r="H2" s="1146" t="s">
        <v>459</v>
      </c>
      <c r="I2" s="1146"/>
      <c r="J2" s="1150" t="str">
        <f>IF('GRR AIAG GR&amp;R'!C2="","",'GRR AIAG GR&amp;R'!C2)</f>
        <v/>
      </c>
      <c r="K2" s="1151"/>
      <c r="L2" s="1152"/>
      <c r="M2" s="474"/>
      <c r="N2" s="1146" t="s">
        <v>460</v>
      </c>
      <c r="O2" s="1146"/>
      <c r="P2" s="1174">
        <f>IF('GRR AIAG GR&amp;R'!C6="","",'GRR AIAG GR&amp;R'!C6)</f>
        <v>0.52</v>
      </c>
      <c r="Q2" s="1174"/>
      <c r="R2" s="1174"/>
      <c r="S2" s="474"/>
      <c r="T2" s="474"/>
      <c r="U2" s="474"/>
      <c r="V2" s="474"/>
      <c r="W2" s="474"/>
      <c r="X2" s="474"/>
      <c r="Y2" s="474"/>
      <c r="Z2" s="474"/>
      <c r="AA2" s="474"/>
      <c r="AB2" s="474"/>
      <c r="AC2" s="474"/>
      <c r="AD2" s="474"/>
      <c r="AE2" s="474"/>
      <c r="AF2" s="474"/>
    </row>
    <row r="3" spans="1:32" s="477" customFormat="1" ht="18" customHeight="1" x14ac:dyDescent="0.4">
      <c r="A3" s="474"/>
      <c r="B3" s="1146" t="s">
        <v>461</v>
      </c>
      <c r="C3" s="1146"/>
      <c r="D3" s="1147" t="str">
        <f>IF('GRR AIAG GR&amp;R'!$M$2="","",'GRR AIAG GR&amp;R'!$M$2)</f>
        <v/>
      </c>
      <c r="E3" s="1148"/>
      <c r="F3" s="1149"/>
      <c r="G3" s="474"/>
      <c r="H3" s="1146" t="s">
        <v>462</v>
      </c>
      <c r="I3" s="1146"/>
      <c r="J3" s="1150" t="str">
        <f>IF('GRR AIAG GR&amp;R'!H3="","",'GRR AIAG GR&amp;R'!H3)</f>
        <v/>
      </c>
      <c r="K3" s="1151"/>
      <c r="L3" s="1152"/>
      <c r="M3" s="474"/>
      <c r="N3" s="1146" t="s">
        <v>463</v>
      </c>
      <c r="O3" s="1146"/>
      <c r="P3" s="1174">
        <f>IF('GRR AIAG GR&amp;R'!C7="","",'GRR AIAG GR&amp;R'!C7)</f>
        <v>0.48</v>
      </c>
      <c r="Q3" s="1174"/>
      <c r="R3" s="1174"/>
      <c r="S3" s="513" t="s">
        <v>591</v>
      </c>
      <c r="T3" s="474"/>
      <c r="U3" s="474"/>
      <c r="V3" s="474"/>
      <c r="W3" s="474"/>
      <c r="X3" s="474"/>
      <c r="Y3" s="474"/>
      <c r="Z3" s="474"/>
      <c r="AA3" s="474"/>
      <c r="AB3" s="474"/>
      <c r="AC3" s="474"/>
      <c r="AD3" s="474"/>
      <c r="AE3" s="474"/>
      <c r="AF3" s="474"/>
    </row>
    <row r="4" spans="1:32" s="477" customFormat="1" ht="15" customHeight="1" x14ac:dyDescent="0.3">
      <c r="A4" s="474"/>
      <c r="B4" s="1146" t="s">
        <v>464</v>
      </c>
      <c r="C4" s="1146"/>
      <c r="D4" s="1150" t="str">
        <f>IF('GRR AIAG GR&amp;R'!$M$3="","",'GRR AIAG GR&amp;R'!$M$3)</f>
        <v/>
      </c>
      <c r="E4" s="1151"/>
      <c r="F4" s="1152"/>
      <c r="G4" s="474"/>
      <c r="H4" s="1146" t="s">
        <v>465</v>
      </c>
      <c r="I4" s="1146"/>
      <c r="J4" s="1150" t="str">
        <f>IF('GRR AIAG GR&amp;R'!H4="","",'GRR AIAG GR&amp;R'!H4)</f>
        <v/>
      </c>
      <c r="K4" s="1151"/>
      <c r="L4" s="1152"/>
      <c r="M4" s="474"/>
      <c r="N4" s="1146" t="s">
        <v>466</v>
      </c>
      <c r="O4" s="1146"/>
      <c r="P4" s="1174">
        <f>IF('GRR AIAG GR&amp;R'!C8="","",'GRR AIAG GR&amp;R'!C8)</f>
        <v>4.0000000000000036E-2</v>
      </c>
      <c r="Q4" s="1174"/>
      <c r="R4" s="1174"/>
      <c r="S4" s="474"/>
      <c r="T4" s="474"/>
      <c r="U4" s="474"/>
      <c r="V4" s="474"/>
      <c r="W4" s="474"/>
      <c r="X4" s="474"/>
      <c r="Y4" s="474"/>
      <c r="Z4" s="474"/>
      <c r="AA4" s="474"/>
      <c r="AB4" s="474"/>
      <c r="AC4" s="474"/>
      <c r="AD4" s="474"/>
      <c r="AE4" s="474"/>
      <c r="AF4" s="474"/>
    </row>
    <row r="5" spans="1:32" s="477" customFormat="1" ht="15" customHeight="1" x14ac:dyDescent="0.3">
      <c r="A5" s="474"/>
      <c r="B5" s="772"/>
      <c r="C5" s="772"/>
      <c r="D5" s="478"/>
      <c r="E5" s="478"/>
      <c r="F5" s="478"/>
      <c r="G5" s="474"/>
      <c r="H5" s="772"/>
      <c r="I5" s="772"/>
      <c r="J5" s="478"/>
      <c r="K5" s="478"/>
      <c r="L5" s="478"/>
      <c r="M5" s="474"/>
      <c r="N5" s="772"/>
      <c r="O5" s="772"/>
      <c r="P5" s="478"/>
      <c r="Q5" s="478"/>
      <c r="R5" s="478"/>
      <c r="S5" s="474"/>
      <c r="T5" s="474"/>
      <c r="U5" s="474"/>
      <c r="V5" s="474"/>
      <c r="W5" s="474"/>
      <c r="X5" s="474"/>
      <c r="Y5" s="474"/>
      <c r="Z5" s="474"/>
      <c r="AA5" s="474"/>
      <c r="AB5" s="474"/>
      <c r="AC5" s="474"/>
      <c r="AD5" s="474"/>
      <c r="AE5" s="474"/>
      <c r="AF5" s="474"/>
    </row>
    <row r="6" spans="1:32" ht="15" customHeight="1" x14ac:dyDescent="0.25">
      <c r="A6" s="476"/>
      <c r="B6" s="476"/>
      <c r="C6" s="476"/>
      <c r="D6" s="476"/>
      <c r="E6" s="476"/>
      <c r="F6" s="476"/>
      <c r="G6" s="476"/>
      <c r="H6" s="476"/>
      <c r="I6" s="476"/>
      <c r="J6" s="476"/>
      <c r="K6" s="476"/>
      <c r="L6" s="476"/>
      <c r="M6" s="476"/>
      <c r="N6" s="476"/>
      <c r="O6" s="476"/>
      <c r="P6" s="476"/>
      <c r="Q6" s="476"/>
      <c r="R6" s="476"/>
      <c r="S6" s="474"/>
      <c r="T6" s="474"/>
      <c r="U6" s="474"/>
      <c r="V6" s="474"/>
      <c r="W6" s="474"/>
      <c r="X6" s="474"/>
      <c r="Y6" s="474"/>
      <c r="Z6" s="474"/>
      <c r="AA6" s="474"/>
      <c r="AB6" s="474"/>
      <c r="AC6" s="474"/>
      <c r="AD6" s="474"/>
      <c r="AE6" s="474"/>
      <c r="AF6" s="474"/>
    </row>
    <row r="7" spans="1:32" s="477" customFormat="1" ht="15" customHeight="1" x14ac:dyDescent="0.3">
      <c r="A7" s="474"/>
      <c r="B7" s="1171" t="s">
        <v>467</v>
      </c>
      <c r="C7" s="1172"/>
      <c r="D7" s="1172"/>
      <c r="E7" s="1172"/>
      <c r="F7" s="1172"/>
      <c r="G7" s="1172"/>
      <c r="H7" s="1173"/>
      <c r="I7" s="475"/>
      <c r="J7" s="474"/>
      <c r="K7" s="1171" t="s">
        <v>468</v>
      </c>
      <c r="L7" s="1172"/>
      <c r="M7" s="1172"/>
      <c r="N7" s="1172"/>
      <c r="O7" s="1172"/>
      <c r="P7" s="1172"/>
      <c r="Q7" s="1173"/>
      <c r="R7" s="474"/>
      <c r="S7" s="474"/>
      <c r="T7" s="474"/>
      <c r="U7" s="474"/>
      <c r="V7" s="474"/>
      <c r="W7" s="474"/>
      <c r="X7" s="474"/>
      <c r="Y7" s="474"/>
      <c r="Z7" s="474"/>
      <c r="AA7" s="474"/>
      <c r="AB7" s="474"/>
      <c r="AC7" s="474"/>
      <c r="AD7" s="474"/>
      <c r="AE7" s="474"/>
      <c r="AF7" s="474"/>
    </row>
    <row r="8" spans="1:32" s="477" customFormat="1" ht="15" x14ac:dyDescent="0.25">
      <c r="A8" s="474"/>
      <c r="B8" s="474"/>
      <c r="C8" s="474"/>
      <c r="D8" s="474"/>
      <c r="E8" s="474"/>
      <c r="F8" s="474"/>
      <c r="G8" s="474"/>
      <c r="H8" s="474"/>
      <c r="I8" s="474"/>
      <c r="J8" s="474"/>
      <c r="K8" s="474"/>
      <c r="L8" s="474"/>
      <c r="M8" s="474"/>
      <c r="N8" s="474"/>
      <c r="O8" s="474"/>
      <c r="P8" s="474"/>
      <c r="Q8" s="474"/>
      <c r="R8" s="474"/>
      <c r="S8" s="474"/>
      <c r="T8" s="474"/>
      <c r="U8" s="474"/>
      <c r="V8" s="474"/>
      <c r="W8" s="474"/>
      <c r="X8" s="474"/>
      <c r="Y8" s="474"/>
      <c r="Z8" s="474"/>
      <c r="AA8" s="474"/>
      <c r="AB8" s="474"/>
      <c r="AC8" s="474"/>
      <c r="AD8" s="474"/>
      <c r="AE8" s="474"/>
      <c r="AF8" s="474"/>
    </row>
    <row r="9" spans="1:32" s="477" customFormat="1" ht="15.75" customHeight="1" x14ac:dyDescent="0.3">
      <c r="A9" s="474"/>
      <c r="B9" s="800" t="s">
        <v>469</v>
      </c>
      <c r="C9" s="801"/>
      <c r="D9" s="801"/>
      <c r="E9" s="801"/>
      <c r="F9" s="801"/>
      <c r="G9" s="801"/>
      <c r="H9" s="802"/>
      <c r="I9" s="474"/>
      <c r="J9" s="474"/>
      <c r="K9" s="800" t="s">
        <v>469</v>
      </c>
      <c r="L9" s="803"/>
      <c r="M9" s="803"/>
      <c r="N9" s="803"/>
      <c r="O9" s="803"/>
      <c r="P9" s="803"/>
      <c r="Q9" s="802"/>
      <c r="R9" s="474"/>
      <c r="S9" s="474"/>
      <c r="T9" s="474"/>
      <c r="U9" s="474"/>
      <c r="V9" s="474"/>
      <c r="W9" s="474"/>
      <c r="X9" s="474"/>
      <c r="Y9" s="474"/>
      <c r="Z9" s="474"/>
      <c r="AA9" s="474"/>
      <c r="AB9" s="474"/>
      <c r="AC9" s="474"/>
      <c r="AD9" s="474"/>
      <c r="AE9" s="474"/>
      <c r="AF9" s="474"/>
    </row>
    <row r="10" spans="1:32" s="477" customFormat="1" ht="15.6" x14ac:dyDescent="0.3">
      <c r="A10" s="474"/>
      <c r="B10" s="721"/>
      <c r="C10" s="480"/>
      <c r="D10" s="481"/>
      <c r="E10" s="481"/>
      <c r="F10" s="480"/>
      <c r="G10" s="481"/>
      <c r="H10" s="1170" t="s">
        <v>470</v>
      </c>
      <c r="I10" s="474"/>
      <c r="J10" s="474"/>
      <c r="K10" s="721"/>
      <c r="L10" s="480"/>
      <c r="M10" s="480"/>
      <c r="N10" s="481"/>
      <c r="O10" s="481"/>
      <c r="P10" s="481"/>
      <c r="Q10" s="1170" t="s">
        <v>470</v>
      </c>
      <c r="R10" s="474"/>
      <c r="S10" s="474"/>
      <c r="T10" s="474"/>
      <c r="U10" s="474"/>
      <c r="V10" s="474"/>
      <c r="W10" s="474"/>
      <c r="X10" s="474"/>
      <c r="Y10" s="474"/>
      <c r="Z10" s="474"/>
      <c r="AA10" s="474"/>
      <c r="AB10" s="474"/>
      <c r="AC10" s="474"/>
      <c r="AD10" s="474"/>
      <c r="AE10" s="474"/>
      <c r="AF10" s="474"/>
    </row>
    <row r="11" spans="1:32" s="477" customFormat="1" ht="15" x14ac:dyDescent="0.25">
      <c r="A11" s="474"/>
      <c r="B11" s="1159" t="s">
        <v>315</v>
      </c>
      <c r="C11" s="1160"/>
      <c r="D11" s="482" t="s">
        <v>471</v>
      </c>
      <c r="E11" s="481"/>
      <c r="F11" s="482" t="s">
        <v>472</v>
      </c>
      <c r="G11" s="481"/>
      <c r="H11" s="1170"/>
      <c r="I11" s="474"/>
      <c r="J11" s="474"/>
      <c r="K11" s="1159" t="s">
        <v>315</v>
      </c>
      <c r="L11" s="1160"/>
      <c r="M11" s="482" t="s">
        <v>471</v>
      </c>
      <c r="N11" s="481"/>
      <c r="O11" s="482" t="s">
        <v>472</v>
      </c>
      <c r="P11" s="481"/>
      <c r="Q11" s="1170"/>
      <c r="R11" s="474"/>
      <c r="S11" s="474"/>
      <c r="T11" s="474"/>
      <c r="U11" s="474"/>
      <c r="V11" s="474"/>
      <c r="W11" s="474"/>
      <c r="X11" s="474"/>
      <c r="Y11" s="474"/>
      <c r="Z11" s="474"/>
      <c r="AA11" s="474"/>
      <c r="AB11" s="474"/>
      <c r="AC11" s="474"/>
      <c r="AD11" s="474"/>
      <c r="AE11" s="474"/>
      <c r="AF11" s="474"/>
    </row>
    <row r="12" spans="1:32" s="477" customFormat="1" ht="15" x14ac:dyDescent="0.25">
      <c r="A12" s="474"/>
      <c r="B12" s="1155" t="s">
        <v>473</v>
      </c>
      <c r="C12" s="1156"/>
      <c r="D12" s="483">
        <f>IF(F12&lt;0,0,SQRT(F12))</f>
        <v>5.2249401910364444E-3</v>
      </c>
      <c r="E12" s="481"/>
      <c r="F12" s="483">
        <f>IF('GRR Calculations (2)'!Z3&lt;0,0,'GRR Calculations (2)'!Z3)</f>
        <v>2.7299999999907954E-5</v>
      </c>
      <c r="G12" s="481"/>
      <c r="H12" s="484">
        <f t="shared" ref="H12:H18" si="0">F12/$F$18</f>
        <v>0.81219784306530418</v>
      </c>
      <c r="I12" s="474"/>
      <c r="J12" s="474"/>
      <c r="K12" s="1155" t="s">
        <v>473</v>
      </c>
      <c r="L12" s="1156"/>
      <c r="M12" s="483">
        <f>'GRR AIAG GR&amp;R'!C55</f>
        <v>3.7000000000000002E-3</v>
      </c>
      <c r="N12" s="481"/>
      <c r="O12" s="483">
        <f>M12^2</f>
        <v>1.3690000000000001E-5</v>
      </c>
      <c r="P12" s="481"/>
      <c r="Q12" s="484">
        <f>O12/$O$16</f>
        <v>0.46947873799725653</v>
      </c>
      <c r="R12" s="474"/>
      <c r="S12" s="474"/>
      <c r="T12" s="474"/>
      <c r="U12" s="474"/>
      <c r="V12" s="474"/>
      <c r="W12" s="474"/>
      <c r="X12" s="474"/>
      <c r="Y12" s="474"/>
      <c r="Z12" s="474"/>
      <c r="AA12" s="474"/>
      <c r="AB12" s="474"/>
      <c r="AC12" s="474"/>
      <c r="AD12" s="474"/>
      <c r="AE12" s="474"/>
      <c r="AF12" s="474"/>
    </row>
    <row r="13" spans="1:32" s="477" customFormat="1" ht="15" x14ac:dyDescent="0.25">
      <c r="A13" s="474"/>
      <c r="B13" s="1155" t="s">
        <v>474</v>
      </c>
      <c r="C13" s="1156"/>
      <c r="D13" s="483">
        <f t="shared" ref="D13:D18" si="1">IF(F13&lt;0,0,SQRT(F13))</f>
        <v>4.0804411526282848E-3</v>
      </c>
      <c r="E13" s="481"/>
      <c r="F13" s="483">
        <f>IF('GRR Calculations (2)'!Z4&lt;0,0,'GRR Calculations (2)'!Z4)</f>
        <v>1.6650000000062448E-5</v>
      </c>
      <c r="G13" s="481"/>
      <c r="H13" s="484">
        <f t="shared" si="0"/>
        <v>0.49535143176313662</v>
      </c>
      <c r="I13" s="474"/>
      <c r="J13" s="474"/>
      <c r="K13" s="1155" t="s">
        <v>474</v>
      </c>
      <c r="L13" s="1156"/>
      <c r="M13" s="483">
        <f>'GRR AIAG GR&amp;R'!C45</f>
        <v>2.2000000000000001E-3</v>
      </c>
      <c r="N13" s="481"/>
      <c r="O13" s="483">
        <f>M13^2</f>
        <v>4.8400000000000002E-6</v>
      </c>
      <c r="P13" s="481"/>
      <c r="Q13" s="484">
        <f>O13/$O$16</f>
        <v>0.16598079561042522</v>
      </c>
      <c r="R13" s="474"/>
      <c r="S13" s="474"/>
      <c r="T13" s="474"/>
      <c r="U13" s="474"/>
      <c r="V13" s="474"/>
      <c r="W13" s="474"/>
      <c r="X13" s="474"/>
      <c r="Y13" s="474"/>
      <c r="Z13" s="474"/>
      <c r="AA13" s="474"/>
      <c r="AB13" s="474"/>
      <c r="AC13" s="474"/>
      <c r="AD13" s="474"/>
      <c r="AE13" s="474"/>
      <c r="AF13" s="474"/>
    </row>
    <row r="14" spans="1:32" s="477" customFormat="1" ht="15" x14ac:dyDescent="0.25">
      <c r="A14" s="474"/>
      <c r="B14" s="1155" t="s">
        <v>475</v>
      </c>
      <c r="C14" s="1156"/>
      <c r="D14" s="483">
        <f t="shared" si="1"/>
        <v>3.2634337743924734E-3</v>
      </c>
      <c r="E14" s="481"/>
      <c r="F14" s="483">
        <f>IF('GRR Calculations (2)'!Z5&lt;0,0,'GRR Calculations (2)'!Z5)</f>
        <v>1.0649999999845506E-5</v>
      </c>
      <c r="G14" s="481"/>
      <c r="H14" s="484">
        <f t="shared" si="0"/>
        <v>0.31684641130216756</v>
      </c>
      <c r="I14" s="474"/>
      <c r="J14" s="474"/>
      <c r="K14" s="1155" t="s">
        <v>475</v>
      </c>
      <c r="L14" s="1156"/>
      <c r="M14" s="483">
        <f>'GRR AIAG GR&amp;R'!C50</f>
        <v>3.0000000000000001E-3</v>
      </c>
      <c r="N14" s="481"/>
      <c r="O14" s="483">
        <f>M14^2</f>
        <v>9.0000000000000002E-6</v>
      </c>
      <c r="P14" s="481"/>
      <c r="Q14" s="484">
        <f>O14/$O$16</f>
        <v>0.30864197530864196</v>
      </c>
      <c r="R14" s="474"/>
      <c r="S14" s="474"/>
      <c r="T14" s="474"/>
      <c r="U14" s="474"/>
      <c r="V14" s="474"/>
      <c r="W14" s="474"/>
      <c r="X14" s="474"/>
      <c r="Y14" s="474"/>
      <c r="Z14" s="474"/>
      <c r="AA14" s="474"/>
      <c r="AB14" s="474"/>
      <c r="AC14" s="474"/>
      <c r="AD14" s="474"/>
      <c r="AE14" s="474"/>
      <c r="AF14" s="474"/>
    </row>
    <row r="15" spans="1:32" s="477" customFormat="1" ht="15" x14ac:dyDescent="0.25">
      <c r="A15" s="474"/>
      <c r="B15" s="773"/>
      <c r="C15" s="485" t="s">
        <v>476</v>
      </c>
      <c r="D15" s="483">
        <f t="shared" si="1"/>
        <v>2.6100766271994996E-3</v>
      </c>
      <c r="E15" s="481"/>
      <c r="F15" s="483">
        <f>IF('GRR Calculations (2)'!Z6&lt;0,0,'GRR Calculations (2)'!Z6)</f>
        <v>6.8124999998531164E-6</v>
      </c>
      <c r="G15" s="481"/>
      <c r="H15" s="484">
        <f t="shared" si="0"/>
        <v>0.2026775753033605</v>
      </c>
      <c r="I15" s="474"/>
      <c r="J15" s="474"/>
      <c r="K15" s="1155" t="s">
        <v>477</v>
      </c>
      <c r="L15" s="1156"/>
      <c r="M15" s="483">
        <f>'GRR AIAG GR&amp;R'!C59</f>
        <v>3.8999999999999998E-3</v>
      </c>
      <c r="N15" s="481"/>
      <c r="O15" s="483">
        <f>M15^2</f>
        <v>1.5209999999999998E-5</v>
      </c>
      <c r="P15" s="481"/>
      <c r="Q15" s="484">
        <f>O15/$O$16</f>
        <v>0.52160493827160481</v>
      </c>
      <c r="R15" s="474"/>
      <c r="S15" s="474"/>
      <c r="T15" s="474"/>
      <c r="U15" s="474"/>
      <c r="V15" s="474"/>
      <c r="W15" s="474"/>
      <c r="X15" s="474"/>
      <c r="Y15" s="474"/>
      <c r="Z15" s="474"/>
      <c r="AA15" s="474"/>
      <c r="AB15" s="474"/>
      <c r="AC15" s="474"/>
      <c r="AD15" s="474"/>
      <c r="AE15" s="474"/>
      <c r="AF15" s="474"/>
    </row>
    <row r="16" spans="1:32" s="477" customFormat="1" ht="15" x14ac:dyDescent="0.25">
      <c r="A16" s="474"/>
      <c r="B16" s="773"/>
      <c r="C16" s="485" t="s">
        <v>478</v>
      </c>
      <c r="D16" s="483">
        <f t="shared" si="1"/>
        <v>1.9589538024140304E-3</v>
      </c>
      <c r="E16" s="481"/>
      <c r="F16" s="483">
        <f>IF('GRR Calculations (2)'!Z7&lt;0,0,'GRR Calculations (2)'!Z7)</f>
        <v>3.8374999999923887E-6</v>
      </c>
      <c r="G16" s="481"/>
      <c r="H16" s="484">
        <f t="shared" si="0"/>
        <v>0.11416883599880702</v>
      </c>
      <c r="I16" s="474"/>
      <c r="J16" s="474"/>
      <c r="K16" s="1168" t="s">
        <v>479</v>
      </c>
      <c r="L16" s="1169"/>
      <c r="M16" s="722">
        <f>'GRR AIAG GR&amp;R'!C64</f>
        <v>5.4000000000000003E-3</v>
      </c>
      <c r="N16" s="723"/>
      <c r="O16" s="722">
        <f>M16^2</f>
        <v>2.9160000000000002E-5</v>
      </c>
      <c r="P16" s="723"/>
      <c r="Q16" s="724">
        <f>O16/$O$16</f>
        <v>1</v>
      </c>
      <c r="R16" s="474"/>
      <c r="S16" s="474"/>
      <c r="T16" s="474"/>
      <c r="U16" s="474"/>
      <c r="V16" s="474"/>
      <c r="W16" s="474"/>
      <c r="X16" s="474"/>
      <c r="Y16" s="474"/>
      <c r="Z16" s="474"/>
      <c r="AA16" s="474"/>
      <c r="AB16" s="474"/>
      <c r="AC16" s="474"/>
      <c r="AD16" s="474"/>
      <c r="AE16" s="474"/>
      <c r="AF16" s="474"/>
    </row>
    <row r="17" spans="1:32" s="477" customFormat="1" ht="15" x14ac:dyDescent="0.25">
      <c r="A17" s="474"/>
      <c r="B17" s="1155" t="s">
        <v>477</v>
      </c>
      <c r="C17" s="1156"/>
      <c r="D17" s="483">
        <f t="shared" si="1"/>
        <v>2.5124689052680154E-3</v>
      </c>
      <c r="E17" s="481"/>
      <c r="F17" s="483">
        <f>IF('GRR Calculations (2)'!Z8&lt;0,0,'GRR Calculations (2)'!Z8)</f>
        <v>6.3124999999386588E-6</v>
      </c>
      <c r="G17" s="481"/>
      <c r="H17" s="484">
        <f t="shared" si="0"/>
        <v>0.1878021569346959</v>
      </c>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row>
    <row r="18" spans="1:32" s="477" customFormat="1" ht="15" x14ac:dyDescent="0.25">
      <c r="A18" s="474"/>
      <c r="B18" s="1168" t="s">
        <v>479</v>
      </c>
      <c r="C18" s="1169"/>
      <c r="D18" s="722">
        <f t="shared" si="1"/>
        <v>5.7976288256360985E-3</v>
      </c>
      <c r="E18" s="723"/>
      <c r="F18" s="722">
        <f>IF('GRR Calculations (2)'!Z9&lt;0,0,'GRR Calculations (2)'!Z9)</f>
        <v>3.361249999984661E-5</v>
      </c>
      <c r="G18" s="723"/>
      <c r="H18" s="724">
        <f t="shared" si="0"/>
        <v>1</v>
      </c>
      <c r="I18" s="474"/>
      <c r="J18" s="474"/>
      <c r="K18" s="1157" t="s">
        <v>480</v>
      </c>
      <c r="L18" s="1158"/>
      <c r="M18" s="804">
        <f>'GRR AIAG GR&amp;R'!C8</f>
        <v>4.0000000000000036E-2</v>
      </c>
      <c r="N18" s="805"/>
      <c r="O18" s="805"/>
      <c r="P18" s="805"/>
      <c r="Q18" s="806"/>
      <c r="R18" s="474"/>
      <c r="S18" s="474"/>
      <c r="T18" s="474"/>
      <c r="U18" s="474"/>
      <c r="V18" s="474"/>
      <c r="W18" s="474"/>
      <c r="X18" s="474"/>
      <c r="Y18" s="474"/>
      <c r="Z18" s="474"/>
      <c r="AA18" s="474"/>
      <c r="AB18" s="474"/>
      <c r="AC18" s="474"/>
      <c r="AD18" s="474"/>
      <c r="AE18" s="474"/>
      <c r="AF18" s="474"/>
    </row>
    <row r="19" spans="1:32" s="477" customFormat="1" ht="15" x14ac:dyDescent="0.25">
      <c r="A19" s="474"/>
      <c r="B19" s="474"/>
      <c r="C19" s="474"/>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row>
    <row r="20" spans="1:32" s="477" customFormat="1" ht="15" x14ac:dyDescent="0.25">
      <c r="A20" s="474"/>
      <c r="B20" s="1157" t="s">
        <v>480</v>
      </c>
      <c r="C20" s="1158"/>
      <c r="D20" s="804">
        <f>M18</f>
        <v>4.0000000000000036E-2</v>
      </c>
      <c r="E20" s="805"/>
      <c r="F20" s="805"/>
      <c r="G20" s="805"/>
      <c r="H20" s="806"/>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row>
    <row r="21" spans="1:32" s="477" customFormat="1" ht="15" x14ac:dyDescent="0.25">
      <c r="A21" s="474"/>
      <c r="B21" s="486"/>
      <c r="C21" s="486"/>
      <c r="D21" s="478"/>
      <c r="E21" s="474"/>
      <c r="F21" s="474"/>
      <c r="G21" s="474"/>
      <c r="H21" s="474"/>
      <c r="I21" s="474"/>
      <c r="J21" s="474"/>
      <c r="K21" s="486"/>
      <c r="L21" s="486"/>
      <c r="M21" s="478"/>
      <c r="N21" s="474"/>
      <c r="O21" s="474"/>
      <c r="P21" s="474"/>
      <c r="Q21" s="474"/>
      <c r="R21" s="474"/>
      <c r="S21" s="474"/>
      <c r="T21" s="474"/>
      <c r="U21" s="474"/>
      <c r="V21" s="474"/>
      <c r="W21" s="474"/>
      <c r="X21" s="474"/>
      <c r="Y21" s="474"/>
      <c r="Z21" s="474"/>
      <c r="AA21" s="474"/>
      <c r="AB21" s="474"/>
      <c r="AC21" s="474"/>
      <c r="AD21" s="474"/>
      <c r="AE21" s="474"/>
      <c r="AF21" s="474"/>
    </row>
    <row r="22" spans="1:32" s="477" customFormat="1" ht="15.6" x14ac:dyDescent="0.3">
      <c r="A22" s="474"/>
      <c r="B22" s="800" t="s">
        <v>481</v>
      </c>
      <c r="C22" s="801"/>
      <c r="D22" s="801"/>
      <c r="E22" s="801"/>
      <c r="F22" s="801"/>
      <c r="G22" s="803"/>
      <c r="H22" s="802"/>
      <c r="I22" s="475"/>
      <c r="J22" s="474"/>
      <c r="K22" s="800" t="s">
        <v>481</v>
      </c>
      <c r="L22" s="803"/>
      <c r="M22" s="803"/>
      <c r="N22" s="803"/>
      <c r="O22" s="803"/>
      <c r="P22" s="803"/>
      <c r="Q22" s="802"/>
      <c r="R22" s="474"/>
      <c r="S22" s="474"/>
      <c r="T22" s="474"/>
      <c r="U22" s="474"/>
      <c r="V22" s="474"/>
      <c r="W22" s="474"/>
      <c r="X22" s="474"/>
      <c r="Y22" s="474"/>
      <c r="Z22" s="474"/>
      <c r="AA22" s="474"/>
      <c r="AB22" s="474"/>
      <c r="AC22" s="474"/>
      <c r="AD22" s="474"/>
      <c r="AE22" s="474"/>
      <c r="AF22" s="474"/>
    </row>
    <row r="23" spans="1:32" s="477" customFormat="1" ht="7.5" customHeight="1" x14ac:dyDescent="0.3">
      <c r="A23" s="474"/>
      <c r="B23" s="725"/>
      <c r="C23" s="480"/>
      <c r="D23" s="480"/>
      <c r="E23" s="480"/>
      <c r="F23" s="480"/>
      <c r="G23" s="481"/>
      <c r="H23" s="487"/>
      <c r="I23" s="475"/>
      <c r="J23" s="474"/>
      <c r="K23" s="725"/>
      <c r="L23" s="481"/>
      <c r="M23" s="481"/>
      <c r="N23" s="481"/>
      <c r="O23" s="481"/>
      <c r="P23" s="481"/>
      <c r="Q23" s="487"/>
      <c r="R23" s="474"/>
      <c r="S23" s="474"/>
      <c r="T23" s="474"/>
      <c r="U23" s="474"/>
      <c r="V23" s="474"/>
      <c r="W23" s="474"/>
      <c r="X23" s="474"/>
      <c r="Y23" s="474"/>
      <c r="Z23" s="474"/>
      <c r="AA23" s="474"/>
      <c r="AB23" s="474"/>
      <c r="AC23" s="474"/>
      <c r="AD23" s="474"/>
      <c r="AE23" s="474"/>
      <c r="AF23" s="474"/>
    </row>
    <row r="24" spans="1:32" s="477" customFormat="1" ht="15" x14ac:dyDescent="0.25">
      <c r="A24" s="474"/>
      <c r="B24" s="721"/>
      <c r="C24" s="481"/>
      <c r="D24" s="1167" t="s">
        <v>482</v>
      </c>
      <c r="E24" s="481"/>
      <c r="F24" s="1167" t="s">
        <v>483</v>
      </c>
      <c r="G24" s="481"/>
      <c r="H24" s="1170" t="s">
        <v>484</v>
      </c>
      <c r="I24" s="474"/>
      <c r="J24" s="474"/>
      <c r="K24" s="721"/>
      <c r="L24" s="481"/>
      <c r="M24" s="1167" t="s">
        <v>482</v>
      </c>
      <c r="N24" s="481"/>
      <c r="O24" s="1167" t="s">
        <v>483</v>
      </c>
      <c r="P24" s="481"/>
      <c r="Q24" s="1170" t="s">
        <v>484</v>
      </c>
      <c r="R24" s="474"/>
      <c r="S24" s="474"/>
      <c r="T24" s="474"/>
      <c r="U24" s="474"/>
      <c r="V24" s="474"/>
      <c r="W24" s="474"/>
      <c r="X24" s="474"/>
      <c r="Y24" s="474"/>
      <c r="Z24" s="474"/>
      <c r="AA24" s="474"/>
      <c r="AB24" s="474"/>
      <c r="AC24" s="474"/>
      <c r="AD24" s="474"/>
      <c r="AE24" s="474"/>
      <c r="AF24" s="474"/>
    </row>
    <row r="25" spans="1:32" s="477" customFormat="1" ht="15" x14ac:dyDescent="0.25">
      <c r="A25" s="474"/>
      <c r="B25" s="1159" t="s">
        <v>315</v>
      </c>
      <c r="C25" s="1160"/>
      <c r="D25" s="1167"/>
      <c r="E25" s="481"/>
      <c r="F25" s="1167"/>
      <c r="G25" s="481"/>
      <c r="H25" s="1170"/>
      <c r="I25" s="474"/>
      <c r="J25" s="474"/>
      <c r="K25" s="1159" t="s">
        <v>315</v>
      </c>
      <c r="L25" s="1160"/>
      <c r="M25" s="1167"/>
      <c r="N25" s="481"/>
      <c r="O25" s="1167"/>
      <c r="P25" s="481"/>
      <c r="Q25" s="1170"/>
      <c r="R25" s="474"/>
      <c r="S25" s="474"/>
      <c r="T25" s="474"/>
      <c r="U25" s="474"/>
      <c r="V25" s="474"/>
      <c r="W25" s="474"/>
      <c r="X25" s="474"/>
      <c r="Y25" s="474"/>
      <c r="Z25" s="474"/>
      <c r="AA25" s="474"/>
      <c r="AB25" s="474"/>
      <c r="AC25" s="474"/>
      <c r="AD25" s="474"/>
      <c r="AE25" s="474"/>
      <c r="AF25" s="474"/>
    </row>
    <row r="26" spans="1:32" s="477" customFormat="1" ht="15" x14ac:dyDescent="0.25">
      <c r="A26" s="474"/>
      <c r="B26" s="1155" t="s">
        <v>473</v>
      </c>
      <c r="C26" s="1156"/>
      <c r="D26" s="483">
        <f>D12*5.15</f>
        <v>2.690844198383769E-2</v>
      </c>
      <c r="E26" s="481"/>
      <c r="F26" s="488">
        <f t="shared" ref="F26:F32" si="2">D26/$D$32</f>
        <v>0.90122019676952658</v>
      </c>
      <c r="G26" s="485"/>
      <c r="H26" s="489">
        <f t="shared" ref="H26:H32" si="3">D26/$D$20</f>
        <v>0.67271104959594163</v>
      </c>
      <c r="I26" s="474"/>
      <c r="J26" s="474"/>
      <c r="K26" s="1155" t="s">
        <v>473</v>
      </c>
      <c r="L26" s="1156"/>
      <c r="M26" s="483">
        <f>M12*5.15</f>
        <v>1.9055000000000002E-2</v>
      </c>
      <c r="N26" s="481"/>
      <c r="O26" s="488">
        <f>(M26/$M$30)</f>
        <v>0.68518518518518512</v>
      </c>
      <c r="P26" s="485"/>
      <c r="Q26" s="489">
        <f>M26/$M$18</f>
        <v>0.47637499999999966</v>
      </c>
      <c r="R26" s="474"/>
      <c r="S26" s="474"/>
      <c r="T26" s="474"/>
      <c r="U26" s="474"/>
      <c r="V26" s="474"/>
      <c r="W26" s="474"/>
      <c r="X26" s="474"/>
      <c r="Y26" s="474"/>
      <c r="Z26" s="474"/>
      <c r="AA26" s="474"/>
      <c r="AB26" s="474"/>
      <c r="AC26" s="474"/>
      <c r="AD26" s="474"/>
      <c r="AE26" s="474"/>
      <c r="AF26" s="474"/>
    </row>
    <row r="27" spans="1:32" s="477" customFormat="1" ht="15" x14ac:dyDescent="0.25">
      <c r="A27" s="474"/>
      <c r="B27" s="1155" t="s">
        <v>474</v>
      </c>
      <c r="C27" s="1156"/>
      <c r="D27" s="483">
        <f t="shared" ref="D27:D32" si="4">D13*5.15</f>
        <v>2.1014271936035667E-2</v>
      </c>
      <c r="E27" s="481"/>
      <c r="F27" s="490">
        <f t="shared" si="2"/>
        <v>0.70381207133945678</v>
      </c>
      <c r="G27" s="485"/>
      <c r="H27" s="484">
        <f t="shared" si="3"/>
        <v>0.52535679840089122</v>
      </c>
      <c r="I27" s="474"/>
      <c r="J27" s="474"/>
      <c r="K27" s="1155" t="s">
        <v>474</v>
      </c>
      <c r="L27" s="1156"/>
      <c r="M27" s="483">
        <f>M13*5.15</f>
        <v>1.1330000000000002E-2</v>
      </c>
      <c r="N27" s="481"/>
      <c r="O27" s="490">
        <f>(M27/$M$30)</f>
        <v>0.40740740740740738</v>
      </c>
      <c r="P27" s="485"/>
      <c r="Q27" s="484">
        <f>M27/$M$18</f>
        <v>0.28324999999999978</v>
      </c>
      <c r="R27" s="474"/>
      <c r="S27" s="474"/>
      <c r="T27" s="474"/>
      <c r="U27" s="474"/>
      <c r="V27" s="474"/>
      <c r="W27" s="474"/>
      <c r="X27" s="474"/>
      <c r="Y27" s="474"/>
      <c r="Z27" s="474"/>
      <c r="AA27" s="474"/>
      <c r="AB27" s="474"/>
      <c r="AC27" s="474"/>
      <c r="AD27" s="474"/>
      <c r="AE27" s="474"/>
      <c r="AF27" s="474"/>
    </row>
    <row r="28" spans="1:32" s="477" customFormat="1" ht="15" x14ac:dyDescent="0.25">
      <c r="A28" s="474"/>
      <c r="B28" s="1155" t="s">
        <v>475</v>
      </c>
      <c r="C28" s="1156"/>
      <c r="D28" s="483">
        <f t="shared" si="4"/>
        <v>1.680668393812124E-2</v>
      </c>
      <c r="E28" s="481"/>
      <c r="F28" s="490">
        <f t="shared" si="2"/>
        <v>0.56289111851420037</v>
      </c>
      <c r="G28" s="485"/>
      <c r="H28" s="484">
        <f t="shared" si="3"/>
        <v>0.42016709845303063</v>
      </c>
      <c r="I28" s="474"/>
      <c r="J28" s="474"/>
      <c r="K28" s="1155" t="s">
        <v>475</v>
      </c>
      <c r="L28" s="1156"/>
      <c r="M28" s="483">
        <f>M14*5.15</f>
        <v>1.5450000000000002E-2</v>
      </c>
      <c r="N28" s="481"/>
      <c r="O28" s="490">
        <f>(M28/$M$30)</f>
        <v>0.55555555555555558</v>
      </c>
      <c r="P28" s="485"/>
      <c r="Q28" s="484">
        <f>M28/$M$18</f>
        <v>0.3862499999999997</v>
      </c>
      <c r="R28" s="474"/>
      <c r="S28" s="474"/>
      <c r="T28" s="474"/>
      <c r="U28" s="474"/>
      <c r="V28" s="474"/>
      <c r="W28" s="474"/>
      <c r="X28" s="474"/>
      <c r="Y28" s="474"/>
      <c r="Z28" s="474"/>
      <c r="AA28" s="474"/>
      <c r="AB28" s="474"/>
      <c r="AC28" s="474"/>
      <c r="AD28" s="474"/>
      <c r="AE28" s="474"/>
      <c r="AF28" s="474"/>
    </row>
    <row r="29" spans="1:32" s="477" customFormat="1" ht="15" x14ac:dyDescent="0.25">
      <c r="A29" s="474"/>
      <c r="B29" s="773"/>
      <c r="C29" s="485" t="s">
        <v>476</v>
      </c>
      <c r="D29" s="483">
        <f t="shared" si="4"/>
        <v>1.3441894630077424E-2</v>
      </c>
      <c r="E29" s="481"/>
      <c r="F29" s="490">
        <f t="shared" si="2"/>
        <v>0.45019726265644983</v>
      </c>
      <c r="G29" s="485"/>
      <c r="H29" s="484">
        <f t="shared" si="3"/>
        <v>0.33604736575193528</v>
      </c>
      <c r="I29" s="474"/>
      <c r="J29" s="474"/>
      <c r="K29" s="1155" t="s">
        <v>477</v>
      </c>
      <c r="L29" s="1156"/>
      <c r="M29" s="483">
        <f>M15*5.15</f>
        <v>2.0085000000000002E-2</v>
      </c>
      <c r="N29" s="481"/>
      <c r="O29" s="490">
        <f>(M29/$M$30)</f>
        <v>0.72222222222222221</v>
      </c>
      <c r="P29" s="485"/>
      <c r="Q29" s="484">
        <f>M29/$M$18</f>
        <v>0.5021249999999996</v>
      </c>
      <c r="R29" s="474"/>
      <c r="S29" s="474"/>
      <c r="T29" s="474"/>
      <c r="U29" s="474"/>
      <c r="V29" s="474"/>
      <c r="W29" s="474"/>
      <c r="X29" s="474"/>
      <c r="Y29" s="474"/>
      <c r="Z29" s="474"/>
      <c r="AA29" s="474"/>
      <c r="AB29" s="474"/>
      <c r="AC29" s="474"/>
      <c r="AD29" s="474"/>
      <c r="AE29" s="474"/>
      <c r="AF29" s="474"/>
    </row>
    <row r="30" spans="1:32" s="477" customFormat="1" ht="15" x14ac:dyDescent="0.25">
      <c r="A30" s="474"/>
      <c r="B30" s="773"/>
      <c r="C30" s="485" t="s">
        <v>478</v>
      </c>
      <c r="D30" s="483">
        <f t="shared" si="4"/>
        <v>1.0088612082432257E-2</v>
      </c>
      <c r="E30" s="481"/>
      <c r="F30" s="490">
        <f t="shared" si="2"/>
        <v>0.33788879235453639</v>
      </c>
      <c r="G30" s="485"/>
      <c r="H30" s="484">
        <f t="shared" si="3"/>
        <v>0.25221530206080622</v>
      </c>
      <c r="I30" s="474"/>
      <c r="J30" s="474"/>
      <c r="K30" s="1168" t="s">
        <v>479</v>
      </c>
      <c r="L30" s="1169"/>
      <c r="M30" s="722">
        <f>M16*5.15</f>
        <v>2.7810000000000005E-2</v>
      </c>
      <c r="N30" s="723"/>
      <c r="O30" s="726">
        <f>(M30/$M$30)</f>
        <v>1</v>
      </c>
      <c r="P30" s="727"/>
      <c r="Q30" s="724">
        <f>M30/$M$18</f>
        <v>0.69524999999999948</v>
      </c>
      <c r="R30" s="474"/>
      <c r="S30" s="474"/>
      <c r="T30" s="474"/>
      <c r="U30" s="474"/>
      <c r="V30" s="474"/>
      <c r="W30" s="474"/>
      <c r="X30" s="474"/>
      <c r="Y30" s="474"/>
      <c r="Z30" s="474"/>
      <c r="AA30" s="474"/>
      <c r="AB30" s="474"/>
      <c r="AC30" s="474"/>
      <c r="AD30" s="474"/>
      <c r="AE30" s="474"/>
      <c r="AF30" s="474"/>
    </row>
    <row r="31" spans="1:32" s="477" customFormat="1" ht="15" x14ac:dyDescent="0.25">
      <c r="A31" s="474"/>
      <c r="B31" s="1155" t="s">
        <v>477</v>
      </c>
      <c r="C31" s="1156"/>
      <c r="D31" s="483">
        <f t="shared" si="4"/>
        <v>1.293921486213028E-2</v>
      </c>
      <c r="E31" s="481"/>
      <c r="F31" s="490">
        <f t="shared" si="2"/>
        <v>0.43336146221681493</v>
      </c>
      <c r="G31" s="485"/>
      <c r="H31" s="484">
        <f t="shared" si="3"/>
        <v>0.32348037155325671</v>
      </c>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row>
    <row r="32" spans="1:32" s="477" customFormat="1" ht="15" x14ac:dyDescent="0.25">
      <c r="A32" s="474"/>
      <c r="B32" s="1168" t="s">
        <v>479</v>
      </c>
      <c r="C32" s="1169"/>
      <c r="D32" s="722">
        <f t="shared" si="4"/>
        <v>2.9857788452025909E-2</v>
      </c>
      <c r="E32" s="723"/>
      <c r="F32" s="726">
        <f t="shared" si="2"/>
        <v>1</v>
      </c>
      <c r="G32" s="727"/>
      <c r="H32" s="724">
        <f t="shared" si="3"/>
        <v>0.74644471130064705</v>
      </c>
      <c r="I32" s="474"/>
      <c r="J32" s="474"/>
      <c r="K32" s="474"/>
      <c r="L32" s="474"/>
      <c r="M32" s="474"/>
      <c r="N32" s="474"/>
      <c r="O32" s="474"/>
      <c r="P32" s="474"/>
      <c r="Q32" s="474"/>
      <c r="R32" s="474"/>
      <c r="S32" s="474"/>
      <c r="T32" s="474"/>
      <c r="U32" s="474"/>
      <c r="V32" s="474"/>
      <c r="W32" s="474"/>
      <c r="X32" s="474"/>
      <c r="Y32" s="474"/>
      <c r="Z32" s="474"/>
      <c r="AA32" s="474"/>
      <c r="AB32" s="474"/>
      <c r="AC32" s="474"/>
      <c r="AD32" s="474"/>
      <c r="AE32" s="474"/>
      <c r="AF32" s="474"/>
    </row>
    <row r="33" spans="1:32" s="477" customFormat="1" ht="15" x14ac:dyDescent="0.25">
      <c r="A33" s="474"/>
      <c r="B33" s="474"/>
      <c r="C33" s="474"/>
      <c r="D33" s="474"/>
      <c r="E33" s="474"/>
      <c r="F33" s="474"/>
      <c r="G33" s="474"/>
      <c r="H33" s="474"/>
      <c r="I33" s="474"/>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row>
    <row r="34" spans="1:32" s="477" customFormat="1" ht="15.6" x14ac:dyDescent="0.3">
      <c r="A34" s="474"/>
      <c r="B34" s="807" t="s">
        <v>485</v>
      </c>
      <c r="C34" s="808"/>
      <c r="D34" s="808"/>
      <c r="E34" s="808"/>
      <c r="F34" s="808"/>
      <c r="G34" s="809"/>
      <c r="H34" s="810"/>
      <c r="I34" s="475"/>
      <c r="J34" s="474"/>
      <c r="K34" s="800" t="s">
        <v>485</v>
      </c>
      <c r="L34" s="803"/>
      <c r="M34" s="803"/>
      <c r="N34" s="803"/>
      <c r="O34" s="803"/>
      <c r="P34" s="803"/>
      <c r="Q34" s="802"/>
      <c r="R34" s="474"/>
      <c r="S34" s="474"/>
      <c r="T34" s="474"/>
      <c r="U34" s="474"/>
      <c r="V34" s="474"/>
      <c r="W34" s="474"/>
      <c r="X34" s="474"/>
      <c r="Y34" s="474"/>
      <c r="Z34" s="474"/>
      <c r="AA34" s="474"/>
      <c r="AB34" s="474"/>
      <c r="AC34" s="474"/>
      <c r="AD34" s="474"/>
      <c r="AE34" s="474"/>
      <c r="AF34" s="474"/>
    </row>
    <row r="35" spans="1:32" s="477" customFormat="1" ht="7.5" customHeight="1" x14ac:dyDescent="0.3">
      <c r="A35" s="474"/>
      <c r="B35" s="728"/>
      <c r="C35" s="514"/>
      <c r="D35" s="514"/>
      <c r="E35" s="514"/>
      <c r="F35" s="514"/>
      <c r="G35" s="515"/>
      <c r="H35" s="516"/>
      <c r="I35" s="475"/>
      <c r="J35" s="474"/>
      <c r="K35" s="725"/>
      <c r="L35" s="481"/>
      <c r="M35" s="481"/>
      <c r="N35" s="481"/>
      <c r="O35" s="481"/>
      <c r="P35" s="481"/>
      <c r="Q35" s="487"/>
      <c r="R35" s="474"/>
      <c r="S35" s="474"/>
      <c r="T35" s="474"/>
      <c r="U35" s="474"/>
      <c r="V35" s="474"/>
      <c r="W35" s="474"/>
      <c r="X35" s="474"/>
      <c r="Y35" s="474"/>
      <c r="Z35" s="474"/>
      <c r="AA35" s="474"/>
      <c r="AB35" s="474"/>
      <c r="AC35" s="474"/>
      <c r="AD35" s="474"/>
      <c r="AE35" s="474"/>
      <c r="AF35" s="474"/>
    </row>
    <row r="36" spans="1:32" s="477" customFormat="1" ht="15" x14ac:dyDescent="0.25">
      <c r="A36" s="474"/>
      <c r="B36" s="729"/>
      <c r="C36" s="515"/>
      <c r="D36" s="1165" t="s">
        <v>482</v>
      </c>
      <c r="E36" s="515"/>
      <c r="F36" s="1165" t="s">
        <v>483</v>
      </c>
      <c r="G36" s="515"/>
      <c r="H36" s="1166" t="s">
        <v>484</v>
      </c>
      <c r="I36" s="474"/>
      <c r="J36" s="474"/>
      <c r="K36" s="721"/>
      <c r="L36" s="481"/>
      <c r="M36" s="1167" t="s">
        <v>482</v>
      </c>
      <c r="N36" s="481"/>
      <c r="O36" s="1167" t="s">
        <v>483</v>
      </c>
      <c r="P36" s="481"/>
      <c r="Q36" s="1170" t="s">
        <v>484</v>
      </c>
      <c r="R36" s="474"/>
      <c r="S36" s="474"/>
      <c r="T36" s="474"/>
      <c r="U36" s="474"/>
      <c r="V36" s="474"/>
      <c r="W36" s="474"/>
      <c r="X36" s="474"/>
      <c r="Y36" s="474"/>
      <c r="Z36" s="474"/>
      <c r="AA36" s="474"/>
      <c r="AB36" s="474"/>
      <c r="AC36" s="474"/>
      <c r="AD36" s="474"/>
      <c r="AE36" s="474"/>
      <c r="AF36" s="474"/>
    </row>
    <row r="37" spans="1:32" s="477" customFormat="1" ht="15" x14ac:dyDescent="0.25">
      <c r="A37" s="474"/>
      <c r="B37" s="1161" t="s">
        <v>315</v>
      </c>
      <c r="C37" s="1162"/>
      <c r="D37" s="1165"/>
      <c r="E37" s="515"/>
      <c r="F37" s="1165"/>
      <c r="G37" s="515"/>
      <c r="H37" s="1166"/>
      <c r="I37" s="474"/>
      <c r="J37" s="474"/>
      <c r="K37" s="1159" t="s">
        <v>315</v>
      </c>
      <c r="L37" s="1160"/>
      <c r="M37" s="1167"/>
      <c r="N37" s="481"/>
      <c r="O37" s="1167"/>
      <c r="P37" s="481"/>
      <c r="Q37" s="1170"/>
      <c r="R37" s="474"/>
      <c r="S37" s="474"/>
      <c r="T37" s="474"/>
      <c r="U37" s="474"/>
      <c r="V37" s="474"/>
      <c r="W37" s="474"/>
      <c r="X37" s="474"/>
      <c r="Y37" s="474"/>
      <c r="Z37" s="474"/>
      <c r="AA37" s="474"/>
      <c r="AB37" s="474"/>
      <c r="AC37" s="474"/>
      <c r="AD37" s="474"/>
      <c r="AE37" s="474"/>
      <c r="AF37" s="474"/>
    </row>
    <row r="38" spans="1:32" s="477" customFormat="1" ht="15" x14ac:dyDescent="0.25">
      <c r="A38" s="474"/>
      <c r="B38" s="1163" t="s">
        <v>473</v>
      </c>
      <c r="C38" s="1164"/>
      <c r="D38" s="517">
        <f>D12*6</f>
        <v>3.1349641146218667E-2</v>
      </c>
      <c r="E38" s="515"/>
      <c r="F38" s="518">
        <f t="shared" ref="F38:F44" si="5">D38/$D$44</f>
        <v>0.90122019676952669</v>
      </c>
      <c r="G38" s="519"/>
      <c r="H38" s="520">
        <f t="shared" ref="H38:H44" si="6">D38/$D$20</f>
        <v>0.78374102865546602</v>
      </c>
      <c r="I38" s="474"/>
      <c r="J38" s="474"/>
      <c r="K38" s="1155" t="s">
        <v>473</v>
      </c>
      <c r="L38" s="1156"/>
      <c r="M38" s="483">
        <f>M12*6</f>
        <v>2.2200000000000001E-2</v>
      </c>
      <c r="N38" s="481"/>
      <c r="O38" s="488">
        <f>(M38/$M$42)</f>
        <v>0.68518518518518523</v>
      </c>
      <c r="P38" s="485"/>
      <c r="Q38" s="489">
        <f>M38/$M$18</f>
        <v>0.55499999999999949</v>
      </c>
      <c r="R38" s="474"/>
      <c r="S38" s="474"/>
      <c r="T38" s="474"/>
      <c r="U38" s="474"/>
      <c r="V38" s="474"/>
      <c r="W38" s="474"/>
      <c r="X38" s="474"/>
      <c r="Y38" s="474"/>
      <c r="Z38" s="474"/>
      <c r="AA38" s="474"/>
      <c r="AB38" s="474"/>
      <c r="AC38" s="474"/>
      <c r="AD38" s="474"/>
      <c r="AE38" s="474"/>
      <c r="AF38" s="474"/>
    </row>
    <row r="39" spans="1:32" s="477" customFormat="1" ht="15" x14ac:dyDescent="0.25">
      <c r="A39" s="474"/>
      <c r="B39" s="1163" t="s">
        <v>474</v>
      </c>
      <c r="C39" s="1164"/>
      <c r="D39" s="517">
        <f t="shared" ref="D39:D44" si="7">D13*6</f>
        <v>2.4482646915769707E-2</v>
      </c>
      <c r="E39" s="515"/>
      <c r="F39" s="521">
        <f t="shared" si="5"/>
        <v>0.70381207133945678</v>
      </c>
      <c r="G39" s="519"/>
      <c r="H39" s="522">
        <f t="shared" si="6"/>
        <v>0.61206617289424214</v>
      </c>
      <c r="I39" s="474"/>
      <c r="J39" s="474"/>
      <c r="K39" s="1155" t="s">
        <v>474</v>
      </c>
      <c r="L39" s="1156"/>
      <c r="M39" s="483">
        <f>M13*6</f>
        <v>1.32E-2</v>
      </c>
      <c r="N39" s="481"/>
      <c r="O39" s="490">
        <f>(M39/$M$42)</f>
        <v>0.40740740740740744</v>
      </c>
      <c r="P39" s="485"/>
      <c r="Q39" s="484">
        <f>M39/$M$18</f>
        <v>0.32999999999999968</v>
      </c>
      <c r="R39" s="474"/>
      <c r="S39" s="474"/>
      <c r="T39" s="474"/>
      <c r="U39" s="474"/>
      <c r="V39" s="474"/>
      <c r="W39" s="474"/>
      <c r="X39" s="474"/>
      <c r="Y39" s="474"/>
      <c r="Z39" s="474"/>
      <c r="AA39" s="474"/>
      <c r="AB39" s="474"/>
      <c r="AC39" s="474"/>
      <c r="AD39" s="474"/>
      <c r="AE39" s="474"/>
      <c r="AF39" s="474"/>
    </row>
    <row r="40" spans="1:32" s="477" customFormat="1" ht="15" x14ac:dyDescent="0.25">
      <c r="A40" s="474"/>
      <c r="B40" s="1163" t="s">
        <v>475</v>
      </c>
      <c r="C40" s="1164"/>
      <c r="D40" s="517">
        <f t="shared" si="7"/>
        <v>1.958060264635484E-2</v>
      </c>
      <c r="E40" s="515"/>
      <c r="F40" s="521">
        <f t="shared" si="5"/>
        <v>0.56289111851420037</v>
      </c>
      <c r="G40" s="519"/>
      <c r="H40" s="522">
        <f t="shared" si="6"/>
        <v>0.48951506615887058</v>
      </c>
      <c r="I40" s="474"/>
      <c r="J40" s="474"/>
      <c r="K40" s="1155" t="s">
        <v>475</v>
      </c>
      <c r="L40" s="1156"/>
      <c r="M40" s="483">
        <f>M14*6</f>
        <v>1.8000000000000002E-2</v>
      </c>
      <c r="N40" s="481"/>
      <c r="O40" s="490">
        <f>(M40/$M$42)</f>
        <v>0.55555555555555569</v>
      </c>
      <c r="P40" s="485"/>
      <c r="Q40" s="484">
        <f>M40/$M$18</f>
        <v>0.44999999999999968</v>
      </c>
      <c r="R40" s="474"/>
      <c r="S40" s="474"/>
      <c r="T40" s="474"/>
      <c r="U40" s="474"/>
      <c r="V40" s="474"/>
      <c r="W40" s="474"/>
      <c r="X40" s="474"/>
      <c r="Y40" s="474"/>
      <c r="Z40" s="474"/>
      <c r="AA40" s="474"/>
      <c r="AB40" s="474"/>
      <c r="AC40" s="474"/>
      <c r="AD40" s="474"/>
      <c r="AE40" s="474"/>
      <c r="AF40" s="474"/>
    </row>
    <row r="41" spans="1:32" s="477" customFormat="1" ht="15" x14ac:dyDescent="0.25">
      <c r="A41" s="474"/>
      <c r="B41" s="774"/>
      <c r="C41" s="519" t="s">
        <v>476</v>
      </c>
      <c r="D41" s="517">
        <f t="shared" si="7"/>
        <v>1.5660459763196997E-2</v>
      </c>
      <c r="E41" s="515"/>
      <c r="F41" s="521">
        <f t="shared" si="5"/>
        <v>0.45019726265644988</v>
      </c>
      <c r="G41" s="519"/>
      <c r="H41" s="522">
        <f t="shared" si="6"/>
        <v>0.39151149407992458</v>
      </c>
      <c r="I41" s="474"/>
      <c r="J41" s="474"/>
      <c r="K41" s="1155" t="s">
        <v>477</v>
      </c>
      <c r="L41" s="1156"/>
      <c r="M41" s="483">
        <f>M15*6</f>
        <v>2.3399999999999997E-2</v>
      </c>
      <c r="N41" s="481"/>
      <c r="O41" s="490">
        <f>(M41/$M$42)</f>
        <v>0.72222222222222221</v>
      </c>
      <c r="P41" s="485"/>
      <c r="Q41" s="484">
        <f>M41/$M$18</f>
        <v>0.58499999999999941</v>
      </c>
      <c r="R41" s="474"/>
      <c r="S41" s="474"/>
      <c r="T41" s="474"/>
      <c r="U41" s="474"/>
      <c r="V41" s="474"/>
      <c r="W41" s="474"/>
      <c r="X41" s="474"/>
      <c r="Y41" s="474"/>
      <c r="Z41" s="474"/>
      <c r="AA41" s="474"/>
      <c r="AB41" s="474"/>
      <c r="AC41" s="474"/>
      <c r="AD41" s="474"/>
      <c r="AE41" s="474"/>
      <c r="AF41" s="474"/>
    </row>
    <row r="42" spans="1:32" s="477" customFormat="1" ht="15" x14ac:dyDescent="0.25">
      <c r="A42" s="474"/>
      <c r="B42" s="774"/>
      <c r="C42" s="519" t="s">
        <v>478</v>
      </c>
      <c r="D42" s="517">
        <f t="shared" si="7"/>
        <v>1.1753722814484183E-2</v>
      </c>
      <c r="E42" s="515"/>
      <c r="F42" s="521">
        <f t="shared" si="5"/>
        <v>0.33788879235453645</v>
      </c>
      <c r="G42" s="519"/>
      <c r="H42" s="522">
        <f t="shared" si="6"/>
        <v>0.29384307036210433</v>
      </c>
      <c r="I42" s="474"/>
      <c r="J42" s="474"/>
      <c r="K42" s="1168" t="s">
        <v>479</v>
      </c>
      <c r="L42" s="1169"/>
      <c r="M42" s="722">
        <f>M16*6</f>
        <v>3.2399999999999998E-2</v>
      </c>
      <c r="N42" s="723"/>
      <c r="O42" s="726">
        <f>(M42/$M$42)</f>
        <v>1</v>
      </c>
      <c r="P42" s="727"/>
      <c r="Q42" s="724">
        <f>M42/$M$18</f>
        <v>0.80999999999999928</v>
      </c>
      <c r="R42" s="474"/>
      <c r="S42" s="474"/>
      <c r="T42" s="474"/>
      <c r="U42" s="474"/>
      <c r="V42" s="474"/>
      <c r="W42" s="474"/>
      <c r="X42" s="474"/>
      <c r="Y42" s="474"/>
      <c r="Z42" s="474"/>
      <c r="AA42" s="474"/>
      <c r="AB42" s="474"/>
      <c r="AC42" s="474"/>
      <c r="AD42" s="474"/>
      <c r="AE42" s="474"/>
      <c r="AF42" s="474"/>
    </row>
    <row r="43" spans="1:32" s="477" customFormat="1" ht="15" x14ac:dyDescent="0.25">
      <c r="A43" s="474"/>
      <c r="B43" s="1163" t="s">
        <v>477</v>
      </c>
      <c r="C43" s="1164"/>
      <c r="D43" s="517">
        <f t="shared" si="7"/>
        <v>1.5074813431608092E-2</v>
      </c>
      <c r="E43" s="515"/>
      <c r="F43" s="521">
        <f t="shared" si="5"/>
        <v>0.43336146221681499</v>
      </c>
      <c r="G43" s="519"/>
      <c r="H43" s="522">
        <f t="shared" si="6"/>
        <v>0.37687033579020196</v>
      </c>
      <c r="I43" s="474"/>
      <c r="J43" s="474"/>
      <c r="K43" s="474"/>
      <c r="L43" s="474"/>
      <c r="M43" s="474"/>
      <c r="N43" s="474"/>
      <c r="O43" s="474"/>
      <c r="P43" s="474"/>
      <c r="Q43" s="474"/>
      <c r="R43" s="474"/>
      <c r="S43" s="474"/>
      <c r="T43" s="474"/>
      <c r="U43" s="474"/>
      <c r="V43" s="474"/>
      <c r="W43" s="474"/>
      <c r="X43" s="474"/>
      <c r="Y43" s="474"/>
      <c r="Z43" s="474"/>
      <c r="AA43" s="474"/>
      <c r="AB43" s="474"/>
      <c r="AC43" s="474"/>
      <c r="AD43" s="474"/>
      <c r="AE43" s="474"/>
      <c r="AF43" s="474"/>
    </row>
    <row r="44" spans="1:32" s="477" customFormat="1" ht="15" x14ac:dyDescent="0.25">
      <c r="A44" s="474"/>
      <c r="B44" s="1153" t="s">
        <v>479</v>
      </c>
      <c r="C44" s="1154"/>
      <c r="D44" s="730">
        <f t="shared" si="7"/>
        <v>3.4785772953816588E-2</v>
      </c>
      <c r="E44" s="731"/>
      <c r="F44" s="732">
        <f t="shared" si="5"/>
        <v>1</v>
      </c>
      <c r="G44" s="733"/>
      <c r="H44" s="734">
        <f t="shared" si="6"/>
        <v>0.8696443238454139</v>
      </c>
      <c r="I44" s="474"/>
      <c r="J44" s="474"/>
      <c r="K44" s="1157" t="s">
        <v>486</v>
      </c>
      <c r="L44" s="1158"/>
      <c r="M44" s="1158"/>
      <c r="N44" s="804">
        <f>'GRR AIAG GR&amp;R'!N65</f>
        <v>1</v>
      </c>
      <c r="O44" s="805"/>
      <c r="P44" s="805"/>
      <c r="Q44" s="806"/>
      <c r="R44" s="474"/>
      <c r="S44" s="474"/>
      <c r="T44" s="474"/>
      <c r="U44" s="474"/>
      <c r="V44" s="474"/>
      <c r="W44" s="474"/>
      <c r="X44" s="474"/>
      <c r="Y44" s="474"/>
      <c r="Z44" s="474"/>
      <c r="AA44" s="474"/>
      <c r="AB44" s="474"/>
      <c r="AC44" s="474"/>
      <c r="AD44" s="474"/>
      <c r="AE44" s="474"/>
      <c r="AF44" s="474"/>
    </row>
    <row r="45" spans="1:32" s="477" customFormat="1" ht="15" x14ac:dyDescent="0.25">
      <c r="A45" s="474"/>
      <c r="B45" s="474"/>
      <c r="C45" s="474"/>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4"/>
      <c r="AC45" s="474"/>
      <c r="AD45" s="474"/>
      <c r="AE45" s="474"/>
      <c r="AF45" s="474"/>
    </row>
    <row r="46" spans="1:32" s="477" customFormat="1" ht="15" x14ac:dyDescent="0.25">
      <c r="A46" s="474"/>
      <c r="B46" s="1157" t="s">
        <v>486</v>
      </c>
      <c r="C46" s="1158"/>
      <c r="D46" s="1158"/>
      <c r="E46" s="804">
        <f>ROUNDDOWN(1.41*(D17/D12),0)</f>
        <v>0</v>
      </c>
      <c r="F46" s="805"/>
      <c r="G46" s="805"/>
      <c r="H46" s="806"/>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row>
    <row r="47" spans="1:32" s="477" customFormat="1" ht="15" x14ac:dyDescent="0.25">
      <c r="A47" s="474"/>
      <c r="B47" s="474"/>
      <c r="C47" s="474"/>
      <c r="D47" s="474"/>
      <c r="E47" s="474"/>
      <c r="F47" s="474"/>
      <c r="G47" s="474"/>
      <c r="H47" s="474"/>
      <c r="I47" s="474"/>
      <c r="J47" s="474"/>
      <c r="K47" s="474"/>
      <c r="L47" s="474"/>
      <c r="M47" s="474"/>
      <c r="N47" s="474"/>
      <c r="O47" s="474"/>
      <c r="P47" s="474"/>
      <c r="Q47" s="474"/>
      <c r="R47" s="474"/>
      <c r="S47" s="474"/>
      <c r="T47" s="474"/>
      <c r="U47" s="474"/>
      <c r="V47" s="474"/>
      <c r="W47" s="474"/>
      <c r="X47" s="474"/>
      <c r="Y47" s="474"/>
      <c r="Z47" s="474"/>
      <c r="AA47" s="474"/>
      <c r="AB47" s="474"/>
      <c r="AC47" s="474"/>
      <c r="AD47" s="474"/>
      <c r="AE47" s="474"/>
      <c r="AF47" s="474"/>
    </row>
    <row r="48" spans="1:32" s="477" customFormat="1" ht="15.6" x14ac:dyDescent="0.3">
      <c r="A48" s="474"/>
      <c r="B48" s="800" t="s">
        <v>487</v>
      </c>
      <c r="C48" s="801"/>
      <c r="D48" s="801"/>
      <c r="E48" s="801"/>
      <c r="F48" s="801"/>
      <c r="G48" s="801"/>
      <c r="H48" s="811"/>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row>
    <row r="49" spans="1:32" s="477" customFormat="1" ht="7.5" customHeight="1" x14ac:dyDescent="0.3">
      <c r="A49" s="474"/>
      <c r="B49" s="725"/>
      <c r="C49" s="480"/>
      <c r="D49" s="480"/>
      <c r="E49" s="480"/>
      <c r="F49" s="480"/>
      <c r="G49" s="480"/>
      <c r="H49" s="491"/>
      <c r="I49" s="474"/>
      <c r="J49" s="474"/>
      <c r="K49" s="474"/>
      <c r="L49" s="474"/>
      <c r="M49" s="474"/>
      <c r="N49" s="474"/>
      <c r="O49" s="474"/>
      <c r="P49" s="474"/>
      <c r="Q49" s="474"/>
      <c r="R49" s="474"/>
      <c r="S49" s="474"/>
      <c r="T49" s="474"/>
      <c r="U49" s="474"/>
      <c r="V49" s="474"/>
      <c r="W49" s="474"/>
      <c r="X49" s="474"/>
      <c r="Y49" s="474"/>
      <c r="Z49" s="474"/>
      <c r="AA49" s="474"/>
      <c r="AB49" s="474"/>
      <c r="AC49" s="474"/>
      <c r="AD49" s="474"/>
      <c r="AE49" s="474"/>
      <c r="AF49" s="474"/>
    </row>
    <row r="50" spans="1:32" s="477" customFormat="1" ht="15" x14ac:dyDescent="0.25">
      <c r="A50" s="474"/>
      <c r="B50" s="1159" t="s">
        <v>315</v>
      </c>
      <c r="C50" s="1160"/>
      <c r="D50" s="482" t="s">
        <v>488</v>
      </c>
      <c r="E50" s="482" t="s">
        <v>489</v>
      </c>
      <c r="F50" s="482" t="s">
        <v>490</v>
      </c>
      <c r="G50" s="482" t="s">
        <v>40</v>
      </c>
      <c r="H50" s="492" t="s">
        <v>491</v>
      </c>
      <c r="I50" s="474"/>
      <c r="J50" s="474"/>
      <c r="K50" s="474"/>
      <c r="L50" s="474"/>
      <c r="M50" s="474"/>
      <c r="N50" s="474"/>
      <c r="O50" s="474"/>
      <c r="P50" s="474"/>
      <c r="Q50" s="474"/>
      <c r="R50" s="474"/>
      <c r="S50" s="474"/>
      <c r="T50" s="474"/>
      <c r="U50" s="474"/>
      <c r="V50" s="474"/>
      <c r="W50" s="474"/>
      <c r="X50" s="474"/>
      <c r="Y50" s="474"/>
      <c r="Z50" s="474"/>
      <c r="AA50" s="474"/>
      <c r="AB50" s="474"/>
      <c r="AC50" s="474"/>
      <c r="AD50" s="474"/>
      <c r="AE50" s="474"/>
      <c r="AF50" s="474"/>
    </row>
    <row r="51" spans="1:32" s="477" customFormat="1" ht="15" x14ac:dyDescent="0.25">
      <c r="A51" s="474"/>
      <c r="B51" s="1155" t="s">
        <v>492</v>
      </c>
      <c r="C51" s="1156"/>
      <c r="D51" s="483">
        <f>'GRR Calculations (2)'!S3</f>
        <v>4</v>
      </c>
      <c r="E51" s="483">
        <f>'GRR Calculations (2)'!T3</f>
        <v>1.9829999999920744E-4</v>
      </c>
      <c r="F51" s="483">
        <f>'GRR Calculations (2)'!U3</f>
        <v>4.9574999999801861E-5</v>
      </c>
      <c r="G51" s="493">
        <f>'GRR Calculations (2)'!V3</f>
        <v>2.9774774774544097</v>
      </c>
      <c r="H51" s="494">
        <f>'GRR Calculations (2)'!W3</f>
        <v>7.3637319810944762E-2</v>
      </c>
      <c r="I51" s="474"/>
      <c r="J51" s="474"/>
      <c r="K51" s="474"/>
      <c r="L51" s="474"/>
      <c r="M51" s="474"/>
      <c r="N51" s="474"/>
      <c r="O51" s="474"/>
      <c r="P51" s="474"/>
      <c r="Q51" s="474"/>
      <c r="R51" s="474"/>
      <c r="S51" s="474"/>
      <c r="T51" s="474"/>
      <c r="U51" s="474"/>
      <c r="V51" s="474"/>
      <c r="W51" s="474"/>
      <c r="X51" s="474"/>
      <c r="Y51" s="474"/>
      <c r="Z51" s="474"/>
      <c r="AA51" s="474"/>
      <c r="AB51" s="474"/>
      <c r="AC51" s="474"/>
      <c r="AD51" s="474"/>
      <c r="AE51" s="474"/>
      <c r="AF51" s="474"/>
    </row>
    <row r="52" spans="1:32" s="477" customFormat="1" ht="15" x14ac:dyDescent="0.25">
      <c r="A52" s="474"/>
      <c r="B52" s="1155" t="s">
        <v>476</v>
      </c>
      <c r="C52" s="1156"/>
      <c r="D52" s="483">
        <f>'GRR Calculations (2)'!S4</f>
        <v>1</v>
      </c>
      <c r="E52" s="483">
        <f>'GRR Calculations (2)'!T4</f>
        <v>9.2449999998578392E-5</v>
      </c>
      <c r="F52" s="483">
        <f>'GRR Calculations (2)'!U4</f>
        <v>9.2449999998578392E-5</v>
      </c>
      <c r="G52" s="493">
        <f>'GRR Calculations (2)'!V4</f>
        <v>5.552552552446345</v>
      </c>
      <c r="H52" s="494">
        <f>'GRR Calculations (2)'!W4</f>
        <v>4.0200387943998411E-2</v>
      </c>
      <c r="I52" s="474"/>
      <c r="J52" s="474"/>
      <c r="K52" s="474"/>
      <c r="L52" s="474"/>
      <c r="M52" s="474"/>
      <c r="N52" s="474"/>
      <c r="O52" s="474"/>
      <c r="P52" s="474"/>
      <c r="Q52" s="474"/>
      <c r="R52" s="474"/>
      <c r="S52" s="474"/>
      <c r="T52" s="474"/>
      <c r="U52" s="474"/>
      <c r="V52" s="474"/>
      <c r="W52" s="474"/>
      <c r="X52" s="474"/>
      <c r="Y52" s="474"/>
      <c r="Z52" s="474"/>
      <c r="AA52" s="474"/>
      <c r="AB52" s="474"/>
      <c r="AC52" s="474"/>
      <c r="AD52" s="474"/>
      <c r="AE52" s="474"/>
      <c r="AF52" s="474"/>
    </row>
    <row r="53" spans="1:32" s="477" customFormat="1" ht="15" x14ac:dyDescent="0.25">
      <c r="A53" s="474"/>
      <c r="B53" s="1155" t="s">
        <v>493</v>
      </c>
      <c r="C53" s="1156"/>
      <c r="D53" s="483">
        <f>'GRR Calculations (2)'!S5</f>
        <v>4</v>
      </c>
      <c r="E53" s="483">
        <f>'GRR Calculations (2)'!T5</f>
        <v>9.7300000000188902E-5</v>
      </c>
      <c r="F53" s="483">
        <f>'GRR Calculations (2)'!U5</f>
        <v>2.4325000000047226E-5</v>
      </c>
      <c r="G53" s="493">
        <f>'GRR Calculations (2)'!V5</f>
        <v>1.4609609609583178</v>
      </c>
      <c r="H53" s="494">
        <f>'GRR Calculations (2)'!W5</f>
        <v>0.28487700079063039</v>
      </c>
      <c r="I53" s="474"/>
      <c r="J53" s="474"/>
      <c r="K53" s="474"/>
      <c r="L53" s="474"/>
      <c r="M53" s="474"/>
      <c r="N53" s="474"/>
      <c r="O53" s="474"/>
      <c r="P53" s="474"/>
      <c r="Q53" s="474"/>
      <c r="R53" s="474"/>
      <c r="S53" s="474"/>
      <c r="T53" s="474"/>
      <c r="U53" s="474"/>
      <c r="V53" s="474"/>
      <c r="W53" s="474"/>
      <c r="X53" s="474"/>
      <c r="Y53" s="474"/>
      <c r="Z53" s="474"/>
      <c r="AA53" s="474"/>
      <c r="AB53" s="474"/>
      <c r="AC53" s="474"/>
      <c r="AD53" s="474"/>
      <c r="AE53" s="474"/>
      <c r="AF53" s="474"/>
    </row>
    <row r="54" spans="1:32" s="477" customFormat="1" ht="15" x14ac:dyDescent="0.25">
      <c r="A54" s="474"/>
      <c r="B54" s="1155" t="s">
        <v>494</v>
      </c>
      <c r="C54" s="1156"/>
      <c r="D54" s="483">
        <f>'GRR Calculations (2)'!S6</f>
        <v>10</v>
      </c>
      <c r="E54" s="483">
        <f>'GRR Calculations (2)'!T6</f>
        <v>1.6650000000062448E-4</v>
      </c>
      <c r="F54" s="483">
        <f>'GRR Calculations (2)'!U6</f>
        <v>1.6650000000062448E-5</v>
      </c>
      <c r="G54" s="483"/>
      <c r="H54" s="495"/>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4"/>
    </row>
    <row r="55" spans="1:32" s="477" customFormat="1" ht="15" x14ac:dyDescent="0.25">
      <c r="A55" s="474"/>
      <c r="B55" s="1155" t="s">
        <v>495</v>
      </c>
      <c r="C55" s="1156"/>
      <c r="D55" s="483">
        <f>'GRR Calculations (2)'!S7</f>
        <v>19</v>
      </c>
      <c r="E55" s="483">
        <f>'GRR Calculations (2)'!T7</f>
        <v>5.5454999999859922E-4</v>
      </c>
      <c r="F55" s="483"/>
      <c r="G55" s="483"/>
      <c r="H55" s="495"/>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row>
    <row r="56" spans="1:32" s="477" customFormat="1" ht="15" x14ac:dyDescent="0.25">
      <c r="A56" s="474"/>
      <c r="B56" s="721"/>
      <c r="C56" s="481"/>
      <c r="D56" s="481"/>
      <c r="E56" s="481"/>
      <c r="F56" s="481"/>
      <c r="G56" s="481"/>
      <c r="H56" s="487"/>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row>
    <row r="57" spans="1:32" s="477" customFormat="1" ht="15" x14ac:dyDescent="0.25">
      <c r="A57" s="474"/>
      <c r="B57" s="735" t="s">
        <v>496</v>
      </c>
      <c r="C57" s="723"/>
      <c r="D57" s="723"/>
      <c r="E57" s="723"/>
      <c r="F57" s="723"/>
      <c r="G57" s="723"/>
      <c r="H57" s="736"/>
      <c r="I57" s="474"/>
      <c r="J57" s="474"/>
      <c r="K57" s="474"/>
      <c r="L57" s="474"/>
      <c r="M57" s="474"/>
      <c r="N57" s="474"/>
      <c r="O57" s="474"/>
      <c r="P57" s="474"/>
      <c r="Q57" s="474"/>
      <c r="R57" s="474"/>
      <c r="S57" s="474"/>
      <c r="T57" s="474"/>
      <c r="U57" s="474"/>
      <c r="V57" s="474"/>
      <c r="W57" s="474"/>
      <c r="X57" s="474"/>
      <c r="Y57" s="474"/>
      <c r="Z57" s="474"/>
      <c r="AA57" s="474"/>
      <c r="AB57" s="474"/>
      <c r="AC57" s="474"/>
      <c r="AD57" s="474"/>
      <c r="AE57" s="474"/>
      <c r="AF57" s="474"/>
    </row>
    <row r="58" spans="1:32" ht="15" x14ac:dyDescent="0.25">
      <c r="A58" s="476"/>
      <c r="B58" s="476"/>
      <c r="C58" s="476"/>
      <c r="D58" s="476"/>
      <c r="E58" s="476"/>
      <c r="F58" s="476"/>
      <c r="G58" s="476"/>
      <c r="H58" s="476"/>
      <c r="I58" s="476"/>
      <c r="J58" s="476"/>
      <c r="K58" s="476"/>
      <c r="L58" s="476"/>
      <c r="M58" s="476"/>
      <c r="N58" s="476"/>
      <c r="O58" s="476"/>
      <c r="P58" s="476"/>
      <c r="Q58" s="476"/>
      <c r="R58" s="476"/>
      <c r="S58" s="474"/>
      <c r="T58" s="474"/>
      <c r="U58" s="474"/>
      <c r="V58" s="474"/>
      <c r="W58" s="474"/>
      <c r="X58" s="474"/>
      <c r="Y58" s="474"/>
      <c r="Z58" s="474"/>
      <c r="AA58" s="474"/>
      <c r="AB58" s="474"/>
      <c r="AC58" s="474"/>
      <c r="AD58" s="474"/>
      <c r="AE58" s="474"/>
      <c r="AF58" s="474"/>
    </row>
    <row r="59" spans="1:32" ht="13.2" hidden="1" x14ac:dyDescent="0.25"/>
    <row r="60" spans="1:32" ht="13.2" hidden="1" x14ac:dyDescent="0.25"/>
    <row r="61" spans="1:32" ht="13.2" hidden="1" x14ac:dyDescent="0.25"/>
    <row r="62" spans="1:32" ht="13.2" hidden="1" x14ac:dyDescent="0.25"/>
    <row r="63" spans="1:32" ht="13.2" hidden="1" x14ac:dyDescent="0.25"/>
    <row r="64" spans="1:32" ht="13.2" hidden="1" x14ac:dyDescent="0.25"/>
    <row r="65" ht="13.2" hidden="1" x14ac:dyDescent="0.25"/>
    <row r="66" ht="13.2" hidden="1" x14ac:dyDescent="0.25"/>
    <row r="67" ht="13.2" hidden="1" x14ac:dyDescent="0.25"/>
    <row r="68" ht="13.2" hidden="1" x14ac:dyDescent="0.25"/>
    <row r="69" ht="13.2" hidden="1" x14ac:dyDescent="0.25"/>
    <row r="70" ht="13.2" hidden="1" x14ac:dyDescent="0.25"/>
    <row r="71" ht="13.2" hidden="1" x14ac:dyDescent="0.25"/>
    <row r="72" ht="13.2" hidden="1" x14ac:dyDescent="0.25"/>
    <row r="73" ht="13.2" hidden="1" x14ac:dyDescent="0.25"/>
    <row r="74" ht="13.2" hidden="1" x14ac:dyDescent="0.25"/>
    <row r="75" ht="13.2" hidden="1" x14ac:dyDescent="0.25"/>
    <row r="76" ht="13.2" hidden="1" x14ac:dyDescent="0.25"/>
    <row r="77" ht="13.2" hidden="1" x14ac:dyDescent="0.25"/>
    <row r="78" ht="13.2" hidden="1" x14ac:dyDescent="0.25"/>
    <row r="79" ht="13.2" hidden="1" x14ac:dyDescent="0.25"/>
    <row r="80" ht="13.2" hidden="1" x14ac:dyDescent="0.25"/>
    <row r="81" ht="13.2" hidden="1" x14ac:dyDescent="0.25"/>
    <row r="82" ht="13.2" hidden="1" x14ac:dyDescent="0.25"/>
    <row r="83" ht="13.2" hidden="1" x14ac:dyDescent="0.25"/>
    <row r="84" ht="13.2" hidden="1" x14ac:dyDescent="0.25"/>
    <row r="85" ht="13.2" hidden="1" x14ac:dyDescent="0.25"/>
    <row r="86" ht="13.2" hidden="1" x14ac:dyDescent="0.25"/>
    <row r="87" ht="13.2" hidden="1" x14ac:dyDescent="0.25"/>
    <row r="88" ht="13.2" hidden="1" x14ac:dyDescent="0.25"/>
    <row r="89" ht="13.2" hidden="1" x14ac:dyDescent="0.25"/>
    <row r="90" ht="13.2" hidden="1" x14ac:dyDescent="0.25"/>
    <row r="91" ht="13.2" hidden="1" x14ac:dyDescent="0.25"/>
    <row r="92" ht="13.2" hidden="1" x14ac:dyDescent="0.25"/>
    <row r="93" ht="13.2" hidden="1" x14ac:dyDescent="0.25"/>
    <row r="94" ht="13.2" hidden="1" x14ac:dyDescent="0.25"/>
    <row r="95" ht="13.2" hidden="1" x14ac:dyDescent="0.25"/>
    <row r="96" ht="13.2" hidden="1" x14ac:dyDescent="0.25"/>
    <row r="97" ht="13.2" hidden="1" x14ac:dyDescent="0.25"/>
    <row r="98" ht="13.2" hidden="1" x14ac:dyDescent="0.25"/>
    <row r="99" ht="13.2" hidden="1" x14ac:dyDescent="0.25"/>
    <row r="100" ht="13.2" hidden="1" x14ac:dyDescent="0.25"/>
    <row r="101" ht="13.2" hidden="1" x14ac:dyDescent="0.25"/>
    <row r="102" ht="13.2" hidden="1" x14ac:dyDescent="0.25"/>
    <row r="103" ht="13.2" hidden="1" x14ac:dyDescent="0.25"/>
    <row r="104" ht="13.2" hidden="1" x14ac:dyDescent="0.25"/>
    <row r="105" ht="13.2" hidden="1" x14ac:dyDescent="0.25"/>
    <row r="106" ht="13.2" hidden="1" x14ac:dyDescent="0.25"/>
    <row r="107" ht="13.2" hidden="1" x14ac:dyDescent="0.25"/>
    <row r="108" ht="13.2" hidden="1" x14ac:dyDescent="0.25"/>
    <row r="109" ht="13.2" hidden="1" x14ac:dyDescent="0.25"/>
    <row r="110" ht="13.2" hidden="1" x14ac:dyDescent="0.25"/>
    <row r="111" ht="13.2" hidden="1" x14ac:dyDescent="0.25"/>
    <row r="112" ht="13.2" hidden="1" x14ac:dyDescent="0.25"/>
    <row r="113" ht="13.2" hidden="1" x14ac:dyDescent="0.25"/>
    <row r="114" ht="13.2" hidden="1" x14ac:dyDescent="0.25"/>
    <row r="115" ht="13.2" hidden="1" x14ac:dyDescent="0.25"/>
    <row r="116" ht="13.2" hidden="1" x14ac:dyDescent="0.25"/>
    <row r="117" ht="13.2" hidden="1" x14ac:dyDescent="0.25"/>
    <row r="118" ht="13.2" hidden="1" x14ac:dyDescent="0.25"/>
    <row r="119" ht="13.2" hidden="1" x14ac:dyDescent="0.25"/>
    <row r="120" ht="13.2" hidden="1" x14ac:dyDescent="0.25"/>
    <row r="121" ht="13.2" hidden="1" x14ac:dyDescent="0.25"/>
    <row r="122" ht="13.2" hidden="1" x14ac:dyDescent="0.25"/>
    <row r="123" ht="13.2" hidden="1" x14ac:dyDescent="0.25"/>
    <row r="124" ht="13.2" hidden="1" x14ac:dyDescent="0.25"/>
    <row r="125" ht="13.2" hidden="1" x14ac:dyDescent="0.25"/>
    <row r="126" ht="13.2" hidden="1" x14ac:dyDescent="0.25"/>
    <row r="127" ht="13.2" hidden="1" x14ac:dyDescent="0.25"/>
    <row r="128" ht="13.2" hidden="1" x14ac:dyDescent="0.25"/>
  </sheetData>
  <mergeCells count="81">
    <mergeCell ref="T1:V1"/>
    <mergeCell ref="B2:C2"/>
    <mergeCell ref="D2:F2"/>
    <mergeCell ref="H2:I2"/>
    <mergeCell ref="J2:L2"/>
    <mergeCell ref="N2:O2"/>
    <mergeCell ref="P2:R2"/>
    <mergeCell ref="P4:R4"/>
    <mergeCell ref="B3:C3"/>
    <mergeCell ref="D3:F3"/>
    <mergeCell ref="H3:I3"/>
    <mergeCell ref="J3:L3"/>
    <mergeCell ref="N3:O3"/>
    <mergeCell ref="P3:R3"/>
    <mergeCell ref="B4:C4"/>
    <mergeCell ref="D4:F4"/>
    <mergeCell ref="H4:I4"/>
    <mergeCell ref="J4:L4"/>
    <mergeCell ref="N4:O4"/>
    <mergeCell ref="B7:H7"/>
    <mergeCell ref="K7:Q7"/>
    <mergeCell ref="H10:H11"/>
    <mergeCell ref="Q10:Q11"/>
    <mergeCell ref="B11:C11"/>
    <mergeCell ref="K11:L11"/>
    <mergeCell ref="B17:C17"/>
    <mergeCell ref="B18:C18"/>
    <mergeCell ref="K18:L18"/>
    <mergeCell ref="B20:C20"/>
    <mergeCell ref="B12:C12"/>
    <mergeCell ref="K12:L12"/>
    <mergeCell ref="B13:C13"/>
    <mergeCell ref="K13:L13"/>
    <mergeCell ref="B14:C14"/>
    <mergeCell ref="K14:L14"/>
    <mergeCell ref="M24:M25"/>
    <mergeCell ref="O24:O25"/>
    <mergeCell ref="Q24:Q25"/>
    <mergeCell ref="K15:L15"/>
    <mergeCell ref="K16:L16"/>
    <mergeCell ref="B25:C25"/>
    <mergeCell ref="K25:L25"/>
    <mergeCell ref="B26:C26"/>
    <mergeCell ref="K26:L26"/>
    <mergeCell ref="B27:C27"/>
    <mergeCell ref="K27:L27"/>
    <mergeCell ref="D24:D25"/>
    <mergeCell ref="F24:F25"/>
    <mergeCell ref="H24:H25"/>
    <mergeCell ref="O36:O37"/>
    <mergeCell ref="Q36:Q37"/>
    <mergeCell ref="B28:C28"/>
    <mergeCell ref="K28:L28"/>
    <mergeCell ref="K29:L29"/>
    <mergeCell ref="K30:L30"/>
    <mergeCell ref="B31:C31"/>
    <mergeCell ref="B32:C32"/>
    <mergeCell ref="K44:M44"/>
    <mergeCell ref="B37:C37"/>
    <mergeCell ref="K37:L37"/>
    <mergeCell ref="B38:C38"/>
    <mergeCell ref="K38:L38"/>
    <mergeCell ref="B39:C39"/>
    <mergeCell ref="K39:L39"/>
    <mergeCell ref="D36:D37"/>
    <mergeCell ref="F36:F37"/>
    <mergeCell ref="H36:H37"/>
    <mergeCell ref="M36:M37"/>
    <mergeCell ref="B40:C40"/>
    <mergeCell ref="K40:L40"/>
    <mergeCell ref="K41:L41"/>
    <mergeCell ref="K42:L42"/>
    <mergeCell ref="B43:C43"/>
    <mergeCell ref="B44:C44"/>
    <mergeCell ref="B55:C55"/>
    <mergeCell ref="B46:D46"/>
    <mergeCell ref="B50:C50"/>
    <mergeCell ref="B51:C51"/>
    <mergeCell ref="B52:C52"/>
    <mergeCell ref="B53:C53"/>
    <mergeCell ref="B54:C54"/>
  </mergeCells>
  <hyperlinks>
    <hyperlink ref="T1" location="Menu!A1" display="Return to menu" xr:uid="{1C5DAEDE-46B3-43C3-896A-92ABEBAC55CC}"/>
  </hyperlinks>
  <printOptions horizontalCentered="1" verticalCentered="1"/>
  <pageMargins left="0" right="0" top="0" bottom="0" header="0" footer="0.5"/>
  <pageSetup scale="70" orientation="landscape" verticalDpi="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pageSetUpPr fitToPage="1"/>
  </sheetPr>
  <dimension ref="A1:Y501"/>
  <sheetViews>
    <sheetView zoomScale="85" zoomScaleNormal="85" zoomScalePageLayoutView="80" workbookViewId="0">
      <selection activeCell="R1" sqref="R1:T1"/>
    </sheetView>
  </sheetViews>
  <sheetFormatPr defaultColWidth="8.88671875" defaultRowHeight="14.4" x14ac:dyDescent="0.3"/>
  <cols>
    <col min="1" max="1" width="19.109375" bestFit="1" customWidth="1"/>
    <col min="21" max="22" width="8.88671875" hidden="1" customWidth="1"/>
    <col min="23" max="23" width="10" hidden="1" customWidth="1"/>
    <col min="24" max="24" width="8.88671875" hidden="1" customWidth="1"/>
    <col min="25" max="25" width="15.21875" hidden="1" customWidth="1"/>
    <col min="32" max="32" width="16.21875" bestFit="1" customWidth="1"/>
    <col min="35" max="35" width="15.88671875" customWidth="1"/>
    <col min="36" max="36" width="20.6640625" bestFit="1" customWidth="1"/>
  </cols>
  <sheetData>
    <row r="1" spans="1:25" ht="21" x14ac:dyDescent="0.4">
      <c r="A1" s="130" t="s">
        <v>0</v>
      </c>
      <c r="R1" s="1034" t="s">
        <v>19</v>
      </c>
      <c r="S1" s="1034"/>
      <c r="T1" s="1034"/>
      <c r="U1" s="1" t="s">
        <v>1</v>
      </c>
      <c r="V1" s="1" t="s">
        <v>2</v>
      </c>
      <c r="W1" s="1" t="s">
        <v>3</v>
      </c>
      <c r="X1" s="1" t="s">
        <v>6</v>
      </c>
      <c r="Y1" s="1" t="s">
        <v>8</v>
      </c>
    </row>
    <row r="2" spans="1:25" x14ac:dyDescent="0.3">
      <c r="A2" s="2">
        <v>101.1038754493262</v>
      </c>
      <c r="U2" s="3">
        <f>MIN(A2:A501)*0.99</f>
        <v>92.092921179729601</v>
      </c>
      <c r="V2" s="1" t="str">
        <f>IF(D5&lt;V3,D5,"")</f>
        <v/>
      </c>
      <c r="W2" s="1"/>
      <c r="X2" s="1" t="str">
        <f>IF(V2&lt;&gt;"",MAX(W3:W12),"")</f>
        <v/>
      </c>
      <c r="Y2" s="1"/>
    </row>
    <row r="3" spans="1:25" x14ac:dyDescent="0.3">
      <c r="A3" s="2">
        <v>100.28933474327752</v>
      </c>
      <c r="U3" s="3">
        <f t="shared" ref="U3:U11" si="0">U2+($U$12-$U$2)*0.1</f>
        <v>93.506084566378576</v>
      </c>
      <c r="V3" s="4">
        <f t="shared" ref="V3:V12" si="1">AVERAGE(U2:U3)</f>
        <v>92.799502873054081</v>
      </c>
      <c r="W3" s="1">
        <f>FREQUENCY($A$2:$A$501,U2:U3)</f>
        <v>0</v>
      </c>
      <c r="X3" s="1" t="str">
        <f t="shared" ref="X3:X12" si="2">IF($D$5&gt;$V3,"",IF($D$5&gt;$V2,MAX($W$3:$W$12),""))</f>
        <v/>
      </c>
      <c r="Y3" s="1" t="str">
        <f t="shared" ref="Y3:Y12" si="3">IF($D$6&gt;$V3,"",IF($D$6&gt;$V2,MAX($W$3:$W$12),""))</f>
        <v/>
      </c>
    </row>
    <row r="4" spans="1:25" ht="18" x14ac:dyDescent="0.35">
      <c r="A4" s="2">
        <v>99.039507807269729</v>
      </c>
      <c r="C4" s="130" t="s">
        <v>4</v>
      </c>
      <c r="D4" s="132"/>
      <c r="F4" s="687"/>
      <c r="G4" s="688"/>
      <c r="H4" s="688"/>
      <c r="I4" s="688"/>
      <c r="J4" s="688"/>
      <c r="K4" s="688"/>
      <c r="L4" s="688"/>
      <c r="M4" s="688"/>
      <c r="N4" s="688"/>
      <c r="O4" s="688"/>
      <c r="P4" s="688"/>
      <c r="Q4" s="689"/>
      <c r="U4" s="3">
        <f t="shared" si="0"/>
        <v>94.919247953027551</v>
      </c>
      <c r="V4" s="4">
        <f t="shared" si="1"/>
        <v>94.21266625970307</v>
      </c>
      <c r="W4" s="1">
        <f>FREQUENCY($A$2:$A$501,U3:U4)-W3</f>
        <v>1</v>
      </c>
      <c r="X4" s="1" t="str">
        <f t="shared" si="2"/>
        <v/>
      </c>
      <c r="Y4" s="1" t="str">
        <f t="shared" si="3"/>
        <v/>
      </c>
    </row>
    <row r="5" spans="1:25" x14ac:dyDescent="0.3">
      <c r="A5" s="2">
        <v>102.74702636060779</v>
      </c>
      <c r="C5" t="s">
        <v>6</v>
      </c>
      <c r="D5" s="5">
        <v>95</v>
      </c>
      <c r="F5" s="690"/>
      <c r="Q5" s="691"/>
      <c r="U5" s="3">
        <f t="shared" si="0"/>
        <v>96.332411339676526</v>
      </c>
      <c r="V5" s="4">
        <f t="shared" si="1"/>
        <v>95.625829646352031</v>
      </c>
      <c r="W5" s="1">
        <f>FREQUENCY($A$2:$A$501,U4:U5)-SUM($W$3:W4)</f>
        <v>3</v>
      </c>
      <c r="X5" s="1">
        <f t="shared" si="2"/>
        <v>141</v>
      </c>
      <c r="Y5" s="1" t="str">
        <f t="shared" si="3"/>
        <v/>
      </c>
    </row>
    <row r="6" spans="1:25" x14ac:dyDescent="0.3">
      <c r="A6" s="2">
        <v>99.200399232285392</v>
      </c>
      <c r="C6" t="s">
        <v>8</v>
      </c>
      <c r="D6" s="5">
        <v>105</v>
      </c>
      <c r="F6" s="690"/>
      <c r="Q6" s="691"/>
      <c r="U6" s="3">
        <f t="shared" si="0"/>
        <v>97.745574726325501</v>
      </c>
      <c r="V6" s="4">
        <f t="shared" si="1"/>
        <v>97.03899303300102</v>
      </c>
      <c r="W6" s="1">
        <f>FREQUENCY($A$2:$A$501,U5:U6)-SUM($W$3:W5)</f>
        <v>14</v>
      </c>
      <c r="X6" s="1" t="str">
        <f t="shared" si="2"/>
        <v/>
      </c>
      <c r="Y6" s="1" t="str">
        <f t="shared" si="3"/>
        <v/>
      </c>
    </row>
    <row r="7" spans="1:25" x14ac:dyDescent="0.3">
      <c r="A7" s="2">
        <v>99.323149518507805</v>
      </c>
      <c r="F7" s="690"/>
      <c r="Q7" s="691"/>
      <c r="U7" s="3">
        <f t="shared" si="0"/>
        <v>99.158738112974476</v>
      </c>
      <c r="V7" s="4">
        <f t="shared" si="1"/>
        <v>98.452156419649981</v>
      </c>
      <c r="W7" s="1">
        <f>FREQUENCY($A$2:$A$501,U6:U7)-SUM($W$3:W6)</f>
        <v>49</v>
      </c>
      <c r="X7" s="1" t="str">
        <f t="shared" si="2"/>
        <v/>
      </c>
      <c r="Y7" s="1" t="str">
        <f t="shared" si="3"/>
        <v/>
      </c>
    </row>
    <row r="8" spans="1:25" x14ac:dyDescent="0.3">
      <c r="A8" s="2">
        <v>100.89453172024315</v>
      </c>
      <c r="F8" s="690"/>
      <c r="Q8" s="691"/>
      <c r="U8" s="3">
        <f t="shared" si="0"/>
        <v>100.57190149962345</v>
      </c>
      <c r="V8" s="4">
        <f t="shared" si="1"/>
        <v>99.86531980629897</v>
      </c>
      <c r="W8" s="1">
        <f>FREQUENCY($A$2:$A$501,U7:U8)-SUM($W$3:W7)</f>
        <v>100</v>
      </c>
      <c r="X8" s="1" t="str">
        <f t="shared" si="2"/>
        <v/>
      </c>
      <c r="Y8" s="1" t="str">
        <f t="shared" si="3"/>
        <v/>
      </c>
    </row>
    <row r="9" spans="1:25" x14ac:dyDescent="0.3">
      <c r="A9" s="2">
        <v>98.375250007577108</v>
      </c>
      <c r="F9" s="690"/>
      <c r="Q9" s="691"/>
      <c r="U9" s="3">
        <f t="shared" si="0"/>
        <v>101.98506488627243</v>
      </c>
      <c r="V9" s="4">
        <f t="shared" si="1"/>
        <v>101.27848319294793</v>
      </c>
      <c r="W9" s="1">
        <f>FREQUENCY($A$2:$A$501,U8:U9)-SUM($W$3:W8)</f>
        <v>141</v>
      </c>
      <c r="X9" s="1" t="str">
        <f t="shared" si="2"/>
        <v/>
      </c>
      <c r="Y9" s="1" t="str">
        <f t="shared" si="3"/>
        <v/>
      </c>
    </row>
    <row r="10" spans="1:25" x14ac:dyDescent="0.3">
      <c r="A10" s="2">
        <v>103.65872363899832</v>
      </c>
      <c r="F10" s="690"/>
      <c r="Q10" s="691"/>
      <c r="U10" s="3">
        <f t="shared" si="0"/>
        <v>103.3982282729214</v>
      </c>
      <c r="V10" s="4">
        <f t="shared" si="1"/>
        <v>102.69164657959692</v>
      </c>
      <c r="W10" s="1">
        <f>FREQUENCY($A$2:$A$501,U9:U10)-SUM($W$3:W9)</f>
        <v>118</v>
      </c>
      <c r="X10" s="1" t="str">
        <f t="shared" si="2"/>
        <v/>
      </c>
      <c r="Y10" s="1" t="str">
        <f t="shared" si="3"/>
        <v/>
      </c>
    </row>
    <row r="11" spans="1:25" x14ac:dyDescent="0.3">
      <c r="A11" s="2">
        <v>98.095619487563198</v>
      </c>
      <c r="F11" s="690"/>
      <c r="Q11" s="691"/>
      <c r="U11" s="3">
        <f t="shared" si="0"/>
        <v>104.81139165957038</v>
      </c>
      <c r="V11" s="4">
        <f t="shared" si="1"/>
        <v>104.10480996624588</v>
      </c>
      <c r="W11" s="1">
        <f>FREQUENCY($A$2:$A$501,U10:U11)-SUM($W$3:W10)</f>
        <v>51</v>
      </c>
      <c r="X11" s="1" t="str">
        <f t="shared" si="2"/>
        <v/>
      </c>
      <c r="Y11" s="1" t="str">
        <f t="shared" si="3"/>
        <v/>
      </c>
    </row>
    <row r="12" spans="1:25" x14ac:dyDescent="0.3">
      <c r="A12" s="2">
        <v>97.708552843349722</v>
      </c>
      <c r="F12" s="690"/>
      <c r="Q12" s="691"/>
      <c r="U12" s="3">
        <f>MAX(A2:A501)*1.01</f>
        <v>106.22455504621931</v>
      </c>
      <c r="V12" s="4">
        <f t="shared" si="1"/>
        <v>105.51797335289484</v>
      </c>
      <c r="W12" s="1">
        <f>FREQUENCY($A$2:$A$501,U11:U12)-SUM($W$3:W11)</f>
        <v>19</v>
      </c>
      <c r="X12" s="1" t="str">
        <f t="shared" si="2"/>
        <v/>
      </c>
      <c r="Y12" s="1">
        <f t="shared" si="3"/>
        <v>141</v>
      </c>
    </row>
    <row r="13" spans="1:25" x14ac:dyDescent="0.3">
      <c r="A13" s="2">
        <v>99.764705119207704</v>
      </c>
      <c r="F13" s="690"/>
      <c r="Q13" s="691"/>
      <c r="U13" s="4"/>
      <c r="V13" s="4" t="str">
        <f>IF(D6&gt;V12,D6,"")</f>
        <v/>
      </c>
      <c r="W13" s="1"/>
      <c r="X13" s="1"/>
      <c r="Y13" s="1" t="str">
        <f>IF(V13&lt;&gt;"",MAX(W3:W13),"")</f>
        <v/>
      </c>
    </row>
    <row r="14" spans="1:25" x14ac:dyDescent="0.3">
      <c r="A14" s="2">
        <v>101.67435303057881</v>
      </c>
      <c r="F14" s="690"/>
      <c r="Q14" s="691"/>
    </row>
    <row r="15" spans="1:25" x14ac:dyDescent="0.3">
      <c r="A15" s="2">
        <v>98.767372177530817</v>
      </c>
      <c r="F15" s="690"/>
      <c r="Q15" s="691"/>
    </row>
    <row r="16" spans="1:25" x14ac:dyDescent="0.3">
      <c r="A16" s="2">
        <v>100.97760101832682</v>
      </c>
      <c r="F16" s="690"/>
      <c r="Q16" s="691"/>
    </row>
    <row r="17" spans="1:17" x14ac:dyDescent="0.3">
      <c r="A17" s="2">
        <v>99.366403612716056</v>
      </c>
      <c r="F17" s="690"/>
      <c r="Q17" s="691"/>
    </row>
    <row r="18" spans="1:17" x14ac:dyDescent="0.3">
      <c r="A18" s="2">
        <v>97.15454625845291</v>
      </c>
      <c r="F18" s="690"/>
      <c r="Q18" s="691"/>
    </row>
    <row r="19" spans="1:17" x14ac:dyDescent="0.3">
      <c r="A19" s="2">
        <v>99.136314892094958</v>
      </c>
      <c r="F19" s="690"/>
      <c r="Q19" s="691"/>
    </row>
    <row r="20" spans="1:17" x14ac:dyDescent="0.3">
      <c r="A20" s="2">
        <v>98.068425103459063</v>
      </c>
      <c r="F20" s="690"/>
      <c r="Q20" s="691"/>
    </row>
    <row r="21" spans="1:17" x14ac:dyDescent="0.3">
      <c r="A21" s="2">
        <v>100.49007457009881</v>
      </c>
      <c r="F21" s="690"/>
      <c r="Q21" s="691"/>
    </row>
    <row r="22" spans="1:17" x14ac:dyDescent="0.3">
      <c r="A22" s="2">
        <v>99.183646402170623</v>
      </c>
      <c r="F22" s="690"/>
      <c r="Q22" s="691"/>
    </row>
    <row r="23" spans="1:17" x14ac:dyDescent="0.3">
      <c r="A23" s="2">
        <v>102.37371803561915</v>
      </c>
      <c r="F23" s="692"/>
      <c r="G23" s="693"/>
      <c r="H23" s="693"/>
      <c r="I23" s="693"/>
      <c r="J23" s="693"/>
      <c r="K23" s="693"/>
      <c r="L23" s="693"/>
      <c r="M23" s="693"/>
      <c r="N23" s="693"/>
      <c r="O23" s="693"/>
      <c r="P23" s="693"/>
      <c r="Q23" s="694"/>
    </row>
    <row r="24" spans="1:17" ht="18" x14ac:dyDescent="0.35">
      <c r="A24" s="2">
        <v>100.37739099702374</v>
      </c>
      <c r="F24" s="1175" t="s">
        <v>925</v>
      </c>
      <c r="G24" s="1176"/>
      <c r="H24" s="1176"/>
      <c r="I24" s="1176"/>
      <c r="J24" s="1176"/>
      <c r="K24" s="1176"/>
      <c r="L24" s="1176"/>
      <c r="M24" s="1176"/>
      <c r="N24" s="1176"/>
      <c r="O24" s="1176"/>
      <c r="P24" s="1176"/>
      <c r="Q24" s="1177"/>
    </row>
    <row r="25" spans="1:17" x14ac:dyDescent="0.3">
      <c r="A25" s="2">
        <v>99.258036350877148</v>
      </c>
      <c r="F25" s="638"/>
      <c r="G25" s="684" t="s">
        <v>5</v>
      </c>
      <c r="H25" s="683">
        <f>AVERAGE(A2:A501)</f>
        <v>99.964983414850735</v>
      </c>
      <c r="I25" s="642"/>
      <c r="J25" s="684" t="s">
        <v>9</v>
      </c>
      <c r="K25" s="684"/>
      <c r="L25" s="752">
        <f>(D6-D5)/(6*H26)</f>
        <v>0.83635843409420718</v>
      </c>
      <c r="M25" s="642"/>
      <c r="N25" s="684" t="s">
        <v>14</v>
      </c>
      <c r="O25" s="684"/>
      <c r="P25" s="752">
        <f>L28*3</f>
        <v>2.4915034524889625</v>
      </c>
      <c r="Q25" s="639"/>
    </row>
    <row r="26" spans="1:17" x14ac:dyDescent="0.3">
      <c r="A26" s="2">
        <v>98.650107730227248</v>
      </c>
      <c r="F26" s="638"/>
      <c r="G26" s="684" t="s">
        <v>7</v>
      </c>
      <c r="H26" s="683">
        <f>STDEV(A2:A501)</f>
        <v>1.992766018401787</v>
      </c>
      <c r="I26" s="642"/>
      <c r="J26" s="684" t="s">
        <v>10</v>
      </c>
      <c r="K26" s="684"/>
      <c r="L26" s="752">
        <f>(H25-D5)/(3*H26)</f>
        <v>0.83050115082965414</v>
      </c>
      <c r="M26" s="642"/>
      <c r="N26" s="684" t="s">
        <v>16</v>
      </c>
      <c r="O26" s="684"/>
      <c r="P26" s="685">
        <f>NORMSDIST(P25)</f>
        <v>0.99363981345888452</v>
      </c>
      <c r="Q26" s="639"/>
    </row>
    <row r="27" spans="1:17" x14ac:dyDescent="0.3">
      <c r="A27" s="2">
        <v>99.365000142466272</v>
      </c>
      <c r="F27" s="638"/>
      <c r="G27" s="684" t="s">
        <v>6</v>
      </c>
      <c r="H27" s="683">
        <f>D5</f>
        <v>95</v>
      </c>
      <c r="I27" s="642"/>
      <c r="J27" s="684" t="s">
        <v>11</v>
      </c>
      <c r="K27" s="684"/>
      <c r="L27" s="752">
        <f>(D6-H25)/(3*H26)</f>
        <v>0.84221571735876033</v>
      </c>
      <c r="M27" s="642"/>
      <c r="N27" s="684" t="s">
        <v>15</v>
      </c>
      <c r="O27" s="684"/>
      <c r="P27" s="686">
        <f>L29*3</f>
        <v>0.99150345248896243</v>
      </c>
      <c r="Q27" s="639"/>
    </row>
    <row r="28" spans="1:17" x14ac:dyDescent="0.3">
      <c r="A28" s="2">
        <v>101.07011334822523</v>
      </c>
      <c r="F28" s="638"/>
      <c r="G28" s="684" t="s">
        <v>8</v>
      </c>
      <c r="H28" s="683">
        <f>D6</f>
        <v>105</v>
      </c>
      <c r="I28" s="642"/>
      <c r="J28" s="684" t="s">
        <v>12</v>
      </c>
      <c r="K28" s="684"/>
      <c r="L28" s="752">
        <f>MIN(L26:L27)</f>
        <v>0.83050115082965414</v>
      </c>
      <c r="M28" s="642"/>
      <c r="N28" s="684" t="s">
        <v>17</v>
      </c>
      <c r="O28" s="684"/>
      <c r="P28" s="685">
        <f>NORMSDIST(P27)</f>
        <v>0.8392800963236966</v>
      </c>
      <c r="Q28" s="639"/>
    </row>
    <row r="29" spans="1:17" x14ac:dyDescent="0.3">
      <c r="A29" s="2">
        <v>100.09091589481773</v>
      </c>
      <c r="F29" s="638"/>
      <c r="G29" s="642"/>
      <c r="H29" s="642"/>
      <c r="I29" s="642"/>
      <c r="J29" s="684" t="s">
        <v>13</v>
      </c>
      <c r="K29" s="684"/>
      <c r="L29" s="683">
        <f>L28-0.5</f>
        <v>0.33050115082965414</v>
      </c>
      <c r="M29" s="642"/>
      <c r="N29" s="642"/>
      <c r="O29" s="642"/>
      <c r="P29" s="642"/>
      <c r="Q29" s="639"/>
    </row>
    <row r="30" spans="1:17" x14ac:dyDescent="0.3">
      <c r="A30" s="2">
        <v>98.555470580412205</v>
      </c>
      <c r="F30" s="644"/>
      <c r="G30" s="645"/>
      <c r="H30" s="645"/>
      <c r="I30" s="645"/>
      <c r="J30" s="693"/>
      <c r="K30" s="693"/>
      <c r="L30" s="693"/>
      <c r="M30" s="693"/>
      <c r="N30" s="693"/>
      <c r="O30" s="693"/>
      <c r="P30" s="693"/>
      <c r="Q30" s="694"/>
    </row>
    <row r="31" spans="1:17" ht="18" x14ac:dyDescent="0.35">
      <c r="A31" s="2">
        <v>101.72286840416137</v>
      </c>
      <c r="F31" s="135"/>
    </row>
    <row r="32" spans="1:17" x14ac:dyDescent="0.3">
      <c r="A32" s="2">
        <v>100.10060570359249</v>
      </c>
    </row>
    <row r="33" spans="1:1" x14ac:dyDescent="0.3">
      <c r="A33" s="2">
        <v>100.31458147357468</v>
      </c>
    </row>
    <row r="34" spans="1:1" x14ac:dyDescent="0.3">
      <c r="A34" s="2">
        <v>101.86863417451964</v>
      </c>
    </row>
    <row r="35" spans="1:1" x14ac:dyDescent="0.3">
      <c r="A35" s="2">
        <v>99.706870510275053</v>
      </c>
    </row>
    <row r="36" spans="1:1" x14ac:dyDescent="0.3">
      <c r="A36" s="2">
        <v>101.47876373842402</v>
      </c>
    </row>
    <row r="37" spans="1:1" x14ac:dyDescent="0.3">
      <c r="A37" s="2">
        <v>97.453358886868202</v>
      </c>
    </row>
    <row r="38" spans="1:1" x14ac:dyDescent="0.3">
      <c r="A38" s="2">
        <v>99.274781145970266</v>
      </c>
    </row>
    <row r="39" spans="1:1" x14ac:dyDescent="0.3">
      <c r="A39" s="2">
        <v>99.656179575506769</v>
      </c>
    </row>
    <row r="40" spans="1:1" x14ac:dyDescent="0.3">
      <c r="A40" s="2">
        <v>99.248122564750176</v>
      </c>
    </row>
    <row r="41" spans="1:1" x14ac:dyDescent="0.3">
      <c r="A41" s="2">
        <v>103.51990821387191</v>
      </c>
    </row>
    <row r="42" spans="1:1" x14ac:dyDescent="0.3">
      <c r="A42" s="2">
        <v>98.531593432319141</v>
      </c>
    </row>
    <row r="43" spans="1:1" x14ac:dyDescent="0.3">
      <c r="A43" s="2">
        <v>95.10429495985494</v>
      </c>
    </row>
    <row r="44" spans="1:1" x14ac:dyDescent="0.3">
      <c r="A44" s="2">
        <v>101.44299743933459</v>
      </c>
    </row>
    <row r="45" spans="1:1" x14ac:dyDescent="0.3">
      <c r="A45" s="2">
        <v>100.33136619632275</v>
      </c>
    </row>
    <row r="46" spans="1:1" x14ac:dyDescent="0.3">
      <c r="A46" s="2">
        <v>96.692486175418935</v>
      </c>
    </row>
    <row r="47" spans="1:1" x14ac:dyDescent="0.3">
      <c r="A47" s="2">
        <v>100.10641549526861</v>
      </c>
    </row>
    <row r="48" spans="1:1" x14ac:dyDescent="0.3">
      <c r="A48" s="2">
        <v>97.955245114563297</v>
      </c>
    </row>
    <row r="49" spans="1:1" x14ac:dyDescent="0.3">
      <c r="A49" s="2">
        <v>101.03819025917014</v>
      </c>
    </row>
    <row r="50" spans="1:1" x14ac:dyDescent="0.3">
      <c r="A50" s="2">
        <v>100.27394264652554</v>
      </c>
    </row>
    <row r="51" spans="1:1" x14ac:dyDescent="0.3">
      <c r="A51" s="2">
        <v>98.019037616138306</v>
      </c>
    </row>
    <row r="52" spans="1:1" x14ac:dyDescent="0.3">
      <c r="A52" s="2">
        <v>101.47970597001461</v>
      </c>
    </row>
    <row r="53" spans="1:1" x14ac:dyDescent="0.3">
      <c r="A53" s="2">
        <v>98.825134537562889</v>
      </c>
    </row>
    <row r="54" spans="1:1" x14ac:dyDescent="0.3">
      <c r="A54" s="2">
        <v>97.718258820560209</v>
      </c>
    </row>
    <row r="55" spans="1:1" x14ac:dyDescent="0.3">
      <c r="A55" s="2">
        <v>99.725868380947745</v>
      </c>
    </row>
    <row r="56" spans="1:1" x14ac:dyDescent="0.3">
      <c r="A56" s="2">
        <v>99.583852918956822</v>
      </c>
    </row>
    <row r="57" spans="1:1" x14ac:dyDescent="0.3">
      <c r="A57" s="2">
        <v>101.81826372470161</v>
      </c>
    </row>
    <row r="58" spans="1:1" x14ac:dyDescent="0.3">
      <c r="A58" s="2">
        <v>93.023152706797575</v>
      </c>
    </row>
    <row r="59" spans="1:1" x14ac:dyDescent="0.3">
      <c r="A59" s="2">
        <v>100.04557376237472</v>
      </c>
    </row>
    <row r="60" spans="1:1" x14ac:dyDescent="0.3">
      <c r="A60" s="2">
        <v>99.64288294650612</v>
      </c>
    </row>
    <row r="61" spans="1:1" x14ac:dyDescent="0.3">
      <c r="A61" s="2">
        <v>101.24061098319227</v>
      </c>
    </row>
    <row r="62" spans="1:1" x14ac:dyDescent="0.3">
      <c r="A62" s="2">
        <v>100.63802389260918</v>
      </c>
    </row>
    <row r="63" spans="1:1" x14ac:dyDescent="0.3">
      <c r="A63" s="2">
        <v>94.693281470826889</v>
      </c>
    </row>
    <row r="64" spans="1:1" x14ac:dyDescent="0.3">
      <c r="A64" s="2">
        <v>103.64262262615705</v>
      </c>
    </row>
    <row r="65" spans="1:1" x14ac:dyDescent="0.3">
      <c r="A65" s="2">
        <v>100.76524760553697</v>
      </c>
    </row>
    <row r="66" spans="1:1" x14ac:dyDescent="0.3">
      <c r="A66" s="2">
        <v>98.587949083118019</v>
      </c>
    </row>
    <row r="67" spans="1:1" x14ac:dyDescent="0.3">
      <c r="A67" s="2">
        <v>101.1756963171056</v>
      </c>
    </row>
    <row r="68" spans="1:1" x14ac:dyDescent="0.3">
      <c r="A68" s="2">
        <v>102.56863142745897</v>
      </c>
    </row>
    <row r="69" spans="1:1" x14ac:dyDescent="0.3">
      <c r="A69" s="2">
        <v>102.30490326095784</v>
      </c>
    </row>
    <row r="70" spans="1:1" x14ac:dyDescent="0.3">
      <c r="A70" s="2">
        <v>100.93283826619883</v>
      </c>
    </row>
    <row r="71" spans="1:1" x14ac:dyDescent="0.3">
      <c r="A71" s="2">
        <v>103.81952636132846</v>
      </c>
    </row>
    <row r="72" spans="1:1" x14ac:dyDescent="0.3">
      <c r="A72" s="2">
        <v>99.891913997367183</v>
      </c>
    </row>
    <row r="73" spans="1:1" x14ac:dyDescent="0.3">
      <c r="A73" s="2">
        <v>98.023975410003857</v>
      </c>
    </row>
    <row r="74" spans="1:1" x14ac:dyDescent="0.3">
      <c r="A74" s="2">
        <v>102.69152862163443</v>
      </c>
    </row>
    <row r="75" spans="1:1" x14ac:dyDescent="0.3">
      <c r="A75" s="2">
        <v>100.15440316041361</v>
      </c>
    </row>
    <row r="76" spans="1:1" x14ac:dyDescent="0.3">
      <c r="A76" s="2">
        <v>98.843936085625359</v>
      </c>
    </row>
    <row r="77" spans="1:1" x14ac:dyDescent="0.3">
      <c r="A77" s="2">
        <v>100.33755804864619</v>
      </c>
    </row>
    <row r="78" spans="1:1" x14ac:dyDescent="0.3">
      <c r="A78" s="2">
        <v>102.69595034460008</v>
      </c>
    </row>
    <row r="79" spans="1:1" x14ac:dyDescent="0.3">
      <c r="A79" s="2">
        <v>98.675422015162724</v>
      </c>
    </row>
    <row r="80" spans="1:1" x14ac:dyDescent="0.3">
      <c r="A80" s="2">
        <v>98.057491315560455</v>
      </c>
    </row>
    <row r="81" spans="1:1" x14ac:dyDescent="0.3">
      <c r="A81" s="2">
        <v>98.84785558563614</v>
      </c>
    </row>
    <row r="82" spans="1:1" x14ac:dyDescent="0.3">
      <c r="A82" s="2">
        <v>101.42911652734601</v>
      </c>
    </row>
    <row r="83" spans="1:1" x14ac:dyDescent="0.3">
      <c r="A83" s="2">
        <v>101.7724491712503</v>
      </c>
    </row>
    <row r="84" spans="1:1" x14ac:dyDescent="0.3">
      <c r="A84" s="2">
        <v>94.441389939888978</v>
      </c>
    </row>
    <row r="85" spans="1:1" x14ac:dyDescent="0.3">
      <c r="A85" s="2">
        <v>101.06330750064154</v>
      </c>
    </row>
    <row r="86" spans="1:1" x14ac:dyDescent="0.3">
      <c r="A86" s="2">
        <v>98.216096344953826</v>
      </c>
    </row>
    <row r="87" spans="1:1" x14ac:dyDescent="0.3">
      <c r="A87" s="2">
        <v>101.05341609817643</v>
      </c>
    </row>
    <row r="88" spans="1:1" x14ac:dyDescent="0.3">
      <c r="A88" s="2">
        <v>100.12843595602041</v>
      </c>
    </row>
    <row r="89" spans="1:1" x14ac:dyDescent="0.3">
      <c r="A89" s="2">
        <v>100.81142229451309</v>
      </c>
    </row>
    <row r="90" spans="1:1" x14ac:dyDescent="0.3">
      <c r="A90" s="2">
        <v>99.172083022948371</v>
      </c>
    </row>
    <row r="91" spans="1:1" x14ac:dyDescent="0.3">
      <c r="A91" s="2">
        <v>101.58057813197887</v>
      </c>
    </row>
    <row r="92" spans="1:1" x14ac:dyDescent="0.3">
      <c r="A92" s="2">
        <v>97.069530945614815</v>
      </c>
    </row>
    <row r="93" spans="1:1" x14ac:dyDescent="0.3">
      <c r="A93" s="2">
        <v>99.925737557786306</v>
      </c>
    </row>
    <row r="94" spans="1:1" x14ac:dyDescent="0.3">
      <c r="A94" s="2">
        <v>99.907599167601973</v>
      </c>
    </row>
    <row r="95" spans="1:1" x14ac:dyDescent="0.3">
      <c r="A95" s="2">
        <v>98.827297082415427</v>
      </c>
    </row>
    <row r="96" spans="1:1" x14ac:dyDescent="0.3">
      <c r="A96" s="2">
        <v>101.05209743413511</v>
      </c>
    </row>
    <row r="97" spans="1:1" x14ac:dyDescent="0.3">
      <c r="A97" s="2">
        <v>100.10387391465633</v>
      </c>
    </row>
    <row r="98" spans="1:1" x14ac:dyDescent="0.3">
      <c r="A98" s="2">
        <v>101.4256688631605</v>
      </c>
    </row>
    <row r="99" spans="1:1" x14ac:dyDescent="0.3">
      <c r="A99" s="2">
        <v>102.13490327517304</v>
      </c>
    </row>
    <row r="100" spans="1:1" x14ac:dyDescent="0.3">
      <c r="A100" s="2">
        <v>101.84427748436049</v>
      </c>
    </row>
    <row r="101" spans="1:1" x14ac:dyDescent="0.3">
      <c r="A101" s="2">
        <v>98.418152866870628</v>
      </c>
    </row>
    <row r="102" spans="1:1" x14ac:dyDescent="0.3">
      <c r="A102" s="2">
        <v>97.803780423443825</v>
      </c>
    </row>
    <row r="103" spans="1:1" x14ac:dyDescent="0.3">
      <c r="A103" s="2">
        <v>100.32301183476737</v>
      </c>
    </row>
    <row r="104" spans="1:1" x14ac:dyDescent="0.3">
      <c r="A104" s="2">
        <v>96.503480656703118</v>
      </c>
    </row>
    <row r="105" spans="1:1" x14ac:dyDescent="0.3">
      <c r="A105" s="2">
        <v>103.82856431411011</v>
      </c>
    </row>
    <row r="106" spans="1:1" x14ac:dyDescent="0.3">
      <c r="A106" s="2">
        <v>98.466820206979079</v>
      </c>
    </row>
    <row r="107" spans="1:1" x14ac:dyDescent="0.3">
      <c r="A107" s="2">
        <v>103.24726924188043</v>
      </c>
    </row>
    <row r="108" spans="1:1" x14ac:dyDescent="0.3">
      <c r="A108" s="2">
        <v>99.78110577640436</v>
      </c>
    </row>
    <row r="109" spans="1:1" x14ac:dyDescent="0.3">
      <c r="A109" s="2">
        <v>100.32422691412501</v>
      </c>
    </row>
    <row r="110" spans="1:1" x14ac:dyDescent="0.3">
      <c r="A110" s="2">
        <v>96.618338927382496</v>
      </c>
    </row>
    <row r="111" spans="1:1" x14ac:dyDescent="0.3">
      <c r="A111" s="2">
        <v>101.27032797629445</v>
      </c>
    </row>
    <row r="112" spans="1:1" x14ac:dyDescent="0.3">
      <c r="A112" s="2">
        <v>98.843460183555635</v>
      </c>
    </row>
    <row r="113" spans="1:1" x14ac:dyDescent="0.3">
      <c r="A113" s="2">
        <v>102.77149871169303</v>
      </c>
    </row>
    <row r="114" spans="1:1" x14ac:dyDescent="0.3">
      <c r="A114" s="2">
        <v>99.682969090138101</v>
      </c>
    </row>
    <row r="115" spans="1:1" x14ac:dyDescent="0.3">
      <c r="A115" s="2">
        <v>97.903319662794729</v>
      </c>
    </row>
    <row r="116" spans="1:1" x14ac:dyDescent="0.3">
      <c r="A116" s="2">
        <v>98.267771329249044</v>
      </c>
    </row>
    <row r="117" spans="1:1" x14ac:dyDescent="0.3">
      <c r="A117" s="2">
        <v>102.67253857069227</v>
      </c>
    </row>
    <row r="118" spans="1:1" x14ac:dyDescent="0.3">
      <c r="A118" s="2">
        <v>96.308552549434339</v>
      </c>
    </row>
    <row r="119" spans="1:1" x14ac:dyDescent="0.3">
      <c r="A119" s="2">
        <v>99.534041327639443</v>
      </c>
    </row>
    <row r="120" spans="1:1" x14ac:dyDescent="0.3">
      <c r="A120" s="2">
        <v>100.07386370143006</v>
      </c>
    </row>
    <row r="121" spans="1:1" x14ac:dyDescent="0.3">
      <c r="A121" s="2">
        <v>100.28155859873313</v>
      </c>
    </row>
    <row r="122" spans="1:1" x14ac:dyDescent="0.3">
      <c r="A122" s="2">
        <v>97.267926948597932</v>
      </c>
    </row>
    <row r="123" spans="1:1" x14ac:dyDescent="0.3">
      <c r="A123" s="2">
        <v>98.453586294637205</v>
      </c>
    </row>
    <row r="124" spans="1:1" x14ac:dyDescent="0.3">
      <c r="A124" s="2">
        <v>99.52366658673229</v>
      </c>
    </row>
    <row r="125" spans="1:1" x14ac:dyDescent="0.3">
      <c r="A125" s="2">
        <v>104.0594294628076</v>
      </c>
    </row>
    <row r="126" spans="1:1" x14ac:dyDescent="0.3">
      <c r="A126" s="2">
        <v>101.66745110176178</v>
      </c>
    </row>
    <row r="127" spans="1:1" x14ac:dyDescent="0.3">
      <c r="A127" s="2">
        <v>101.29961055367987</v>
      </c>
    </row>
    <row r="128" spans="1:1" x14ac:dyDescent="0.3">
      <c r="A128" s="2">
        <v>101.02378743743905</v>
      </c>
    </row>
    <row r="129" spans="1:1" x14ac:dyDescent="0.3">
      <c r="A129" s="2">
        <v>97.953848828886478</v>
      </c>
    </row>
    <row r="130" spans="1:1" x14ac:dyDescent="0.3">
      <c r="A130" s="2">
        <v>99.726798618536307</v>
      </c>
    </row>
    <row r="131" spans="1:1" x14ac:dyDescent="0.3">
      <c r="A131" s="2">
        <v>101.13698831280975</v>
      </c>
    </row>
    <row r="132" spans="1:1" x14ac:dyDescent="0.3">
      <c r="A132" s="2">
        <v>102.96301222277908</v>
      </c>
    </row>
    <row r="133" spans="1:1" x14ac:dyDescent="0.3">
      <c r="A133" s="2">
        <v>99.690282386112372</v>
      </c>
    </row>
    <row r="134" spans="1:1" x14ac:dyDescent="0.3">
      <c r="A134" s="2">
        <v>100.47226668707894</v>
      </c>
    </row>
    <row r="135" spans="1:1" x14ac:dyDescent="0.3">
      <c r="A135" s="2">
        <v>102.55834258450648</v>
      </c>
    </row>
    <row r="136" spans="1:1" x14ac:dyDescent="0.3">
      <c r="A136" s="2">
        <v>96.669151577979534</v>
      </c>
    </row>
    <row r="137" spans="1:1" x14ac:dyDescent="0.3">
      <c r="A137" s="2">
        <v>100.88830353784063</v>
      </c>
    </row>
    <row r="138" spans="1:1" x14ac:dyDescent="0.3">
      <c r="A138" s="2">
        <v>101.03776550211865</v>
      </c>
    </row>
    <row r="139" spans="1:1" x14ac:dyDescent="0.3">
      <c r="A139" s="2">
        <v>102.32900940494517</v>
      </c>
    </row>
    <row r="140" spans="1:1" x14ac:dyDescent="0.3">
      <c r="A140" s="2">
        <v>101.65004912190446</v>
      </c>
    </row>
    <row r="141" spans="1:1" x14ac:dyDescent="0.3">
      <c r="A141" s="2">
        <v>99.52834949135115</v>
      </c>
    </row>
    <row r="142" spans="1:1" x14ac:dyDescent="0.3">
      <c r="A142" s="2">
        <v>101.27566130035015</v>
      </c>
    </row>
    <row r="143" spans="1:1" x14ac:dyDescent="0.3">
      <c r="A143" s="2">
        <v>100.59602374831566</v>
      </c>
    </row>
    <row r="144" spans="1:1" x14ac:dyDescent="0.3">
      <c r="A144" s="2">
        <v>100.00648952891382</v>
      </c>
    </row>
    <row r="145" spans="1:1" x14ac:dyDescent="0.3">
      <c r="A145" s="2">
        <v>99.102367575285683</v>
      </c>
    </row>
    <row r="146" spans="1:1" x14ac:dyDescent="0.3">
      <c r="A146" s="2">
        <v>96.940939689115382</v>
      </c>
    </row>
    <row r="147" spans="1:1" x14ac:dyDescent="0.3">
      <c r="A147" s="2">
        <v>101.13158863514882</v>
      </c>
    </row>
    <row r="148" spans="1:1" x14ac:dyDescent="0.3">
      <c r="A148" s="2">
        <v>101.6543115666359</v>
      </c>
    </row>
    <row r="149" spans="1:1" x14ac:dyDescent="0.3">
      <c r="A149" s="2">
        <v>102.38588861711462</v>
      </c>
    </row>
    <row r="150" spans="1:1" x14ac:dyDescent="0.3">
      <c r="A150" s="2">
        <v>100.13114693512001</v>
      </c>
    </row>
    <row r="151" spans="1:1" x14ac:dyDescent="0.3">
      <c r="A151" s="2">
        <v>98.750087231594577</v>
      </c>
    </row>
    <row r="152" spans="1:1" x14ac:dyDescent="0.3">
      <c r="A152" s="2">
        <v>94.95262217283549</v>
      </c>
    </row>
    <row r="153" spans="1:1" x14ac:dyDescent="0.3">
      <c r="A153" s="2">
        <v>98.063127764323283</v>
      </c>
    </row>
    <row r="154" spans="1:1" x14ac:dyDescent="0.3">
      <c r="A154" s="2">
        <v>100.13701046556615</v>
      </c>
    </row>
    <row r="155" spans="1:1" x14ac:dyDescent="0.3">
      <c r="A155" s="2">
        <v>101.99280934429316</v>
      </c>
    </row>
    <row r="156" spans="1:1" x14ac:dyDescent="0.3">
      <c r="A156" s="2">
        <v>101.07122004649034</v>
      </c>
    </row>
    <row r="157" spans="1:1" x14ac:dyDescent="0.3">
      <c r="A157" s="2">
        <v>99.67967872844973</v>
      </c>
    </row>
    <row r="158" spans="1:1" x14ac:dyDescent="0.3">
      <c r="A158" s="2">
        <v>99.633427987896653</v>
      </c>
    </row>
    <row r="159" spans="1:1" x14ac:dyDescent="0.3">
      <c r="A159" s="2">
        <v>95.728485681591479</v>
      </c>
    </row>
    <row r="160" spans="1:1" x14ac:dyDescent="0.3">
      <c r="A160" s="2">
        <v>101.68592861587874</v>
      </c>
    </row>
    <row r="161" spans="1:1" x14ac:dyDescent="0.3">
      <c r="A161" s="2">
        <v>97.894532835688494</v>
      </c>
    </row>
    <row r="162" spans="1:1" x14ac:dyDescent="0.3">
      <c r="A162" s="2">
        <v>100.39034775085972</v>
      </c>
    </row>
    <row r="163" spans="1:1" x14ac:dyDescent="0.3">
      <c r="A163" s="2">
        <v>101.06885383922612</v>
      </c>
    </row>
    <row r="164" spans="1:1" x14ac:dyDescent="0.3">
      <c r="A164" s="2">
        <v>98.755000724197345</v>
      </c>
    </row>
    <row r="165" spans="1:1" x14ac:dyDescent="0.3">
      <c r="A165" s="2">
        <v>98.418929440039875</v>
      </c>
    </row>
    <row r="166" spans="1:1" x14ac:dyDescent="0.3">
      <c r="A166" s="2">
        <v>97.51060862004104</v>
      </c>
    </row>
    <row r="167" spans="1:1" x14ac:dyDescent="0.3">
      <c r="A167" s="2">
        <v>97.080131441422026</v>
      </c>
    </row>
    <row r="168" spans="1:1" x14ac:dyDescent="0.3">
      <c r="A168" s="2">
        <v>99.154401132434089</v>
      </c>
    </row>
    <row r="169" spans="1:1" x14ac:dyDescent="0.3">
      <c r="A169" s="2">
        <v>100.07100201211983</v>
      </c>
    </row>
    <row r="170" spans="1:1" x14ac:dyDescent="0.3">
      <c r="A170" s="2">
        <v>101.79898927842852</v>
      </c>
    </row>
    <row r="171" spans="1:1" x14ac:dyDescent="0.3">
      <c r="A171" s="2">
        <v>100.03441811236459</v>
      </c>
    </row>
    <row r="172" spans="1:1" x14ac:dyDescent="0.3">
      <c r="A172" s="2">
        <v>101.58331177578401</v>
      </c>
    </row>
    <row r="173" spans="1:1" x14ac:dyDescent="0.3">
      <c r="A173" s="2">
        <v>100.34461624175974</v>
      </c>
    </row>
    <row r="174" spans="1:1" x14ac:dyDescent="0.3">
      <c r="A174" s="2">
        <v>96.556615233402709</v>
      </c>
    </row>
    <row r="175" spans="1:1" x14ac:dyDescent="0.3">
      <c r="A175" s="2">
        <v>100.35069870704685</v>
      </c>
    </row>
    <row r="176" spans="1:1" x14ac:dyDescent="0.3">
      <c r="A176" s="2">
        <v>101.03186866972602</v>
      </c>
    </row>
    <row r="177" spans="1:1" x14ac:dyDescent="0.3">
      <c r="A177" s="2">
        <v>102.6509908214704</v>
      </c>
    </row>
    <row r="178" spans="1:1" x14ac:dyDescent="0.3">
      <c r="A178" s="2">
        <v>103.66055758686998</v>
      </c>
    </row>
    <row r="179" spans="1:1" x14ac:dyDescent="0.3">
      <c r="A179" s="2">
        <v>100.18028401799485</v>
      </c>
    </row>
    <row r="180" spans="1:1" x14ac:dyDescent="0.3">
      <c r="A180" s="2">
        <v>101.4464515647462</v>
      </c>
    </row>
    <row r="181" spans="1:1" x14ac:dyDescent="0.3">
      <c r="A181" s="2">
        <v>105.17282677843495</v>
      </c>
    </row>
    <row r="182" spans="1:1" x14ac:dyDescent="0.3">
      <c r="A182" s="2">
        <v>104.79793098199849</v>
      </c>
    </row>
    <row r="183" spans="1:1" x14ac:dyDescent="0.3">
      <c r="A183" s="2">
        <v>101.97103580751957</v>
      </c>
    </row>
    <row r="184" spans="1:1" x14ac:dyDescent="0.3">
      <c r="A184" s="2">
        <v>100.87312557686099</v>
      </c>
    </row>
    <row r="185" spans="1:1" x14ac:dyDescent="0.3">
      <c r="A185" s="2">
        <v>100.85181135026572</v>
      </c>
    </row>
    <row r="186" spans="1:1" x14ac:dyDescent="0.3">
      <c r="A186" s="2">
        <v>97.61262733981124</v>
      </c>
    </row>
    <row r="187" spans="1:1" x14ac:dyDescent="0.3">
      <c r="A187" s="2">
        <v>95.159304626308895</v>
      </c>
    </row>
    <row r="188" spans="1:1" x14ac:dyDescent="0.3">
      <c r="A188" s="2">
        <v>99.305018324565125</v>
      </c>
    </row>
    <row r="189" spans="1:1" x14ac:dyDescent="0.3">
      <c r="A189" s="2">
        <v>99.578989824077993</v>
      </c>
    </row>
    <row r="190" spans="1:1" x14ac:dyDescent="0.3">
      <c r="A190" s="2">
        <v>96.311532170975724</v>
      </c>
    </row>
    <row r="191" spans="1:1" x14ac:dyDescent="0.3">
      <c r="A191" s="2">
        <v>99.358320858826673</v>
      </c>
    </row>
    <row r="192" spans="1:1" x14ac:dyDescent="0.3">
      <c r="A192" s="2">
        <v>104.97201252019691</v>
      </c>
    </row>
    <row r="193" spans="1:1" x14ac:dyDescent="0.3">
      <c r="A193" s="2">
        <v>105.067793320006</v>
      </c>
    </row>
    <row r="194" spans="1:1" x14ac:dyDescent="0.3">
      <c r="A194" s="2">
        <v>99.907790002746339</v>
      </c>
    </row>
    <row r="195" spans="1:1" x14ac:dyDescent="0.3">
      <c r="A195" s="2">
        <v>99.74998696505854</v>
      </c>
    </row>
    <row r="196" spans="1:1" x14ac:dyDescent="0.3">
      <c r="A196" s="2">
        <v>100.93248926847373</v>
      </c>
    </row>
    <row r="197" spans="1:1" x14ac:dyDescent="0.3">
      <c r="A197" s="2">
        <v>97.195922884950065</v>
      </c>
    </row>
    <row r="198" spans="1:1" x14ac:dyDescent="0.3">
      <c r="A198" s="2">
        <v>99.336575533059332</v>
      </c>
    </row>
    <row r="199" spans="1:1" x14ac:dyDescent="0.3">
      <c r="A199" s="2">
        <v>98.132800172135177</v>
      </c>
    </row>
    <row r="200" spans="1:1" x14ac:dyDescent="0.3">
      <c r="A200" s="2">
        <v>97.593513971078252</v>
      </c>
    </row>
    <row r="201" spans="1:1" x14ac:dyDescent="0.3">
      <c r="A201" s="2">
        <v>102.46013796446843</v>
      </c>
    </row>
    <row r="202" spans="1:1" x14ac:dyDescent="0.3">
      <c r="A202" s="2">
        <v>100.8192763167667</v>
      </c>
    </row>
    <row r="203" spans="1:1" x14ac:dyDescent="0.3">
      <c r="A203" s="2">
        <v>99.535693334842037</v>
      </c>
    </row>
    <row r="204" spans="1:1" x14ac:dyDescent="0.3">
      <c r="A204" s="2">
        <v>96.649804743017427</v>
      </c>
    </row>
    <row r="205" spans="1:1" x14ac:dyDescent="0.3">
      <c r="A205" s="2">
        <v>100.13629728876722</v>
      </c>
    </row>
    <row r="206" spans="1:1" x14ac:dyDescent="0.3">
      <c r="A206" s="2">
        <v>100.75307306611992</v>
      </c>
    </row>
    <row r="207" spans="1:1" x14ac:dyDescent="0.3">
      <c r="A207" s="2">
        <v>100.46295261365017</v>
      </c>
    </row>
    <row r="208" spans="1:1" x14ac:dyDescent="0.3">
      <c r="A208" s="2">
        <v>97.898999177293192</v>
      </c>
    </row>
    <row r="209" spans="1:1" x14ac:dyDescent="0.3">
      <c r="A209" s="2">
        <v>96.872304696005614</v>
      </c>
    </row>
    <row r="210" spans="1:1" x14ac:dyDescent="0.3">
      <c r="A210" s="2">
        <v>100.65610695564109</v>
      </c>
    </row>
    <row r="211" spans="1:1" x14ac:dyDescent="0.3">
      <c r="A211" s="2">
        <v>99.456112427215857</v>
      </c>
    </row>
    <row r="212" spans="1:1" x14ac:dyDescent="0.3">
      <c r="A212" s="2">
        <v>101.87968780444899</v>
      </c>
    </row>
    <row r="213" spans="1:1" x14ac:dyDescent="0.3">
      <c r="A213" s="2">
        <v>100.83751615482674</v>
      </c>
    </row>
    <row r="214" spans="1:1" x14ac:dyDescent="0.3">
      <c r="A214" s="2">
        <v>102.28687948535088</v>
      </c>
    </row>
    <row r="215" spans="1:1" x14ac:dyDescent="0.3">
      <c r="A215" s="2">
        <v>98.303077417317013</v>
      </c>
    </row>
    <row r="216" spans="1:1" x14ac:dyDescent="0.3">
      <c r="A216" s="2">
        <v>98.409713654507897</v>
      </c>
    </row>
    <row r="217" spans="1:1" x14ac:dyDescent="0.3">
      <c r="A217" s="2">
        <v>102.47881901511386</v>
      </c>
    </row>
    <row r="218" spans="1:1" x14ac:dyDescent="0.3">
      <c r="A218" s="2">
        <v>101.16701413126533</v>
      </c>
    </row>
    <row r="219" spans="1:1" x14ac:dyDescent="0.3">
      <c r="A219" s="2">
        <v>101.68881579328527</v>
      </c>
    </row>
    <row r="220" spans="1:1" x14ac:dyDescent="0.3">
      <c r="A220" s="2">
        <v>101.80020776953326</v>
      </c>
    </row>
    <row r="221" spans="1:1" x14ac:dyDescent="0.3">
      <c r="A221" s="2">
        <v>99.94474631830974</v>
      </c>
    </row>
    <row r="222" spans="1:1" x14ac:dyDescent="0.3">
      <c r="A222" s="2">
        <v>99.136472314112865</v>
      </c>
    </row>
    <row r="223" spans="1:1" x14ac:dyDescent="0.3">
      <c r="A223" s="2">
        <v>100.72200313578922</v>
      </c>
    </row>
    <row r="224" spans="1:1" x14ac:dyDescent="0.3">
      <c r="A224" s="2">
        <v>99.276980098110016</v>
      </c>
    </row>
    <row r="225" spans="1:1" x14ac:dyDescent="0.3">
      <c r="A225" s="2">
        <v>101.56261003961163</v>
      </c>
    </row>
    <row r="226" spans="1:1" x14ac:dyDescent="0.3">
      <c r="A226" s="2">
        <v>99.49108074177218</v>
      </c>
    </row>
    <row r="227" spans="1:1" x14ac:dyDescent="0.3">
      <c r="A227" s="2">
        <v>97.716083905281167</v>
      </c>
    </row>
    <row r="228" spans="1:1" x14ac:dyDescent="0.3">
      <c r="A228" s="2">
        <v>99.759469955703409</v>
      </c>
    </row>
    <row r="229" spans="1:1" x14ac:dyDescent="0.3">
      <c r="A229" s="2">
        <v>101.38208807561863</v>
      </c>
    </row>
    <row r="230" spans="1:1" x14ac:dyDescent="0.3">
      <c r="A230" s="2">
        <v>98.413444657730423</v>
      </c>
    </row>
    <row r="231" spans="1:1" x14ac:dyDescent="0.3">
      <c r="A231" s="2">
        <v>98.373126439019103</v>
      </c>
    </row>
    <row r="232" spans="1:1" x14ac:dyDescent="0.3">
      <c r="A232" s="2">
        <v>99.059652924754474</v>
      </c>
    </row>
    <row r="233" spans="1:1" x14ac:dyDescent="0.3">
      <c r="A233" s="2">
        <v>102.72046342135631</v>
      </c>
    </row>
    <row r="234" spans="1:1" x14ac:dyDescent="0.3">
      <c r="A234" s="2">
        <v>99.064479306390453</v>
      </c>
    </row>
    <row r="235" spans="1:1" x14ac:dyDescent="0.3">
      <c r="A235" s="2">
        <v>98.153969325258899</v>
      </c>
    </row>
    <row r="236" spans="1:1" x14ac:dyDescent="0.3">
      <c r="A236" s="2">
        <v>103.83974094521685</v>
      </c>
    </row>
    <row r="237" spans="1:1" x14ac:dyDescent="0.3">
      <c r="A237" s="2">
        <v>100.52470285495663</v>
      </c>
    </row>
    <row r="238" spans="1:1" x14ac:dyDescent="0.3">
      <c r="A238" s="2">
        <v>102.40761836363623</v>
      </c>
    </row>
    <row r="239" spans="1:1" x14ac:dyDescent="0.3">
      <c r="A239" s="2">
        <v>100.64834355990808</v>
      </c>
    </row>
    <row r="240" spans="1:1" x14ac:dyDescent="0.3">
      <c r="A240" s="2">
        <v>101.86949978721769</v>
      </c>
    </row>
    <row r="241" spans="1:1" x14ac:dyDescent="0.3">
      <c r="A241" s="2">
        <v>97.327103230768316</v>
      </c>
    </row>
    <row r="242" spans="1:1" x14ac:dyDescent="0.3">
      <c r="A242" s="2">
        <v>101.79548944077288</v>
      </c>
    </row>
    <row r="243" spans="1:1" x14ac:dyDescent="0.3">
      <c r="A243" s="2">
        <v>95.524292864384336</v>
      </c>
    </row>
    <row r="244" spans="1:1" x14ac:dyDescent="0.3">
      <c r="A244" s="2">
        <v>100.01868791776059</v>
      </c>
    </row>
    <row r="245" spans="1:1" x14ac:dyDescent="0.3">
      <c r="A245" s="2">
        <v>99.145310796876785</v>
      </c>
    </row>
    <row r="246" spans="1:1" x14ac:dyDescent="0.3">
      <c r="A246" s="2">
        <v>100.52170544234093</v>
      </c>
    </row>
    <row r="247" spans="1:1" x14ac:dyDescent="0.3">
      <c r="A247" s="2">
        <v>100.99374651866923</v>
      </c>
    </row>
    <row r="248" spans="1:1" x14ac:dyDescent="0.3">
      <c r="A248" s="2">
        <v>100.0902073444949</v>
      </c>
    </row>
    <row r="249" spans="1:1" x14ac:dyDescent="0.3">
      <c r="A249" s="2">
        <v>99.36315070191182</v>
      </c>
    </row>
    <row r="250" spans="1:1" x14ac:dyDescent="0.3">
      <c r="A250" s="2">
        <v>98.968032324113963</v>
      </c>
    </row>
    <row r="251" spans="1:1" x14ac:dyDescent="0.3">
      <c r="A251" s="2">
        <v>98.589593366280582</v>
      </c>
    </row>
    <row r="252" spans="1:1" x14ac:dyDescent="0.3">
      <c r="A252" s="2">
        <v>101.32708159173026</v>
      </c>
    </row>
    <row r="253" spans="1:1" x14ac:dyDescent="0.3">
      <c r="A253" s="2">
        <v>100.2552128414155</v>
      </c>
    </row>
    <row r="254" spans="1:1" x14ac:dyDescent="0.3">
      <c r="A254" s="2">
        <v>97.801257175538638</v>
      </c>
    </row>
    <row r="255" spans="1:1" x14ac:dyDescent="0.3">
      <c r="A255" s="2">
        <v>101.33734576165639</v>
      </c>
    </row>
    <row r="256" spans="1:1" x14ac:dyDescent="0.3">
      <c r="A256" s="2">
        <v>98.562026891415854</v>
      </c>
    </row>
    <row r="257" spans="1:1" x14ac:dyDescent="0.3">
      <c r="A257" s="2">
        <v>101.37727169566173</v>
      </c>
    </row>
    <row r="258" spans="1:1" x14ac:dyDescent="0.3">
      <c r="A258" s="2">
        <v>102.29745712598233</v>
      </c>
    </row>
    <row r="259" spans="1:1" x14ac:dyDescent="0.3">
      <c r="A259" s="2">
        <v>98.053059238251663</v>
      </c>
    </row>
    <row r="260" spans="1:1" x14ac:dyDescent="0.3">
      <c r="A260" s="2">
        <v>99.887972481784445</v>
      </c>
    </row>
    <row r="261" spans="1:1" x14ac:dyDescent="0.3">
      <c r="A261" s="2">
        <v>101.64281236748674</v>
      </c>
    </row>
    <row r="262" spans="1:1" x14ac:dyDescent="0.3">
      <c r="A262" s="2">
        <v>100.02120201351846</v>
      </c>
    </row>
    <row r="263" spans="1:1" x14ac:dyDescent="0.3">
      <c r="A263" s="2">
        <v>103.42350035223504</v>
      </c>
    </row>
    <row r="264" spans="1:1" x14ac:dyDescent="0.3">
      <c r="A264" s="2">
        <v>96.925550199450981</v>
      </c>
    </row>
    <row r="265" spans="1:1" x14ac:dyDescent="0.3">
      <c r="A265" s="2">
        <v>102.30042433354451</v>
      </c>
    </row>
    <row r="266" spans="1:1" x14ac:dyDescent="0.3">
      <c r="A266" s="2">
        <v>101.15045313616959</v>
      </c>
    </row>
    <row r="267" spans="1:1" x14ac:dyDescent="0.3">
      <c r="A267" s="2">
        <v>97.628930021668936</v>
      </c>
    </row>
    <row r="268" spans="1:1" x14ac:dyDescent="0.3">
      <c r="A268" s="2">
        <v>102.75225961233937</v>
      </c>
    </row>
    <row r="269" spans="1:1" x14ac:dyDescent="0.3">
      <c r="A269" s="2">
        <v>99.868497375205223</v>
      </c>
    </row>
    <row r="270" spans="1:1" x14ac:dyDescent="0.3">
      <c r="A270" s="2">
        <v>98.740741613794199</v>
      </c>
    </row>
    <row r="271" spans="1:1" x14ac:dyDescent="0.3">
      <c r="A271" s="2">
        <v>102.0896623291939</v>
      </c>
    </row>
    <row r="272" spans="1:1" x14ac:dyDescent="0.3">
      <c r="A272" s="2">
        <v>103.44348706382817</v>
      </c>
    </row>
    <row r="273" spans="1:1" x14ac:dyDescent="0.3">
      <c r="A273" s="2">
        <v>99.14250226026715</v>
      </c>
    </row>
    <row r="274" spans="1:1" x14ac:dyDescent="0.3">
      <c r="A274" s="2">
        <v>98.761785278761636</v>
      </c>
    </row>
    <row r="275" spans="1:1" x14ac:dyDescent="0.3">
      <c r="A275" s="2">
        <v>98.88134948451119</v>
      </c>
    </row>
    <row r="276" spans="1:1" x14ac:dyDescent="0.3">
      <c r="A276" s="2">
        <v>99.060890578087722</v>
      </c>
    </row>
    <row r="277" spans="1:1" x14ac:dyDescent="0.3">
      <c r="A277" s="2">
        <v>103.4300872292104</v>
      </c>
    </row>
    <row r="278" spans="1:1" x14ac:dyDescent="0.3">
      <c r="A278" s="2">
        <v>97.574924217637204</v>
      </c>
    </row>
    <row r="279" spans="1:1" x14ac:dyDescent="0.3">
      <c r="A279" s="2">
        <v>97.514574010926651</v>
      </c>
    </row>
    <row r="280" spans="1:1" x14ac:dyDescent="0.3">
      <c r="A280" s="2">
        <v>98.27311265719166</v>
      </c>
    </row>
    <row r="281" spans="1:1" x14ac:dyDescent="0.3">
      <c r="A281" s="2">
        <v>96.228847905038933</v>
      </c>
    </row>
    <row r="282" spans="1:1" x14ac:dyDescent="0.3">
      <c r="A282" s="2">
        <v>102.90773756133441</v>
      </c>
    </row>
    <row r="283" spans="1:1" x14ac:dyDescent="0.3">
      <c r="A283" s="2">
        <v>101.92982907503951</v>
      </c>
    </row>
    <row r="284" spans="1:1" x14ac:dyDescent="0.3">
      <c r="A284" s="2">
        <v>97.218789707177123</v>
      </c>
    </row>
    <row r="285" spans="1:1" x14ac:dyDescent="0.3">
      <c r="A285" s="2">
        <v>101.23845465321646</v>
      </c>
    </row>
    <row r="286" spans="1:1" x14ac:dyDescent="0.3">
      <c r="A286" s="2">
        <v>101.25291959582519</v>
      </c>
    </row>
    <row r="287" spans="1:1" x14ac:dyDescent="0.3">
      <c r="A287" s="2">
        <v>95.383785058456226</v>
      </c>
    </row>
    <row r="288" spans="1:1" x14ac:dyDescent="0.3">
      <c r="A288" s="2">
        <v>100.1011906825842</v>
      </c>
    </row>
    <row r="289" spans="1:1" x14ac:dyDescent="0.3">
      <c r="A289" s="2">
        <v>100.88838769937884</v>
      </c>
    </row>
    <row r="290" spans="1:1" x14ac:dyDescent="0.3">
      <c r="A290" s="2">
        <v>101.2280889527366</v>
      </c>
    </row>
    <row r="291" spans="1:1" x14ac:dyDescent="0.3">
      <c r="A291" s="2">
        <v>103.19226150555632</v>
      </c>
    </row>
    <row r="292" spans="1:1" x14ac:dyDescent="0.3">
      <c r="A292" s="2">
        <v>98.582507609957204</v>
      </c>
    </row>
    <row r="293" spans="1:1" x14ac:dyDescent="0.3">
      <c r="A293" s="2">
        <v>98.507245853276416</v>
      </c>
    </row>
    <row r="294" spans="1:1" x14ac:dyDescent="0.3">
      <c r="A294" s="2">
        <v>96.985632043475746</v>
      </c>
    </row>
    <row r="295" spans="1:1" x14ac:dyDescent="0.3">
      <c r="A295" s="2">
        <v>97.279068061389992</v>
      </c>
    </row>
    <row r="296" spans="1:1" x14ac:dyDescent="0.3">
      <c r="A296" s="2">
        <v>104.83546244086332</v>
      </c>
    </row>
    <row r="297" spans="1:1" x14ac:dyDescent="0.3">
      <c r="A297" s="2">
        <v>98.968542760790655</v>
      </c>
    </row>
    <row r="298" spans="1:1" x14ac:dyDescent="0.3">
      <c r="A298" s="2">
        <v>99.457200261971977</v>
      </c>
    </row>
    <row r="299" spans="1:1" x14ac:dyDescent="0.3">
      <c r="A299" s="2">
        <v>99.553742893826723</v>
      </c>
    </row>
    <row r="300" spans="1:1" x14ac:dyDescent="0.3">
      <c r="A300" s="2">
        <v>100.98954579816788</v>
      </c>
    </row>
    <row r="301" spans="1:1" x14ac:dyDescent="0.3">
      <c r="A301" s="2">
        <v>100.07643938575949</v>
      </c>
    </row>
    <row r="302" spans="1:1" x14ac:dyDescent="0.3">
      <c r="A302" s="2">
        <v>101.77694260442016</v>
      </c>
    </row>
    <row r="303" spans="1:1" x14ac:dyDescent="0.3">
      <c r="A303" s="2">
        <v>99.712840087837236</v>
      </c>
    </row>
    <row r="304" spans="1:1" x14ac:dyDescent="0.3">
      <c r="A304" s="2">
        <v>99.885717350249521</v>
      </c>
    </row>
    <row r="305" spans="1:1" x14ac:dyDescent="0.3">
      <c r="A305" s="2">
        <v>97.201138368178633</v>
      </c>
    </row>
    <row r="306" spans="1:1" x14ac:dyDescent="0.3">
      <c r="A306" s="2">
        <v>98.188860089551923</v>
      </c>
    </row>
    <row r="307" spans="1:1" x14ac:dyDescent="0.3">
      <c r="A307" s="2">
        <v>99.303318286067224</v>
      </c>
    </row>
    <row r="308" spans="1:1" x14ac:dyDescent="0.3">
      <c r="A308" s="2">
        <v>99.040623865930101</v>
      </c>
    </row>
    <row r="309" spans="1:1" x14ac:dyDescent="0.3">
      <c r="A309" s="2">
        <v>102.24765110465536</v>
      </c>
    </row>
    <row r="310" spans="1:1" x14ac:dyDescent="0.3">
      <c r="A310" s="2">
        <v>101.97376200033543</v>
      </c>
    </row>
    <row r="311" spans="1:1" x14ac:dyDescent="0.3">
      <c r="A311" s="2">
        <v>101.56329206989633</v>
      </c>
    </row>
    <row r="312" spans="1:1" x14ac:dyDescent="0.3">
      <c r="A312" s="2">
        <v>101.11398752786297</v>
      </c>
    </row>
    <row r="313" spans="1:1" x14ac:dyDescent="0.3">
      <c r="A313" s="2">
        <v>100.57041690705758</v>
      </c>
    </row>
    <row r="314" spans="1:1" x14ac:dyDescent="0.3">
      <c r="A314" s="2">
        <v>100.08160828819355</v>
      </c>
    </row>
    <row r="315" spans="1:1" x14ac:dyDescent="0.3">
      <c r="A315" s="2">
        <v>99.288955799717883</v>
      </c>
    </row>
    <row r="316" spans="1:1" x14ac:dyDescent="0.3">
      <c r="A316" s="2">
        <v>100.72835297156126</v>
      </c>
    </row>
    <row r="317" spans="1:1" x14ac:dyDescent="0.3">
      <c r="A317" s="2">
        <v>99.365795560482994</v>
      </c>
    </row>
    <row r="318" spans="1:1" x14ac:dyDescent="0.3">
      <c r="A318" s="2">
        <v>101.61681748376027</v>
      </c>
    </row>
    <row r="319" spans="1:1" x14ac:dyDescent="0.3">
      <c r="A319" s="2">
        <v>97.509427797131863</v>
      </c>
    </row>
    <row r="320" spans="1:1" x14ac:dyDescent="0.3">
      <c r="A320" s="2">
        <v>101.77186293300664</v>
      </c>
    </row>
    <row r="321" spans="1:1" x14ac:dyDescent="0.3">
      <c r="A321" s="2">
        <v>104.16770815962418</v>
      </c>
    </row>
    <row r="322" spans="1:1" x14ac:dyDescent="0.3">
      <c r="A322" s="2">
        <v>101.52078053749165</v>
      </c>
    </row>
    <row r="323" spans="1:1" x14ac:dyDescent="0.3">
      <c r="A323" s="2">
        <v>102.67484518791342</v>
      </c>
    </row>
    <row r="324" spans="1:1" x14ac:dyDescent="0.3">
      <c r="A324" s="2">
        <v>100.19962237055631</v>
      </c>
    </row>
    <row r="325" spans="1:1" x14ac:dyDescent="0.3">
      <c r="A325" s="2">
        <v>97.633310481563157</v>
      </c>
    </row>
    <row r="326" spans="1:1" x14ac:dyDescent="0.3">
      <c r="A326" s="2">
        <v>99.017003061004274</v>
      </c>
    </row>
    <row r="327" spans="1:1" x14ac:dyDescent="0.3">
      <c r="A327" s="2">
        <v>100.12382022421163</v>
      </c>
    </row>
    <row r="328" spans="1:1" x14ac:dyDescent="0.3">
      <c r="A328" s="2">
        <v>103.48400111368811</v>
      </c>
    </row>
    <row r="329" spans="1:1" x14ac:dyDescent="0.3">
      <c r="A329" s="2">
        <v>98.964871076357412</v>
      </c>
    </row>
    <row r="330" spans="1:1" x14ac:dyDescent="0.3">
      <c r="A330" s="2">
        <v>98.458841026420245</v>
      </c>
    </row>
    <row r="331" spans="1:1" x14ac:dyDescent="0.3">
      <c r="A331" s="2">
        <v>98.47908302595097</v>
      </c>
    </row>
    <row r="332" spans="1:1" x14ac:dyDescent="0.3">
      <c r="A332" s="2">
        <v>100.44647952294464</v>
      </c>
    </row>
    <row r="333" spans="1:1" x14ac:dyDescent="0.3">
      <c r="A333" s="2">
        <v>97.215934812573281</v>
      </c>
    </row>
    <row r="334" spans="1:1" x14ac:dyDescent="0.3">
      <c r="A334" s="2">
        <v>102.5034643375667</v>
      </c>
    </row>
    <row r="335" spans="1:1" x14ac:dyDescent="0.3">
      <c r="A335" s="2">
        <v>98.668509211456183</v>
      </c>
    </row>
    <row r="336" spans="1:1" x14ac:dyDescent="0.3">
      <c r="A336" s="2">
        <v>100.58582863978714</v>
      </c>
    </row>
    <row r="337" spans="1:1" x14ac:dyDescent="0.3">
      <c r="A337" s="2">
        <v>98.744074092173619</v>
      </c>
    </row>
    <row r="338" spans="1:1" x14ac:dyDescent="0.3">
      <c r="A338" s="2">
        <v>102.40282035456592</v>
      </c>
    </row>
    <row r="339" spans="1:1" x14ac:dyDescent="0.3">
      <c r="A339" s="2">
        <v>97.82326973782726</v>
      </c>
    </row>
    <row r="340" spans="1:1" x14ac:dyDescent="0.3">
      <c r="A340" s="2">
        <v>102.55643886409003</v>
      </c>
    </row>
    <row r="341" spans="1:1" x14ac:dyDescent="0.3">
      <c r="A341" s="2">
        <v>99.06103472355386</v>
      </c>
    </row>
    <row r="342" spans="1:1" x14ac:dyDescent="0.3">
      <c r="A342" s="2">
        <v>100.63662835917148</v>
      </c>
    </row>
    <row r="343" spans="1:1" x14ac:dyDescent="0.3">
      <c r="A343" s="2">
        <v>100.49101893529512</v>
      </c>
    </row>
    <row r="344" spans="1:1" x14ac:dyDescent="0.3">
      <c r="A344" s="2">
        <v>102.00311633331037</v>
      </c>
    </row>
    <row r="345" spans="1:1" x14ac:dyDescent="0.3">
      <c r="A345" s="2">
        <v>100.44355177511308</v>
      </c>
    </row>
    <row r="346" spans="1:1" x14ac:dyDescent="0.3">
      <c r="A346" s="2">
        <v>96.497447549181658</v>
      </c>
    </row>
    <row r="347" spans="1:1" x14ac:dyDescent="0.3">
      <c r="A347" s="2">
        <v>96.392986102582313</v>
      </c>
    </row>
    <row r="348" spans="1:1" x14ac:dyDescent="0.3">
      <c r="A348" s="2">
        <v>99.098447562478384</v>
      </c>
    </row>
    <row r="349" spans="1:1" x14ac:dyDescent="0.3">
      <c r="A349" s="2">
        <v>99.85484424440665</v>
      </c>
    </row>
    <row r="350" spans="1:1" x14ac:dyDescent="0.3">
      <c r="A350" s="2">
        <v>99.242859161967402</v>
      </c>
    </row>
    <row r="351" spans="1:1" x14ac:dyDescent="0.3">
      <c r="A351" s="2">
        <v>99.018369937217415</v>
      </c>
    </row>
    <row r="352" spans="1:1" x14ac:dyDescent="0.3">
      <c r="A352" s="2">
        <v>97.506442334029359</v>
      </c>
    </row>
    <row r="353" spans="1:1" x14ac:dyDescent="0.3">
      <c r="A353" s="2">
        <v>103.7471329040288</v>
      </c>
    </row>
    <row r="354" spans="1:1" x14ac:dyDescent="0.3">
      <c r="A354" s="2">
        <v>100.52178287750016</v>
      </c>
    </row>
    <row r="355" spans="1:1" x14ac:dyDescent="0.3">
      <c r="A355" s="2">
        <v>101.50791680167318</v>
      </c>
    </row>
    <row r="356" spans="1:1" x14ac:dyDescent="0.3">
      <c r="A356" s="2">
        <v>100.89375661036185</v>
      </c>
    </row>
    <row r="357" spans="1:1" x14ac:dyDescent="0.3">
      <c r="A357" s="2">
        <v>102.63269256519821</v>
      </c>
    </row>
    <row r="358" spans="1:1" x14ac:dyDescent="0.3">
      <c r="A358" s="2">
        <v>96.073578023385551</v>
      </c>
    </row>
    <row r="359" spans="1:1" x14ac:dyDescent="0.3">
      <c r="A359" s="2">
        <v>103.9468370820136</v>
      </c>
    </row>
    <row r="360" spans="1:1" x14ac:dyDescent="0.3">
      <c r="A360" s="2">
        <v>101.40921684354994</v>
      </c>
    </row>
    <row r="361" spans="1:1" x14ac:dyDescent="0.3">
      <c r="A361" s="2">
        <v>96.856531325766781</v>
      </c>
    </row>
    <row r="362" spans="1:1" x14ac:dyDescent="0.3">
      <c r="A362" s="2">
        <v>97.972999026991033</v>
      </c>
    </row>
    <row r="363" spans="1:1" x14ac:dyDescent="0.3">
      <c r="A363" s="2">
        <v>101.31161235917695</v>
      </c>
    </row>
    <row r="364" spans="1:1" x14ac:dyDescent="0.3">
      <c r="A364" s="2">
        <v>100.28863273548944</v>
      </c>
    </row>
    <row r="365" spans="1:1" x14ac:dyDescent="0.3">
      <c r="A365" s="2">
        <v>99.597751620735821</v>
      </c>
    </row>
    <row r="366" spans="1:1" x14ac:dyDescent="0.3">
      <c r="A366" s="2">
        <v>99.520047271186442</v>
      </c>
    </row>
    <row r="367" spans="1:1" x14ac:dyDescent="0.3">
      <c r="A367" s="2">
        <v>101.85627664123781</v>
      </c>
    </row>
    <row r="368" spans="1:1" x14ac:dyDescent="0.3">
      <c r="A368" s="2">
        <v>97.65805055649669</v>
      </c>
    </row>
    <row r="369" spans="1:1" x14ac:dyDescent="0.3">
      <c r="A369" s="2">
        <v>100.84322545787664</v>
      </c>
    </row>
    <row r="370" spans="1:1" x14ac:dyDescent="0.3">
      <c r="A370" s="2">
        <v>97.990065397832353</v>
      </c>
    </row>
    <row r="371" spans="1:1" x14ac:dyDescent="0.3">
      <c r="A371" s="2">
        <v>96.406329878702934</v>
      </c>
    </row>
    <row r="372" spans="1:1" x14ac:dyDescent="0.3">
      <c r="A372" s="2">
        <v>101.25414834629537</v>
      </c>
    </row>
    <row r="373" spans="1:1" x14ac:dyDescent="0.3">
      <c r="A373" s="2">
        <v>102.44489911440937</v>
      </c>
    </row>
    <row r="374" spans="1:1" x14ac:dyDescent="0.3">
      <c r="A374" s="2">
        <v>98.746004085843083</v>
      </c>
    </row>
    <row r="375" spans="1:1" x14ac:dyDescent="0.3">
      <c r="A375" s="2">
        <v>98.391311043286592</v>
      </c>
    </row>
    <row r="376" spans="1:1" x14ac:dyDescent="0.3">
      <c r="A376" s="2">
        <v>101.43889977847466</v>
      </c>
    </row>
    <row r="377" spans="1:1" x14ac:dyDescent="0.3">
      <c r="A377" s="2">
        <v>101.09840567183561</v>
      </c>
    </row>
    <row r="378" spans="1:1" x14ac:dyDescent="0.3">
      <c r="A378" s="2">
        <v>97.918446861586062</v>
      </c>
    </row>
    <row r="379" spans="1:1" x14ac:dyDescent="0.3">
      <c r="A379" s="2">
        <v>96.414589022738994</v>
      </c>
    </row>
    <row r="380" spans="1:1" x14ac:dyDescent="0.3">
      <c r="A380" s="2">
        <v>101.68644984924224</v>
      </c>
    </row>
    <row r="381" spans="1:1" x14ac:dyDescent="0.3">
      <c r="A381" s="2">
        <v>99.193787237594876</v>
      </c>
    </row>
    <row r="382" spans="1:1" x14ac:dyDescent="0.3">
      <c r="A382" s="2">
        <v>99.234511836490228</v>
      </c>
    </row>
    <row r="383" spans="1:1" x14ac:dyDescent="0.3">
      <c r="A383" s="2">
        <v>98.785738488135266</v>
      </c>
    </row>
    <row r="384" spans="1:1" x14ac:dyDescent="0.3">
      <c r="A384" s="2">
        <v>102.93528477342419</v>
      </c>
    </row>
    <row r="385" spans="1:1" x14ac:dyDescent="0.3">
      <c r="A385" s="2">
        <v>102.52985841579316</v>
      </c>
    </row>
    <row r="386" spans="1:1" x14ac:dyDescent="0.3">
      <c r="A386" s="2">
        <v>98.909887858882769</v>
      </c>
    </row>
    <row r="387" spans="1:1" x14ac:dyDescent="0.3">
      <c r="A387" s="2">
        <v>100.19837382648247</v>
      </c>
    </row>
    <row r="388" spans="1:1" x14ac:dyDescent="0.3">
      <c r="A388" s="2">
        <v>96.294369046243631</v>
      </c>
    </row>
    <row r="389" spans="1:1" x14ac:dyDescent="0.3">
      <c r="A389" s="2">
        <v>101.81943777594601</v>
      </c>
    </row>
    <row r="390" spans="1:1" x14ac:dyDescent="0.3">
      <c r="A390" s="2">
        <v>103.36133373196958</v>
      </c>
    </row>
    <row r="391" spans="1:1" x14ac:dyDescent="0.3">
      <c r="A391" s="2">
        <v>96.995714907942428</v>
      </c>
    </row>
    <row r="392" spans="1:1" x14ac:dyDescent="0.3">
      <c r="A392" s="2">
        <v>99.317068507688518</v>
      </c>
    </row>
    <row r="393" spans="1:1" x14ac:dyDescent="0.3">
      <c r="A393" s="2">
        <v>99.515358393117609</v>
      </c>
    </row>
    <row r="394" spans="1:1" x14ac:dyDescent="0.3">
      <c r="A394" s="2">
        <v>99.896934286684314</v>
      </c>
    </row>
    <row r="395" spans="1:1" x14ac:dyDescent="0.3">
      <c r="A395" s="2">
        <v>103.10889474053371</v>
      </c>
    </row>
    <row r="396" spans="1:1" x14ac:dyDescent="0.3">
      <c r="A396" s="2">
        <v>100.78492176524094</v>
      </c>
    </row>
    <row r="397" spans="1:1" x14ac:dyDescent="0.3">
      <c r="A397" s="2">
        <v>99.993991734916037</v>
      </c>
    </row>
    <row r="398" spans="1:1" x14ac:dyDescent="0.3">
      <c r="A398" s="2">
        <v>97.886225590188417</v>
      </c>
    </row>
    <row r="399" spans="1:1" x14ac:dyDescent="0.3">
      <c r="A399" s="2">
        <v>102.27743698400187</v>
      </c>
    </row>
    <row r="400" spans="1:1" x14ac:dyDescent="0.3">
      <c r="A400" s="2">
        <v>101.71350442089697</v>
      </c>
    </row>
    <row r="401" spans="1:1" x14ac:dyDescent="0.3">
      <c r="A401" s="2">
        <v>98.027700502042563</v>
      </c>
    </row>
    <row r="402" spans="1:1" x14ac:dyDescent="0.3">
      <c r="A402" s="2">
        <v>101.2064615490842</v>
      </c>
    </row>
    <row r="403" spans="1:1" x14ac:dyDescent="0.3">
      <c r="A403" s="2">
        <v>98.27276265631474</v>
      </c>
    </row>
    <row r="404" spans="1:1" x14ac:dyDescent="0.3">
      <c r="A404" s="2">
        <v>100.60348170507163</v>
      </c>
    </row>
    <row r="405" spans="1:1" x14ac:dyDescent="0.3">
      <c r="A405" s="2">
        <v>101.43193237084988</v>
      </c>
    </row>
    <row r="406" spans="1:1" x14ac:dyDescent="0.3">
      <c r="A406" s="2">
        <v>99.281371178955894</v>
      </c>
    </row>
    <row r="407" spans="1:1" x14ac:dyDescent="0.3">
      <c r="A407" s="2">
        <v>101.11807452814024</v>
      </c>
    </row>
    <row r="408" spans="1:1" x14ac:dyDescent="0.3">
      <c r="A408" s="2">
        <v>99.690962209275014</v>
      </c>
    </row>
    <row r="409" spans="1:1" x14ac:dyDescent="0.3">
      <c r="A409" s="2">
        <v>100.71321181738917</v>
      </c>
    </row>
    <row r="410" spans="1:1" x14ac:dyDescent="0.3">
      <c r="A410" s="2">
        <v>101.38936138570294</v>
      </c>
    </row>
    <row r="411" spans="1:1" x14ac:dyDescent="0.3">
      <c r="A411" s="2">
        <v>97.649984767394827</v>
      </c>
    </row>
    <row r="412" spans="1:1" x14ac:dyDescent="0.3">
      <c r="A412" s="2">
        <v>95.354342951100776</v>
      </c>
    </row>
    <row r="413" spans="1:1" x14ac:dyDescent="0.3">
      <c r="A413" s="2">
        <v>101.86948118844407</v>
      </c>
    </row>
    <row r="414" spans="1:1" x14ac:dyDescent="0.3">
      <c r="A414" s="2">
        <v>100.52421823870745</v>
      </c>
    </row>
    <row r="415" spans="1:1" x14ac:dyDescent="0.3">
      <c r="A415" s="2">
        <v>102.54768539364522</v>
      </c>
    </row>
    <row r="416" spans="1:1" x14ac:dyDescent="0.3">
      <c r="A416" s="2">
        <v>102.3089709306789</v>
      </c>
    </row>
    <row r="417" spans="1:1" x14ac:dyDescent="0.3">
      <c r="A417" s="2">
        <v>99.324237120263234</v>
      </c>
    </row>
    <row r="418" spans="1:1" x14ac:dyDescent="0.3">
      <c r="A418" s="2">
        <v>99.794998174167048</v>
      </c>
    </row>
    <row r="419" spans="1:1" x14ac:dyDescent="0.3">
      <c r="A419" s="2">
        <v>96.054150298419131</v>
      </c>
    </row>
    <row r="420" spans="1:1" x14ac:dyDescent="0.3">
      <c r="A420" s="2">
        <v>102.24423920436688</v>
      </c>
    </row>
    <row r="421" spans="1:1" x14ac:dyDescent="0.3">
      <c r="A421" s="2">
        <v>102.51451939780614</v>
      </c>
    </row>
    <row r="422" spans="1:1" x14ac:dyDescent="0.3">
      <c r="A422" s="2">
        <v>102.91888720587988</v>
      </c>
    </row>
    <row r="423" spans="1:1" x14ac:dyDescent="0.3">
      <c r="A423" s="2">
        <v>99.228336997674873</v>
      </c>
    </row>
    <row r="424" spans="1:1" x14ac:dyDescent="0.3">
      <c r="A424" s="2">
        <v>100.17602095141885</v>
      </c>
    </row>
    <row r="425" spans="1:1" x14ac:dyDescent="0.3">
      <c r="A425" s="2">
        <v>100.55816760668824</v>
      </c>
    </row>
    <row r="426" spans="1:1" x14ac:dyDescent="0.3">
      <c r="A426" s="2">
        <v>98.480084311747348</v>
      </c>
    </row>
    <row r="427" spans="1:1" x14ac:dyDescent="0.3">
      <c r="A427" s="2">
        <v>99.207981488412457</v>
      </c>
    </row>
    <row r="428" spans="1:1" x14ac:dyDescent="0.3">
      <c r="A428" s="2">
        <v>97.68595500518353</v>
      </c>
    </row>
    <row r="429" spans="1:1" x14ac:dyDescent="0.3">
      <c r="A429" s="2">
        <v>97.643571265943351</v>
      </c>
    </row>
    <row r="430" spans="1:1" x14ac:dyDescent="0.3">
      <c r="A430" s="2">
        <v>101.71120950833203</v>
      </c>
    </row>
    <row r="431" spans="1:1" x14ac:dyDescent="0.3">
      <c r="A431" s="2">
        <v>100.99820433237456</v>
      </c>
    </row>
    <row r="432" spans="1:1" x14ac:dyDescent="0.3">
      <c r="A432" s="2">
        <v>99.60146779081505</v>
      </c>
    </row>
    <row r="433" spans="1:1" x14ac:dyDescent="0.3">
      <c r="A433" s="2">
        <v>101.37078790948712</v>
      </c>
    </row>
    <row r="434" spans="1:1" x14ac:dyDescent="0.3">
      <c r="A434" s="2">
        <v>98.726623924908964</v>
      </c>
    </row>
    <row r="435" spans="1:1" x14ac:dyDescent="0.3">
      <c r="A435" s="2">
        <v>99.947759192004185</v>
      </c>
    </row>
    <row r="436" spans="1:1" x14ac:dyDescent="0.3">
      <c r="A436" s="2">
        <v>100.41891002155018</v>
      </c>
    </row>
    <row r="437" spans="1:1" x14ac:dyDescent="0.3">
      <c r="A437" s="2">
        <v>99.56112912902546</v>
      </c>
    </row>
    <row r="438" spans="1:1" x14ac:dyDescent="0.3">
      <c r="A438" s="2">
        <v>99.029324018478945</v>
      </c>
    </row>
    <row r="439" spans="1:1" x14ac:dyDescent="0.3">
      <c r="A439" s="2">
        <v>99.462938311003995</v>
      </c>
    </row>
    <row r="440" spans="1:1" x14ac:dyDescent="0.3">
      <c r="A440" s="2">
        <v>99.390856570795137</v>
      </c>
    </row>
    <row r="441" spans="1:1" x14ac:dyDescent="0.3">
      <c r="A441" s="2">
        <v>103.5756354673907</v>
      </c>
    </row>
    <row r="442" spans="1:1" x14ac:dyDescent="0.3">
      <c r="A442" s="2">
        <v>100.79803317365072</v>
      </c>
    </row>
    <row r="443" spans="1:1" x14ac:dyDescent="0.3">
      <c r="A443" s="2">
        <v>99.065919709509373</v>
      </c>
    </row>
    <row r="444" spans="1:1" x14ac:dyDescent="0.3">
      <c r="A444" s="2">
        <v>99.069217085263872</v>
      </c>
    </row>
    <row r="445" spans="1:1" x14ac:dyDescent="0.3">
      <c r="A445" s="2">
        <v>97.75656093356956</v>
      </c>
    </row>
    <row r="446" spans="1:1" x14ac:dyDescent="0.3">
      <c r="A446" s="2">
        <v>103.04134981145712</v>
      </c>
    </row>
    <row r="447" spans="1:1" x14ac:dyDescent="0.3">
      <c r="A447" s="2">
        <v>98.374557347268166</v>
      </c>
    </row>
    <row r="448" spans="1:1" x14ac:dyDescent="0.3">
      <c r="A448" s="2">
        <v>99.02272216329176</v>
      </c>
    </row>
    <row r="449" spans="1:1" x14ac:dyDescent="0.3">
      <c r="A449" s="2">
        <v>97.795001027316076</v>
      </c>
    </row>
    <row r="450" spans="1:1" x14ac:dyDescent="0.3">
      <c r="A450" s="2">
        <v>100.5396740936506</v>
      </c>
    </row>
    <row r="451" spans="1:1" x14ac:dyDescent="0.3">
      <c r="A451" s="2">
        <v>94.566524064588961</v>
      </c>
    </row>
    <row r="452" spans="1:1" x14ac:dyDescent="0.3">
      <c r="A452" s="2">
        <v>99.543736987829732</v>
      </c>
    </row>
    <row r="453" spans="1:1" x14ac:dyDescent="0.3">
      <c r="A453" s="2">
        <v>99.928887749553553</v>
      </c>
    </row>
    <row r="454" spans="1:1" x14ac:dyDescent="0.3">
      <c r="A454" s="2">
        <v>101.561217247917</v>
      </c>
    </row>
    <row r="455" spans="1:1" x14ac:dyDescent="0.3">
      <c r="A455" s="2">
        <v>100.57443058518265</v>
      </c>
    </row>
    <row r="456" spans="1:1" x14ac:dyDescent="0.3">
      <c r="A456" s="2">
        <v>102.49876154276362</v>
      </c>
    </row>
    <row r="457" spans="1:1" x14ac:dyDescent="0.3">
      <c r="A457" s="2">
        <v>96.676716290956122</v>
      </c>
    </row>
    <row r="458" spans="1:1" x14ac:dyDescent="0.3">
      <c r="A458" s="2">
        <v>100.01751545436215</v>
      </c>
    </row>
    <row r="459" spans="1:1" x14ac:dyDescent="0.3">
      <c r="A459" s="2">
        <v>100.40511108791534</v>
      </c>
    </row>
    <row r="460" spans="1:1" x14ac:dyDescent="0.3">
      <c r="A460" s="2">
        <v>98.500463017242893</v>
      </c>
    </row>
    <row r="461" spans="1:1" x14ac:dyDescent="0.3">
      <c r="A461" s="2">
        <v>97.248810416632168</v>
      </c>
    </row>
    <row r="462" spans="1:1" x14ac:dyDescent="0.3">
      <c r="A462" s="2">
        <v>98.529209322683371</v>
      </c>
    </row>
    <row r="463" spans="1:1" x14ac:dyDescent="0.3">
      <c r="A463" s="2">
        <v>99.807161049556726</v>
      </c>
    </row>
    <row r="464" spans="1:1" x14ac:dyDescent="0.3">
      <c r="A464" s="2">
        <v>100.26668718971433</v>
      </c>
    </row>
    <row r="465" spans="1:1" x14ac:dyDescent="0.3">
      <c r="A465" s="2">
        <v>101.42187330105067</v>
      </c>
    </row>
    <row r="466" spans="1:1" x14ac:dyDescent="0.3">
      <c r="A466" s="2">
        <v>99.79274823779366</v>
      </c>
    </row>
    <row r="467" spans="1:1" x14ac:dyDescent="0.3">
      <c r="A467" s="2">
        <v>97.238673338938511</v>
      </c>
    </row>
    <row r="468" spans="1:1" x14ac:dyDescent="0.3">
      <c r="A468" s="2">
        <v>102.06643996177583</v>
      </c>
    </row>
    <row r="469" spans="1:1" x14ac:dyDescent="0.3">
      <c r="A469" s="2">
        <v>101.30208990701988</v>
      </c>
    </row>
    <row r="470" spans="1:1" x14ac:dyDescent="0.3">
      <c r="A470" s="2">
        <v>101.8365221598428</v>
      </c>
    </row>
    <row r="471" spans="1:1" x14ac:dyDescent="0.3">
      <c r="A471" s="2">
        <v>97.4100454131395</v>
      </c>
    </row>
    <row r="472" spans="1:1" x14ac:dyDescent="0.3">
      <c r="A472" s="2">
        <v>100.49115350409085</v>
      </c>
    </row>
    <row r="473" spans="1:1" x14ac:dyDescent="0.3">
      <c r="A473" s="2">
        <v>99.223512035572682</v>
      </c>
    </row>
    <row r="474" spans="1:1" x14ac:dyDescent="0.3">
      <c r="A474" s="2">
        <v>102.00295107290006</v>
      </c>
    </row>
    <row r="475" spans="1:1" x14ac:dyDescent="0.3">
      <c r="A475" s="2">
        <v>100.12026280685896</v>
      </c>
    </row>
    <row r="476" spans="1:1" x14ac:dyDescent="0.3">
      <c r="A476" s="2">
        <v>102.71977411380405</v>
      </c>
    </row>
    <row r="477" spans="1:1" x14ac:dyDescent="0.3">
      <c r="A477" s="2">
        <v>101.06220351695887</v>
      </c>
    </row>
    <row r="478" spans="1:1" x14ac:dyDescent="0.3">
      <c r="A478" s="2">
        <v>95.176093231149181</v>
      </c>
    </row>
    <row r="479" spans="1:1" x14ac:dyDescent="0.3">
      <c r="A479" s="2">
        <v>101.14664077495819</v>
      </c>
    </row>
    <row r="480" spans="1:1" x14ac:dyDescent="0.3">
      <c r="A480" s="2">
        <v>98.266506716330767</v>
      </c>
    </row>
    <row r="481" spans="1:1" x14ac:dyDescent="0.3">
      <c r="A481" s="2">
        <v>99.66502253633594</v>
      </c>
    </row>
    <row r="482" spans="1:1" x14ac:dyDescent="0.3">
      <c r="A482" s="2">
        <v>99.931241957047391</v>
      </c>
    </row>
    <row r="483" spans="1:1" x14ac:dyDescent="0.3">
      <c r="A483" s="2">
        <v>98.460634312989313</v>
      </c>
    </row>
    <row r="484" spans="1:1" x14ac:dyDescent="0.3">
      <c r="A484" s="2">
        <v>98.469497102990843</v>
      </c>
    </row>
    <row r="485" spans="1:1" x14ac:dyDescent="0.3">
      <c r="A485" s="2">
        <v>97.160180708882976</v>
      </c>
    </row>
    <row r="486" spans="1:1" x14ac:dyDescent="0.3">
      <c r="A486" s="2">
        <v>99.581403593890485</v>
      </c>
    </row>
    <row r="487" spans="1:1" x14ac:dyDescent="0.3">
      <c r="A487" s="2">
        <v>98.95510664825261</v>
      </c>
    </row>
    <row r="488" spans="1:1" x14ac:dyDescent="0.3">
      <c r="A488" s="2">
        <v>96.714267774297852</v>
      </c>
    </row>
    <row r="489" spans="1:1" x14ac:dyDescent="0.3">
      <c r="A489" s="2">
        <v>99.510809672888428</v>
      </c>
    </row>
    <row r="490" spans="1:1" x14ac:dyDescent="0.3">
      <c r="A490" s="2">
        <v>103.44436940005485</v>
      </c>
    </row>
    <row r="491" spans="1:1" x14ac:dyDescent="0.3">
      <c r="A491" s="2">
        <v>100.23855910695211</v>
      </c>
    </row>
    <row r="492" spans="1:1" x14ac:dyDescent="0.3">
      <c r="A492" s="2">
        <v>98.788493643049094</v>
      </c>
    </row>
    <row r="493" spans="1:1" x14ac:dyDescent="0.3">
      <c r="A493" s="2">
        <v>100.72855695506752</v>
      </c>
    </row>
    <row r="494" spans="1:1" x14ac:dyDescent="0.3">
      <c r="A494" s="2">
        <v>99.680610100761029</v>
      </c>
    </row>
    <row r="495" spans="1:1" x14ac:dyDescent="0.3">
      <c r="A495" s="2">
        <v>100.50723319986483</v>
      </c>
    </row>
    <row r="496" spans="1:1" x14ac:dyDescent="0.3">
      <c r="A496" s="2">
        <v>101.27826806846195</v>
      </c>
    </row>
    <row r="497" spans="1:1" x14ac:dyDescent="0.3">
      <c r="A497" s="2">
        <v>104.20342217549319</v>
      </c>
    </row>
    <row r="498" spans="1:1" x14ac:dyDescent="0.3">
      <c r="A498" s="2">
        <v>98.116908489592774</v>
      </c>
    </row>
    <row r="499" spans="1:1" x14ac:dyDescent="0.3">
      <c r="A499" s="2">
        <v>102.16507524248168</v>
      </c>
    </row>
    <row r="500" spans="1:1" x14ac:dyDescent="0.3">
      <c r="A500" s="2">
        <v>98.421532855112488</v>
      </c>
    </row>
    <row r="501" spans="1:1" x14ac:dyDescent="0.3">
      <c r="A501" s="2">
        <v>100.04335005632409</v>
      </c>
    </row>
  </sheetData>
  <mergeCells count="2">
    <mergeCell ref="F24:Q24"/>
    <mergeCell ref="R1:T1"/>
  </mergeCells>
  <phoneticPr fontId="124" type="noConversion"/>
  <hyperlinks>
    <hyperlink ref="R1" location="Menu!A1" display="Return to menu" xr:uid="{00000000-0004-0000-1C00-000000000000}"/>
  </hyperlinks>
  <printOptions horizontalCentered="1" verticalCentered="1"/>
  <pageMargins left="0.70000000000000007" right="0.70000000000000007" top="0.75000000000000011" bottom="0.75000000000000011" header="0.30000000000000004" footer="0.30000000000000004"/>
  <pageSetup orientation="landscape" horizontalDpi="0" verticalDpi="0"/>
  <ignoredErrors>
    <ignoredError sqref="P27" formula="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Q25"/>
  <sheetViews>
    <sheetView zoomScale="25" zoomScaleNormal="25" zoomScalePageLayoutView="30" workbookViewId="0">
      <selection activeCell="AP1" sqref="AP1:AQ1"/>
    </sheetView>
  </sheetViews>
  <sheetFormatPr defaultColWidth="9.109375" defaultRowHeight="13.2" x14ac:dyDescent="0.25"/>
  <cols>
    <col min="1" max="3" width="17.6640625" style="647" customWidth="1"/>
    <col min="4" max="4" width="86.21875" style="647" customWidth="1"/>
    <col min="5" max="17" width="17.6640625" style="647" customWidth="1"/>
    <col min="18" max="18" width="79.44140625" style="647" customWidth="1"/>
    <col min="19" max="32" width="17.6640625" style="647" customWidth="1"/>
    <col min="33" max="33" width="80.109375" style="647" customWidth="1"/>
    <col min="34" max="39" width="17.6640625" style="647" customWidth="1"/>
    <col min="40" max="42" width="9.109375" style="647"/>
    <col min="43" max="43" width="44.88671875" style="647" customWidth="1"/>
    <col min="44" max="16384" width="9.109375" style="647"/>
  </cols>
  <sheetData>
    <row r="1" spans="1:43" ht="48" customHeight="1" x14ac:dyDescent="0.85">
      <c r="A1" s="1178" t="s">
        <v>939</v>
      </c>
      <c r="B1" s="1178"/>
      <c r="C1" s="1178"/>
      <c r="D1" s="1178"/>
      <c r="E1" s="1178"/>
      <c r="F1" s="1178"/>
      <c r="G1" s="1178"/>
      <c r="H1" s="1178"/>
      <c r="I1" s="1178"/>
      <c r="J1" s="1178"/>
      <c r="M1" s="677" t="s">
        <v>923</v>
      </c>
      <c r="N1" s="678"/>
      <c r="O1" s="678"/>
      <c r="P1" s="678"/>
      <c r="Q1" s="678"/>
      <c r="R1" s="678"/>
      <c r="S1" s="678"/>
      <c r="AA1" s="677" t="s">
        <v>924</v>
      </c>
      <c r="AB1" s="678"/>
      <c r="AC1" s="678"/>
      <c r="AD1" s="678"/>
      <c r="AE1" s="678"/>
      <c r="AF1" s="678"/>
      <c r="AG1" s="678"/>
      <c r="AP1" s="1179" t="s">
        <v>19</v>
      </c>
      <c r="AQ1" s="1179"/>
    </row>
    <row r="2" spans="1:43" ht="48" customHeight="1" x14ac:dyDescent="0.75">
      <c r="A2" s="1178"/>
      <c r="B2" s="1178"/>
      <c r="C2" s="1178"/>
      <c r="D2" s="1178"/>
      <c r="E2" s="1178"/>
      <c r="F2" s="1178"/>
      <c r="G2" s="1178"/>
      <c r="H2" s="1178"/>
      <c r="I2" s="1178"/>
      <c r="J2" s="1178"/>
      <c r="M2" s="677" t="s">
        <v>919</v>
      </c>
      <c r="N2" s="678"/>
      <c r="O2" s="678"/>
      <c r="P2" s="678"/>
      <c r="Q2" s="678"/>
      <c r="R2" s="678"/>
      <c r="S2" s="678"/>
      <c r="AA2" s="677" t="s">
        <v>920</v>
      </c>
      <c r="AB2" s="678"/>
      <c r="AC2" s="678"/>
      <c r="AD2" s="678"/>
      <c r="AE2" s="678"/>
      <c r="AF2" s="678"/>
      <c r="AG2" s="678"/>
    </row>
    <row r="3" spans="1:43" s="681" customFormat="1" ht="40.200000000000003" x14ac:dyDescent="0.7">
      <c r="A3" s="679" t="s">
        <v>940</v>
      </c>
      <c r="B3" s="680"/>
      <c r="C3" s="680"/>
      <c r="D3" s="680"/>
      <c r="E3" s="680"/>
      <c r="F3" s="680"/>
      <c r="M3" s="682" t="s">
        <v>921</v>
      </c>
      <c r="AA3" s="682" t="s">
        <v>922</v>
      </c>
    </row>
    <row r="4" spans="1:43" ht="80.099999999999994" customHeight="1" x14ac:dyDescent="0.75">
      <c r="A4" s="648"/>
      <c r="B4" s="649"/>
      <c r="C4" s="649"/>
      <c r="D4" s="649"/>
      <c r="E4" s="649"/>
      <c r="F4" s="649"/>
      <c r="M4" s="650" t="s">
        <v>872</v>
      </c>
      <c r="N4" s="650"/>
      <c r="O4" s="650"/>
      <c r="P4" s="650" t="s">
        <v>873</v>
      </c>
      <c r="Q4" s="650"/>
      <c r="R4" s="673" t="s">
        <v>874</v>
      </c>
      <c r="S4" s="650" t="s">
        <v>872</v>
      </c>
      <c r="T4" s="650" t="s">
        <v>873</v>
      </c>
      <c r="U4" s="650" t="s">
        <v>873</v>
      </c>
      <c r="V4" s="650"/>
      <c r="W4" s="650"/>
      <c r="X4" s="650"/>
      <c r="AA4" s="651"/>
      <c r="AB4" s="651"/>
      <c r="AC4" s="651"/>
      <c r="AD4" s="651"/>
      <c r="AE4" s="651"/>
      <c r="AF4" s="651"/>
      <c r="AG4" s="651"/>
      <c r="AH4" s="650"/>
      <c r="AI4" s="650"/>
      <c r="AJ4" s="650"/>
      <c r="AK4" s="650"/>
      <c r="AL4" s="650"/>
      <c r="AM4" s="650"/>
    </row>
    <row r="5" spans="1:43" ht="80.099999999999994" customHeight="1" x14ac:dyDescent="0.25">
      <c r="A5" s="650" t="s">
        <v>872</v>
      </c>
      <c r="B5" s="650" t="s">
        <v>872</v>
      </c>
      <c r="C5" s="650"/>
      <c r="D5" s="669" t="s">
        <v>875</v>
      </c>
      <c r="E5" s="650" t="s">
        <v>872</v>
      </c>
      <c r="F5" s="650" t="s">
        <v>873</v>
      </c>
      <c r="G5" s="650"/>
      <c r="H5" s="650"/>
      <c r="I5" s="650"/>
      <c r="J5" s="650"/>
      <c r="M5" s="650" t="s">
        <v>873</v>
      </c>
      <c r="N5" s="650"/>
      <c r="O5" s="650"/>
      <c r="P5" s="650"/>
      <c r="Q5" s="650"/>
      <c r="R5" s="673" t="s">
        <v>876</v>
      </c>
      <c r="S5" s="650" t="s">
        <v>873</v>
      </c>
      <c r="T5" s="650" t="s">
        <v>872</v>
      </c>
      <c r="U5" s="650" t="s">
        <v>872</v>
      </c>
      <c r="V5" s="650"/>
      <c r="W5" s="650"/>
      <c r="X5" s="650"/>
      <c r="AA5" s="651"/>
      <c r="AB5" s="651"/>
      <c r="AC5" s="651"/>
      <c r="AD5" s="651"/>
      <c r="AE5" s="651"/>
      <c r="AF5" s="651"/>
      <c r="AG5" s="651"/>
      <c r="AH5" s="650"/>
      <c r="AI5" s="650"/>
      <c r="AJ5" s="650"/>
      <c r="AK5" s="650"/>
      <c r="AL5" s="650"/>
      <c r="AM5" s="650"/>
    </row>
    <row r="6" spans="1:43" ht="80.099999999999994" customHeight="1" x14ac:dyDescent="0.25">
      <c r="A6" s="650" t="s">
        <v>872</v>
      </c>
      <c r="B6" s="650" t="s">
        <v>872</v>
      </c>
      <c r="C6" s="650"/>
      <c r="D6" s="669" t="s">
        <v>877</v>
      </c>
      <c r="E6" s="650"/>
      <c r="F6" s="650"/>
      <c r="G6" s="650" t="s">
        <v>872</v>
      </c>
      <c r="H6" s="650"/>
      <c r="I6" s="650"/>
      <c r="J6" s="650"/>
      <c r="M6" s="650"/>
      <c r="N6" s="650" t="s">
        <v>872</v>
      </c>
      <c r="O6" s="650"/>
      <c r="P6" s="650"/>
      <c r="Q6" s="650"/>
      <c r="R6" s="673" t="s">
        <v>878</v>
      </c>
      <c r="S6" s="650"/>
      <c r="T6" s="650"/>
      <c r="U6" s="650"/>
      <c r="V6" s="650"/>
      <c r="W6" s="650"/>
      <c r="X6" s="650"/>
      <c r="AA6" s="651"/>
      <c r="AB6" s="651"/>
      <c r="AC6" s="651"/>
      <c r="AD6" s="651"/>
      <c r="AE6" s="651"/>
      <c r="AF6" s="651"/>
      <c r="AG6" s="651"/>
      <c r="AH6" s="650"/>
      <c r="AI6" s="650"/>
      <c r="AJ6" s="650"/>
      <c r="AK6" s="650"/>
      <c r="AL6" s="650"/>
      <c r="AM6" s="650"/>
    </row>
    <row r="7" spans="1:43" ht="80.099999999999994" customHeight="1" x14ac:dyDescent="0.25">
      <c r="A7" s="650" t="s">
        <v>873</v>
      </c>
      <c r="B7" s="650" t="s">
        <v>873</v>
      </c>
      <c r="C7" s="650"/>
      <c r="D7" s="669" t="s">
        <v>879</v>
      </c>
      <c r="E7" s="650"/>
      <c r="F7" s="650"/>
      <c r="G7" s="650"/>
      <c r="H7" s="650" t="s">
        <v>872</v>
      </c>
      <c r="I7" s="650"/>
      <c r="J7" s="650"/>
      <c r="M7" s="650"/>
      <c r="N7" s="650"/>
      <c r="O7" s="650" t="s">
        <v>872</v>
      </c>
      <c r="P7" s="650"/>
      <c r="Q7" s="650"/>
      <c r="R7" s="673" t="s">
        <v>880</v>
      </c>
      <c r="S7" s="650"/>
      <c r="T7" s="650"/>
      <c r="U7" s="650"/>
      <c r="V7" s="650"/>
      <c r="W7" s="650"/>
      <c r="X7" s="650"/>
      <c r="AA7" s="650" t="s">
        <v>872</v>
      </c>
      <c r="AB7" s="650" t="s">
        <v>873</v>
      </c>
      <c r="AC7" s="650"/>
      <c r="AD7" s="650"/>
      <c r="AE7" s="650"/>
      <c r="AF7" s="650"/>
      <c r="AG7" s="675" t="s">
        <v>881</v>
      </c>
      <c r="AH7" s="650"/>
      <c r="AI7" s="650"/>
      <c r="AJ7" s="650"/>
      <c r="AK7" s="650"/>
      <c r="AL7" s="650"/>
      <c r="AM7" s="650"/>
    </row>
    <row r="8" spans="1:43" ht="80.099999999999994" customHeight="1" x14ac:dyDescent="0.25">
      <c r="A8" s="650" t="s">
        <v>873</v>
      </c>
      <c r="B8" s="650" t="s">
        <v>873</v>
      </c>
      <c r="C8" s="650"/>
      <c r="D8" s="670" t="s">
        <v>882</v>
      </c>
      <c r="E8" s="650" t="s">
        <v>873</v>
      </c>
      <c r="F8" s="650"/>
      <c r="G8" s="650"/>
      <c r="H8" s="650"/>
      <c r="I8" s="650" t="s">
        <v>872</v>
      </c>
      <c r="J8" s="650"/>
      <c r="M8" s="650"/>
      <c r="N8" s="650"/>
      <c r="O8" s="650"/>
      <c r="P8" s="650" t="s">
        <v>872</v>
      </c>
      <c r="Q8" s="650"/>
      <c r="R8" s="673" t="s">
        <v>883</v>
      </c>
      <c r="S8" s="650"/>
      <c r="T8" s="650"/>
      <c r="U8" s="650" t="s">
        <v>873</v>
      </c>
      <c r="V8" s="650"/>
      <c r="W8" s="650"/>
      <c r="X8" s="650"/>
      <c r="AA8" s="650" t="s">
        <v>873</v>
      </c>
      <c r="AB8" s="650" t="s">
        <v>872</v>
      </c>
      <c r="AC8" s="650"/>
      <c r="AD8" s="650"/>
      <c r="AE8" s="650"/>
      <c r="AF8" s="650"/>
      <c r="AG8" s="675" t="s">
        <v>884</v>
      </c>
      <c r="AH8" s="650" t="s">
        <v>872</v>
      </c>
      <c r="AI8" s="650" t="s">
        <v>872</v>
      </c>
      <c r="AJ8" s="650" t="s">
        <v>872</v>
      </c>
      <c r="AK8" s="650"/>
      <c r="AL8" s="650" t="s">
        <v>873</v>
      </c>
      <c r="AM8" s="650"/>
    </row>
    <row r="9" spans="1:43" ht="80.099999999999994" customHeight="1" x14ac:dyDescent="0.25">
      <c r="A9" s="650"/>
      <c r="B9" s="650"/>
      <c r="C9" s="650" t="s">
        <v>872</v>
      </c>
      <c r="D9" s="670" t="s">
        <v>885</v>
      </c>
      <c r="E9" s="650"/>
      <c r="F9" s="650"/>
      <c r="G9" s="650"/>
      <c r="H9" s="650"/>
      <c r="I9" s="650"/>
      <c r="J9" s="650" t="s">
        <v>872</v>
      </c>
      <c r="M9" s="650"/>
      <c r="N9" s="650"/>
      <c r="O9" s="650"/>
      <c r="P9" s="650"/>
      <c r="Q9" s="650" t="s">
        <v>872</v>
      </c>
      <c r="R9" s="673" t="s">
        <v>886</v>
      </c>
      <c r="S9" s="650"/>
      <c r="T9" s="650"/>
      <c r="U9" s="650"/>
      <c r="V9" s="650"/>
      <c r="W9" s="650"/>
      <c r="X9" s="650"/>
      <c r="AA9" s="650" t="s">
        <v>873</v>
      </c>
      <c r="AB9" s="650" t="s">
        <v>872</v>
      </c>
      <c r="AC9" s="650"/>
      <c r="AD9" s="650"/>
      <c r="AE9" s="650" t="s">
        <v>873</v>
      </c>
      <c r="AF9" s="650"/>
      <c r="AG9" s="675" t="s">
        <v>887</v>
      </c>
      <c r="AH9" s="650"/>
      <c r="AI9" s="650"/>
      <c r="AJ9" s="650" t="s">
        <v>873</v>
      </c>
      <c r="AK9" s="650" t="s">
        <v>872</v>
      </c>
      <c r="AL9" s="650" t="s">
        <v>872</v>
      </c>
      <c r="AM9" s="650" t="s">
        <v>872</v>
      </c>
    </row>
    <row r="10" spans="1:43" ht="304.2" x14ac:dyDescent="0.3">
      <c r="A10" s="652" t="s">
        <v>888</v>
      </c>
      <c r="B10" s="652" t="s">
        <v>889</v>
      </c>
      <c r="C10" s="652" t="s">
        <v>890</v>
      </c>
      <c r="D10" s="653"/>
      <c r="E10" s="672" t="s">
        <v>874</v>
      </c>
      <c r="F10" s="672" t="s">
        <v>876</v>
      </c>
      <c r="G10" s="672" t="s">
        <v>878</v>
      </c>
      <c r="H10" s="672" t="s">
        <v>880</v>
      </c>
      <c r="I10" s="672" t="s">
        <v>883</v>
      </c>
      <c r="J10" s="672" t="s">
        <v>886</v>
      </c>
      <c r="M10" s="671" t="s">
        <v>875</v>
      </c>
      <c r="N10" s="671" t="s">
        <v>877</v>
      </c>
      <c r="O10" s="671" t="s">
        <v>879</v>
      </c>
      <c r="P10" s="671" t="s">
        <v>882</v>
      </c>
      <c r="Q10" s="671" t="s">
        <v>885</v>
      </c>
      <c r="R10" s="653"/>
      <c r="S10" s="674" t="s">
        <v>881</v>
      </c>
      <c r="T10" s="674" t="s">
        <v>884</v>
      </c>
      <c r="U10" s="674" t="s">
        <v>887</v>
      </c>
      <c r="V10" s="654"/>
      <c r="W10" s="654"/>
      <c r="X10" s="654"/>
      <c r="AA10" s="676" t="s">
        <v>874</v>
      </c>
      <c r="AB10" s="676" t="s">
        <v>876</v>
      </c>
      <c r="AC10" s="676" t="s">
        <v>878</v>
      </c>
      <c r="AD10" s="676" t="s">
        <v>880</v>
      </c>
      <c r="AE10" s="676" t="s">
        <v>883</v>
      </c>
      <c r="AF10" s="676" t="s">
        <v>886</v>
      </c>
      <c r="AG10" s="656"/>
      <c r="AH10" s="655" t="s">
        <v>891</v>
      </c>
      <c r="AI10" s="655" t="s">
        <v>892</v>
      </c>
      <c r="AJ10" s="655" t="s">
        <v>893</v>
      </c>
      <c r="AK10" s="655" t="s">
        <v>894</v>
      </c>
      <c r="AL10" s="655" t="s">
        <v>895</v>
      </c>
      <c r="AM10" s="655" t="s">
        <v>896</v>
      </c>
    </row>
    <row r="11" spans="1:43" ht="28.2" thickBot="1" x14ac:dyDescent="0.45">
      <c r="A11" s="657"/>
      <c r="B11" s="657"/>
      <c r="C11" s="657"/>
      <c r="D11" s="657"/>
      <c r="E11" s="657"/>
      <c r="F11" s="657"/>
      <c r="G11" s="657"/>
      <c r="H11" s="657"/>
      <c r="I11" s="657"/>
      <c r="J11" s="657"/>
      <c r="M11" s="657"/>
      <c r="N11" s="657"/>
      <c r="O11" s="657"/>
      <c r="P11" s="657"/>
      <c r="Q11" s="657"/>
      <c r="R11" s="657"/>
      <c r="S11" s="658"/>
      <c r="T11" s="659"/>
      <c r="U11" s="659"/>
      <c r="V11" s="659"/>
      <c r="W11" s="659"/>
      <c r="X11" s="660"/>
      <c r="AA11" s="657"/>
      <c r="AB11" s="657"/>
      <c r="AC11" s="657"/>
      <c r="AD11" s="657"/>
      <c r="AE11" s="657"/>
      <c r="AF11" s="657"/>
      <c r="AG11" s="658"/>
      <c r="AH11" s="659"/>
      <c r="AI11" s="659"/>
      <c r="AJ11" s="659"/>
      <c r="AK11" s="659"/>
      <c r="AL11" s="660"/>
      <c r="AM11" s="660"/>
    </row>
    <row r="12" spans="1:43" ht="27.6" x14ac:dyDescent="0.4">
      <c r="A12" s="651"/>
      <c r="B12" s="651"/>
      <c r="C12" s="651"/>
      <c r="D12" s="667" t="s">
        <v>897</v>
      </c>
      <c r="E12" s="661">
        <v>1</v>
      </c>
      <c r="F12" s="661">
        <v>2</v>
      </c>
      <c r="G12" s="661">
        <v>3</v>
      </c>
      <c r="H12" s="661">
        <v>4</v>
      </c>
      <c r="I12" s="661">
        <v>5</v>
      </c>
      <c r="J12" s="661">
        <v>6</v>
      </c>
      <c r="M12" s="651"/>
      <c r="N12" s="651"/>
      <c r="O12" s="651"/>
      <c r="P12" s="651"/>
      <c r="Q12" s="651"/>
      <c r="R12" s="667" t="s">
        <v>898</v>
      </c>
      <c r="S12" s="661">
        <v>1</v>
      </c>
      <c r="T12" s="661">
        <v>2</v>
      </c>
      <c r="U12" s="661">
        <v>3</v>
      </c>
      <c r="V12" s="661">
        <v>4</v>
      </c>
      <c r="W12" s="661">
        <v>5</v>
      </c>
      <c r="X12" s="661">
        <v>6</v>
      </c>
      <c r="AA12" s="662"/>
      <c r="AB12" s="662"/>
      <c r="AC12" s="662"/>
      <c r="AD12" s="662"/>
      <c r="AE12" s="662"/>
      <c r="AF12" s="662"/>
      <c r="AG12" s="668" t="s">
        <v>899</v>
      </c>
      <c r="AH12" s="663">
        <v>1</v>
      </c>
      <c r="AI12" s="663">
        <v>2</v>
      </c>
      <c r="AJ12" s="663">
        <v>3</v>
      </c>
      <c r="AK12" s="663">
        <v>4</v>
      </c>
      <c r="AL12" s="663">
        <v>5</v>
      </c>
      <c r="AM12" s="663">
        <v>6</v>
      </c>
    </row>
    <row r="13" spans="1:43" ht="31.8" x14ac:dyDescent="0.4">
      <c r="A13" s="651"/>
      <c r="B13" s="651"/>
      <c r="C13" s="651"/>
      <c r="D13" s="664" t="s">
        <v>900</v>
      </c>
      <c r="E13" s="650"/>
      <c r="F13" s="650" t="s">
        <v>872</v>
      </c>
      <c r="G13" s="650" t="s">
        <v>873</v>
      </c>
      <c r="H13" s="650" t="s">
        <v>872</v>
      </c>
      <c r="I13" s="650" t="s">
        <v>872</v>
      </c>
      <c r="J13" s="650" t="s">
        <v>873</v>
      </c>
      <c r="M13" s="651"/>
      <c r="N13" s="651"/>
      <c r="O13" s="651"/>
      <c r="P13" s="651"/>
      <c r="Q13" s="651"/>
      <c r="R13" s="664" t="s">
        <v>901</v>
      </c>
      <c r="S13" s="650"/>
      <c r="T13" s="650" t="s">
        <v>872</v>
      </c>
      <c r="U13" s="650" t="s">
        <v>873</v>
      </c>
      <c r="V13" s="650"/>
      <c r="W13" s="650"/>
      <c r="X13" s="650"/>
      <c r="AA13" s="651"/>
      <c r="AB13" s="651"/>
      <c r="AC13" s="651"/>
      <c r="AD13" s="651"/>
      <c r="AE13" s="651"/>
      <c r="AF13" s="651"/>
      <c r="AG13" s="664" t="s">
        <v>902</v>
      </c>
      <c r="AH13" s="650"/>
      <c r="AI13" s="650"/>
      <c r="AJ13" s="650" t="s">
        <v>873</v>
      </c>
      <c r="AK13" s="650"/>
      <c r="AL13" s="650" t="s">
        <v>872</v>
      </c>
      <c r="AM13" s="650" t="s">
        <v>872</v>
      </c>
    </row>
    <row r="14" spans="1:43" ht="31.8" x14ac:dyDescent="0.4">
      <c r="A14" s="665"/>
      <c r="B14" s="665"/>
      <c r="C14" s="665"/>
      <c r="D14" s="664" t="s">
        <v>903</v>
      </c>
      <c r="E14" s="650" t="s">
        <v>872</v>
      </c>
      <c r="F14" s="650" t="s">
        <v>873</v>
      </c>
      <c r="G14" s="650" t="s">
        <v>873</v>
      </c>
      <c r="H14" s="650" t="s">
        <v>873</v>
      </c>
      <c r="I14" s="650"/>
      <c r="J14" s="650"/>
      <c r="M14" s="662"/>
      <c r="N14" s="662"/>
      <c r="O14" s="662"/>
      <c r="P14" s="662"/>
      <c r="Q14" s="662"/>
      <c r="R14" s="664" t="s">
        <v>904</v>
      </c>
      <c r="S14" s="650"/>
      <c r="T14" s="650" t="s">
        <v>873</v>
      </c>
      <c r="U14" s="650" t="s">
        <v>873</v>
      </c>
      <c r="V14" s="650"/>
      <c r="W14" s="650"/>
      <c r="X14" s="650"/>
      <c r="AA14" s="662"/>
      <c r="AB14" s="662"/>
      <c r="AC14" s="662"/>
      <c r="AD14" s="662"/>
      <c r="AE14" s="662"/>
      <c r="AF14" s="662"/>
      <c r="AG14" s="664" t="s">
        <v>905</v>
      </c>
      <c r="AH14" s="650"/>
      <c r="AI14" s="650"/>
      <c r="AJ14" s="650"/>
      <c r="AK14" s="650" t="s">
        <v>873</v>
      </c>
      <c r="AL14" s="650"/>
      <c r="AM14" s="650"/>
    </row>
    <row r="15" spans="1:43" ht="31.8" x14ac:dyDescent="0.4">
      <c r="A15" s="666"/>
      <c r="B15" s="666"/>
      <c r="C15" s="666"/>
      <c r="D15" s="664" t="s">
        <v>906</v>
      </c>
      <c r="E15" s="650" t="s">
        <v>873</v>
      </c>
      <c r="F15" s="650"/>
      <c r="G15" s="650" t="s">
        <v>872</v>
      </c>
      <c r="H15" s="650"/>
      <c r="I15" s="650"/>
      <c r="J15" s="650"/>
      <c r="M15" s="662"/>
      <c r="N15" s="662"/>
      <c r="O15" s="662"/>
      <c r="P15" s="662"/>
      <c r="Q15" s="662"/>
      <c r="R15" s="664" t="s">
        <v>907</v>
      </c>
      <c r="S15" s="650"/>
      <c r="T15" s="650" t="s">
        <v>873</v>
      </c>
      <c r="U15" s="650" t="s">
        <v>873</v>
      </c>
      <c r="V15" s="650"/>
      <c r="W15" s="650"/>
      <c r="X15" s="650"/>
      <c r="AA15" s="662"/>
      <c r="AB15" s="662"/>
      <c r="AC15" s="662"/>
      <c r="AD15" s="662"/>
      <c r="AE15" s="662"/>
      <c r="AF15" s="662"/>
      <c r="AG15" s="664" t="s">
        <v>908</v>
      </c>
      <c r="AH15" s="650" t="s">
        <v>873</v>
      </c>
      <c r="AI15" s="650"/>
      <c r="AJ15" s="650" t="s">
        <v>872</v>
      </c>
      <c r="AK15" s="650"/>
      <c r="AL15" s="650" t="s">
        <v>873</v>
      </c>
      <c r="AM15" s="650" t="s">
        <v>873</v>
      </c>
    </row>
    <row r="16" spans="1:43" ht="31.8" x14ac:dyDescent="0.4">
      <c r="A16" s="666"/>
      <c r="B16" s="666"/>
      <c r="C16" s="666"/>
      <c r="D16" s="664" t="s">
        <v>909</v>
      </c>
      <c r="E16" s="650"/>
      <c r="F16" s="650" t="s">
        <v>873</v>
      </c>
      <c r="G16" s="650" t="s">
        <v>873</v>
      </c>
      <c r="H16" s="650" t="s">
        <v>873</v>
      </c>
      <c r="I16" s="650"/>
      <c r="J16" s="650"/>
      <c r="M16" s="662"/>
      <c r="N16" s="662"/>
      <c r="O16" s="662"/>
      <c r="P16" s="662"/>
      <c r="Q16" s="662"/>
      <c r="R16" s="664" t="s">
        <v>910</v>
      </c>
      <c r="S16" s="650"/>
      <c r="T16" s="650"/>
      <c r="U16" s="650"/>
      <c r="V16" s="650"/>
      <c r="W16" s="650"/>
      <c r="X16" s="650"/>
      <c r="AA16" s="662"/>
      <c r="AB16" s="662"/>
      <c r="AC16" s="662"/>
      <c r="AD16" s="662"/>
      <c r="AE16" s="662"/>
      <c r="AF16" s="662"/>
      <c r="AG16" s="664" t="s">
        <v>911</v>
      </c>
      <c r="AH16" s="650" t="s">
        <v>873</v>
      </c>
      <c r="AI16" s="650"/>
      <c r="AJ16" s="650"/>
      <c r="AK16" s="650" t="s">
        <v>873</v>
      </c>
      <c r="AL16" s="650" t="s">
        <v>873</v>
      </c>
      <c r="AM16" s="650" t="s">
        <v>873</v>
      </c>
    </row>
    <row r="17" spans="1:39" ht="31.8" x14ac:dyDescent="0.4">
      <c r="A17" s="651"/>
      <c r="B17" s="651"/>
      <c r="C17" s="651"/>
      <c r="D17" s="664" t="s">
        <v>912</v>
      </c>
      <c r="E17" s="650"/>
      <c r="F17" s="650" t="s">
        <v>873</v>
      </c>
      <c r="G17" s="650"/>
      <c r="H17" s="650" t="s">
        <v>873</v>
      </c>
      <c r="I17" s="650"/>
      <c r="J17" s="650"/>
      <c r="M17" s="662"/>
      <c r="N17" s="662"/>
      <c r="O17" s="662"/>
      <c r="P17" s="662"/>
      <c r="Q17" s="662"/>
      <c r="R17" s="664" t="s">
        <v>913</v>
      </c>
      <c r="S17" s="650"/>
      <c r="T17" s="650"/>
      <c r="U17" s="650"/>
      <c r="V17" s="650"/>
      <c r="W17" s="650"/>
      <c r="X17" s="650"/>
      <c r="AA17" s="662"/>
      <c r="AB17" s="662"/>
      <c r="AC17" s="662"/>
      <c r="AD17" s="662"/>
      <c r="AE17" s="662"/>
      <c r="AF17" s="662"/>
      <c r="AG17" s="664" t="s">
        <v>914</v>
      </c>
      <c r="AH17" s="650"/>
      <c r="AI17" s="650"/>
      <c r="AJ17" s="650"/>
      <c r="AK17" s="650"/>
      <c r="AL17" s="650" t="s">
        <v>873</v>
      </c>
      <c r="AM17" s="650" t="s">
        <v>873</v>
      </c>
    </row>
    <row r="18" spans="1:39" ht="31.8" x14ac:dyDescent="0.4">
      <c r="A18" s="651"/>
      <c r="B18" s="651"/>
      <c r="C18" s="651"/>
      <c r="D18" s="664" t="s">
        <v>915</v>
      </c>
      <c r="E18" s="650"/>
      <c r="F18" s="650"/>
      <c r="G18" s="650"/>
      <c r="H18" s="650"/>
      <c r="I18" s="650"/>
      <c r="J18" s="650" t="s">
        <v>873</v>
      </c>
      <c r="M18" s="665"/>
      <c r="N18" s="665"/>
      <c r="O18" s="665"/>
      <c r="P18" s="665"/>
      <c r="Q18" s="665"/>
      <c r="R18" s="664" t="s">
        <v>903</v>
      </c>
      <c r="S18" s="650" t="s">
        <v>872</v>
      </c>
      <c r="T18" s="650"/>
      <c r="U18" s="650"/>
      <c r="V18" s="650"/>
      <c r="W18" s="650"/>
      <c r="X18" s="650"/>
      <c r="AA18" s="662"/>
      <c r="AB18" s="662"/>
      <c r="AC18" s="662"/>
      <c r="AD18" s="662"/>
      <c r="AE18" s="662"/>
      <c r="AF18" s="662"/>
      <c r="AG18" s="664" t="s">
        <v>916</v>
      </c>
      <c r="AH18" s="650" t="s">
        <v>872</v>
      </c>
      <c r="AI18" s="650" t="s">
        <v>872</v>
      </c>
      <c r="AJ18" s="650"/>
      <c r="AK18" s="650"/>
      <c r="AL18" s="650" t="s">
        <v>873</v>
      </c>
      <c r="AM18" s="650" t="s">
        <v>873</v>
      </c>
    </row>
    <row r="19" spans="1:39" ht="31.8" x14ac:dyDescent="0.4">
      <c r="A19" s="666"/>
      <c r="B19" s="666"/>
      <c r="C19" s="666"/>
      <c r="D19" s="664" t="s">
        <v>917</v>
      </c>
      <c r="E19" s="650"/>
      <c r="F19" s="650"/>
      <c r="G19" s="650"/>
      <c r="H19" s="650"/>
      <c r="I19" s="650"/>
      <c r="J19" s="650" t="s">
        <v>872</v>
      </c>
      <c r="M19" s="666"/>
      <c r="N19" s="666"/>
      <c r="O19" s="666"/>
      <c r="P19" s="666"/>
      <c r="Q19" s="666"/>
      <c r="R19" s="664" t="s">
        <v>906</v>
      </c>
      <c r="S19" s="650" t="s">
        <v>873</v>
      </c>
      <c r="T19" s="650"/>
      <c r="U19" s="650"/>
      <c r="V19" s="650"/>
      <c r="W19" s="650"/>
      <c r="X19" s="650"/>
      <c r="AA19" s="665"/>
      <c r="AB19" s="665"/>
      <c r="AC19" s="665"/>
      <c r="AD19" s="665"/>
      <c r="AE19" s="665"/>
      <c r="AF19" s="665"/>
      <c r="AG19" s="664" t="s">
        <v>903</v>
      </c>
      <c r="AH19" s="650"/>
      <c r="AI19" s="650"/>
      <c r="AJ19" s="650"/>
      <c r="AK19" s="650"/>
      <c r="AL19" s="650"/>
      <c r="AM19" s="650"/>
    </row>
    <row r="20" spans="1:39" ht="31.8" x14ac:dyDescent="0.4">
      <c r="A20" s="666"/>
      <c r="B20" s="666"/>
      <c r="C20" s="666"/>
      <c r="D20" s="664" t="s">
        <v>918</v>
      </c>
      <c r="E20" s="650"/>
      <c r="F20" s="650"/>
      <c r="G20" s="650"/>
      <c r="H20" s="650"/>
      <c r="I20" s="650" t="s">
        <v>873</v>
      </c>
      <c r="J20" s="650" t="s">
        <v>873</v>
      </c>
      <c r="M20" s="666"/>
      <c r="N20" s="666"/>
      <c r="O20" s="666"/>
      <c r="P20" s="666"/>
      <c r="Q20" s="666"/>
      <c r="R20" s="664" t="s">
        <v>909</v>
      </c>
      <c r="S20" s="650"/>
      <c r="T20" s="650"/>
      <c r="U20" s="650" t="s">
        <v>872</v>
      </c>
      <c r="V20" s="650"/>
      <c r="W20" s="650"/>
      <c r="X20" s="650"/>
      <c r="AA20" s="666"/>
      <c r="AB20" s="666"/>
      <c r="AC20" s="666"/>
      <c r="AD20" s="666"/>
      <c r="AE20" s="666"/>
      <c r="AF20" s="666"/>
      <c r="AG20" s="664" t="s">
        <v>906</v>
      </c>
      <c r="AH20" s="650"/>
      <c r="AI20" s="650"/>
      <c r="AJ20" s="650"/>
      <c r="AK20" s="650"/>
      <c r="AL20" s="650"/>
      <c r="AM20" s="650"/>
    </row>
    <row r="21" spans="1:39" ht="31.8" x14ac:dyDescent="0.4">
      <c r="M21" s="651"/>
      <c r="N21" s="651"/>
      <c r="O21" s="651"/>
      <c r="P21" s="651"/>
      <c r="Q21" s="651"/>
      <c r="R21" s="664" t="s">
        <v>912</v>
      </c>
      <c r="S21" s="650"/>
      <c r="T21" s="650" t="s">
        <v>873</v>
      </c>
      <c r="U21" s="650" t="s">
        <v>873</v>
      </c>
      <c r="V21" s="650"/>
      <c r="W21" s="650"/>
      <c r="X21" s="650"/>
      <c r="AA21" s="666"/>
      <c r="AB21" s="666"/>
      <c r="AC21" s="666"/>
      <c r="AD21" s="666"/>
      <c r="AE21" s="666"/>
      <c r="AF21" s="666"/>
      <c r="AG21" s="664" t="s">
        <v>909</v>
      </c>
      <c r="AH21" s="650"/>
      <c r="AI21" s="650"/>
      <c r="AJ21" s="650"/>
      <c r="AK21" s="650" t="s">
        <v>872</v>
      </c>
      <c r="AL21" s="650"/>
      <c r="AM21" s="650"/>
    </row>
    <row r="22" spans="1:39" ht="31.8" x14ac:dyDescent="0.4">
      <c r="M22" s="651"/>
      <c r="N22" s="651"/>
      <c r="O22" s="651"/>
      <c r="P22" s="651"/>
      <c r="Q22" s="651"/>
      <c r="R22" s="664" t="s">
        <v>915</v>
      </c>
      <c r="S22" s="650"/>
      <c r="T22" s="650"/>
      <c r="U22" s="650"/>
      <c r="V22" s="650"/>
      <c r="W22" s="650"/>
      <c r="X22" s="650"/>
      <c r="AA22" s="651"/>
      <c r="AB22" s="651"/>
      <c r="AC22" s="651"/>
      <c r="AD22" s="651"/>
      <c r="AE22" s="651"/>
      <c r="AF22" s="651"/>
      <c r="AG22" s="664" t="s">
        <v>912</v>
      </c>
      <c r="AH22" s="650"/>
      <c r="AI22" s="650"/>
      <c r="AJ22" s="650"/>
      <c r="AK22" s="650"/>
      <c r="AL22" s="650"/>
      <c r="AM22" s="650"/>
    </row>
    <row r="23" spans="1:39" ht="31.8" x14ac:dyDescent="0.4">
      <c r="M23" s="666"/>
      <c r="N23" s="666"/>
      <c r="O23" s="666"/>
      <c r="P23" s="666"/>
      <c r="Q23" s="666"/>
      <c r="R23" s="664" t="s">
        <v>917</v>
      </c>
      <c r="S23" s="650"/>
      <c r="T23" s="650"/>
      <c r="U23" s="650"/>
      <c r="V23" s="650"/>
      <c r="W23" s="650"/>
      <c r="X23" s="650"/>
      <c r="AA23" s="651"/>
      <c r="AB23" s="651"/>
      <c r="AC23" s="651"/>
      <c r="AD23" s="651"/>
      <c r="AE23" s="651"/>
      <c r="AF23" s="651"/>
      <c r="AG23" s="664" t="s">
        <v>915</v>
      </c>
      <c r="AH23" s="650"/>
      <c r="AI23" s="650"/>
      <c r="AJ23" s="650"/>
      <c r="AK23" s="650"/>
      <c r="AL23" s="650"/>
      <c r="AM23" s="650"/>
    </row>
    <row r="24" spans="1:39" ht="31.8" x14ac:dyDescent="0.4">
      <c r="M24" s="666"/>
      <c r="N24" s="666"/>
      <c r="O24" s="666"/>
      <c r="P24" s="666"/>
      <c r="Q24" s="666"/>
      <c r="R24" s="664" t="s">
        <v>918</v>
      </c>
      <c r="S24" s="650"/>
      <c r="T24" s="650"/>
      <c r="U24" s="650"/>
      <c r="V24" s="650"/>
      <c r="W24" s="650"/>
      <c r="X24" s="650"/>
      <c r="AA24" s="666"/>
      <c r="AB24" s="666"/>
      <c r="AC24" s="666"/>
      <c r="AD24" s="666"/>
      <c r="AE24" s="666"/>
      <c r="AF24" s="666"/>
      <c r="AG24" s="664" t="s">
        <v>917</v>
      </c>
      <c r="AH24" s="650"/>
      <c r="AI24" s="650"/>
      <c r="AJ24" s="650"/>
      <c r="AK24" s="650" t="s">
        <v>873</v>
      </c>
      <c r="AL24" s="650" t="s">
        <v>873</v>
      </c>
      <c r="AM24" s="650" t="s">
        <v>873</v>
      </c>
    </row>
    <row r="25" spans="1:39" ht="31.8" x14ac:dyDescent="0.4">
      <c r="AA25" s="666"/>
      <c r="AB25" s="666"/>
      <c r="AC25" s="666"/>
      <c r="AD25" s="666"/>
      <c r="AE25" s="666"/>
      <c r="AF25" s="666"/>
      <c r="AG25" s="664" t="s">
        <v>918</v>
      </c>
      <c r="AH25" s="650"/>
      <c r="AI25" s="650"/>
      <c r="AJ25" s="650"/>
      <c r="AK25" s="650"/>
      <c r="AL25" s="650"/>
      <c r="AM25" s="650"/>
    </row>
  </sheetData>
  <mergeCells count="2">
    <mergeCell ref="A1:J2"/>
    <mergeCell ref="AP1:AQ1"/>
  </mergeCells>
  <hyperlinks>
    <hyperlink ref="AP1" location="Menu!A1" display="Return to menu" xr:uid="{00000000-0004-0000-1E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dimension ref="A1:P104"/>
  <sheetViews>
    <sheetView zoomScale="90" workbookViewId="0">
      <selection activeCell="P1" sqref="P1"/>
    </sheetView>
  </sheetViews>
  <sheetFormatPr defaultColWidth="8.88671875" defaultRowHeight="13.2" x14ac:dyDescent="0.25"/>
  <cols>
    <col min="1" max="1" width="11.88671875" style="13" customWidth="1"/>
    <col min="2" max="2" width="8.88671875" style="13"/>
    <col min="3" max="3" width="6.6640625" style="13" customWidth="1"/>
    <col min="4" max="4" width="6.44140625" style="13" customWidth="1"/>
    <col min="5" max="5" width="7.44140625" style="13" customWidth="1"/>
    <col min="6" max="6" width="8" style="13" customWidth="1"/>
    <col min="7" max="8" width="5.6640625" style="13" customWidth="1"/>
    <col min="9" max="9" width="6.21875" style="13" customWidth="1"/>
    <col min="10" max="15" width="8.88671875" style="13"/>
    <col min="16" max="16" width="20.6640625" style="13" bestFit="1" customWidth="1"/>
    <col min="17" max="256" width="8.88671875" style="13"/>
    <col min="257" max="257" width="11.88671875" style="13" customWidth="1"/>
    <col min="258" max="258" width="8.88671875" style="13"/>
    <col min="259" max="259" width="6.6640625" style="13" customWidth="1"/>
    <col min="260" max="260" width="6.44140625" style="13" customWidth="1"/>
    <col min="261" max="261" width="7.44140625" style="13" customWidth="1"/>
    <col min="262" max="262" width="8" style="13" customWidth="1"/>
    <col min="263" max="264" width="5.6640625" style="13" customWidth="1"/>
    <col min="265" max="265" width="6.21875" style="13" customWidth="1"/>
    <col min="266" max="512" width="8.88671875" style="13"/>
    <col min="513" max="513" width="11.88671875" style="13" customWidth="1"/>
    <col min="514" max="514" width="8.88671875" style="13"/>
    <col min="515" max="515" width="6.6640625" style="13" customWidth="1"/>
    <col min="516" max="516" width="6.44140625" style="13" customWidth="1"/>
    <col min="517" max="517" width="7.44140625" style="13" customWidth="1"/>
    <col min="518" max="518" width="8" style="13" customWidth="1"/>
    <col min="519" max="520" width="5.6640625" style="13" customWidth="1"/>
    <col min="521" max="521" width="6.21875" style="13" customWidth="1"/>
    <col min="522" max="768" width="8.88671875" style="13"/>
    <col min="769" max="769" width="11.88671875" style="13" customWidth="1"/>
    <col min="770" max="770" width="8.88671875" style="13"/>
    <col min="771" max="771" width="6.6640625" style="13" customWidth="1"/>
    <col min="772" max="772" width="6.44140625" style="13" customWidth="1"/>
    <col min="773" max="773" width="7.44140625" style="13" customWidth="1"/>
    <col min="774" max="774" width="8" style="13" customWidth="1"/>
    <col min="775" max="776" width="5.6640625" style="13" customWidth="1"/>
    <col min="777" max="777" width="6.21875" style="13" customWidth="1"/>
    <col min="778" max="1024" width="8.88671875" style="13"/>
    <col min="1025" max="1025" width="11.88671875" style="13" customWidth="1"/>
    <col min="1026" max="1026" width="8.88671875" style="13"/>
    <col min="1027" max="1027" width="6.6640625" style="13" customWidth="1"/>
    <col min="1028" max="1028" width="6.44140625" style="13" customWidth="1"/>
    <col min="1029" max="1029" width="7.44140625" style="13" customWidth="1"/>
    <col min="1030" max="1030" width="8" style="13" customWidth="1"/>
    <col min="1031" max="1032" width="5.6640625" style="13" customWidth="1"/>
    <col min="1033" max="1033" width="6.21875" style="13" customWidth="1"/>
    <col min="1034" max="1280" width="8.88671875" style="13"/>
    <col min="1281" max="1281" width="11.88671875" style="13" customWidth="1"/>
    <col min="1282" max="1282" width="8.88671875" style="13"/>
    <col min="1283" max="1283" width="6.6640625" style="13" customWidth="1"/>
    <col min="1284" max="1284" width="6.44140625" style="13" customWidth="1"/>
    <col min="1285" max="1285" width="7.44140625" style="13" customWidth="1"/>
    <col min="1286" max="1286" width="8" style="13" customWidth="1"/>
    <col min="1287" max="1288" width="5.6640625" style="13" customWidth="1"/>
    <col min="1289" max="1289" width="6.21875" style="13" customWidth="1"/>
    <col min="1290" max="1536" width="8.88671875" style="13"/>
    <col min="1537" max="1537" width="11.88671875" style="13" customWidth="1"/>
    <col min="1538" max="1538" width="8.88671875" style="13"/>
    <col min="1539" max="1539" width="6.6640625" style="13" customWidth="1"/>
    <col min="1540" max="1540" width="6.44140625" style="13" customWidth="1"/>
    <col min="1541" max="1541" width="7.44140625" style="13" customWidth="1"/>
    <col min="1542" max="1542" width="8" style="13" customWidth="1"/>
    <col min="1543" max="1544" width="5.6640625" style="13" customWidth="1"/>
    <col min="1545" max="1545" width="6.21875" style="13" customWidth="1"/>
    <col min="1546" max="1792" width="8.88671875" style="13"/>
    <col min="1793" max="1793" width="11.88671875" style="13" customWidth="1"/>
    <col min="1794" max="1794" width="8.88671875" style="13"/>
    <col min="1795" max="1795" width="6.6640625" style="13" customWidth="1"/>
    <col min="1796" max="1796" width="6.44140625" style="13" customWidth="1"/>
    <col min="1797" max="1797" width="7.44140625" style="13" customWidth="1"/>
    <col min="1798" max="1798" width="8" style="13" customWidth="1"/>
    <col min="1799" max="1800" width="5.6640625" style="13" customWidth="1"/>
    <col min="1801" max="1801" width="6.21875" style="13" customWidth="1"/>
    <col min="1802" max="2048" width="8.88671875" style="13"/>
    <col min="2049" max="2049" width="11.88671875" style="13" customWidth="1"/>
    <col min="2050" max="2050" width="8.88671875" style="13"/>
    <col min="2051" max="2051" width="6.6640625" style="13" customWidth="1"/>
    <col min="2052" max="2052" width="6.44140625" style="13" customWidth="1"/>
    <col min="2053" max="2053" width="7.44140625" style="13" customWidth="1"/>
    <col min="2054" max="2054" width="8" style="13" customWidth="1"/>
    <col min="2055" max="2056" width="5.6640625" style="13" customWidth="1"/>
    <col min="2057" max="2057" width="6.21875" style="13" customWidth="1"/>
    <col min="2058" max="2304" width="8.88671875" style="13"/>
    <col min="2305" max="2305" width="11.88671875" style="13" customWidth="1"/>
    <col min="2306" max="2306" width="8.88671875" style="13"/>
    <col min="2307" max="2307" width="6.6640625" style="13" customWidth="1"/>
    <col min="2308" max="2308" width="6.44140625" style="13" customWidth="1"/>
    <col min="2309" max="2309" width="7.44140625" style="13" customWidth="1"/>
    <col min="2310" max="2310" width="8" style="13" customWidth="1"/>
    <col min="2311" max="2312" width="5.6640625" style="13" customWidth="1"/>
    <col min="2313" max="2313" width="6.21875" style="13" customWidth="1"/>
    <col min="2314" max="2560" width="8.88671875" style="13"/>
    <col min="2561" max="2561" width="11.88671875" style="13" customWidth="1"/>
    <col min="2562" max="2562" width="8.88671875" style="13"/>
    <col min="2563" max="2563" width="6.6640625" style="13" customWidth="1"/>
    <col min="2564" max="2564" width="6.44140625" style="13" customWidth="1"/>
    <col min="2565" max="2565" width="7.44140625" style="13" customWidth="1"/>
    <col min="2566" max="2566" width="8" style="13" customWidth="1"/>
    <col min="2567" max="2568" width="5.6640625" style="13" customWidth="1"/>
    <col min="2569" max="2569" width="6.21875" style="13" customWidth="1"/>
    <col min="2570" max="2816" width="8.88671875" style="13"/>
    <col min="2817" max="2817" width="11.88671875" style="13" customWidth="1"/>
    <col min="2818" max="2818" width="8.88671875" style="13"/>
    <col min="2819" max="2819" width="6.6640625" style="13" customWidth="1"/>
    <col min="2820" max="2820" width="6.44140625" style="13" customWidth="1"/>
    <col min="2821" max="2821" width="7.44140625" style="13" customWidth="1"/>
    <col min="2822" max="2822" width="8" style="13" customWidth="1"/>
    <col min="2823" max="2824" width="5.6640625" style="13" customWidth="1"/>
    <col min="2825" max="2825" width="6.21875" style="13" customWidth="1"/>
    <col min="2826" max="3072" width="8.88671875" style="13"/>
    <col min="3073" max="3073" width="11.88671875" style="13" customWidth="1"/>
    <col min="3074" max="3074" width="8.88671875" style="13"/>
    <col min="3075" max="3075" width="6.6640625" style="13" customWidth="1"/>
    <col min="3076" max="3076" width="6.44140625" style="13" customWidth="1"/>
    <col min="3077" max="3077" width="7.44140625" style="13" customWidth="1"/>
    <col min="3078" max="3078" width="8" style="13" customWidth="1"/>
    <col min="3079" max="3080" width="5.6640625" style="13" customWidth="1"/>
    <col min="3081" max="3081" width="6.21875" style="13" customWidth="1"/>
    <col min="3082" max="3328" width="8.88671875" style="13"/>
    <col min="3329" max="3329" width="11.88671875" style="13" customWidth="1"/>
    <col min="3330" max="3330" width="8.88671875" style="13"/>
    <col min="3331" max="3331" width="6.6640625" style="13" customWidth="1"/>
    <col min="3332" max="3332" width="6.44140625" style="13" customWidth="1"/>
    <col min="3333" max="3333" width="7.44140625" style="13" customWidth="1"/>
    <col min="3334" max="3334" width="8" style="13" customWidth="1"/>
    <col min="3335" max="3336" width="5.6640625" style="13" customWidth="1"/>
    <col min="3337" max="3337" width="6.21875" style="13" customWidth="1"/>
    <col min="3338" max="3584" width="8.88671875" style="13"/>
    <col min="3585" max="3585" width="11.88671875" style="13" customWidth="1"/>
    <col min="3586" max="3586" width="8.88671875" style="13"/>
    <col min="3587" max="3587" width="6.6640625" style="13" customWidth="1"/>
    <col min="3588" max="3588" width="6.44140625" style="13" customWidth="1"/>
    <col min="3589" max="3589" width="7.44140625" style="13" customWidth="1"/>
    <col min="3590" max="3590" width="8" style="13" customWidth="1"/>
    <col min="3591" max="3592" width="5.6640625" style="13" customWidth="1"/>
    <col min="3593" max="3593" width="6.21875" style="13" customWidth="1"/>
    <col min="3594" max="3840" width="8.88671875" style="13"/>
    <col min="3841" max="3841" width="11.88671875" style="13" customWidth="1"/>
    <col min="3842" max="3842" width="8.88671875" style="13"/>
    <col min="3843" max="3843" width="6.6640625" style="13" customWidth="1"/>
    <col min="3844" max="3844" width="6.44140625" style="13" customWidth="1"/>
    <col min="3845" max="3845" width="7.44140625" style="13" customWidth="1"/>
    <col min="3846" max="3846" width="8" style="13" customWidth="1"/>
    <col min="3847" max="3848" width="5.6640625" style="13" customWidth="1"/>
    <col min="3849" max="3849" width="6.21875" style="13" customWidth="1"/>
    <col min="3850" max="4096" width="8.88671875" style="13"/>
    <col min="4097" max="4097" width="11.88671875" style="13" customWidth="1"/>
    <col min="4098" max="4098" width="8.88671875" style="13"/>
    <col min="4099" max="4099" width="6.6640625" style="13" customWidth="1"/>
    <col min="4100" max="4100" width="6.44140625" style="13" customWidth="1"/>
    <col min="4101" max="4101" width="7.44140625" style="13" customWidth="1"/>
    <col min="4102" max="4102" width="8" style="13" customWidth="1"/>
    <col min="4103" max="4104" width="5.6640625" style="13" customWidth="1"/>
    <col min="4105" max="4105" width="6.21875" style="13" customWidth="1"/>
    <col min="4106" max="4352" width="8.88671875" style="13"/>
    <col min="4353" max="4353" width="11.88671875" style="13" customWidth="1"/>
    <col min="4354" max="4354" width="8.88671875" style="13"/>
    <col min="4355" max="4355" width="6.6640625" style="13" customWidth="1"/>
    <col min="4356" max="4356" width="6.44140625" style="13" customWidth="1"/>
    <col min="4357" max="4357" width="7.44140625" style="13" customWidth="1"/>
    <col min="4358" max="4358" width="8" style="13" customWidth="1"/>
    <col min="4359" max="4360" width="5.6640625" style="13" customWidth="1"/>
    <col min="4361" max="4361" width="6.21875" style="13" customWidth="1"/>
    <col min="4362" max="4608" width="8.88671875" style="13"/>
    <col min="4609" max="4609" width="11.88671875" style="13" customWidth="1"/>
    <col min="4610" max="4610" width="8.88671875" style="13"/>
    <col min="4611" max="4611" width="6.6640625" style="13" customWidth="1"/>
    <col min="4612" max="4612" width="6.44140625" style="13" customWidth="1"/>
    <col min="4613" max="4613" width="7.44140625" style="13" customWidth="1"/>
    <col min="4614" max="4614" width="8" style="13" customWidth="1"/>
    <col min="4615" max="4616" width="5.6640625" style="13" customWidth="1"/>
    <col min="4617" max="4617" width="6.21875" style="13" customWidth="1"/>
    <col min="4618" max="4864" width="8.88671875" style="13"/>
    <col min="4865" max="4865" width="11.88671875" style="13" customWidth="1"/>
    <col min="4866" max="4866" width="8.88671875" style="13"/>
    <col min="4867" max="4867" width="6.6640625" style="13" customWidth="1"/>
    <col min="4868" max="4868" width="6.44140625" style="13" customWidth="1"/>
    <col min="4869" max="4869" width="7.44140625" style="13" customWidth="1"/>
    <col min="4870" max="4870" width="8" style="13" customWidth="1"/>
    <col min="4871" max="4872" width="5.6640625" style="13" customWidth="1"/>
    <col min="4873" max="4873" width="6.21875" style="13" customWidth="1"/>
    <col min="4874" max="5120" width="8.88671875" style="13"/>
    <col min="5121" max="5121" width="11.88671875" style="13" customWidth="1"/>
    <col min="5122" max="5122" width="8.88671875" style="13"/>
    <col min="5123" max="5123" width="6.6640625" style="13" customWidth="1"/>
    <col min="5124" max="5124" width="6.44140625" style="13" customWidth="1"/>
    <col min="5125" max="5125" width="7.44140625" style="13" customWidth="1"/>
    <col min="5126" max="5126" width="8" style="13" customWidth="1"/>
    <col min="5127" max="5128" width="5.6640625" style="13" customWidth="1"/>
    <col min="5129" max="5129" width="6.21875" style="13" customWidth="1"/>
    <col min="5130" max="5376" width="8.88671875" style="13"/>
    <col min="5377" max="5377" width="11.88671875" style="13" customWidth="1"/>
    <col min="5378" max="5378" width="8.88671875" style="13"/>
    <col min="5379" max="5379" width="6.6640625" style="13" customWidth="1"/>
    <col min="5380" max="5380" width="6.44140625" style="13" customWidth="1"/>
    <col min="5381" max="5381" width="7.44140625" style="13" customWidth="1"/>
    <col min="5382" max="5382" width="8" style="13" customWidth="1"/>
    <col min="5383" max="5384" width="5.6640625" style="13" customWidth="1"/>
    <col min="5385" max="5385" width="6.21875" style="13" customWidth="1"/>
    <col min="5386" max="5632" width="8.88671875" style="13"/>
    <col min="5633" max="5633" width="11.88671875" style="13" customWidth="1"/>
    <col min="5634" max="5634" width="8.88671875" style="13"/>
    <col min="5635" max="5635" width="6.6640625" style="13" customWidth="1"/>
    <col min="5636" max="5636" width="6.44140625" style="13" customWidth="1"/>
    <col min="5637" max="5637" width="7.44140625" style="13" customWidth="1"/>
    <col min="5638" max="5638" width="8" style="13" customWidth="1"/>
    <col min="5639" max="5640" width="5.6640625" style="13" customWidth="1"/>
    <col min="5641" max="5641" width="6.21875" style="13" customWidth="1"/>
    <col min="5642" max="5888" width="8.88671875" style="13"/>
    <col min="5889" max="5889" width="11.88671875" style="13" customWidth="1"/>
    <col min="5890" max="5890" width="8.88671875" style="13"/>
    <col min="5891" max="5891" width="6.6640625" style="13" customWidth="1"/>
    <col min="5892" max="5892" width="6.44140625" style="13" customWidth="1"/>
    <col min="5893" max="5893" width="7.44140625" style="13" customWidth="1"/>
    <col min="5894" max="5894" width="8" style="13" customWidth="1"/>
    <col min="5895" max="5896" width="5.6640625" style="13" customWidth="1"/>
    <col min="5897" max="5897" width="6.21875" style="13" customWidth="1"/>
    <col min="5898" max="6144" width="8.88671875" style="13"/>
    <col min="6145" max="6145" width="11.88671875" style="13" customWidth="1"/>
    <col min="6146" max="6146" width="8.88671875" style="13"/>
    <col min="6147" max="6147" width="6.6640625" style="13" customWidth="1"/>
    <col min="6148" max="6148" width="6.44140625" style="13" customWidth="1"/>
    <col min="6149" max="6149" width="7.44140625" style="13" customWidth="1"/>
    <col min="6150" max="6150" width="8" style="13" customWidth="1"/>
    <col min="6151" max="6152" width="5.6640625" style="13" customWidth="1"/>
    <col min="6153" max="6153" width="6.21875" style="13" customWidth="1"/>
    <col min="6154" max="6400" width="8.88671875" style="13"/>
    <col min="6401" max="6401" width="11.88671875" style="13" customWidth="1"/>
    <col min="6402" max="6402" width="8.88671875" style="13"/>
    <col min="6403" max="6403" width="6.6640625" style="13" customWidth="1"/>
    <col min="6404" max="6404" width="6.44140625" style="13" customWidth="1"/>
    <col min="6405" max="6405" width="7.44140625" style="13" customWidth="1"/>
    <col min="6406" max="6406" width="8" style="13" customWidth="1"/>
    <col min="6407" max="6408" width="5.6640625" style="13" customWidth="1"/>
    <col min="6409" max="6409" width="6.21875" style="13" customWidth="1"/>
    <col min="6410" max="6656" width="8.88671875" style="13"/>
    <col min="6657" max="6657" width="11.88671875" style="13" customWidth="1"/>
    <col min="6658" max="6658" width="8.88671875" style="13"/>
    <col min="6659" max="6659" width="6.6640625" style="13" customWidth="1"/>
    <col min="6660" max="6660" width="6.44140625" style="13" customWidth="1"/>
    <col min="6661" max="6661" width="7.44140625" style="13" customWidth="1"/>
    <col min="6662" max="6662" width="8" style="13" customWidth="1"/>
    <col min="6663" max="6664" width="5.6640625" style="13" customWidth="1"/>
    <col min="6665" max="6665" width="6.21875" style="13" customWidth="1"/>
    <col min="6666" max="6912" width="8.88671875" style="13"/>
    <col min="6913" max="6913" width="11.88671875" style="13" customWidth="1"/>
    <col min="6914" max="6914" width="8.88671875" style="13"/>
    <col min="6915" max="6915" width="6.6640625" style="13" customWidth="1"/>
    <col min="6916" max="6916" width="6.44140625" style="13" customWidth="1"/>
    <col min="6917" max="6917" width="7.44140625" style="13" customWidth="1"/>
    <col min="6918" max="6918" width="8" style="13" customWidth="1"/>
    <col min="6919" max="6920" width="5.6640625" style="13" customWidth="1"/>
    <col min="6921" max="6921" width="6.21875" style="13" customWidth="1"/>
    <col min="6922" max="7168" width="8.88671875" style="13"/>
    <col min="7169" max="7169" width="11.88671875" style="13" customWidth="1"/>
    <col min="7170" max="7170" width="8.88671875" style="13"/>
    <col min="7171" max="7171" width="6.6640625" style="13" customWidth="1"/>
    <col min="7172" max="7172" width="6.44140625" style="13" customWidth="1"/>
    <col min="7173" max="7173" width="7.44140625" style="13" customWidth="1"/>
    <col min="7174" max="7174" width="8" style="13" customWidth="1"/>
    <col min="7175" max="7176" width="5.6640625" style="13" customWidth="1"/>
    <col min="7177" max="7177" width="6.21875" style="13" customWidth="1"/>
    <col min="7178" max="7424" width="8.88671875" style="13"/>
    <col min="7425" max="7425" width="11.88671875" style="13" customWidth="1"/>
    <col min="7426" max="7426" width="8.88671875" style="13"/>
    <col min="7427" max="7427" width="6.6640625" style="13" customWidth="1"/>
    <col min="7428" max="7428" width="6.44140625" style="13" customWidth="1"/>
    <col min="7429" max="7429" width="7.44140625" style="13" customWidth="1"/>
    <col min="7430" max="7430" width="8" style="13" customWidth="1"/>
    <col min="7431" max="7432" width="5.6640625" style="13" customWidth="1"/>
    <col min="7433" max="7433" width="6.21875" style="13" customWidth="1"/>
    <col min="7434" max="7680" width="8.88671875" style="13"/>
    <col min="7681" max="7681" width="11.88671875" style="13" customWidth="1"/>
    <col min="7682" max="7682" width="8.88671875" style="13"/>
    <col min="7683" max="7683" width="6.6640625" style="13" customWidth="1"/>
    <col min="7684" max="7684" width="6.44140625" style="13" customWidth="1"/>
    <col min="7685" max="7685" width="7.44140625" style="13" customWidth="1"/>
    <col min="7686" max="7686" width="8" style="13" customWidth="1"/>
    <col min="7687" max="7688" width="5.6640625" style="13" customWidth="1"/>
    <col min="7689" max="7689" width="6.21875" style="13" customWidth="1"/>
    <col min="7690" max="7936" width="8.88671875" style="13"/>
    <col min="7937" max="7937" width="11.88671875" style="13" customWidth="1"/>
    <col min="7938" max="7938" width="8.88671875" style="13"/>
    <col min="7939" max="7939" width="6.6640625" style="13" customWidth="1"/>
    <col min="7940" max="7940" width="6.44140625" style="13" customWidth="1"/>
    <col min="7941" max="7941" width="7.44140625" style="13" customWidth="1"/>
    <col min="7942" max="7942" width="8" style="13" customWidth="1"/>
    <col min="7943" max="7944" width="5.6640625" style="13" customWidth="1"/>
    <col min="7945" max="7945" width="6.21875" style="13" customWidth="1"/>
    <col min="7946" max="8192" width="8.88671875" style="13"/>
    <col min="8193" max="8193" width="11.88671875" style="13" customWidth="1"/>
    <col min="8194" max="8194" width="8.88671875" style="13"/>
    <col min="8195" max="8195" width="6.6640625" style="13" customWidth="1"/>
    <col min="8196" max="8196" width="6.44140625" style="13" customWidth="1"/>
    <col min="8197" max="8197" width="7.44140625" style="13" customWidth="1"/>
    <col min="8198" max="8198" width="8" style="13" customWidth="1"/>
    <col min="8199" max="8200" width="5.6640625" style="13" customWidth="1"/>
    <col min="8201" max="8201" width="6.21875" style="13" customWidth="1"/>
    <col min="8202" max="8448" width="8.88671875" style="13"/>
    <col min="8449" max="8449" width="11.88671875" style="13" customWidth="1"/>
    <col min="8450" max="8450" width="8.88671875" style="13"/>
    <col min="8451" max="8451" width="6.6640625" style="13" customWidth="1"/>
    <col min="8452" max="8452" width="6.44140625" style="13" customWidth="1"/>
    <col min="8453" max="8453" width="7.44140625" style="13" customWidth="1"/>
    <col min="8454" max="8454" width="8" style="13" customWidth="1"/>
    <col min="8455" max="8456" width="5.6640625" style="13" customWidth="1"/>
    <col min="8457" max="8457" width="6.21875" style="13" customWidth="1"/>
    <col min="8458" max="8704" width="8.88671875" style="13"/>
    <col min="8705" max="8705" width="11.88671875" style="13" customWidth="1"/>
    <col min="8706" max="8706" width="8.88671875" style="13"/>
    <col min="8707" max="8707" width="6.6640625" style="13" customWidth="1"/>
    <col min="8708" max="8708" width="6.44140625" style="13" customWidth="1"/>
    <col min="8709" max="8709" width="7.44140625" style="13" customWidth="1"/>
    <col min="8710" max="8710" width="8" style="13" customWidth="1"/>
    <col min="8711" max="8712" width="5.6640625" style="13" customWidth="1"/>
    <col min="8713" max="8713" width="6.21875" style="13" customWidth="1"/>
    <col min="8714" max="8960" width="8.88671875" style="13"/>
    <col min="8961" max="8961" width="11.88671875" style="13" customWidth="1"/>
    <col min="8962" max="8962" width="8.88671875" style="13"/>
    <col min="8963" max="8963" width="6.6640625" style="13" customWidth="1"/>
    <col min="8964" max="8964" width="6.44140625" style="13" customWidth="1"/>
    <col min="8965" max="8965" width="7.44140625" style="13" customWidth="1"/>
    <col min="8966" max="8966" width="8" style="13" customWidth="1"/>
    <col min="8967" max="8968" width="5.6640625" style="13" customWidth="1"/>
    <col min="8969" max="8969" width="6.21875" style="13" customWidth="1"/>
    <col min="8970" max="9216" width="8.88671875" style="13"/>
    <col min="9217" max="9217" width="11.88671875" style="13" customWidth="1"/>
    <col min="9218" max="9218" width="8.88671875" style="13"/>
    <col min="9219" max="9219" width="6.6640625" style="13" customWidth="1"/>
    <col min="9220" max="9220" width="6.44140625" style="13" customWidth="1"/>
    <col min="9221" max="9221" width="7.44140625" style="13" customWidth="1"/>
    <col min="9222" max="9222" width="8" style="13" customWidth="1"/>
    <col min="9223" max="9224" width="5.6640625" style="13" customWidth="1"/>
    <col min="9225" max="9225" width="6.21875" style="13" customWidth="1"/>
    <col min="9226" max="9472" width="8.88671875" style="13"/>
    <col min="9473" max="9473" width="11.88671875" style="13" customWidth="1"/>
    <col min="9474" max="9474" width="8.88671875" style="13"/>
    <col min="9475" max="9475" width="6.6640625" style="13" customWidth="1"/>
    <col min="9476" max="9476" width="6.44140625" style="13" customWidth="1"/>
    <col min="9477" max="9477" width="7.44140625" style="13" customWidth="1"/>
    <col min="9478" max="9478" width="8" style="13" customWidth="1"/>
    <col min="9479" max="9480" width="5.6640625" style="13" customWidth="1"/>
    <col min="9481" max="9481" width="6.21875" style="13" customWidth="1"/>
    <col min="9482" max="9728" width="8.88671875" style="13"/>
    <col min="9729" max="9729" width="11.88671875" style="13" customWidth="1"/>
    <col min="9730" max="9730" width="8.88671875" style="13"/>
    <col min="9731" max="9731" width="6.6640625" style="13" customWidth="1"/>
    <col min="9732" max="9732" width="6.44140625" style="13" customWidth="1"/>
    <col min="9733" max="9733" width="7.44140625" style="13" customWidth="1"/>
    <col min="9734" max="9734" width="8" style="13" customWidth="1"/>
    <col min="9735" max="9736" width="5.6640625" style="13" customWidth="1"/>
    <col min="9737" max="9737" width="6.21875" style="13" customWidth="1"/>
    <col min="9738" max="9984" width="8.88671875" style="13"/>
    <col min="9985" max="9985" width="11.88671875" style="13" customWidth="1"/>
    <col min="9986" max="9986" width="8.88671875" style="13"/>
    <col min="9987" max="9987" width="6.6640625" style="13" customWidth="1"/>
    <col min="9988" max="9988" width="6.44140625" style="13" customWidth="1"/>
    <col min="9989" max="9989" width="7.44140625" style="13" customWidth="1"/>
    <col min="9990" max="9990" width="8" style="13" customWidth="1"/>
    <col min="9991" max="9992" width="5.6640625" style="13" customWidth="1"/>
    <col min="9993" max="9993" width="6.21875" style="13" customWidth="1"/>
    <col min="9994" max="10240" width="8.88671875" style="13"/>
    <col min="10241" max="10241" width="11.88671875" style="13" customWidth="1"/>
    <col min="10242" max="10242" width="8.88671875" style="13"/>
    <col min="10243" max="10243" width="6.6640625" style="13" customWidth="1"/>
    <col min="10244" max="10244" width="6.44140625" style="13" customWidth="1"/>
    <col min="10245" max="10245" width="7.44140625" style="13" customWidth="1"/>
    <col min="10246" max="10246" width="8" style="13" customWidth="1"/>
    <col min="10247" max="10248" width="5.6640625" style="13" customWidth="1"/>
    <col min="10249" max="10249" width="6.21875" style="13" customWidth="1"/>
    <col min="10250" max="10496" width="8.88671875" style="13"/>
    <col min="10497" max="10497" width="11.88671875" style="13" customWidth="1"/>
    <col min="10498" max="10498" width="8.88671875" style="13"/>
    <col min="10499" max="10499" width="6.6640625" style="13" customWidth="1"/>
    <col min="10500" max="10500" width="6.44140625" style="13" customWidth="1"/>
    <col min="10501" max="10501" width="7.44140625" style="13" customWidth="1"/>
    <col min="10502" max="10502" width="8" style="13" customWidth="1"/>
    <col min="10503" max="10504" width="5.6640625" style="13" customWidth="1"/>
    <col min="10505" max="10505" width="6.21875" style="13" customWidth="1"/>
    <col min="10506" max="10752" width="8.88671875" style="13"/>
    <col min="10753" max="10753" width="11.88671875" style="13" customWidth="1"/>
    <col min="10754" max="10754" width="8.88671875" style="13"/>
    <col min="10755" max="10755" width="6.6640625" style="13" customWidth="1"/>
    <col min="10756" max="10756" width="6.44140625" style="13" customWidth="1"/>
    <col min="10757" max="10757" width="7.44140625" style="13" customWidth="1"/>
    <col min="10758" max="10758" width="8" style="13" customWidth="1"/>
    <col min="10759" max="10760" width="5.6640625" style="13" customWidth="1"/>
    <col min="10761" max="10761" width="6.21875" style="13" customWidth="1"/>
    <col min="10762" max="11008" width="8.88671875" style="13"/>
    <col min="11009" max="11009" width="11.88671875" style="13" customWidth="1"/>
    <col min="11010" max="11010" width="8.88671875" style="13"/>
    <col min="11011" max="11011" width="6.6640625" style="13" customWidth="1"/>
    <col min="11012" max="11012" width="6.44140625" style="13" customWidth="1"/>
    <col min="11013" max="11013" width="7.44140625" style="13" customWidth="1"/>
    <col min="11014" max="11014" width="8" style="13" customWidth="1"/>
    <col min="11015" max="11016" width="5.6640625" style="13" customWidth="1"/>
    <col min="11017" max="11017" width="6.21875" style="13" customWidth="1"/>
    <col min="11018" max="11264" width="8.88671875" style="13"/>
    <col min="11265" max="11265" width="11.88671875" style="13" customWidth="1"/>
    <col min="11266" max="11266" width="8.88671875" style="13"/>
    <col min="11267" max="11267" width="6.6640625" style="13" customWidth="1"/>
    <col min="11268" max="11268" width="6.44140625" style="13" customWidth="1"/>
    <col min="11269" max="11269" width="7.44140625" style="13" customWidth="1"/>
    <col min="11270" max="11270" width="8" style="13" customWidth="1"/>
    <col min="11271" max="11272" width="5.6640625" style="13" customWidth="1"/>
    <col min="11273" max="11273" width="6.21875" style="13" customWidth="1"/>
    <col min="11274" max="11520" width="8.88671875" style="13"/>
    <col min="11521" max="11521" width="11.88671875" style="13" customWidth="1"/>
    <col min="11522" max="11522" width="8.88671875" style="13"/>
    <col min="11523" max="11523" width="6.6640625" style="13" customWidth="1"/>
    <col min="11524" max="11524" width="6.44140625" style="13" customWidth="1"/>
    <col min="11525" max="11525" width="7.44140625" style="13" customWidth="1"/>
    <col min="11526" max="11526" width="8" style="13" customWidth="1"/>
    <col min="11527" max="11528" width="5.6640625" style="13" customWidth="1"/>
    <col min="11529" max="11529" width="6.21875" style="13" customWidth="1"/>
    <col min="11530" max="11776" width="8.88671875" style="13"/>
    <col min="11777" max="11777" width="11.88671875" style="13" customWidth="1"/>
    <col min="11778" max="11778" width="8.88671875" style="13"/>
    <col min="11779" max="11779" width="6.6640625" style="13" customWidth="1"/>
    <col min="11780" max="11780" width="6.44140625" style="13" customWidth="1"/>
    <col min="11781" max="11781" width="7.44140625" style="13" customWidth="1"/>
    <col min="11782" max="11782" width="8" style="13" customWidth="1"/>
    <col min="11783" max="11784" width="5.6640625" style="13" customWidth="1"/>
    <col min="11785" max="11785" width="6.21875" style="13" customWidth="1"/>
    <col min="11786" max="12032" width="8.88671875" style="13"/>
    <col min="12033" max="12033" width="11.88671875" style="13" customWidth="1"/>
    <col min="12034" max="12034" width="8.88671875" style="13"/>
    <col min="12035" max="12035" width="6.6640625" style="13" customWidth="1"/>
    <col min="12036" max="12036" width="6.44140625" style="13" customWidth="1"/>
    <col min="12037" max="12037" width="7.44140625" style="13" customWidth="1"/>
    <col min="12038" max="12038" width="8" style="13" customWidth="1"/>
    <col min="12039" max="12040" width="5.6640625" style="13" customWidth="1"/>
    <col min="12041" max="12041" width="6.21875" style="13" customWidth="1"/>
    <col min="12042" max="12288" width="8.88671875" style="13"/>
    <col min="12289" max="12289" width="11.88671875" style="13" customWidth="1"/>
    <col min="12290" max="12290" width="8.88671875" style="13"/>
    <col min="12291" max="12291" width="6.6640625" style="13" customWidth="1"/>
    <col min="12292" max="12292" width="6.44140625" style="13" customWidth="1"/>
    <col min="12293" max="12293" width="7.44140625" style="13" customWidth="1"/>
    <col min="12294" max="12294" width="8" style="13" customWidth="1"/>
    <col min="12295" max="12296" width="5.6640625" style="13" customWidth="1"/>
    <col min="12297" max="12297" width="6.21875" style="13" customWidth="1"/>
    <col min="12298" max="12544" width="8.88671875" style="13"/>
    <col min="12545" max="12545" width="11.88671875" style="13" customWidth="1"/>
    <col min="12546" max="12546" width="8.88671875" style="13"/>
    <col min="12547" max="12547" width="6.6640625" style="13" customWidth="1"/>
    <col min="12548" max="12548" width="6.44140625" style="13" customWidth="1"/>
    <col min="12549" max="12549" width="7.44140625" style="13" customWidth="1"/>
    <col min="12550" max="12550" width="8" style="13" customWidth="1"/>
    <col min="12551" max="12552" width="5.6640625" style="13" customWidth="1"/>
    <col min="12553" max="12553" width="6.21875" style="13" customWidth="1"/>
    <col min="12554" max="12800" width="8.88671875" style="13"/>
    <col min="12801" max="12801" width="11.88671875" style="13" customWidth="1"/>
    <col min="12802" max="12802" width="8.88671875" style="13"/>
    <col min="12803" max="12803" width="6.6640625" style="13" customWidth="1"/>
    <col min="12804" max="12804" width="6.44140625" style="13" customWidth="1"/>
    <col min="12805" max="12805" width="7.44140625" style="13" customWidth="1"/>
    <col min="12806" max="12806" width="8" style="13" customWidth="1"/>
    <col min="12807" max="12808" width="5.6640625" style="13" customWidth="1"/>
    <col min="12809" max="12809" width="6.21875" style="13" customWidth="1"/>
    <col min="12810" max="13056" width="8.88671875" style="13"/>
    <col min="13057" max="13057" width="11.88671875" style="13" customWidth="1"/>
    <col min="13058" max="13058" width="8.88671875" style="13"/>
    <col min="13059" max="13059" width="6.6640625" style="13" customWidth="1"/>
    <col min="13060" max="13060" width="6.44140625" style="13" customWidth="1"/>
    <col min="13061" max="13061" width="7.44140625" style="13" customWidth="1"/>
    <col min="13062" max="13062" width="8" style="13" customWidth="1"/>
    <col min="13063" max="13064" width="5.6640625" style="13" customWidth="1"/>
    <col min="13065" max="13065" width="6.21875" style="13" customWidth="1"/>
    <col min="13066" max="13312" width="8.88671875" style="13"/>
    <col min="13313" max="13313" width="11.88671875" style="13" customWidth="1"/>
    <col min="13314" max="13314" width="8.88671875" style="13"/>
    <col min="13315" max="13315" width="6.6640625" style="13" customWidth="1"/>
    <col min="13316" max="13316" width="6.44140625" style="13" customWidth="1"/>
    <col min="13317" max="13317" width="7.44140625" style="13" customWidth="1"/>
    <col min="13318" max="13318" width="8" style="13" customWidth="1"/>
    <col min="13319" max="13320" width="5.6640625" style="13" customWidth="1"/>
    <col min="13321" max="13321" width="6.21875" style="13" customWidth="1"/>
    <col min="13322" max="13568" width="8.88671875" style="13"/>
    <col min="13569" max="13569" width="11.88671875" style="13" customWidth="1"/>
    <col min="13570" max="13570" width="8.88671875" style="13"/>
    <col min="13571" max="13571" width="6.6640625" style="13" customWidth="1"/>
    <col min="13572" max="13572" width="6.44140625" style="13" customWidth="1"/>
    <col min="13573" max="13573" width="7.44140625" style="13" customWidth="1"/>
    <col min="13574" max="13574" width="8" style="13" customWidth="1"/>
    <col min="13575" max="13576" width="5.6640625" style="13" customWidth="1"/>
    <col min="13577" max="13577" width="6.21875" style="13" customWidth="1"/>
    <col min="13578" max="13824" width="8.88671875" style="13"/>
    <col min="13825" max="13825" width="11.88671875" style="13" customWidth="1"/>
    <col min="13826" max="13826" width="8.88671875" style="13"/>
    <col min="13827" max="13827" width="6.6640625" style="13" customWidth="1"/>
    <col min="13828" max="13828" width="6.44140625" style="13" customWidth="1"/>
    <col min="13829" max="13829" width="7.44140625" style="13" customWidth="1"/>
    <col min="13830" max="13830" width="8" style="13" customWidth="1"/>
    <col min="13831" max="13832" width="5.6640625" style="13" customWidth="1"/>
    <col min="13833" max="13833" width="6.21875" style="13" customWidth="1"/>
    <col min="13834" max="14080" width="8.88671875" style="13"/>
    <col min="14081" max="14081" width="11.88671875" style="13" customWidth="1"/>
    <col min="14082" max="14082" width="8.88671875" style="13"/>
    <col min="14083" max="14083" width="6.6640625" style="13" customWidth="1"/>
    <col min="14084" max="14084" width="6.44140625" style="13" customWidth="1"/>
    <col min="14085" max="14085" width="7.44140625" style="13" customWidth="1"/>
    <col min="14086" max="14086" width="8" style="13" customWidth="1"/>
    <col min="14087" max="14088" width="5.6640625" style="13" customWidth="1"/>
    <col min="14089" max="14089" width="6.21875" style="13" customWidth="1"/>
    <col min="14090" max="14336" width="8.88671875" style="13"/>
    <col min="14337" max="14337" width="11.88671875" style="13" customWidth="1"/>
    <col min="14338" max="14338" width="8.88671875" style="13"/>
    <col min="14339" max="14339" width="6.6640625" style="13" customWidth="1"/>
    <col min="14340" max="14340" width="6.44140625" style="13" customWidth="1"/>
    <col min="14341" max="14341" width="7.44140625" style="13" customWidth="1"/>
    <col min="14342" max="14342" width="8" style="13" customWidth="1"/>
    <col min="14343" max="14344" width="5.6640625" style="13" customWidth="1"/>
    <col min="14345" max="14345" width="6.21875" style="13" customWidth="1"/>
    <col min="14346" max="14592" width="8.88671875" style="13"/>
    <col min="14593" max="14593" width="11.88671875" style="13" customWidth="1"/>
    <col min="14594" max="14594" width="8.88671875" style="13"/>
    <col min="14595" max="14595" width="6.6640625" style="13" customWidth="1"/>
    <col min="14596" max="14596" width="6.44140625" style="13" customWidth="1"/>
    <col min="14597" max="14597" width="7.44140625" style="13" customWidth="1"/>
    <col min="14598" max="14598" width="8" style="13" customWidth="1"/>
    <col min="14599" max="14600" width="5.6640625" style="13" customWidth="1"/>
    <col min="14601" max="14601" width="6.21875" style="13" customWidth="1"/>
    <col min="14602" max="14848" width="8.88671875" style="13"/>
    <col min="14849" max="14849" width="11.88671875" style="13" customWidth="1"/>
    <col min="14850" max="14850" width="8.88671875" style="13"/>
    <col min="14851" max="14851" width="6.6640625" style="13" customWidth="1"/>
    <col min="14852" max="14852" width="6.44140625" style="13" customWidth="1"/>
    <col min="14853" max="14853" width="7.44140625" style="13" customWidth="1"/>
    <col min="14854" max="14854" width="8" style="13" customWidth="1"/>
    <col min="14855" max="14856" width="5.6640625" style="13" customWidth="1"/>
    <col min="14857" max="14857" width="6.21875" style="13" customWidth="1"/>
    <col min="14858" max="15104" width="8.88671875" style="13"/>
    <col min="15105" max="15105" width="11.88671875" style="13" customWidth="1"/>
    <col min="15106" max="15106" width="8.88671875" style="13"/>
    <col min="15107" max="15107" width="6.6640625" style="13" customWidth="1"/>
    <col min="15108" max="15108" width="6.44140625" style="13" customWidth="1"/>
    <col min="15109" max="15109" width="7.44140625" style="13" customWidth="1"/>
    <col min="15110" max="15110" width="8" style="13" customWidth="1"/>
    <col min="15111" max="15112" width="5.6640625" style="13" customWidth="1"/>
    <col min="15113" max="15113" width="6.21875" style="13" customWidth="1"/>
    <col min="15114" max="15360" width="8.88671875" style="13"/>
    <col min="15361" max="15361" width="11.88671875" style="13" customWidth="1"/>
    <col min="15362" max="15362" width="8.88671875" style="13"/>
    <col min="15363" max="15363" width="6.6640625" style="13" customWidth="1"/>
    <col min="15364" max="15364" width="6.44140625" style="13" customWidth="1"/>
    <col min="15365" max="15365" width="7.44140625" style="13" customWidth="1"/>
    <col min="15366" max="15366" width="8" style="13" customWidth="1"/>
    <col min="15367" max="15368" width="5.6640625" style="13" customWidth="1"/>
    <col min="15369" max="15369" width="6.21875" style="13" customWidth="1"/>
    <col min="15370" max="15616" width="8.88671875" style="13"/>
    <col min="15617" max="15617" width="11.88671875" style="13" customWidth="1"/>
    <col min="15618" max="15618" width="8.88671875" style="13"/>
    <col min="15619" max="15619" width="6.6640625" style="13" customWidth="1"/>
    <col min="15620" max="15620" width="6.44140625" style="13" customWidth="1"/>
    <col min="15621" max="15621" width="7.44140625" style="13" customWidth="1"/>
    <col min="15622" max="15622" width="8" style="13" customWidth="1"/>
    <col min="15623" max="15624" width="5.6640625" style="13" customWidth="1"/>
    <col min="15625" max="15625" width="6.21875" style="13" customWidth="1"/>
    <col min="15626" max="15872" width="8.88671875" style="13"/>
    <col min="15873" max="15873" width="11.88671875" style="13" customWidth="1"/>
    <col min="15874" max="15874" width="8.88671875" style="13"/>
    <col min="15875" max="15875" width="6.6640625" style="13" customWidth="1"/>
    <col min="15876" max="15876" width="6.44140625" style="13" customWidth="1"/>
    <col min="15877" max="15877" width="7.44140625" style="13" customWidth="1"/>
    <col min="15878" max="15878" width="8" style="13" customWidth="1"/>
    <col min="15879" max="15880" width="5.6640625" style="13" customWidth="1"/>
    <col min="15881" max="15881" width="6.21875" style="13" customWidth="1"/>
    <col min="15882" max="16128" width="8.88671875" style="13"/>
    <col min="16129" max="16129" width="11.88671875" style="13" customWidth="1"/>
    <col min="16130" max="16130" width="8.88671875" style="13"/>
    <col min="16131" max="16131" width="6.6640625" style="13" customWidth="1"/>
    <col min="16132" max="16132" width="6.44140625" style="13" customWidth="1"/>
    <col min="16133" max="16133" width="7.44140625" style="13" customWidth="1"/>
    <col min="16134" max="16134" width="8" style="13" customWidth="1"/>
    <col min="16135" max="16136" width="5.6640625" style="13" customWidth="1"/>
    <col min="16137" max="16137" width="6.21875" style="13" customWidth="1"/>
    <col min="16138" max="16384" width="8.88671875" style="13"/>
  </cols>
  <sheetData>
    <row r="1" spans="1:16" ht="21" x14ac:dyDescent="0.4">
      <c r="A1" s="143" t="s">
        <v>192</v>
      </c>
      <c r="P1" s="750" t="s">
        <v>19</v>
      </c>
    </row>
    <row r="2" spans="1:16" x14ac:dyDescent="0.25">
      <c r="A2" s="277" t="s">
        <v>193</v>
      </c>
    </row>
    <row r="3" spans="1:16" x14ac:dyDescent="0.25">
      <c r="A3" s="139" t="s">
        <v>194</v>
      </c>
    </row>
    <row r="4" spans="1:16" x14ac:dyDescent="0.25">
      <c r="A4" s="139" t="s">
        <v>195</v>
      </c>
    </row>
    <row r="5" spans="1:16" ht="13.8" thickBot="1" x14ac:dyDescent="0.3"/>
    <row r="6" spans="1:16" ht="16.2" thickBot="1" x14ac:dyDescent="0.35">
      <c r="A6" s="151" t="s">
        <v>196</v>
      </c>
      <c r="E6" s="278">
        <v>10</v>
      </c>
      <c r="J6" s="137" t="s">
        <v>137</v>
      </c>
    </row>
    <row r="7" spans="1:16" ht="13.8" thickBot="1" x14ac:dyDescent="0.3">
      <c r="A7" s="1180" t="s">
        <v>197</v>
      </c>
      <c r="B7" s="1180"/>
      <c r="C7" s="1180"/>
      <c r="D7" s="1181"/>
      <c r="E7" s="278">
        <v>2</v>
      </c>
    </row>
    <row r="8" spans="1:16" ht="13.8" thickBot="1" x14ac:dyDescent="0.3"/>
    <row r="9" spans="1:16" x14ac:dyDescent="0.25">
      <c r="A9" s="145" t="s">
        <v>118</v>
      </c>
      <c r="B9" s="146"/>
      <c r="C9" s="1182">
        <f>SUMIF(B14:B88,"&gt;-99999",B14:B88)/$E$6</f>
        <v>5.16</v>
      </c>
      <c r="D9" s="1183"/>
      <c r="E9" s="147" t="s">
        <v>120</v>
      </c>
      <c r="F9" s="147" t="s">
        <v>121</v>
      </c>
      <c r="G9" s="279" t="s">
        <v>122</v>
      </c>
    </row>
    <row r="10" spans="1:16" ht="13.8" thickBot="1" x14ac:dyDescent="0.3">
      <c r="A10" s="149" t="s">
        <v>123</v>
      </c>
      <c r="B10" s="150"/>
      <c r="C10" s="1184">
        <f>SUMIF(F15:F88,"&gt;-99999",F15:F88)/(E6-E7+1)</f>
        <v>0.66666666666666663</v>
      </c>
      <c r="D10" s="1185"/>
      <c r="E10" s="280">
        <f>VLOOKUP($E$7,$A$96:$H$104,3)</f>
        <v>0</v>
      </c>
      <c r="F10" s="280">
        <f>VLOOKUP($E$7,$A$96:$H$104,4)</f>
        <v>3.2669999999999999</v>
      </c>
      <c r="G10" s="281">
        <f>VLOOKUP($E$7,$A$96:$H$104,5)</f>
        <v>1.1279999999999999</v>
      </c>
    </row>
    <row r="12" spans="1:16" x14ac:dyDescent="0.25">
      <c r="F12" s="143" t="s">
        <v>198</v>
      </c>
    </row>
    <row r="13" spans="1:16" ht="13.8" thickBot="1" x14ac:dyDescent="0.3">
      <c r="A13" s="143" t="s">
        <v>199</v>
      </c>
      <c r="B13" s="143" t="s">
        <v>200</v>
      </c>
      <c r="C13" s="143" t="s">
        <v>201</v>
      </c>
      <c r="D13" s="143" t="s">
        <v>202</v>
      </c>
      <c r="E13" s="143" t="s">
        <v>203</v>
      </c>
      <c r="F13" s="143" t="s">
        <v>128</v>
      </c>
      <c r="G13" s="143" t="s">
        <v>204</v>
      </c>
      <c r="H13" s="143" t="s">
        <v>205</v>
      </c>
      <c r="I13" s="143" t="s">
        <v>206</v>
      </c>
    </row>
    <row r="14" spans="1:16" x14ac:dyDescent="0.25">
      <c r="A14" s="13">
        <v>1</v>
      </c>
      <c r="B14" s="282">
        <v>3.4</v>
      </c>
      <c r="C14" s="13">
        <f>$C$9-3*$C$10/$G$10</f>
        <v>3.3869503546099291</v>
      </c>
      <c r="D14" s="13">
        <f>$C$9</f>
        <v>5.16</v>
      </c>
      <c r="E14" s="13">
        <f>$C$9+3*$C$10/$G$10</f>
        <v>6.9330496453900707</v>
      </c>
    </row>
    <row r="15" spans="1:16" x14ac:dyDescent="0.25">
      <c r="A15" s="13">
        <v>2</v>
      </c>
      <c r="B15" s="283">
        <v>3.6</v>
      </c>
      <c r="C15" s="13">
        <f t="shared" ref="C15:C78" si="0">$C$9-3*$C$10/$G$10</f>
        <v>3.3869503546099291</v>
      </c>
      <c r="D15" s="13">
        <f t="shared" ref="D15:D78" si="1">$C$9</f>
        <v>5.16</v>
      </c>
      <c r="E15" s="13">
        <f t="shared" ref="E15:E78" si="2">$C$9+3*$C$10/$G$10</f>
        <v>6.9330496453900707</v>
      </c>
      <c r="F15" s="13">
        <f>IF(B15&lt;&gt;"",IF($E$7=2,ABS(B14-B15),NA()),NA())</f>
        <v>0.20000000000000018</v>
      </c>
      <c r="G15" s="13">
        <f>IF($E$7=2,$E$10*$C$10,NA())</f>
        <v>0</v>
      </c>
      <c r="H15" s="13">
        <f>IF($E$7=2,$C$10,NA())</f>
        <v>0.66666666666666663</v>
      </c>
      <c r="I15" s="13">
        <f>IF($E$7=2,$F$10*$C$10,NA())</f>
        <v>2.1779999999999999</v>
      </c>
    </row>
    <row r="16" spans="1:16" x14ac:dyDescent="0.25">
      <c r="A16" s="13">
        <v>3</v>
      </c>
      <c r="B16" s="283">
        <v>3.2</v>
      </c>
      <c r="C16" s="13">
        <f t="shared" si="0"/>
        <v>3.3869503546099291</v>
      </c>
      <c r="D16" s="13">
        <f t="shared" si="1"/>
        <v>5.16</v>
      </c>
      <c r="E16" s="13">
        <f t="shared" si="2"/>
        <v>6.9330496453900707</v>
      </c>
      <c r="F16" s="13">
        <f>IF(B16&lt;&gt;"",IF($E$7=2,ABS(B15-B16),IF($E$7=3,MAX(B14:B16)-MIN(B14:B16),NA())),NA())</f>
        <v>0.39999999999999991</v>
      </c>
      <c r="G16" s="13">
        <f>IF($E$7&lt;=3,$E$10*$C$10,NA())</f>
        <v>0</v>
      </c>
      <c r="H16" s="13">
        <f>IF($E$7&lt;=3,$C$10, NA())</f>
        <v>0.66666666666666663</v>
      </c>
      <c r="I16" s="13">
        <f>IF($E$7&lt;=3,$F$10*$C$10,NA())</f>
        <v>2.1779999999999999</v>
      </c>
    </row>
    <row r="17" spans="1:9" x14ac:dyDescent="0.25">
      <c r="A17" s="13">
        <v>4</v>
      </c>
      <c r="B17" s="283">
        <v>3.7</v>
      </c>
      <c r="C17" s="13">
        <f t="shared" si="0"/>
        <v>3.3869503546099291</v>
      </c>
      <c r="D17" s="13">
        <f t="shared" si="1"/>
        <v>5.16</v>
      </c>
      <c r="E17" s="13">
        <f t="shared" si="2"/>
        <v>6.9330496453900707</v>
      </c>
      <c r="F17" s="13">
        <f>IF(B17&lt;&gt;"",IF($E$7=2,ABS(B16-B17),IF($E$7=3,MAX(B15:B17)-MIN(B15:B17),IF($E$7=4,MAX(B14:B17)-MIN(B14:B17),NA()))),NA())</f>
        <v>0.5</v>
      </c>
      <c r="G17" s="13">
        <f>IF($E$7&lt;=4,$E$10*$C$10,NA())</f>
        <v>0</v>
      </c>
      <c r="H17" s="13">
        <f>IF($E$7&lt;=4,$C$10,NA())</f>
        <v>0.66666666666666663</v>
      </c>
      <c r="I17" s="13">
        <f>IF($E$7&lt;=4,$F$10*$C$10,NA())</f>
        <v>2.1779999999999999</v>
      </c>
    </row>
    <row r="18" spans="1:9" x14ac:dyDescent="0.25">
      <c r="A18" s="13">
        <v>5</v>
      </c>
      <c r="B18" s="283">
        <v>3.6</v>
      </c>
      <c r="C18" s="13">
        <f t="shared" si="0"/>
        <v>3.3869503546099291</v>
      </c>
      <c r="D18" s="13">
        <f t="shared" si="1"/>
        <v>5.16</v>
      </c>
      <c r="E18" s="13">
        <f t="shared" si="2"/>
        <v>6.9330496453900707</v>
      </c>
      <c r="F18" s="13">
        <f>IF(B18&lt;&gt;"",IF($E$7=2,ABS(B17-B18),IF($E$7=3,MAX(B16:B18)-MIN(B16:B18),IF($E$7=4,MAX(B15:B18)-MIN(B15:B18),IF($E$7=5,MAX(B14:B18)-MIN(B14:B18),NA())))),NA())</f>
        <v>0.10000000000000009</v>
      </c>
      <c r="G18" s="13">
        <f>IF($E$7&lt;=5,$E$10*$C$10,NA())</f>
        <v>0</v>
      </c>
      <c r="H18" s="13">
        <f>IF($E$7&lt;=5,$C$10,NA())</f>
        <v>0.66666666666666663</v>
      </c>
      <c r="I18" s="13">
        <f>IF($E$7&lt;=5,$F$10*$C$10,NA())</f>
        <v>2.1779999999999999</v>
      </c>
    </row>
    <row r="19" spans="1:9" x14ac:dyDescent="0.25">
      <c r="A19" s="13">
        <v>6</v>
      </c>
      <c r="B19" s="283">
        <v>3.2</v>
      </c>
      <c r="C19" s="13">
        <f t="shared" si="0"/>
        <v>3.3869503546099291</v>
      </c>
      <c r="D19" s="13">
        <f t="shared" si="1"/>
        <v>5.16</v>
      </c>
      <c r="E19" s="13">
        <f t="shared" si="2"/>
        <v>6.9330496453900707</v>
      </c>
      <c r="F19" s="13">
        <f t="shared" ref="F19:F82" si="3">IF(B19&lt;&gt;"",IF($E$7=2,ABS(B18-B19),IF($E$7=3,MAX(B17:B19)-MIN(B17:B19),IF($E$7=4,MAX(B16:B19)-MIN(B16:B19),IF($E$7=5,MAX(B15:B19)-MIN(B15:B19),NA())))),NA())</f>
        <v>0.39999999999999991</v>
      </c>
      <c r="G19" s="13">
        <f t="shared" ref="G19:G82" si="4">$E$10*$C$10</f>
        <v>0</v>
      </c>
      <c r="H19" s="13">
        <f>$C$10</f>
        <v>0.66666666666666663</v>
      </c>
      <c r="I19" s="13">
        <f t="shared" ref="I19:I82" si="5">$F$10*$C$10</f>
        <v>2.1779999999999999</v>
      </c>
    </row>
    <row r="20" spans="1:9" x14ac:dyDescent="0.25">
      <c r="A20" s="13">
        <v>7</v>
      </c>
      <c r="B20" s="283">
        <v>3.7</v>
      </c>
      <c r="C20" s="13">
        <f t="shared" si="0"/>
        <v>3.3869503546099291</v>
      </c>
      <c r="D20" s="13">
        <f t="shared" si="1"/>
        <v>5.16</v>
      </c>
      <c r="E20" s="13">
        <f t="shared" si="2"/>
        <v>6.9330496453900707</v>
      </c>
      <c r="F20" s="13">
        <f t="shared" si="3"/>
        <v>0.5</v>
      </c>
      <c r="G20" s="13">
        <f t="shared" si="4"/>
        <v>0</v>
      </c>
      <c r="H20" s="13">
        <f t="shared" ref="H20:H83" si="6">$C$10</f>
        <v>0.66666666666666663</v>
      </c>
      <c r="I20" s="13">
        <f t="shared" si="5"/>
        <v>2.1779999999999999</v>
      </c>
    </row>
    <row r="21" spans="1:9" x14ac:dyDescent="0.25">
      <c r="A21" s="13">
        <v>8</v>
      </c>
      <c r="B21" s="283">
        <v>3.6</v>
      </c>
      <c r="C21" s="13">
        <f t="shared" si="0"/>
        <v>3.3869503546099291</v>
      </c>
      <c r="D21" s="13">
        <f t="shared" si="1"/>
        <v>5.16</v>
      </c>
      <c r="E21" s="13">
        <f t="shared" si="2"/>
        <v>6.9330496453900707</v>
      </c>
      <c r="F21" s="13">
        <f t="shared" si="3"/>
        <v>0.10000000000000009</v>
      </c>
      <c r="G21" s="13">
        <f t="shared" si="4"/>
        <v>0</v>
      </c>
      <c r="H21" s="13">
        <f t="shared" si="6"/>
        <v>0.66666666666666663</v>
      </c>
      <c r="I21" s="13">
        <f t="shared" si="5"/>
        <v>2.1779999999999999</v>
      </c>
    </row>
    <row r="22" spans="1:9" x14ac:dyDescent="0.25">
      <c r="A22" s="13">
        <v>9</v>
      </c>
      <c r="B22" s="283">
        <v>3.2</v>
      </c>
      <c r="C22" s="13">
        <f t="shared" si="0"/>
        <v>3.3869503546099291</v>
      </c>
      <c r="D22" s="13">
        <f t="shared" si="1"/>
        <v>5.16</v>
      </c>
      <c r="E22" s="13">
        <f t="shared" si="2"/>
        <v>6.9330496453900707</v>
      </c>
      <c r="F22" s="13">
        <f t="shared" si="3"/>
        <v>0.39999999999999991</v>
      </c>
      <c r="G22" s="13">
        <f t="shared" si="4"/>
        <v>0</v>
      </c>
      <c r="H22" s="13">
        <f t="shared" si="6"/>
        <v>0.66666666666666663</v>
      </c>
      <c r="I22" s="13">
        <f t="shared" si="5"/>
        <v>2.1779999999999999</v>
      </c>
    </row>
    <row r="23" spans="1:9" x14ac:dyDescent="0.25">
      <c r="A23" s="13">
        <v>10</v>
      </c>
      <c r="B23" s="283">
        <v>3.7</v>
      </c>
      <c r="C23" s="13">
        <f t="shared" si="0"/>
        <v>3.3869503546099291</v>
      </c>
      <c r="D23" s="13">
        <f t="shared" si="1"/>
        <v>5.16</v>
      </c>
      <c r="E23" s="13">
        <f t="shared" si="2"/>
        <v>6.9330496453900707</v>
      </c>
      <c r="F23" s="13">
        <f t="shared" si="3"/>
        <v>0.5</v>
      </c>
      <c r="G23" s="13">
        <f t="shared" si="4"/>
        <v>0</v>
      </c>
      <c r="H23" s="13">
        <f t="shared" si="6"/>
        <v>0.66666666666666663</v>
      </c>
      <c r="I23" s="13">
        <f t="shared" si="5"/>
        <v>2.1779999999999999</v>
      </c>
    </row>
    <row r="24" spans="1:9" x14ac:dyDescent="0.25">
      <c r="A24" s="13">
        <v>11</v>
      </c>
      <c r="B24" s="283">
        <v>3.8</v>
      </c>
      <c r="C24" s="13">
        <f t="shared" si="0"/>
        <v>3.3869503546099291</v>
      </c>
      <c r="D24" s="13">
        <f t="shared" si="1"/>
        <v>5.16</v>
      </c>
      <c r="E24" s="13">
        <f t="shared" si="2"/>
        <v>6.9330496453900707</v>
      </c>
      <c r="F24" s="13">
        <f t="shared" si="3"/>
        <v>9.9999999999999645E-2</v>
      </c>
      <c r="G24" s="13">
        <f t="shared" si="4"/>
        <v>0</v>
      </c>
      <c r="H24" s="13">
        <f t="shared" si="6"/>
        <v>0.66666666666666663</v>
      </c>
      <c r="I24" s="13">
        <f t="shared" si="5"/>
        <v>2.1779999999999999</v>
      </c>
    </row>
    <row r="25" spans="1:9" x14ac:dyDescent="0.25">
      <c r="A25" s="13">
        <v>12</v>
      </c>
      <c r="B25" s="283">
        <v>3.9</v>
      </c>
      <c r="C25" s="13">
        <f t="shared" si="0"/>
        <v>3.3869503546099291</v>
      </c>
      <c r="D25" s="13">
        <f t="shared" si="1"/>
        <v>5.16</v>
      </c>
      <c r="E25" s="13">
        <f t="shared" si="2"/>
        <v>6.9330496453900707</v>
      </c>
      <c r="F25" s="13">
        <f t="shared" si="3"/>
        <v>0.10000000000000009</v>
      </c>
      <c r="G25" s="13">
        <f t="shared" si="4"/>
        <v>0</v>
      </c>
      <c r="H25" s="13">
        <f t="shared" si="6"/>
        <v>0.66666666666666663</v>
      </c>
      <c r="I25" s="13">
        <f t="shared" si="5"/>
        <v>2.1779999999999999</v>
      </c>
    </row>
    <row r="26" spans="1:9" x14ac:dyDescent="0.25">
      <c r="A26" s="13">
        <v>13</v>
      </c>
      <c r="B26" s="283">
        <v>4.2</v>
      </c>
      <c r="C26" s="13">
        <f t="shared" si="0"/>
        <v>3.3869503546099291</v>
      </c>
      <c r="D26" s="13">
        <f t="shared" si="1"/>
        <v>5.16</v>
      </c>
      <c r="E26" s="13">
        <f t="shared" si="2"/>
        <v>6.9330496453900707</v>
      </c>
      <c r="F26" s="13">
        <f t="shared" si="3"/>
        <v>0.30000000000000027</v>
      </c>
      <c r="G26" s="13">
        <f t="shared" si="4"/>
        <v>0</v>
      </c>
      <c r="H26" s="13">
        <f t="shared" si="6"/>
        <v>0.66666666666666663</v>
      </c>
      <c r="I26" s="13">
        <f t="shared" si="5"/>
        <v>2.1779999999999999</v>
      </c>
    </row>
    <row r="27" spans="1:9" x14ac:dyDescent="0.25">
      <c r="A27" s="13">
        <v>14</v>
      </c>
      <c r="B27" s="283">
        <v>2.2000000000000002</v>
      </c>
      <c r="C27" s="13">
        <f t="shared" si="0"/>
        <v>3.3869503546099291</v>
      </c>
      <c r="D27" s="13">
        <f t="shared" si="1"/>
        <v>5.16</v>
      </c>
      <c r="E27" s="13">
        <f t="shared" si="2"/>
        <v>6.9330496453900707</v>
      </c>
      <c r="F27" s="13">
        <f t="shared" si="3"/>
        <v>2</v>
      </c>
      <c r="G27" s="13">
        <f t="shared" si="4"/>
        <v>0</v>
      </c>
      <c r="H27" s="13">
        <f t="shared" si="6"/>
        <v>0.66666666666666663</v>
      </c>
      <c r="I27" s="13">
        <f t="shared" si="5"/>
        <v>2.1779999999999999</v>
      </c>
    </row>
    <row r="28" spans="1:9" x14ac:dyDescent="0.25">
      <c r="A28" s="13">
        <v>15</v>
      </c>
      <c r="B28" s="283">
        <v>2.6</v>
      </c>
      <c r="C28" s="13">
        <f t="shared" si="0"/>
        <v>3.3869503546099291</v>
      </c>
      <c r="D28" s="13">
        <f t="shared" si="1"/>
        <v>5.16</v>
      </c>
      <c r="E28" s="13">
        <f t="shared" si="2"/>
        <v>6.9330496453900707</v>
      </c>
      <c r="F28" s="13">
        <f t="shared" si="3"/>
        <v>0.39999999999999991</v>
      </c>
      <c r="G28" s="13">
        <f t="shared" si="4"/>
        <v>0</v>
      </c>
      <c r="H28" s="13">
        <f t="shared" si="6"/>
        <v>0.66666666666666663</v>
      </c>
      <c r="I28" s="13">
        <f t="shared" si="5"/>
        <v>2.1779999999999999</v>
      </c>
    </row>
    <row r="29" spans="1:9" x14ac:dyDescent="0.25">
      <c r="A29" s="13">
        <v>16</v>
      </c>
      <c r="B29" s="283"/>
      <c r="C29" s="13">
        <f t="shared" si="0"/>
        <v>3.3869503546099291</v>
      </c>
      <c r="D29" s="13">
        <f t="shared" si="1"/>
        <v>5.16</v>
      </c>
      <c r="E29" s="13">
        <f t="shared" si="2"/>
        <v>6.9330496453900707</v>
      </c>
      <c r="F29" s="13" t="e">
        <f t="shared" si="3"/>
        <v>#N/A</v>
      </c>
      <c r="G29" s="13">
        <f t="shared" si="4"/>
        <v>0</v>
      </c>
      <c r="H29" s="13">
        <f t="shared" si="6"/>
        <v>0.66666666666666663</v>
      </c>
      <c r="I29" s="13">
        <f t="shared" si="5"/>
        <v>2.1779999999999999</v>
      </c>
    </row>
    <row r="30" spans="1:9" x14ac:dyDescent="0.25">
      <c r="A30" s="13">
        <v>17</v>
      </c>
      <c r="B30" s="283"/>
      <c r="C30" s="13">
        <f t="shared" si="0"/>
        <v>3.3869503546099291</v>
      </c>
      <c r="D30" s="13">
        <f t="shared" si="1"/>
        <v>5.16</v>
      </c>
      <c r="E30" s="13">
        <f t="shared" si="2"/>
        <v>6.9330496453900707</v>
      </c>
      <c r="F30" s="13" t="e">
        <f t="shared" si="3"/>
        <v>#N/A</v>
      </c>
      <c r="G30" s="13">
        <f t="shared" si="4"/>
        <v>0</v>
      </c>
      <c r="H30" s="13">
        <f t="shared" si="6"/>
        <v>0.66666666666666663</v>
      </c>
      <c r="I30" s="13">
        <f t="shared" si="5"/>
        <v>2.1779999999999999</v>
      </c>
    </row>
    <row r="31" spans="1:9" x14ac:dyDescent="0.25">
      <c r="A31" s="13">
        <v>18</v>
      </c>
      <c r="B31" s="283"/>
      <c r="C31" s="13">
        <f t="shared" si="0"/>
        <v>3.3869503546099291</v>
      </c>
      <c r="D31" s="13">
        <f t="shared" si="1"/>
        <v>5.16</v>
      </c>
      <c r="E31" s="13">
        <f t="shared" si="2"/>
        <v>6.9330496453900707</v>
      </c>
      <c r="F31" s="13" t="e">
        <f t="shared" si="3"/>
        <v>#N/A</v>
      </c>
      <c r="G31" s="13">
        <f t="shared" si="4"/>
        <v>0</v>
      </c>
      <c r="H31" s="13">
        <f t="shared" si="6"/>
        <v>0.66666666666666663</v>
      </c>
      <c r="I31" s="13">
        <f t="shared" si="5"/>
        <v>2.1779999999999999</v>
      </c>
    </row>
    <row r="32" spans="1:9" x14ac:dyDescent="0.25">
      <c r="A32" s="13">
        <v>19</v>
      </c>
      <c r="B32" s="283"/>
      <c r="C32" s="13">
        <f t="shared" si="0"/>
        <v>3.3869503546099291</v>
      </c>
      <c r="D32" s="13">
        <f t="shared" si="1"/>
        <v>5.16</v>
      </c>
      <c r="E32" s="13">
        <f t="shared" si="2"/>
        <v>6.9330496453900707</v>
      </c>
      <c r="F32" s="13" t="e">
        <f t="shared" si="3"/>
        <v>#N/A</v>
      </c>
      <c r="G32" s="13">
        <f t="shared" si="4"/>
        <v>0</v>
      </c>
      <c r="H32" s="13">
        <f t="shared" si="6"/>
        <v>0.66666666666666663</v>
      </c>
      <c r="I32" s="13">
        <f t="shared" si="5"/>
        <v>2.1779999999999999</v>
      </c>
    </row>
    <row r="33" spans="1:9" x14ac:dyDescent="0.25">
      <c r="A33" s="13">
        <v>20</v>
      </c>
      <c r="B33" s="283"/>
      <c r="C33" s="13">
        <f t="shared" si="0"/>
        <v>3.3869503546099291</v>
      </c>
      <c r="D33" s="13">
        <f t="shared" si="1"/>
        <v>5.16</v>
      </c>
      <c r="E33" s="13">
        <f t="shared" si="2"/>
        <v>6.9330496453900707</v>
      </c>
      <c r="F33" s="13" t="e">
        <f t="shared" si="3"/>
        <v>#N/A</v>
      </c>
      <c r="G33" s="13">
        <f t="shared" si="4"/>
        <v>0</v>
      </c>
      <c r="H33" s="13">
        <f t="shared" si="6"/>
        <v>0.66666666666666663</v>
      </c>
      <c r="I33" s="13">
        <f t="shared" si="5"/>
        <v>2.1779999999999999</v>
      </c>
    </row>
    <row r="34" spans="1:9" x14ac:dyDescent="0.25">
      <c r="A34" s="13">
        <v>21</v>
      </c>
      <c r="B34" s="283"/>
      <c r="C34" s="13">
        <f t="shared" si="0"/>
        <v>3.3869503546099291</v>
      </c>
      <c r="D34" s="13">
        <f t="shared" si="1"/>
        <v>5.16</v>
      </c>
      <c r="E34" s="13">
        <f t="shared" si="2"/>
        <v>6.9330496453900707</v>
      </c>
      <c r="F34" s="13" t="e">
        <f t="shared" si="3"/>
        <v>#N/A</v>
      </c>
      <c r="G34" s="13">
        <f t="shared" si="4"/>
        <v>0</v>
      </c>
      <c r="H34" s="13">
        <f t="shared" si="6"/>
        <v>0.66666666666666663</v>
      </c>
      <c r="I34" s="13">
        <f t="shared" si="5"/>
        <v>2.1779999999999999</v>
      </c>
    </row>
    <row r="35" spans="1:9" x14ac:dyDescent="0.25">
      <c r="A35" s="13">
        <v>22</v>
      </c>
      <c r="B35" s="283"/>
      <c r="C35" s="13">
        <f t="shared" si="0"/>
        <v>3.3869503546099291</v>
      </c>
      <c r="D35" s="13">
        <f t="shared" si="1"/>
        <v>5.16</v>
      </c>
      <c r="E35" s="13">
        <f t="shared" si="2"/>
        <v>6.9330496453900707</v>
      </c>
      <c r="F35" s="13" t="e">
        <f t="shared" si="3"/>
        <v>#N/A</v>
      </c>
      <c r="G35" s="13">
        <f t="shared" si="4"/>
        <v>0</v>
      </c>
      <c r="H35" s="13">
        <f t="shared" si="6"/>
        <v>0.66666666666666663</v>
      </c>
      <c r="I35" s="13">
        <f t="shared" si="5"/>
        <v>2.1779999999999999</v>
      </c>
    </row>
    <row r="36" spans="1:9" x14ac:dyDescent="0.25">
      <c r="A36" s="13">
        <v>23</v>
      </c>
      <c r="B36" s="283"/>
      <c r="C36" s="13">
        <f t="shared" si="0"/>
        <v>3.3869503546099291</v>
      </c>
      <c r="D36" s="13">
        <f t="shared" si="1"/>
        <v>5.16</v>
      </c>
      <c r="E36" s="13">
        <f t="shared" si="2"/>
        <v>6.9330496453900707</v>
      </c>
      <c r="F36" s="13" t="e">
        <f t="shared" si="3"/>
        <v>#N/A</v>
      </c>
      <c r="G36" s="13">
        <f t="shared" si="4"/>
        <v>0</v>
      </c>
      <c r="H36" s="13">
        <f t="shared" si="6"/>
        <v>0.66666666666666663</v>
      </c>
      <c r="I36" s="13">
        <f t="shared" si="5"/>
        <v>2.1779999999999999</v>
      </c>
    </row>
    <row r="37" spans="1:9" x14ac:dyDescent="0.25">
      <c r="A37" s="13">
        <v>24</v>
      </c>
      <c r="B37" s="283"/>
      <c r="C37" s="13">
        <f t="shared" si="0"/>
        <v>3.3869503546099291</v>
      </c>
      <c r="D37" s="13">
        <f t="shared" si="1"/>
        <v>5.16</v>
      </c>
      <c r="E37" s="13">
        <f t="shared" si="2"/>
        <v>6.9330496453900707</v>
      </c>
      <c r="F37" s="13" t="e">
        <f t="shared" si="3"/>
        <v>#N/A</v>
      </c>
      <c r="G37" s="13">
        <f t="shared" si="4"/>
        <v>0</v>
      </c>
      <c r="H37" s="13">
        <f t="shared" si="6"/>
        <v>0.66666666666666663</v>
      </c>
      <c r="I37" s="13">
        <f t="shared" si="5"/>
        <v>2.1779999999999999</v>
      </c>
    </row>
    <row r="38" spans="1:9" x14ac:dyDescent="0.25">
      <c r="A38" s="13">
        <v>25</v>
      </c>
      <c r="B38" s="283"/>
      <c r="C38" s="13">
        <f t="shared" si="0"/>
        <v>3.3869503546099291</v>
      </c>
      <c r="D38" s="13">
        <f t="shared" si="1"/>
        <v>5.16</v>
      </c>
      <c r="E38" s="13">
        <f t="shared" si="2"/>
        <v>6.9330496453900707</v>
      </c>
      <c r="F38" s="13" t="e">
        <f t="shared" si="3"/>
        <v>#N/A</v>
      </c>
      <c r="G38" s="13">
        <f t="shared" si="4"/>
        <v>0</v>
      </c>
      <c r="H38" s="13">
        <f t="shared" si="6"/>
        <v>0.66666666666666663</v>
      </c>
      <c r="I38" s="13">
        <f t="shared" si="5"/>
        <v>2.1779999999999999</v>
      </c>
    </row>
    <row r="39" spans="1:9" x14ac:dyDescent="0.25">
      <c r="A39" s="13">
        <v>26</v>
      </c>
      <c r="B39" s="283"/>
      <c r="C39" s="13">
        <f t="shared" si="0"/>
        <v>3.3869503546099291</v>
      </c>
      <c r="D39" s="13">
        <f t="shared" si="1"/>
        <v>5.16</v>
      </c>
      <c r="E39" s="13">
        <f t="shared" si="2"/>
        <v>6.9330496453900707</v>
      </c>
      <c r="F39" s="13" t="e">
        <f t="shared" si="3"/>
        <v>#N/A</v>
      </c>
      <c r="G39" s="13">
        <f t="shared" si="4"/>
        <v>0</v>
      </c>
      <c r="H39" s="13">
        <f t="shared" si="6"/>
        <v>0.66666666666666663</v>
      </c>
      <c r="I39" s="13">
        <f t="shared" si="5"/>
        <v>2.1779999999999999</v>
      </c>
    </row>
    <row r="40" spans="1:9" x14ac:dyDescent="0.25">
      <c r="A40" s="13">
        <v>27</v>
      </c>
      <c r="B40" s="283"/>
      <c r="C40" s="13">
        <f t="shared" si="0"/>
        <v>3.3869503546099291</v>
      </c>
      <c r="D40" s="13">
        <f t="shared" si="1"/>
        <v>5.16</v>
      </c>
      <c r="E40" s="13">
        <f t="shared" si="2"/>
        <v>6.9330496453900707</v>
      </c>
      <c r="F40" s="13" t="e">
        <f t="shared" si="3"/>
        <v>#N/A</v>
      </c>
      <c r="G40" s="13">
        <f t="shared" si="4"/>
        <v>0</v>
      </c>
      <c r="H40" s="13">
        <f t="shared" si="6"/>
        <v>0.66666666666666663</v>
      </c>
      <c r="I40" s="13">
        <f t="shared" si="5"/>
        <v>2.1779999999999999</v>
      </c>
    </row>
    <row r="41" spans="1:9" x14ac:dyDescent="0.25">
      <c r="A41" s="13">
        <v>28</v>
      </c>
      <c r="B41" s="283"/>
      <c r="C41" s="13">
        <f t="shared" si="0"/>
        <v>3.3869503546099291</v>
      </c>
      <c r="D41" s="13">
        <f t="shared" si="1"/>
        <v>5.16</v>
      </c>
      <c r="E41" s="13">
        <f t="shared" si="2"/>
        <v>6.9330496453900707</v>
      </c>
      <c r="F41" s="13" t="e">
        <f t="shared" si="3"/>
        <v>#N/A</v>
      </c>
      <c r="G41" s="13">
        <f t="shared" si="4"/>
        <v>0</v>
      </c>
      <c r="H41" s="13">
        <f t="shared" si="6"/>
        <v>0.66666666666666663</v>
      </c>
      <c r="I41" s="13">
        <f t="shared" si="5"/>
        <v>2.1779999999999999</v>
      </c>
    </row>
    <row r="42" spans="1:9" x14ac:dyDescent="0.25">
      <c r="A42" s="13">
        <v>29</v>
      </c>
      <c r="B42" s="283"/>
      <c r="C42" s="13">
        <f t="shared" si="0"/>
        <v>3.3869503546099291</v>
      </c>
      <c r="D42" s="13">
        <f t="shared" si="1"/>
        <v>5.16</v>
      </c>
      <c r="E42" s="13">
        <f t="shared" si="2"/>
        <v>6.9330496453900707</v>
      </c>
      <c r="F42" s="13" t="e">
        <f t="shared" si="3"/>
        <v>#N/A</v>
      </c>
      <c r="G42" s="13">
        <f t="shared" si="4"/>
        <v>0</v>
      </c>
      <c r="H42" s="13">
        <f t="shared" si="6"/>
        <v>0.66666666666666663</v>
      </c>
      <c r="I42" s="13">
        <f t="shared" si="5"/>
        <v>2.1779999999999999</v>
      </c>
    </row>
    <row r="43" spans="1:9" x14ac:dyDescent="0.25">
      <c r="A43" s="13">
        <v>30</v>
      </c>
      <c r="B43" s="283"/>
      <c r="C43" s="13">
        <f t="shared" si="0"/>
        <v>3.3869503546099291</v>
      </c>
      <c r="D43" s="13">
        <f t="shared" si="1"/>
        <v>5.16</v>
      </c>
      <c r="E43" s="13">
        <f t="shared" si="2"/>
        <v>6.9330496453900707</v>
      </c>
      <c r="F43" s="13" t="e">
        <f t="shared" si="3"/>
        <v>#N/A</v>
      </c>
      <c r="G43" s="13">
        <f t="shared" si="4"/>
        <v>0</v>
      </c>
      <c r="H43" s="13">
        <f t="shared" si="6"/>
        <v>0.66666666666666663</v>
      </c>
      <c r="I43" s="13">
        <f t="shared" si="5"/>
        <v>2.1779999999999999</v>
      </c>
    </row>
    <row r="44" spans="1:9" x14ac:dyDescent="0.25">
      <c r="A44" s="13">
        <v>31</v>
      </c>
      <c r="B44" s="283"/>
      <c r="C44" s="13">
        <f t="shared" si="0"/>
        <v>3.3869503546099291</v>
      </c>
      <c r="D44" s="13">
        <f t="shared" si="1"/>
        <v>5.16</v>
      </c>
      <c r="E44" s="13">
        <f t="shared" si="2"/>
        <v>6.9330496453900707</v>
      </c>
      <c r="F44" s="13" t="e">
        <f t="shared" si="3"/>
        <v>#N/A</v>
      </c>
      <c r="G44" s="13">
        <f t="shared" si="4"/>
        <v>0</v>
      </c>
      <c r="H44" s="13">
        <f t="shared" si="6"/>
        <v>0.66666666666666663</v>
      </c>
      <c r="I44" s="13">
        <f t="shared" si="5"/>
        <v>2.1779999999999999</v>
      </c>
    </row>
    <row r="45" spans="1:9" x14ac:dyDescent="0.25">
      <c r="A45" s="13">
        <v>32</v>
      </c>
      <c r="B45" s="283"/>
      <c r="C45" s="13">
        <f t="shared" si="0"/>
        <v>3.3869503546099291</v>
      </c>
      <c r="D45" s="13">
        <f t="shared" si="1"/>
        <v>5.16</v>
      </c>
      <c r="E45" s="13">
        <f t="shared" si="2"/>
        <v>6.9330496453900707</v>
      </c>
      <c r="F45" s="13" t="e">
        <f t="shared" si="3"/>
        <v>#N/A</v>
      </c>
      <c r="G45" s="13">
        <f t="shared" si="4"/>
        <v>0</v>
      </c>
      <c r="H45" s="13">
        <f t="shared" si="6"/>
        <v>0.66666666666666663</v>
      </c>
      <c r="I45" s="13">
        <f t="shared" si="5"/>
        <v>2.1779999999999999</v>
      </c>
    </row>
    <row r="46" spans="1:9" x14ac:dyDescent="0.25">
      <c r="A46" s="13">
        <v>33</v>
      </c>
      <c r="B46" s="283"/>
      <c r="C46" s="13">
        <f t="shared" si="0"/>
        <v>3.3869503546099291</v>
      </c>
      <c r="D46" s="13">
        <f t="shared" si="1"/>
        <v>5.16</v>
      </c>
      <c r="E46" s="13">
        <f t="shared" si="2"/>
        <v>6.9330496453900707</v>
      </c>
      <c r="F46" s="13" t="e">
        <f t="shared" si="3"/>
        <v>#N/A</v>
      </c>
      <c r="G46" s="13">
        <f t="shared" si="4"/>
        <v>0</v>
      </c>
      <c r="H46" s="13">
        <f t="shared" si="6"/>
        <v>0.66666666666666663</v>
      </c>
      <c r="I46" s="13">
        <f t="shared" si="5"/>
        <v>2.1779999999999999</v>
      </c>
    </row>
    <row r="47" spans="1:9" x14ac:dyDescent="0.25">
      <c r="A47" s="13">
        <v>34</v>
      </c>
      <c r="B47" s="283"/>
      <c r="C47" s="13">
        <f t="shared" si="0"/>
        <v>3.3869503546099291</v>
      </c>
      <c r="D47" s="13">
        <f t="shared" si="1"/>
        <v>5.16</v>
      </c>
      <c r="E47" s="13">
        <f t="shared" si="2"/>
        <v>6.9330496453900707</v>
      </c>
      <c r="F47" s="13" t="e">
        <f t="shared" si="3"/>
        <v>#N/A</v>
      </c>
      <c r="G47" s="13">
        <f t="shared" si="4"/>
        <v>0</v>
      </c>
      <c r="H47" s="13">
        <f t="shared" si="6"/>
        <v>0.66666666666666663</v>
      </c>
      <c r="I47" s="13">
        <f t="shared" si="5"/>
        <v>2.1779999999999999</v>
      </c>
    </row>
    <row r="48" spans="1:9" x14ac:dyDescent="0.25">
      <c r="A48" s="13">
        <v>35</v>
      </c>
      <c r="B48" s="283"/>
      <c r="C48" s="13">
        <f t="shared" si="0"/>
        <v>3.3869503546099291</v>
      </c>
      <c r="D48" s="13">
        <f t="shared" si="1"/>
        <v>5.16</v>
      </c>
      <c r="E48" s="13">
        <f t="shared" si="2"/>
        <v>6.9330496453900707</v>
      </c>
      <c r="F48" s="13" t="e">
        <f t="shared" si="3"/>
        <v>#N/A</v>
      </c>
      <c r="G48" s="13">
        <f t="shared" si="4"/>
        <v>0</v>
      </c>
      <c r="H48" s="13">
        <f t="shared" si="6"/>
        <v>0.66666666666666663</v>
      </c>
      <c r="I48" s="13">
        <f t="shared" si="5"/>
        <v>2.1779999999999999</v>
      </c>
    </row>
    <row r="49" spans="1:9" x14ac:dyDescent="0.25">
      <c r="A49" s="13">
        <v>36</v>
      </c>
      <c r="B49" s="283"/>
      <c r="C49" s="13">
        <f t="shared" si="0"/>
        <v>3.3869503546099291</v>
      </c>
      <c r="D49" s="13">
        <f t="shared" si="1"/>
        <v>5.16</v>
      </c>
      <c r="E49" s="13">
        <f t="shared" si="2"/>
        <v>6.9330496453900707</v>
      </c>
      <c r="F49" s="13" t="e">
        <f t="shared" si="3"/>
        <v>#N/A</v>
      </c>
      <c r="G49" s="13">
        <f t="shared" si="4"/>
        <v>0</v>
      </c>
      <c r="H49" s="13">
        <f t="shared" si="6"/>
        <v>0.66666666666666663</v>
      </c>
      <c r="I49" s="13">
        <f t="shared" si="5"/>
        <v>2.1779999999999999</v>
      </c>
    </row>
    <row r="50" spans="1:9" x14ac:dyDescent="0.25">
      <c r="A50" s="13">
        <v>37</v>
      </c>
      <c r="B50" s="283"/>
      <c r="C50" s="13">
        <f t="shared" si="0"/>
        <v>3.3869503546099291</v>
      </c>
      <c r="D50" s="13">
        <f t="shared" si="1"/>
        <v>5.16</v>
      </c>
      <c r="E50" s="13">
        <f t="shared" si="2"/>
        <v>6.9330496453900707</v>
      </c>
      <c r="F50" s="13" t="e">
        <f t="shared" si="3"/>
        <v>#N/A</v>
      </c>
      <c r="G50" s="13">
        <f t="shared" si="4"/>
        <v>0</v>
      </c>
      <c r="H50" s="13">
        <f>$C$10</f>
        <v>0.66666666666666663</v>
      </c>
      <c r="I50" s="13">
        <f t="shared" si="5"/>
        <v>2.1779999999999999</v>
      </c>
    </row>
    <row r="51" spans="1:9" x14ac:dyDescent="0.25">
      <c r="A51" s="13">
        <v>38</v>
      </c>
      <c r="B51" s="283"/>
      <c r="C51" s="13">
        <f t="shared" si="0"/>
        <v>3.3869503546099291</v>
      </c>
      <c r="D51" s="13">
        <f t="shared" si="1"/>
        <v>5.16</v>
      </c>
      <c r="E51" s="13">
        <f t="shared" si="2"/>
        <v>6.9330496453900707</v>
      </c>
      <c r="F51" s="13" t="e">
        <f t="shared" si="3"/>
        <v>#N/A</v>
      </c>
      <c r="G51" s="13">
        <f t="shared" si="4"/>
        <v>0</v>
      </c>
      <c r="H51" s="13">
        <f t="shared" si="6"/>
        <v>0.66666666666666663</v>
      </c>
      <c r="I51" s="13">
        <f t="shared" si="5"/>
        <v>2.1779999999999999</v>
      </c>
    </row>
    <row r="52" spans="1:9" x14ac:dyDescent="0.25">
      <c r="A52" s="13">
        <v>39</v>
      </c>
      <c r="B52" s="283"/>
      <c r="C52" s="13">
        <f t="shared" si="0"/>
        <v>3.3869503546099291</v>
      </c>
      <c r="D52" s="13">
        <f t="shared" si="1"/>
        <v>5.16</v>
      </c>
      <c r="E52" s="13">
        <f t="shared" si="2"/>
        <v>6.9330496453900707</v>
      </c>
      <c r="F52" s="13" t="e">
        <f t="shared" si="3"/>
        <v>#N/A</v>
      </c>
      <c r="G52" s="13">
        <f t="shared" si="4"/>
        <v>0</v>
      </c>
      <c r="H52" s="13">
        <f t="shared" si="6"/>
        <v>0.66666666666666663</v>
      </c>
      <c r="I52" s="13">
        <f t="shared" si="5"/>
        <v>2.1779999999999999</v>
      </c>
    </row>
    <row r="53" spans="1:9" x14ac:dyDescent="0.25">
      <c r="A53" s="13">
        <v>40</v>
      </c>
      <c r="B53" s="283"/>
      <c r="C53" s="13">
        <f t="shared" si="0"/>
        <v>3.3869503546099291</v>
      </c>
      <c r="D53" s="13">
        <f t="shared" si="1"/>
        <v>5.16</v>
      </c>
      <c r="E53" s="13">
        <f t="shared" si="2"/>
        <v>6.9330496453900707</v>
      </c>
      <c r="F53" s="13" t="e">
        <f t="shared" si="3"/>
        <v>#N/A</v>
      </c>
      <c r="G53" s="13">
        <f t="shared" si="4"/>
        <v>0</v>
      </c>
      <c r="H53" s="13">
        <f t="shared" si="6"/>
        <v>0.66666666666666663</v>
      </c>
      <c r="I53" s="13">
        <f t="shared" si="5"/>
        <v>2.1779999999999999</v>
      </c>
    </row>
    <row r="54" spans="1:9" x14ac:dyDescent="0.25">
      <c r="A54" s="13">
        <v>41</v>
      </c>
      <c r="B54" s="283"/>
      <c r="C54" s="13">
        <f t="shared" si="0"/>
        <v>3.3869503546099291</v>
      </c>
      <c r="D54" s="13">
        <f t="shared" si="1"/>
        <v>5.16</v>
      </c>
      <c r="E54" s="13">
        <f t="shared" si="2"/>
        <v>6.9330496453900707</v>
      </c>
      <c r="F54" s="13" t="e">
        <f t="shared" si="3"/>
        <v>#N/A</v>
      </c>
      <c r="G54" s="13">
        <f t="shared" si="4"/>
        <v>0</v>
      </c>
      <c r="H54" s="13">
        <f t="shared" si="6"/>
        <v>0.66666666666666663</v>
      </c>
      <c r="I54" s="13">
        <f t="shared" si="5"/>
        <v>2.1779999999999999</v>
      </c>
    </row>
    <row r="55" spans="1:9" x14ac:dyDescent="0.25">
      <c r="A55" s="13">
        <v>42</v>
      </c>
      <c r="B55" s="283"/>
      <c r="C55" s="13">
        <f t="shared" si="0"/>
        <v>3.3869503546099291</v>
      </c>
      <c r="D55" s="13">
        <f t="shared" si="1"/>
        <v>5.16</v>
      </c>
      <c r="E55" s="13">
        <f t="shared" si="2"/>
        <v>6.9330496453900707</v>
      </c>
      <c r="F55" s="13" t="e">
        <f t="shared" si="3"/>
        <v>#N/A</v>
      </c>
      <c r="G55" s="13">
        <f t="shared" si="4"/>
        <v>0</v>
      </c>
      <c r="H55" s="13">
        <f t="shared" si="6"/>
        <v>0.66666666666666663</v>
      </c>
      <c r="I55" s="13">
        <f t="shared" si="5"/>
        <v>2.1779999999999999</v>
      </c>
    </row>
    <row r="56" spans="1:9" x14ac:dyDescent="0.25">
      <c r="A56" s="13">
        <v>43</v>
      </c>
      <c r="B56" s="283"/>
      <c r="C56" s="13">
        <f t="shared" si="0"/>
        <v>3.3869503546099291</v>
      </c>
      <c r="D56" s="13">
        <f t="shared" si="1"/>
        <v>5.16</v>
      </c>
      <c r="E56" s="13">
        <f t="shared" si="2"/>
        <v>6.9330496453900707</v>
      </c>
      <c r="F56" s="13" t="e">
        <f t="shared" si="3"/>
        <v>#N/A</v>
      </c>
      <c r="G56" s="13">
        <f t="shared" si="4"/>
        <v>0</v>
      </c>
      <c r="H56" s="13">
        <f t="shared" si="6"/>
        <v>0.66666666666666663</v>
      </c>
      <c r="I56" s="13">
        <f t="shared" si="5"/>
        <v>2.1779999999999999</v>
      </c>
    </row>
    <row r="57" spans="1:9" x14ac:dyDescent="0.25">
      <c r="A57" s="13">
        <v>44</v>
      </c>
      <c r="B57" s="283"/>
      <c r="C57" s="13">
        <f t="shared" si="0"/>
        <v>3.3869503546099291</v>
      </c>
      <c r="D57" s="13">
        <f t="shared" si="1"/>
        <v>5.16</v>
      </c>
      <c r="E57" s="13">
        <f t="shared" si="2"/>
        <v>6.9330496453900707</v>
      </c>
      <c r="F57" s="13" t="e">
        <f t="shared" si="3"/>
        <v>#N/A</v>
      </c>
      <c r="G57" s="13">
        <f t="shared" si="4"/>
        <v>0</v>
      </c>
      <c r="H57" s="13">
        <f t="shared" si="6"/>
        <v>0.66666666666666663</v>
      </c>
      <c r="I57" s="13">
        <f t="shared" si="5"/>
        <v>2.1779999999999999</v>
      </c>
    </row>
    <row r="58" spans="1:9" x14ac:dyDescent="0.25">
      <c r="A58" s="13">
        <v>45</v>
      </c>
      <c r="B58" s="283"/>
      <c r="C58" s="13">
        <f t="shared" si="0"/>
        <v>3.3869503546099291</v>
      </c>
      <c r="D58" s="13">
        <f t="shared" si="1"/>
        <v>5.16</v>
      </c>
      <c r="E58" s="13">
        <f t="shared" si="2"/>
        <v>6.9330496453900707</v>
      </c>
      <c r="F58" s="13" t="e">
        <f t="shared" si="3"/>
        <v>#N/A</v>
      </c>
      <c r="G58" s="13">
        <f t="shared" si="4"/>
        <v>0</v>
      </c>
      <c r="H58" s="13">
        <f t="shared" si="6"/>
        <v>0.66666666666666663</v>
      </c>
      <c r="I58" s="13">
        <f t="shared" si="5"/>
        <v>2.1779999999999999</v>
      </c>
    </row>
    <row r="59" spans="1:9" x14ac:dyDescent="0.25">
      <c r="A59" s="13">
        <v>46</v>
      </c>
      <c r="B59" s="283"/>
      <c r="C59" s="13">
        <f t="shared" si="0"/>
        <v>3.3869503546099291</v>
      </c>
      <c r="D59" s="13">
        <f t="shared" si="1"/>
        <v>5.16</v>
      </c>
      <c r="E59" s="13">
        <f t="shared" si="2"/>
        <v>6.9330496453900707</v>
      </c>
      <c r="F59" s="13" t="e">
        <f t="shared" si="3"/>
        <v>#N/A</v>
      </c>
      <c r="G59" s="13">
        <f t="shared" si="4"/>
        <v>0</v>
      </c>
      <c r="H59" s="13">
        <f t="shared" si="6"/>
        <v>0.66666666666666663</v>
      </c>
      <c r="I59" s="13">
        <f t="shared" si="5"/>
        <v>2.1779999999999999</v>
      </c>
    </row>
    <row r="60" spans="1:9" x14ac:dyDescent="0.25">
      <c r="A60" s="13">
        <v>47</v>
      </c>
      <c r="B60" s="283"/>
      <c r="C60" s="13">
        <f t="shared" si="0"/>
        <v>3.3869503546099291</v>
      </c>
      <c r="D60" s="13">
        <f t="shared" si="1"/>
        <v>5.16</v>
      </c>
      <c r="E60" s="13">
        <f t="shared" si="2"/>
        <v>6.9330496453900707</v>
      </c>
      <c r="F60" s="13" t="e">
        <f t="shared" si="3"/>
        <v>#N/A</v>
      </c>
      <c r="G60" s="13">
        <f t="shared" si="4"/>
        <v>0</v>
      </c>
      <c r="H60" s="13">
        <f t="shared" si="6"/>
        <v>0.66666666666666663</v>
      </c>
      <c r="I60" s="13">
        <f t="shared" si="5"/>
        <v>2.1779999999999999</v>
      </c>
    </row>
    <row r="61" spans="1:9" x14ac:dyDescent="0.25">
      <c r="A61" s="13">
        <v>48</v>
      </c>
      <c r="B61" s="283"/>
      <c r="C61" s="13">
        <f t="shared" si="0"/>
        <v>3.3869503546099291</v>
      </c>
      <c r="D61" s="13">
        <f t="shared" si="1"/>
        <v>5.16</v>
      </c>
      <c r="E61" s="13">
        <f t="shared" si="2"/>
        <v>6.9330496453900707</v>
      </c>
      <c r="F61" s="13" t="e">
        <f t="shared" si="3"/>
        <v>#N/A</v>
      </c>
      <c r="G61" s="13">
        <f t="shared" si="4"/>
        <v>0</v>
      </c>
      <c r="H61" s="13">
        <f t="shared" si="6"/>
        <v>0.66666666666666663</v>
      </c>
      <c r="I61" s="13">
        <f t="shared" si="5"/>
        <v>2.1779999999999999</v>
      </c>
    </row>
    <row r="62" spans="1:9" x14ac:dyDescent="0.25">
      <c r="A62" s="13">
        <v>49</v>
      </c>
      <c r="B62" s="283"/>
      <c r="C62" s="13">
        <f t="shared" si="0"/>
        <v>3.3869503546099291</v>
      </c>
      <c r="D62" s="13">
        <f t="shared" si="1"/>
        <v>5.16</v>
      </c>
      <c r="E62" s="13">
        <f t="shared" si="2"/>
        <v>6.9330496453900707</v>
      </c>
      <c r="F62" s="13" t="e">
        <f t="shared" si="3"/>
        <v>#N/A</v>
      </c>
      <c r="G62" s="13">
        <f t="shared" si="4"/>
        <v>0</v>
      </c>
      <c r="H62" s="13">
        <f t="shared" si="6"/>
        <v>0.66666666666666663</v>
      </c>
      <c r="I62" s="13">
        <f t="shared" si="5"/>
        <v>2.1779999999999999</v>
      </c>
    </row>
    <row r="63" spans="1:9" x14ac:dyDescent="0.25">
      <c r="A63" s="13">
        <v>50</v>
      </c>
      <c r="B63" s="283"/>
      <c r="C63" s="13">
        <f t="shared" si="0"/>
        <v>3.3869503546099291</v>
      </c>
      <c r="D63" s="13">
        <f t="shared" si="1"/>
        <v>5.16</v>
      </c>
      <c r="E63" s="13">
        <f t="shared" si="2"/>
        <v>6.9330496453900707</v>
      </c>
      <c r="F63" s="13" t="e">
        <f t="shared" si="3"/>
        <v>#N/A</v>
      </c>
      <c r="G63" s="13">
        <f t="shared" si="4"/>
        <v>0</v>
      </c>
      <c r="H63" s="13">
        <f t="shared" si="6"/>
        <v>0.66666666666666663</v>
      </c>
      <c r="I63" s="13">
        <f t="shared" si="5"/>
        <v>2.1779999999999999</v>
      </c>
    </row>
    <row r="64" spans="1:9" x14ac:dyDescent="0.25">
      <c r="A64" s="13">
        <v>51</v>
      </c>
      <c r="B64" s="283"/>
      <c r="C64" s="13">
        <f t="shared" si="0"/>
        <v>3.3869503546099291</v>
      </c>
      <c r="D64" s="13">
        <f t="shared" si="1"/>
        <v>5.16</v>
      </c>
      <c r="E64" s="13">
        <f t="shared" si="2"/>
        <v>6.9330496453900707</v>
      </c>
      <c r="F64" s="13" t="e">
        <f t="shared" si="3"/>
        <v>#N/A</v>
      </c>
      <c r="G64" s="13">
        <f t="shared" si="4"/>
        <v>0</v>
      </c>
      <c r="H64" s="13">
        <f t="shared" si="6"/>
        <v>0.66666666666666663</v>
      </c>
      <c r="I64" s="13">
        <f t="shared" si="5"/>
        <v>2.1779999999999999</v>
      </c>
    </row>
    <row r="65" spans="1:9" x14ac:dyDescent="0.25">
      <c r="A65" s="13">
        <v>52</v>
      </c>
      <c r="B65" s="283"/>
      <c r="C65" s="13">
        <f t="shared" si="0"/>
        <v>3.3869503546099291</v>
      </c>
      <c r="D65" s="13">
        <f t="shared" si="1"/>
        <v>5.16</v>
      </c>
      <c r="E65" s="13">
        <f t="shared" si="2"/>
        <v>6.9330496453900707</v>
      </c>
      <c r="F65" s="13" t="e">
        <f t="shared" si="3"/>
        <v>#N/A</v>
      </c>
      <c r="G65" s="13">
        <f t="shared" si="4"/>
        <v>0</v>
      </c>
      <c r="H65" s="13">
        <f t="shared" si="6"/>
        <v>0.66666666666666663</v>
      </c>
      <c r="I65" s="13">
        <f t="shared" si="5"/>
        <v>2.1779999999999999</v>
      </c>
    </row>
    <row r="66" spans="1:9" x14ac:dyDescent="0.25">
      <c r="A66" s="13">
        <v>53</v>
      </c>
      <c r="B66" s="283"/>
      <c r="C66" s="13">
        <f t="shared" si="0"/>
        <v>3.3869503546099291</v>
      </c>
      <c r="D66" s="13">
        <f t="shared" si="1"/>
        <v>5.16</v>
      </c>
      <c r="E66" s="13">
        <f t="shared" si="2"/>
        <v>6.9330496453900707</v>
      </c>
      <c r="F66" s="13" t="e">
        <f t="shared" si="3"/>
        <v>#N/A</v>
      </c>
      <c r="G66" s="13">
        <f t="shared" si="4"/>
        <v>0</v>
      </c>
      <c r="H66" s="13">
        <f t="shared" si="6"/>
        <v>0.66666666666666663</v>
      </c>
      <c r="I66" s="13">
        <f t="shared" si="5"/>
        <v>2.1779999999999999</v>
      </c>
    </row>
    <row r="67" spans="1:9" x14ac:dyDescent="0.25">
      <c r="A67" s="13">
        <v>54</v>
      </c>
      <c r="B67" s="283"/>
      <c r="C67" s="13">
        <f t="shared" si="0"/>
        <v>3.3869503546099291</v>
      </c>
      <c r="D67" s="13">
        <f t="shared" si="1"/>
        <v>5.16</v>
      </c>
      <c r="E67" s="13">
        <f t="shared" si="2"/>
        <v>6.9330496453900707</v>
      </c>
      <c r="F67" s="13" t="e">
        <f t="shared" si="3"/>
        <v>#N/A</v>
      </c>
      <c r="G67" s="13">
        <f t="shared" si="4"/>
        <v>0</v>
      </c>
      <c r="H67" s="13">
        <f t="shared" si="6"/>
        <v>0.66666666666666663</v>
      </c>
      <c r="I67" s="13">
        <f t="shared" si="5"/>
        <v>2.1779999999999999</v>
      </c>
    </row>
    <row r="68" spans="1:9" x14ac:dyDescent="0.25">
      <c r="A68" s="13">
        <v>55</v>
      </c>
      <c r="B68" s="283"/>
      <c r="C68" s="13">
        <f t="shared" si="0"/>
        <v>3.3869503546099291</v>
      </c>
      <c r="D68" s="13">
        <f t="shared" si="1"/>
        <v>5.16</v>
      </c>
      <c r="E68" s="13">
        <f t="shared" si="2"/>
        <v>6.9330496453900707</v>
      </c>
      <c r="F68" s="13" t="e">
        <f t="shared" si="3"/>
        <v>#N/A</v>
      </c>
      <c r="G68" s="13">
        <f t="shared" si="4"/>
        <v>0</v>
      </c>
      <c r="H68" s="13">
        <f t="shared" si="6"/>
        <v>0.66666666666666663</v>
      </c>
      <c r="I68" s="13">
        <f t="shared" si="5"/>
        <v>2.1779999999999999</v>
      </c>
    </row>
    <row r="69" spans="1:9" x14ac:dyDescent="0.25">
      <c r="A69" s="13">
        <v>56</v>
      </c>
      <c r="B69" s="283"/>
      <c r="C69" s="13">
        <f t="shared" si="0"/>
        <v>3.3869503546099291</v>
      </c>
      <c r="D69" s="13">
        <f t="shared" si="1"/>
        <v>5.16</v>
      </c>
      <c r="E69" s="13">
        <f t="shared" si="2"/>
        <v>6.9330496453900707</v>
      </c>
      <c r="F69" s="13" t="e">
        <f t="shared" si="3"/>
        <v>#N/A</v>
      </c>
      <c r="G69" s="13">
        <f t="shared" si="4"/>
        <v>0</v>
      </c>
      <c r="H69" s="13">
        <f t="shared" si="6"/>
        <v>0.66666666666666663</v>
      </c>
      <c r="I69" s="13">
        <f t="shared" si="5"/>
        <v>2.1779999999999999</v>
      </c>
    </row>
    <row r="70" spans="1:9" x14ac:dyDescent="0.25">
      <c r="A70" s="13">
        <v>57</v>
      </c>
      <c r="B70" s="283"/>
      <c r="C70" s="13">
        <f t="shared" si="0"/>
        <v>3.3869503546099291</v>
      </c>
      <c r="D70" s="13">
        <f t="shared" si="1"/>
        <v>5.16</v>
      </c>
      <c r="E70" s="13">
        <f t="shared" si="2"/>
        <v>6.9330496453900707</v>
      </c>
      <c r="F70" s="13" t="e">
        <f t="shared" si="3"/>
        <v>#N/A</v>
      </c>
      <c r="G70" s="13">
        <f t="shared" si="4"/>
        <v>0</v>
      </c>
      <c r="H70" s="13">
        <f t="shared" si="6"/>
        <v>0.66666666666666663</v>
      </c>
      <c r="I70" s="13">
        <f t="shared" si="5"/>
        <v>2.1779999999999999</v>
      </c>
    </row>
    <row r="71" spans="1:9" x14ac:dyDescent="0.25">
      <c r="A71" s="13">
        <v>58</v>
      </c>
      <c r="B71" s="283"/>
      <c r="C71" s="13">
        <f t="shared" si="0"/>
        <v>3.3869503546099291</v>
      </c>
      <c r="D71" s="13">
        <f t="shared" si="1"/>
        <v>5.16</v>
      </c>
      <c r="E71" s="13">
        <f t="shared" si="2"/>
        <v>6.9330496453900707</v>
      </c>
      <c r="F71" s="13" t="e">
        <f t="shared" si="3"/>
        <v>#N/A</v>
      </c>
      <c r="G71" s="13">
        <f t="shared" si="4"/>
        <v>0</v>
      </c>
      <c r="H71" s="13">
        <f t="shared" si="6"/>
        <v>0.66666666666666663</v>
      </c>
      <c r="I71" s="13">
        <f t="shared" si="5"/>
        <v>2.1779999999999999</v>
      </c>
    </row>
    <row r="72" spans="1:9" x14ac:dyDescent="0.25">
      <c r="A72" s="13">
        <v>59</v>
      </c>
      <c r="B72" s="283"/>
      <c r="C72" s="13">
        <f t="shared" si="0"/>
        <v>3.3869503546099291</v>
      </c>
      <c r="D72" s="13">
        <f t="shared" si="1"/>
        <v>5.16</v>
      </c>
      <c r="E72" s="13">
        <f t="shared" si="2"/>
        <v>6.9330496453900707</v>
      </c>
      <c r="F72" s="13" t="e">
        <f t="shared" si="3"/>
        <v>#N/A</v>
      </c>
      <c r="G72" s="13">
        <f t="shared" si="4"/>
        <v>0</v>
      </c>
      <c r="H72" s="13">
        <f t="shared" si="6"/>
        <v>0.66666666666666663</v>
      </c>
      <c r="I72" s="13">
        <f t="shared" si="5"/>
        <v>2.1779999999999999</v>
      </c>
    </row>
    <row r="73" spans="1:9" x14ac:dyDescent="0.25">
      <c r="A73" s="13">
        <v>60</v>
      </c>
      <c r="B73" s="283"/>
      <c r="C73" s="13">
        <f t="shared" si="0"/>
        <v>3.3869503546099291</v>
      </c>
      <c r="D73" s="13">
        <f t="shared" si="1"/>
        <v>5.16</v>
      </c>
      <c r="E73" s="13">
        <f t="shared" si="2"/>
        <v>6.9330496453900707</v>
      </c>
      <c r="F73" s="13" t="e">
        <f t="shared" si="3"/>
        <v>#N/A</v>
      </c>
      <c r="G73" s="13">
        <f t="shared" si="4"/>
        <v>0</v>
      </c>
      <c r="H73" s="13">
        <f t="shared" si="6"/>
        <v>0.66666666666666663</v>
      </c>
      <c r="I73" s="13">
        <f t="shared" si="5"/>
        <v>2.1779999999999999</v>
      </c>
    </row>
    <row r="74" spans="1:9" x14ac:dyDescent="0.25">
      <c r="A74" s="13">
        <v>61</v>
      </c>
      <c r="B74" s="283"/>
      <c r="C74" s="13">
        <f t="shared" si="0"/>
        <v>3.3869503546099291</v>
      </c>
      <c r="D74" s="13">
        <f t="shared" si="1"/>
        <v>5.16</v>
      </c>
      <c r="E74" s="13">
        <f t="shared" si="2"/>
        <v>6.9330496453900707</v>
      </c>
      <c r="F74" s="13" t="e">
        <f t="shared" si="3"/>
        <v>#N/A</v>
      </c>
      <c r="G74" s="13">
        <f t="shared" si="4"/>
        <v>0</v>
      </c>
      <c r="H74" s="13">
        <f t="shared" si="6"/>
        <v>0.66666666666666663</v>
      </c>
      <c r="I74" s="13">
        <f t="shared" si="5"/>
        <v>2.1779999999999999</v>
      </c>
    </row>
    <row r="75" spans="1:9" x14ac:dyDescent="0.25">
      <c r="A75" s="13">
        <v>62</v>
      </c>
      <c r="B75" s="283"/>
      <c r="C75" s="13">
        <f t="shared" si="0"/>
        <v>3.3869503546099291</v>
      </c>
      <c r="D75" s="13">
        <f t="shared" si="1"/>
        <v>5.16</v>
      </c>
      <c r="E75" s="13">
        <f t="shared" si="2"/>
        <v>6.9330496453900707</v>
      </c>
      <c r="F75" s="13" t="e">
        <f t="shared" si="3"/>
        <v>#N/A</v>
      </c>
      <c r="G75" s="13">
        <f t="shared" si="4"/>
        <v>0</v>
      </c>
      <c r="H75" s="13">
        <f t="shared" si="6"/>
        <v>0.66666666666666663</v>
      </c>
      <c r="I75" s="13">
        <f t="shared" si="5"/>
        <v>2.1779999999999999</v>
      </c>
    </row>
    <row r="76" spans="1:9" x14ac:dyDescent="0.25">
      <c r="A76" s="13">
        <v>63</v>
      </c>
      <c r="B76" s="283"/>
      <c r="C76" s="13">
        <f t="shared" si="0"/>
        <v>3.3869503546099291</v>
      </c>
      <c r="D76" s="13">
        <f t="shared" si="1"/>
        <v>5.16</v>
      </c>
      <c r="E76" s="13">
        <f t="shared" si="2"/>
        <v>6.9330496453900707</v>
      </c>
      <c r="F76" s="13" t="e">
        <f t="shared" si="3"/>
        <v>#N/A</v>
      </c>
      <c r="G76" s="13">
        <f t="shared" si="4"/>
        <v>0</v>
      </c>
      <c r="H76" s="13">
        <f t="shared" si="6"/>
        <v>0.66666666666666663</v>
      </c>
      <c r="I76" s="13">
        <f t="shared" si="5"/>
        <v>2.1779999999999999</v>
      </c>
    </row>
    <row r="77" spans="1:9" x14ac:dyDescent="0.25">
      <c r="A77" s="13">
        <v>64</v>
      </c>
      <c r="B77" s="283"/>
      <c r="C77" s="13">
        <f t="shared" si="0"/>
        <v>3.3869503546099291</v>
      </c>
      <c r="D77" s="13">
        <f t="shared" si="1"/>
        <v>5.16</v>
      </c>
      <c r="E77" s="13">
        <f t="shared" si="2"/>
        <v>6.9330496453900707</v>
      </c>
      <c r="F77" s="13" t="e">
        <f t="shared" si="3"/>
        <v>#N/A</v>
      </c>
      <c r="G77" s="13">
        <f t="shared" si="4"/>
        <v>0</v>
      </c>
      <c r="H77" s="13">
        <f t="shared" si="6"/>
        <v>0.66666666666666663</v>
      </c>
      <c r="I77" s="13">
        <f t="shared" si="5"/>
        <v>2.1779999999999999</v>
      </c>
    </row>
    <row r="78" spans="1:9" x14ac:dyDescent="0.25">
      <c r="A78" s="13">
        <v>65</v>
      </c>
      <c r="B78" s="283"/>
      <c r="C78" s="13">
        <f t="shared" si="0"/>
        <v>3.3869503546099291</v>
      </c>
      <c r="D78" s="13">
        <f t="shared" si="1"/>
        <v>5.16</v>
      </c>
      <c r="E78" s="13">
        <f t="shared" si="2"/>
        <v>6.9330496453900707</v>
      </c>
      <c r="F78" s="13" t="e">
        <f t="shared" si="3"/>
        <v>#N/A</v>
      </c>
      <c r="G78" s="13">
        <f t="shared" si="4"/>
        <v>0</v>
      </c>
      <c r="H78" s="13">
        <f t="shared" si="6"/>
        <v>0.66666666666666663</v>
      </c>
      <c r="I78" s="13">
        <f t="shared" si="5"/>
        <v>2.1779999999999999</v>
      </c>
    </row>
    <row r="79" spans="1:9" x14ac:dyDescent="0.25">
      <c r="A79" s="13">
        <v>66</v>
      </c>
      <c r="B79" s="283"/>
      <c r="C79" s="13">
        <f t="shared" ref="C79:C88" si="7">$C$9-3*$C$10/$G$10</f>
        <v>3.3869503546099291</v>
      </c>
      <c r="D79" s="13">
        <f t="shared" ref="D79:D88" si="8">$C$9</f>
        <v>5.16</v>
      </c>
      <c r="E79" s="13">
        <f t="shared" ref="E79:E88" si="9">$C$9+3*$C$10/$G$10</f>
        <v>6.9330496453900707</v>
      </c>
      <c r="F79" s="13" t="e">
        <f t="shared" si="3"/>
        <v>#N/A</v>
      </c>
      <c r="G79" s="13">
        <f t="shared" si="4"/>
        <v>0</v>
      </c>
      <c r="H79" s="13">
        <f t="shared" si="6"/>
        <v>0.66666666666666663</v>
      </c>
      <c r="I79" s="13">
        <f t="shared" si="5"/>
        <v>2.1779999999999999</v>
      </c>
    </row>
    <row r="80" spans="1:9" x14ac:dyDescent="0.25">
      <c r="A80" s="13">
        <v>67</v>
      </c>
      <c r="B80" s="283"/>
      <c r="C80" s="13">
        <f t="shared" si="7"/>
        <v>3.3869503546099291</v>
      </c>
      <c r="D80" s="13">
        <f t="shared" si="8"/>
        <v>5.16</v>
      </c>
      <c r="E80" s="13">
        <f t="shared" si="9"/>
        <v>6.9330496453900707</v>
      </c>
      <c r="F80" s="13" t="e">
        <f t="shared" si="3"/>
        <v>#N/A</v>
      </c>
      <c r="G80" s="13">
        <f t="shared" si="4"/>
        <v>0</v>
      </c>
      <c r="H80" s="13">
        <f t="shared" si="6"/>
        <v>0.66666666666666663</v>
      </c>
      <c r="I80" s="13">
        <f t="shared" si="5"/>
        <v>2.1779999999999999</v>
      </c>
    </row>
    <row r="81" spans="1:9" x14ac:dyDescent="0.25">
      <c r="A81" s="13">
        <v>68</v>
      </c>
      <c r="B81" s="283"/>
      <c r="C81" s="13">
        <f t="shared" si="7"/>
        <v>3.3869503546099291</v>
      </c>
      <c r="D81" s="13">
        <f t="shared" si="8"/>
        <v>5.16</v>
      </c>
      <c r="E81" s="13">
        <f t="shared" si="9"/>
        <v>6.9330496453900707</v>
      </c>
      <c r="F81" s="13" t="e">
        <f t="shared" si="3"/>
        <v>#N/A</v>
      </c>
      <c r="G81" s="13">
        <f t="shared" si="4"/>
        <v>0</v>
      </c>
      <c r="H81" s="13">
        <f t="shared" si="6"/>
        <v>0.66666666666666663</v>
      </c>
      <c r="I81" s="13">
        <f t="shared" si="5"/>
        <v>2.1779999999999999</v>
      </c>
    </row>
    <row r="82" spans="1:9" x14ac:dyDescent="0.25">
      <c r="A82" s="13">
        <v>69</v>
      </c>
      <c r="B82" s="283"/>
      <c r="C82" s="13">
        <f t="shared" si="7"/>
        <v>3.3869503546099291</v>
      </c>
      <c r="D82" s="13">
        <f t="shared" si="8"/>
        <v>5.16</v>
      </c>
      <c r="E82" s="13">
        <f t="shared" si="9"/>
        <v>6.9330496453900707</v>
      </c>
      <c r="F82" s="13" t="e">
        <f t="shared" si="3"/>
        <v>#N/A</v>
      </c>
      <c r="G82" s="13">
        <f t="shared" si="4"/>
        <v>0</v>
      </c>
      <c r="H82" s="13">
        <f t="shared" si="6"/>
        <v>0.66666666666666663</v>
      </c>
      <c r="I82" s="13">
        <f t="shared" si="5"/>
        <v>2.1779999999999999</v>
      </c>
    </row>
    <row r="83" spans="1:9" x14ac:dyDescent="0.25">
      <c r="A83" s="13">
        <v>70</v>
      </c>
      <c r="B83" s="283"/>
      <c r="C83" s="13">
        <f t="shared" si="7"/>
        <v>3.3869503546099291</v>
      </c>
      <c r="D83" s="13">
        <f t="shared" si="8"/>
        <v>5.16</v>
      </c>
      <c r="E83" s="13">
        <f t="shared" si="9"/>
        <v>6.9330496453900707</v>
      </c>
      <c r="F83" s="13" t="e">
        <f t="shared" ref="F83:F88" si="10">IF(B83&lt;&gt;"",IF($E$7=2,ABS(B82-B83),IF($E$7=3,MAX(B81:B83)-MIN(B81:B83),IF($E$7=4,MAX(B80:B83)-MIN(B80:B83),IF($E$7=5,MAX(B79:B83)-MIN(B79:B83),NA())))),NA())</f>
        <v>#N/A</v>
      </c>
      <c r="G83" s="13">
        <f t="shared" ref="G83:G88" si="11">$E$10*$C$10</f>
        <v>0</v>
      </c>
      <c r="H83" s="13">
        <f t="shared" si="6"/>
        <v>0.66666666666666663</v>
      </c>
      <c r="I83" s="13">
        <f t="shared" ref="I83:I88" si="12">$F$10*$C$10</f>
        <v>2.1779999999999999</v>
      </c>
    </row>
    <row r="84" spans="1:9" x14ac:dyDescent="0.25">
      <c r="A84" s="13">
        <v>71</v>
      </c>
      <c r="B84" s="283"/>
      <c r="C84" s="13">
        <f t="shared" si="7"/>
        <v>3.3869503546099291</v>
      </c>
      <c r="D84" s="13">
        <f t="shared" si="8"/>
        <v>5.16</v>
      </c>
      <c r="E84" s="13">
        <f t="shared" si="9"/>
        <v>6.9330496453900707</v>
      </c>
      <c r="F84" s="13" t="e">
        <f t="shared" si="10"/>
        <v>#N/A</v>
      </c>
      <c r="G84" s="13">
        <f t="shared" si="11"/>
        <v>0</v>
      </c>
      <c r="H84" s="13">
        <f>$C$10</f>
        <v>0.66666666666666663</v>
      </c>
      <c r="I84" s="13">
        <f t="shared" si="12"/>
        <v>2.1779999999999999</v>
      </c>
    </row>
    <row r="85" spans="1:9" x14ac:dyDescent="0.25">
      <c r="A85" s="13">
        <v>72</v>
      </c>
      <c r="B85" s="283"/>
      <c r="C85" s="13">
        <f t="shared" si="7"/>
        <v>3.3869503546099291</v>
      </c>
      <c r="D85" s="13">
        <f t="shared" si="8"/>
        <v>5.16</v>
      </c>
      <c r="E85" s="13">
        <f t="shared" si="9"/>
        <v>6.9330496453900707</v>
      </c>
      <c r="F85" s="13" t="e">
        <f t="shared" si="10"/>
        <v>#N/A</v>
      </c>
      <c r="G85" s="13">
        <f t="shared" si="11"/>
        <v>0</v>
      </c>
      <c r="H85" s="13">
        <f>$C$10</f>
        <v>0.66666666666666663</v>
      </c>
      <c r="I85" s="13">
        <f t="shared" si="12"/>
        <v>2.1779999999999999</v>
      </c>
    </row>
    <row r="86" spans="1:9" x14ac:dyDescent="0.25">
      <c r="A86" s="13">
        <v>73</v>
      </c>
      <c r="B86" s="283"/>
      <c r="C86" s="13">
        <f t="shared" si="7"/>
        <v>3.3869503546099291</v>
      </c>
      <c r="D86" s="13">
        <f t="shared" si="8"/>
        <v>5.16</v>
      </c>
      <c r="E86" s="13">
        <f t="shared" si="9"/>
        <v>6.9330496453900707</v>
      </c>
      <c r="F86" s="13" t="e">
        <f t="shared" si="10"/>
        <v>#N/A</v>
      </c>
      <c r="G86" s="13">
        <f t="shared" si="11"/>
        <v>0</v>
      </c>
      <c r="H86" s="13">
        <f>$C$10</f>
        <v>0.66666666666666663</v>
      </c>
      <c r="I86" s="13">
        <f t="shared" si="12"/>
        <v>2.1779999999999999</v>
      </c>
    </row>
    <row r="87" spans="1:9" x14ac:dyDescent="0.25">
      <c r="A87" s="13">
        <v>74</v>
      </c>
      <c r="B87" s="283"/>
      <c r="C87" s="13">
        <f t="shared" si="7"/>
        <v>3.3869503546099291</v>
      </c>
      <c r="D87" s="13">
        <f t="shared" si="8"/>
        <v>5.16</v>
      </c>
      <c r="E87" s="13">
        <f t="shared" si="9"/>
        <v>6.9330496453900707</v>
      </c>
      <c r="F87" s="13" t="e">
        <f t="shared" si="10"/>
        <v>#N/A</v>
      </c>
      <c r="G87" s="13">
        <f t="shared" si="11"/>
        <v>0</v>
      </c>
      <c r="H87" s="13">
        <f>$C$10</f>
        <v>0.66666666666666663</v>
      </c>
      <c r="I87" s="13">
        <f t="shared" si="12"/>
        <v>2.1779999999999999</v>
      </c>
    </row>
    <row r="88" spans="1:9" x14ac:dyDescent="0.25">
      <c r="A88" s="13">
        <v>75</v>
      </c>
      <c r="B88" s="283"/>
      <c r="C88" s="13">
        <f t="shared" si="7"/>
        <v>3.3869503546099291</v>
      </c>
      <c r="D88" s="13">
        <f t="shared" si="8"/>
        <v>5.16</v>
      </c>
      <c r="E88" s="13">
        <f t="shared" si="9"/>
        <v>6.9330496453900707</v>
      </c>
      <c r="F88" s="13" t="e">
        <f t="shared" si="10"/>
        <v>#N/A</v>
      </c>
      <c r="G88" s="13">
        <f t="shared" si="11"/>
        <v>0</v>
      </c>
      <c r="H88" s="13">
        <f>$C$10</f>
        <v>0.66666666666666663</v>
      </c>
      <c r="I88" s="13">
        <f t="shared" si="12"/>
        <v>2.1779999999999999</v>
      </c>
    </row>
    <row r="93" spans="1:9" ht="13.8" thickBot="1" x14ac:dyDescent="0.3">
      <c r="A93" s="156" t="s">
        <v>131</v>
      </c>
    </row>
    <row r="94" spans="1:9" x14ac:dyDescent="0.25">
      <c r="A94" s="157"/>
      <c r="B94" s="1186" t="s">
        <v>132</v>
      </c>
      <c r="C94" s="1186"/>
      <c r="D94" s="1186"/>
      <c r="E94" s="1186"/>
      <c r="F94" s="1186"/>
      <c r="G94" s="1186"/>
      <c r="H94" s="1187"/>
    </row>
    <row r="95" spans="1:9" x14ac:dyDescent="0.25">
      <c r="A95" s="158" t="s">
        <v>133</v>
      </c>
      <c r="B95" s="159" t="s">
        <v>119</v>
      </c>
      <c r="C95" s="159" t="s">
        <v>120</v>
      </c>
      <c r="D95" s="159" t="s">
        <v>121</v>
      </c>
      <c r="E95" s="159" t="s">
        <v>122</v>
      </c>
      <c r="F95" s="159" t="s">
        <v>134</v>
      </c>
      <c r="G95" s="159" t="s">
        <v>135</v>
      </c>
      <c r="H95" s="160" t="s">
        <v>136</v>
      </c>
    </row>
    <row r="96" spans="1:9" x14ac:dyDescent="0.25">
      <c r="A96" s="161">
        <v>2</v>
      </c>
      <c r="B96" s="40">
        <v>1.88</v>
      </c>
      <c r="C96" s="40">
        <v>0</v>
      </c>
      <c r="D96" s="40">
        <v>3.2669999999999999</v>
      </c>
      <c r="E96" s="40">
        <v>1.1279999999999999</v>
      </c>
      <c r="F96" s="40">
        <v>2.6589999999999998</v>
      </c>
      <c r="G96" s="40">
        <v>0</v>
      </c>
      <c r="H96" s="162">
        <v>3.2669999999999999</v>
      </c>
    </row>
    <row r="97" spans="1:8" x14ac:dyDescent="0.25">
      <c r="A97" s="161">
        <v>3</v>
      </c>
      <c r="B97" s="40">
        <v>1.0229999999999999</v>
      </c>
      <c r="C97" s="40">
        <v>0</v>
      </c>
      <c r="D97" s="40">
        <v>2.5739999999999998</v>
      </c>
      <c r="E97" s="40">
        <v>1.6930000000000001</v>
      </c>
      <c r="F97" s="40">
        <v>1.954</v>
      </c>
      <c r="G97" s="40">
        <v>0</v>
      </c>
      <c r="H97" s="162">
        <v>2.5680000000000001</v>
      </c>
    </row>
    <row r="98" spans="1:8" x14ac:dyDescent="0.25">
      <c r="A98" s="161">
        <v>4</v>
      </c>
      <c r="B98" s="40">
        <v>0.72899999999999998</v>
      </c>
      <c r="C98" s="40">
        <v>0</v>
      </c>
      <c r="D98" s="40">
        <v>2.282</v>
      </c>
      <c r="E98" s="40">
        <v>2.0590000000000002</v>
      </c>
      <c r="F98" s="40">
        <v>1.6279999999999999</v>
      </c>
      <c r="G98" s="40">
        <v>0</v>
      </c>
      <c r="H98" s="162">
        <v>2.266</v>
      </c>
    </row>
    <row r="99" spans="1:8" x14ac:dyDescent="0.25">
      <c r="A99" s="161">
        <v>5</v>
      </c>
      <c r="B99" s="40">
        <v>0.57699999999999996</v>
      </c>
      <c r="C99" s="40">
        <v>0</v>
      </c>
      <c r="D99" s="40">
        <v>2.1139999999999999</v>
      </c>
      <c r="E99" s="40">
        <v>2.3260000000000001</v>
      </c>
      <c r="F99" s="40">
        <v>1.427</v>
      </c>
      <c r="G99" s="40">
        <v>0</v>
      </c>
      <c r="H99" s="162">
        <v>2.089</v>
      </c>
    </row>
    <row r="100" spans="1:8" x14ac:dyDescent="0.25">
      <c r="A100" s="161">
        <v>6</v>
      </c>
      <c r="B100" s="40">
        <v>0.48299999999999998</v>
      </c>
      <c r="C100" s="40">
        <v>0</v>
      </c>
      <c r="D100" s="40">
        <v>2.004</v>
      </c>
      <c r="E100" s="40">
        <v>2.5339999999999998</v>
      </c>
      <c r="F100" s="40">
        <v>1.2869999999999999</v>
      </c>
      <c r="G100" s="40">
        <v>0.03</v>
      </c>
      <c r="H100" s="162">
        <v>1.97</v>
      </c>
    </row>
    <row r="101" spans="1:8" x14ac:dyDescent="0.25">
      <c r="A101" s="161">
        <v>7</v>
      </c>
      <c r="B101" s="40">
        <v>0.41899999999999998</v>
      </c>
      <c r="C101" s="40">
        <v>7.5999999999999998E-2</v>
      </c>
      <c r="D101" s="40">
        <v>1.9239999999999999</v>
      </c>
      <c r="E101" s="40">
        <v>2.7040000000000002</v>
      </c>
      <c r="F101" s="40">
        <v>1.1819999999999999</v>
      </c>
      <c r="G101" s="40">
        <v>0.11799999999999999</v>
      </c>
      <c r="H101" s="162">
        <v>1.8819999999999999</v>
      </c>
    </row>
    <row r="102" spans="1:8" x14ac:dyDescent="0.25">
      <c r="A102" s="161">
        <v>8</v>
      </c>
      <c r="B102" s="40">
        <v>0.373</v>
      </c>
      <c r="C102" s="40">
        <v>0.13600000000000001</v>
      </c>
      <c r="D102" s="40">
        <v>1.8640000000000001</v>
      </c>
      <c r="E102" s="40">
        <v>2.847</v>
      </c>
      <c r="F102" s="40">
        <v>1.099</v>
      </c>
      <c r="G102" s="40">
        <v>0.185</v>
      </c>
      <c r="H102" s="162">
        <v>1.8149999999999999</v>
      </c>
    </row>
    <row r="103" spans="1:8" x14ac:dyDescent="0.25">
      <c r="A103" s="161">
        <v>9</v>
      </c>
      <c r="B103" s="40">
        <v>0.33700000000000002</v>
      </c>
      <c r="C103" s="40">
        <v>0.184</v>
      </c>
      <c r="D103" s="40">
        <v>1.8160000000000001</v>
      </c>
      <c r="E103" s="40">
        <v>2.97</v>
      </c>
      <c r="F103" s="40">
        <v>1.032</v>
      </c>
      <c r="G103" s="40">
        <v>0.23899999999999999</v>
      </c>
      <c r="H103" s="162">
        <v>1.7609999999999999</v>
      </c>
    </row>
    <row r="104" spans="1:8" ht="13.8" thickBot="1" x14ac:dyDescent="0.3">
      <c r="A104" s="163">
        <v>10</v>
      </c>
      <c r="B104" s="164">
        <v>0.308</v>
      </c>
      <c r="C104" s="164">
        <v>0.223</v>
      </c>
      <c r="D104" s="164">
        <v>1.7769999999999999</v>
      </c>
      <c r="E104" s="164">
        <v>3.0779999999999998</v>
      </c>
      <c r="F104" s="164">
        <v>0.97499999999999998</v>
      </c>
      <c r="G104" s="164">
        <v>0.28399999999999997</v>
      </c>
      <c r="H104" s="165">
        <v>1.716</v>
      </c>
    </row>
  </sheetData>
  <mergeCells count="4">
    <mergeCell ref="A7:D7"/>
    <mergeCell ref="C9:D9"/>
    <mergeCell ref="C10:D10"/>
    <mergeCell ref="B94:H94"/>
  </mergeCells>
  <dataValidations count="2">
    <dataValidation type="whole" allowBlank="1" showInputMessage="1" showErrorMessage="1" errorTitle="Input Error!" error="The sample size must be a whole number between 2 and 5." 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xr:uid="{00000000-0002-0000-1F00-000000000000}">
      <formula1>2</formula1>
      <formula2>5</formula2>
    </dataValidation>
    <dataValidation type="whole" allowBlank="1" showInputMessage="1" showErrorMessage="1" errorTitle="Input Error!" error="The number of samples must be a whole number no greater than 75."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1F00-000001000000}">
      <formula1>1</formula1>
      <formula2>75</formula2>
    </dataValidation>
  </dataValidations>
  <hyperlinks>
    <hyperlink ref="P1" location="Menu!A1" display="Return to menu" xr:uid="{00000000-0004-0000-1F00-000000000000}"/>
  </hyperlinks>
  <pageMargins left="0.75" right="0.75" top="1" bottom="1"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dimension ref="H1:Q50"/>
  <sheetViews>
    <sheetView showGridLines="0" workbookViewId="0">
      <selection activeCell="Q1" sqref="Q1"/>
    </sheetView>
  </sheetViews>
  <sheetFormatPr defaultColWidth="8.88671875" defaultRowHeight="13.2" x14ac:dyDescent="0.25"/>
  <cols>
    <col min="1" max="16" width="8.88671875" style="13"/>
    <col min="17" max="17" width="20.6640625" style="13" bestFit="1" customWidth="1"/>
    <col min="18" max="16384" width="8.88671875" style="13"/>
  </cols>
  <sheetData>
    <row r="1" spans="17:17" ht="21" x14ac:dyDescent="0.4">
      <c r="Q1" s="750" t="s">
        <v>19</v>
      </c>
    </row>
    <row r="50" spans="8:8" x14ac:dyDescent="0.25">
      <c r="H50" s="13">
        <f>$C$10</f>
        <v>0</v>
      </c>
    </row>
  </sheetData>
  <hyperlinks>
    <hyperlink ref="Q1" location="Menu!A1" display="Return to menu" xr:uid="{00000000-0004-0000-2000-000000000000}"/>
  </hyperlinks>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pageSetUpPr fitToPage="1"/>
  </sheetPr>
  <dimension ref="C1:BA53"/>
  <sheetViews>
    <sheetView showGridLines="0" zoomScale="40" zoomScaleNormal="40" zoomScalePageLayoutView="40" workbookViewId="0">
      <selection activeCell="BA1" sqref="BA1"/>
    </sheetView>
  </sheetViews>
  <sheetFormatPr defaultColWidth="8.88671875" defaultRowHeight="23.4" x14ac:dyDescent="0.45"/>
  <cols>
    <col min="1" max="42" width="8.88671875" style="52"/>
    <col min="43" max="43" width="9.109375" style="52" customWidth="1"/>
    <col min="44" max="52" width="8.88671875" style="52"/>
    <col min="53" max="53" width="39.109375" style="52" bestFit="1" customWidth="1"/>
    <col min="54" max="16384" width="8.88671875" style="52"/>
  </cols>
  <sheetData>
    <row r="1" spans="3:53" ht="60.75" customHeight="1" x14ac:dyDescent="0.7">
      <c r="D1" s="455" t="s">
        <v>343</v>
      </c>
      <c r="BA1" s="751" t="s">
        <v>19</v>
      </c>
    </row>
    <row r="2" spans="3:53" ht="60.75" customHeight="1" x14ac:dyDescent="0.7">
      <c r="D2" s="455" t="s">
        <v>1007</v>
      </c>
      <c r="BA2" s="751"/>
    </row>
    <row r="4" spans="3:53" x14ac:dyDescent="0.45">
      <c r="D4" s="49" t="s">
        <v>51</v>
      </c>
      <c r="E4" s="50"/>
      <c r="F4" s="51"/>
      <c r="G4" s="50"/>
      <c r="H4" s="50"/>
      <c r="I4" s="51"/>
      <c r="J4" s="50"/>
      <c r="K4" s="50"/>
      <c r="L4" s="50"/>
      <c r="M4" s="50"/>
      <c r="N4" s="50"/>
      <c r="O4" s="51"/>
      <c r="P4" s="50"/>
      <c r="Q4" s="49" t="s">
        <v>54</v>
      </c>
      <c r="R4" s="50"/>
      <c r="S4" s="50"/>
      <c r="T4" s="50"/>
      <c r="U4" s="50"/>
      <c r="V4" s="50"/>
      <c r="W4" s="50"/>
      <c r="X4" s="51"/>
      <c r="Y4" s="50"/>
      <c r="Z4" s="50"/>
      <c r="AA4" s="50"/>
      <c r="AB4" s="50"/>
      <c r="AC4" s="50"/>
      <c r="AD4" s="49" t="s">
        <v>55</v>
      </c>
      <c r="AE4" s="50"/>
      <c r="AF4" s="51"/>
      <c r="AG4" s="50"/>
      <c r="AH4" s="50"/>
      <c r="AI4" s="51"/>
      <c r="AJ4" s="50"/>
      <c r="AK4" s="50"/>
      <c r="AL4" s="50"/>
      <c r="AM4" s="50"/>
      <c r="AN4" s="50"/>
      <c r="AO4" s="51"/>
      <c r="AP4" s="50"/>
      <c r="AQ4" s="50"/>
      <c r="AR4" s="50"/>
      <c r="AS4" s="50"/>
      <c r="AT4" s="50"/>
      <c r="AU4" s="50"/>
      <c r="AV4" s="50"/>
      <c r="AW4" s="50"/>
      <c r="AX4" s="50"/>
      <c r="AY4" s="50"/>
    </row>
    <row r="5" spans="3:53" x14ac:dyDescent="0.45">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row>
    <row r="6" spans="3:53" x14ac:dyDescent="0.45">
      <c r="D6" s="1188" t="s">
        <v>768</v>
      </c>
      <c r="E6" s="1189"/>
      <c r="F6" s="1189"/>
      <c r="G6" s="1189"/>
      <c r="H6" s="1189"/>
      <c r="I6" s="1189"/>
      <c r="J6" s="1190"/>
      <c r="K6" s="53"/>
      <c r="L6" s="54"/>
      <c r="M6" s="50"/>
      <c r="N6" s="50"/>
      <c r="O6" s="50"/>
      <c r="P6" s="50"/>
      <c r="Q6" s="1188" t="s">
        <v>771</v>
      </c>
      <c r="R6" s="1189"/>
      <c r="S6" s="1189"/>
      <c r="T6" s="1189"/>
      <c r="U6" s="1189"/>
      <c r="V6" s="1189"/>
      <c r="W6" s="1190"/>
      <c r="X6" s="53"/>
      <c r="Y6" s="54"/>
      <c r="Z6" s="50"/>
      <c r="AA6" s="50"/>
      <c r="AB6" s="50"/>
      <c r="AC6" s="50"/>
      <c r="AD6" s="1188" t="s">
        <v>777</v>
      </c>
      <c r="AE6" s="1189"/>
      <c r="AF6" s="1189"/>
      <c r="AG6" s="1189"/>
      <c r="AH6" s="1189"/>
      <c r="AI6" s="1189"/>
      <c r="AJ6" s="1190"/>
      <c r="AK6" s="53"/>
      <c r="AL6" s="54"/>
      <c r="AM6" s="50"/>
      <c r="AN6" s="50"/>
      <c r="AO6" s="50"/>
      <c r="AP6" s="50"/>
      <c r="AQ6" s="50"/>
      <c r="AR6" s="50"/>
      <c r="AS6" s="50"/>
      <c r="AT6" s="50"/>
      <c r="AU6" s="54"/>
      <c r="AV6" s="50"/>
      <c r="AW6" s="50"/>
      <c r="AX6" s="50"/>
      <c r="AY6" s="50"/>
    </row>
    <row r="7" spans="3:53" x14ac:dyDescent="0.45">
      <c r="C7" s="852"/>
      <c r="D7" s="1191"/>
      <c r="E7" s="1192"/>
      <c r="F7" s="1192"/>
      <c r="G7" s="1192"/>
      <c r="H7" s="1192"/>
      <c r="I7" s="1192"/>
      <c r="J7" s="1193"/>
      <c r="K7" s="50"/>
      <c r="L7" s="50"/>
      <c r="M7" s="50"/>
      <c r="N7" s="50"/>
      <c r="O7" s="50"/>
      <c r="P7" s="936">
        <v>1</v>
      </c>
      <c r="Q7" s="1191"/>
      <c r="R7" s="1192"/>
      <c r="S7" s="1192"/>
      <c r="T7" s="1192"/>
      <c r="U7" s="1192"/>
      <c r="V7" s="1192"/>
      <c r="W7" s="1193"/>
      <c r="X7" s="50"/>
      <c r="Y7" s="50"/>
      <c r="Z7" s="50"/>
      <c r="AA7" s="50"/>
      <c r="AB7" s="50"/>
      <c r="AC7" s="853"/>
      <c r="AD7" s="1191"/>
      <c r="AE7" s="1192"/>
      <c r="AF7" s="1192"/>
      <c r="AG7" s="1192"/>
      <c r="AH7" s="1192"/>
      <c r="AI7" s="1192"/>
      <c r="AJ7" s="1193"/>
      <c r="AK7" s="50"/>
      <c r="AL7" s="50"/>
      <c r="AM7" s="50"/>
      <c r="AN7" s="50"/>
      <c r="AO7" s="50"/>
      <c r="AP7" s="50"/>
      <c r="AQ7" s="50"/>
      <c r="AR7" s="50"/>
      <c r="AS7" s="50"/>
      <c r="AT7" s="50"/>
      <c r="AU7" s="50"/>
      <c r="AV7" s="50"/>
      <c r="AW7" s="50"/>
      <c r="AX7" s="50"/>
      <c r="AY7" s="50"/>
    </row>
    <row r="8" spans="3:53" x14ac:dyDescent="0.45">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row>
    <row r="9" spans="3:53" x14ac:dyDescent="0.45">
      <c r="D9" s="50"/>
      <c r="E9" s="1188" t="s">
        <v>774</v>
      </c>
      <c r="F9" s="1189"/>
      <c r="G9" s="1189"/>
      <c r="H9" s="1189"/>
      <c r="I9" s="1189"/>
      <c r="J9" s="1189"/>
      <c r="K9" s="1190"/>
      <c r="L9" s="53"/>
      <c r="M9" s="50"/>
      <c r="N9" s="50"/>
      <c r="O9" s="50"/>
      <c r="P9" s="50"/>
      <c r="Q9" s="50"/>
      <c r="R9" s="1188" t="s">
        <v>773</v>
      </c>
      <c r="S9" s="1189"/>
      <c r="T9" s="1189"/>
      <c r="U9" s="1189"/>
      <c r="V9" s="1189"/>
      <c r="W9" s="1189"/>
      <c r="X9" s="1190"/>
      <c r="Y9" s="53"/>
      <c r="Z9" s="50"/>
      <c r="AA9" s="50"/>
      <c r="AB9" s="50"/>
      <c r="AC9" s="50"/>
      <c r="AD9" s="50"/>
      <c r="AE9" s="1188" t="s">
        <v>792</v>
      </c>
      <c r="AF9" s="1189"/>
      <c r="AG9" s="1189"/>
      <c r="AH9" s="1189"/>
      <c r="AI9" s="1189"/>
      <c r="AJ9" s="1189"/>
      <c r="AK9" s="1190"/>
      <c r="AL9" s="53"/>
      <c r="AM9" s="50"/>
      <c r="AN9" s="50"/>
      <c r="AO9" s="50"/>
      <c r="AP9" s="50"/>
      <c r="AQ9" s="50"/>
      <c r="AR9" s="50"/>
      <c r="AS9" s="50"/>
      <c r="AT9" s="50"/>
      <c r="AU9" s="50"/>
      <c r="AV9" s="50"/>
      <c r="AW9" s="50"/>
      <c r="AX9" s="50"/>
      <c r="AY9" s="50"/>
    </row>
    <row r="10" spans="3:53" x14ac:dyDescent="0.45">
      <c r="D10" s="852"/>
      <c r="E10" s="1191"/>
      <c r="F10" s="1192"/>
      <c r="G10" s="1192"/>
      <c r="H10" s="1192"/>
      <c r="I10" s="1192"/>
      <c r="J10" s="1192"/>
      <c r="K10" s="1193"/>
      <c r="L10" s="50"/>
      <c r="M10" s="50"/>
      <c r="N10" s="50"/>
      <c r="O10" s="50"/>
      <c r="P10" s="50"/>
      <c r="Q10" s="936">
        <v>12</v>
      </c>
      <c r="R10" s="1191"/>
      <c r="S10" s="1192"/>
      <c r="T10" s="1192"/>
      <c r="U10" s="1192"/>
      <c r="V10" s="1192"/>
      <c r="W10" s="1192"/>
      <c r="X10" s="1193"/>
      <c r="Y10" s="50"/>
      <c r="Z10" s="50"/>
      <c r="AA10" s="50"/>
      <c r="AB10" s="50"/>
      <c r="AC10" s="50"/>
      <c r="AD10" s="853"/>
      <c r="AE10" s="1191"/>
      <c r="AF10" s="1192"/>
      <c r="AG10" s="1192"/>
      <c r="AH10" s="1192"/>
      <c r="AI10" s="1192"/>
      <c r="AJ10" s="1192"/>
      <c r="AK10" s="1193"/>
      <c r="AL10" s="50"/>
      <c r="AM10" s="50"/>
      <c r="AN10" s="50"/>
      <c r="AO10" s="50"/>
      <c r="AP10" s="50"/>
      <c r="AQ10" s="50"/>
      <c r="AR10" s="50"/>
      <c r="AS10" s="50"/>
      <c r="AT10" s="50"/>
      <c r="AU10" s="50"/>
      <c r="AV10" s="50"/>
      <c r="AW10" s="55"/>
      <c r="AX10" s="50"/>
      <c r="AY10" s="50"/>
    </row>
    <row r="11" spans="3:53" x14ac:dyDescent="0.45">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6"/>
      <c r="AX11" s="50"/>
      <c r="AY11" s="50"/>
    </row>
    <row r="12" spans="3:53" x14ac:dyDescent="0.45">
      <c r="D12" s="50"/>
      <c r="E12" s="935"/>
      <c r="F12" s="1188" t="s">
        <v>765</v>
      </c>
      <c r="G12" s="1189"/>
      <c r="H12" s="1189"/>
      <c r="I12" s="1189"/>
      <c r="J12" s="1189"/>
      <c r="K12" s="1189"/>
      <c r="L12" s="1190"/>
      <c r="M12" s="53"/>
      <c r="N12" s="50"/>
      <c r="O12" s="50"/>
      <c r="P12" s="50"/>
      <c r="Q12" s="50"/>
      <c r="R12" s="50"/>
      <c r="S12" s="1188" t="s">
        <v>772</v>
      </c>
      <c r="T12" s="1189"/>
      <c r="U12" s="1189"/>
      <c r="V12" s="1189"/>
      <c r="W12" s="1189"/>
      <c r="X12" s="1189"/>
      <c r="Y12" s="1190"/>
      <c r="Z12" s="53"/>
      <c r="AA12" s="50"/>
      <c r="AB12" s="50"/>
      <c r="AC12" s="50"/>
      <c r="AD12" s="50"/>
      <c r="AE12" s="50"/>
      <c r="AF12" s="1188" t="s">
        <v>793</v>
      </c>
      <c r="AG12" s="1189"/>
      <c r="AH12" s="1189"/>
      <c r="AI12" s="1189"/>
      <c r="AJ12" s="1189"/>
      <c r="AK12" s="1189"/>
      <c r="AL12" s="1190"/>
      <c r="AM12" s="53"/>
      <c r="AN12" s="50"/>
      <c r="AO12" s="50"/>
      <c r="AP12" s="50"/>
      <c r="AQ12" s="50"/>
      <c r="AR12" s="50"/>
      <c r="AS12" s="50"/>
      <c r="AT12" s="50"/>
      <c r="AU12" s="50"/>
      <c r="AV12" s="50"/>
      <c r="AW12" s="56"/>
      <c r="AX12" s="50"/>
      <c r="AY12" s="50"/>
    </row>
    <row r="13" spans="3:53" x14ac:dyDescent="0.45">
      <c r="D13" s="50"/>
      <c r="E13" s="936">
        <v>1</v>
      </c>
      <c r="F13" s="1191"/>
      <c r="G13" s="1192"/>
      <c r="H13" s="1192"/>
      <c r="I13" s="1192"/>
      <c r="J13" s="1192"/>
      <c r="K13" s="1192"/>
      <c r="L13" s="1193"/>
      <c r="M13" s="50"/>
      <c r="N13" s="50"/>
      <c r="O13" s="50"/>
      <c r="P13" s="50"/>
      <c r="Q13" s="50"/>
      <c r="R13" s="852"/>
      <c r="S13" s="1191"/>
      <c r="T13" s="1192"/>
      <c r="U13" s="1192"/>
      <c r="V13" s="1192"/>
      <c r="W13" s="1192"/>
      <c r="X13" s="1192"/>
      <c r="Y13" s="1193"/>
      <c r="Z13" s="50"/>
      <c r="AA13" s="50"/>
      <c r="AB13" s="50"/>
      <c r="AC13" s="50"/>
      <c r="AD13" s="50"/>
      <c r="AE13" s="936">
        <v>1</v>
      </c>
      <c r="AF13" s="1191"/>
      <c r="AG13" s="1192"/>
      <c r="AH13" s="1192"/>
      <c r="AI13" s="1192"/>
      <c r="AJ13" s="1192"/>
      <c r="AK13" s="1192"/>
      <c r="AL13" s="1193"/>
      <c r="AM13" s="50"/>
      <c r="AN13" s="50"/>
      <c r="AO13" s="50"/>
      <c r="AP13" s="50"/>
      <c r="AQ13" s="50"/>
      <c r="AR13" s="50"/>
      <c r="AS13" s="50"/>
      <c r="AT13" s="50"/>
      <c r="AU13" s="50"/>
      <c r="AV13" s="50"/>
      <c r="AW13" s="56"/>
      <c r="AX13" s="50"/>
      <c r="AY13" s="50"/>
    </row>
    <row r="14" spans="3:53" x14ac:dyDescent="0.45">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6"/>
      <c r="AX14" s="50"/>
      <c r="AY14" s="50"/>
    </row>
    <row r="15" spans="3:53" x14ac:dyDescent="0.45">
      <c r="D15" s="50"/>
      <c r="E15" s="50"/>
      <c r="F15" s="50"/>
      <c r="G15" s="1188" t="s">
        <v>766</v>
      </c>
      <c r="H15" s="1189"/>
      <c r="I15" s="1189"/>
      <c r="J15" s="1189"/>
      <c r="K15" s="1189"/>
      <c r="L15" s="1189"/>
      <c r="M15" s="1190"/>
      <c r="N15" s="53"/>
      <c r="O15" s="50"/>
      <c r="P15" s="50"/>
      <c r="Q15" s="50"/>
      <c r="R15" s="50"/>
      <c r="S15" s="50"/>
      <c r="T15" s="1188" t="s">
        <v>794</v>
      </c>
      <c r="U15" s="1189"/>
      <c r="V15" s="1189"/>
      <c r="W15" s="1189"/>
      <c r="X15" s="1189"/>
      <c r="Y15" s="1189"/>
      <c r="Z15" s="1190"/>
      <c r="AA15" s="53"/>
      <c r="AB15" s="50"/>
      <c r="AC15" s="50"/>
      <c r="AD15" s="50"/>
      <c r="AE15" s="50"/>
      <c r="AF15" s="50"/>
      <c r="AG15" s="1188" t="s">
        <v>795</v>
      </c>
      <c r="AH15" s="1189"/>
      <c r="AI15" s="1189"/>
      <c r="AJ15" s="1189"/>
      <c r="AK15" s="1189"/>
      <c r="AL15" s="1189"/>
      <c r="AM15" s="1190"/>
      <c r="AN15" s="53"/>
      <c r="AO15" s="50"/>
      <c r="AP15" s="50"/>
      <c r="AQ15" s="50"/>
      <c r="AR15" s="50"/>
      <c r="AS15" s="50"/>
      <c r="AT15" s="50"/>
      <c r="AU15" s="50"/>
      <c r="AV15" s="50"/>
      <c r="AW15" s="56"/>
      <c r="AX15" s="50"/>
      <c r="AY15" s="50"/>
    </row>
    <row r="16" spans="3:53" x14ac:dyDescent="0.45">
      <c r="D16" s="50"/>
      <c r="E16" s="50"/>
      <c r="F16" s="936">
        <v>5</v>
      </c>
      <c r="G16" s="1191"/>
      <c r="H16" s="1192"/>
      <c r="I16" s="1192"/>
      <c r="J16" s="1192"/>
      <c r="K16" s="1192"/>
      <c r="L16" s="1192"/>
      <c r="M16" s="1193"/>
      <c r="N16" s="50"/>
      <c r="O16" s="50"/>
      <c r="P16" s="50"/>
      <c r="Q16" s="50"/>
      <c r="R16" s="50"/>
      <c r="S16" s="852"/>
      <c r="T16" s="1191"/>
      <c r="U16" s="1192"/>
      <c r="V16" s="1192"/>
      <c r="W16" s="1192"/>
      <c r="X16" s="1192"/>
      <c r="Y16" s="1192"/>
      <c r="Z16" s="1193"/>
      <c r="AA16" s="50"/>
      <c r="AB16" s="50"/>
      <c r="AC16" s="50"/>
      <c r="AD16" s="50"/>
      <c r="AE16" s="50"/>
      <c r="AF16" s="936">
        <v>1</v>
      </c>
      <c r="AG16" s="1191"/>
      <c r="AH16" s="1192"/>
      <c r="AI16" s="1192"/>
      <c r="AJ16" s="1192"/>
      <c r="AK16" s="1192"/>
      <c r="AL16" s="1192"/>
      <c r="AM16" s="1193"/>
      <c r="AN16" s="50"/>
      <c r="AO16" s="50"/>
      <c r="AP16" s="50"/>
      <c r="AQ16" s="50"/>
      <c r="AR16" s="50"/>
      <c r="AS16" s="50"/>
      <c r="AT16" s="50"/>
      <c r="AU16" s="50"/>
      <c r="AV16" s="50"/>
      <c r="AW16" s="56"/>
      <c r="AX16" s="50"/>
      <c r="AY16" s="50"/>
    </row>
    <row r="17" spans="4:52" x14ac:dyDescent="0.45">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6"/>
      <c r="AX17" s="50"/>
      <c r="AY17" s="50"/>
    </row>
    <row r="18" spans="4:52" x14ac:dyDescent="0.45">
      <c r="D18" s="50"/>
      <c r="E18" s="50"/>
      <c r="F18" s="50"/>
      <c r="G18" s="50"/>
      <c r="H18" s="1188" t="s">
        <v>767</v>
      </c>
      <c r="I18" s="1189"/>
      <c r="J18" s="1189"/>
      <c r="K18" s="1189"/>
      <c r="L18" s="1189"/>
      <c r="M18" s="1189"/>
      <c r="N18" s="1190"/>
      <c r="O18" s="53"/>
      <c r="P18" s="50"/>
      <c r="Q18" s="50"/>
      <c r="R18" s="50"/>
      <c r="S18" s="50"/>
      <c r="T18" s="50"/>
      <c r="U18" s="1188" t="s">
        <v>779</v>
      </c>
      <c r="V18" s="1189"/>
      <c r="W18" s="1189"/>
      <c r="X18" s="1189"/>
      <c r="Y18" s="1189"/>
      <c r="Z18" s="1189"/>
      <c r="AA18" s="1190"/>
      <c r="AB18" s="53"/>
      <c r="AC18" s="50"/>
      <c r="AD18" s="50"/>
      <c r="AE18" s="50"/>
      <c r="AF18" s="50"/>
      <c r="AG18" s="50"/>
      <c r="AH18" s="1188" t="s">
        <v>780</v>
      </c>
      <c r="AI18" s="1189"/>
      <c r="AJ18" s="1189"/>
      <c r="AK18" s="1189"/>
      <c r="AL18" s="1189"/>
      <c r="AM18" s="1189"/>
      <c r="AN18" s="1190"/>
      <c r="AO18" s="53"/>
      <c r="AP18" s="50"/>
      <c r="AQ18" s="50"/>
      <c r="AR18" s="50"/>
      <c r="AS18" s="50"/>
      <c r="AT18" s="50"/>
      <c r="AU18" s="50"/>
      <c r="AV18" s="50"/>
      <c r="AW18" s="56"/>
      <c r="AX18" s="50"/>
      <c r="AY18" s="50"/>
    </row>
    <row r="19" spans="4:52" x14ac:dyDescent="0.45">
      <c r="D19" s="50"/>
      <c r="E19" s="50"/>
      <c r="F19" s="50"/>
      <c r="G19" s="852"/>
      <c r="H19" s="1191"/>
      <c r="I19" s="1192"/>
      <c r="J19" s="1192"/>
      <c r="K19" s="1192"/>
      <c r="L19" s="1192"/>
      <c r="M19" s="1192"/>
      <c r="N19" s="1193"/>
      <c r="O19" s="50"/>
      <c r="P19" s="50"/>
      <c r="Q19" s="50"/>
      <c r="R19" s="50"/>
      <c r="S19" s="50"/>
      <c r="T19" s="936">
        <v>1</v>
      </c>
      <c r="U19" s="1191"/>
      <c r="V19" s="1192"/>
      <c r="W19" s="1192"/>
      <c r="X19" s="1192"/>
      <c r="Y19" s="1192"/>
      <c r="Z19" s="1192"/>
      <c r="AA19" s="1193"/>
      <c r="AB19" s="50"/>
      <c r="AC19" s="50"/>
      <c r="AD19" s="50"/>
      <c r="AE19" s="50"/>
      <c r="AF19" s="50"/>
      <c r="AG19" s="853"/>
      <c r="AH19" s="1191"/>
      <c r="AI19" s="1192"/>
      <c r="AJ19" s="1192"/>
      <c r="AK19" s="1192"/>
      <c r="AL19" s="1192"/>
      <c r="AM19" s="1192"/>
      <c r="AN19" s="1193"/>
      <c r="AO19" s="50"/>
      <c r="AP19" s="50"/>
      <c r="AQ19" s="50"/>
      <c r="AR19" s="50"/>
      <c r="AS19" s="50"/>
      <c r="AT19" s="50"/>
      <c r="AU19" s="50"/>
      <c r="AV19" s="50"/>
      <c r="AW19" s="50"/>
      <c r="AX19" s="50"/>
      <c r="AY19" s="50"/>
      <c r="AZ19" s="50"/>
    </row>
    <row r="20" spans="4:52" x14ac:dyDescent="0.45">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row>
    <row r="21" spans="4:52" x14ac:dyDescent="0.45">
      <c r="D21" s="50"/>
      <c r="E21" s="50"/>
      <c r="F21" s="50"/>
      <c r="G21" s="50"/>
      <c r="H21" s="50"/>
      <c r="I21" s="1188" t="s">
        <v>769</v>
      </c>
      <c r="J21" s="1189"/>
      <c r="K21" s="1189"/>
      <c r="L21" s="1189"/>
      <c r="M21" s="1189"/>
      <c r="N21" s="1189"/>
      <c r="O21" s="1190"/>
      <c r="P21" s="53"/>
      <c r="Q21" s="50"/>
      <c r="R21" s="50"/>
      <c r="S21" s="50"/>
      <c r="T21" s="50"/>
      <c r="U21" s="50"/>
      <c r="V21" s="1188"/>
      <c r="W21" s="1189"/>
      <c r="X21" s="1189"/>
      <c r="Y21" s="1189"/>
      <c r="Z21" s="1189"/>
      <c r="AA21" s="1189"/>
      <c r="AB21" s="1190"/>
      <c r="AC21" s="53"/>
      <c r="AD21" s="50"/>
      <c r="AE21" s="50"/>
      <c r="AF21" s="50"/>
      <c r="AG21" s="50"/>
      <c r="AH21" s="50"/>
      <c r="AI21" s="1188" t="s">
        <v>778</v>
      </c>
      <c r="AJ21" s="1189"/>
      <c r="AK21" s="1189"/>
      <c r="AL21" s="1189"/>
      <c r="AM21" s="1189"/>
      <c r="AN21" s="1189"/>
      <c r="AO21" s="1190"/>
      <c r="AP21" s="53"/>
      <c r="AQ21" s="50"/>
      <c r="AR21" s="50"/>
      <c r="AS21" s="50"/>
      <c r="AT21" s="50"/>
      <c r="AU21" s="50"/>
      <c r="AV21" s="50"/>
      <c r="AW21" s="56"/>
      <c r="AX21" s="50"/>
      <c r="AY21" s="50"/>
    </row>
    <row r="22" spans="4:52" x14ac:dyDescent="0.45">
      <c r="D22" s="50"/>
      <c r="E22" s="50"/>
      <c r="F22" s="50"/>
      <c r="G22" s="50"/>
      <c r="H22" s="936">
        <v>2</v>
      </c>
      <c r="I22" s="1191"/>
      <c r="J22" s="1192"/>
      <c r="K22" s="1192"/>
      <c r="L22" s="1192"/>
      <c r="M22" s="1192"/>
      <c r="N22" s="1192"/>
      <c r="O22" s="1193"/>
      <c r="P22" s="50"/>
      <c r="Q22" s="50"/>
      <c r="R22" s="50"/>
      <c r="S22" s="50"/>
      <c r="T22" s="50"/>
      <c r="U22" s="50"/>
      <c r="V22" s="1191"/>
      <c r="W22" s="1192"/>
      <c r="X22" s="1192"/>
      <c r="Y22" s="1192"/>
      <c r="Z22" s="1192"/>
      <c r="AA22" s="1192"/>
      <c r="AB22" s="1193"/>
      <c r="AC22" s="50"/>
      <c r="AD22" s="50"/>
      <c r="AE22" s="50"/>
      <c r="AF22" s="50"/>
      <c r="AG22" s="50"/>
      <c r="AH22" s="853"/>
      <c r="AI22" s="1191"/>
      <c r="AJ22" s="1192"/>
      <c r="AK22" s="1192"/>
      <c r="AL22" s="1192"/>
      <c r="AM22" s="1192"/>
      <c r="AN22" s="1192"/>
      <c r="AO22" s="1193"/>
      <c r="AP22" s="50"/>
      <c r="AQ22" s="50"/>
      <c r="AR22" s="50"/>
      <c r="AS22" s="50"/>
      <c r="AT22" s="50"/>
      <c r="AU22" s="50"/>
      <c r="AV22" s="50"/>
      <c r="AW22" s="50"/>
      <c r="AX22" s="50"/>
      <c r="AY22" s="50"/>
      <c r="AZ22" s="55"/>
    </row>
    <row r="23" spans="4:52" x14ac:dyDescent="0.45">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6"/>
      <c r="AX23" s="50"/>
      <c r="AY23" s="50"/>
      <c r="AZ23" s="55"/>
    </row>
    <row r="24" spans="4:52" x14ac:dyDescent="0.45">
      <c r="D24" s="50"/>
      <c r="E24" s="50"/>
      <c r="F24" s="50"/>
      <c r="G24" s="50"/>
      <c r="H24" s="50"/>
      <c r="I24" s="50"/>
      <c r="J24" s="1188" t="s">
        <v>770</v>
      </c>
      <c r="K24" s="1189"/>
      <c r="L24" s="1189"/>
      <c r="M24" s="1189"/>
      <c r="N24" s="1189"/>
      <c r="O24" s="1189"/>
      <c r="P24" s="1190"/>
      <c r="Q24" s="53"/>
      <c r="R24" s="50"/>
      <c r="S24" s="50"/>
      <c r="T24" s="50"/>
      <c r="U24" s="50"/>
      <c r="V24" s="50"/>
      <c r="W24" s="1188"/>
      <c r="X24" s="1189"/>
      <c r="Y24" s="1189"/>
      <c r="Z24" s="1189"/>
      <c r="AA24" s="1189"/>
      <c r="AB24" s="1189"/>
      <c r="AC24" s="1190"/>
      <c r="AD24" s="53"/>
      <c r="AE24" s="50"/>
      <c r="AF24" s="50"/>
      <c r="AG24" s="50"/>
      <c r="AH24" s="50"/>
      <c r="AI24" s="50"/>
      <c r="AJ24" s="1188" t="s">
        <v>781</v>
      </c>
      <c r="AK24" s="1189"/>
      <c r="AL24" s="1189"/>
      <c r="AM24" s="1189"/>
      <c r="AN24" s="1189"/>
      <c r="AO24" s="1189"/>
      <c r="AP24" s="1190"/>
      <c r="AQ24" s="53"/>
      <c r="AR24" s="50"/>
      <c r="AS24" s="50"/>
      <c r="AT24" s="50"/>
      <c r="AU24" s="50"/>
      <c r="AV24" s="50"/>
      <c r="AW24" s="50"/>
      <c r="AX24" s="50"/>
      <c r="AY24" s="50"/>
      <c r="AZ24" s="55"/>
    </row>
    <row r="25" spans="4:52" ht="23.4" customHeight="1" x14ac:dyDescent="0.45">
      <c r="D25" s="57"/>
      <c r="E25" s="50"/>
      <c r="F25" s="50"/>
      <c r="G25" s="50"/>
      <c r="H25" s="50"/>
      <c r="I25" s="852"/>
      <c r="J25" s="1191"/>
      <c r="K25" s="1192"/>
      <c r="L25" s="1192"/>
      <c r="M25" s="1192"/>
      <c r="N25" s="1192"/>
      <c r="O25" s="1192"/>
      <c r="P25" s="1193"/>
      <c r="Q25" s="57"/>
      <c r="R25" s="50"/>
      <c r="S25" s="50"/>
      <c r="T25" s="50"/>
      <c r="U25" s="50"/>
      <c r="V25" s="50"/>
      <c r="W25" s="1191"/>
      <c r="X25" s="1192"/>
      <c r="Y25" s="1192"/>
      <c r="Z25" s="1192"/>
      <c r="AA25" s="1192"/>
      <c r="AB25" s="1192"/>
      <c r="AC25" s="1193"/>
      <c r="AD25" s="57"/>
      <c r="AE25" s="50"/>
      <c r="AF25" s="50"/>
      <c r="AG25" s="50"/>
      <c r="AH25" s="50"/>
      <c r="AI25" s="853"/>
      <c r="AJ25" s="1191"/>
      <c r="AK25" s="1192"/>
      <c r="AL25" s="1192"/>
      <c r="AM25" s="1192"/>
      <c r="AN25" s="1192"/>
      <c r="AO25" s="1192"/>
      <c r="AP25" s="1193"/>
      <c r="AQ25" s="50"/>
      <c r="AR25" s="50"/>
      <c r="AS25" s="50"/>
      <c r="AT25" s="50"/>
      <c r="AU25" s="50"/>
      <c r="AV25" s="1194" t="s">
        <v>56</v>
      </c>
      <c r="AW25" s="1195"/>
      <c r="AX25" s="1195"/>
      <c r="AY25" s="1196"/>
    </row>
    <row r="26" spans="4:52" x14ac:dyDescent="0.45">
      <c r="D26" s="57"/>
      <c r="E26" s="50"/>
      <c r="F26" s="50"/>
      <c r="G26" s="50"/>
      <c r="H26" s="50"/>
      <c r="I26" s="50"/>
      <c r="J26" s="50"/>
      <c r="K26" s="50"/>
      <c r="L26" s="50"/>
      <c r="M26" s="50"/>
      <c r="N26" s="50"/>
      <c r="O26" s="50"/>
      <c r="P26" s="50"/>
      <c r="Q26" s="50"/>
      <c r="R26" s="50"/>
      <c r="S26" s="50"/>
      <c r="T26" s="50"/>
      <c r="U26" s="50"/>
      <c r="V26" s="50"/>
      <c r="W26" s="57"/>
      <c r="X26" s="50"/>
      <c r="Y26" s="58"/>
      <c r="Z26" s="50"/>
      <c r="AA26" s="50"/>
      <c r="AB26" s="57"/>
      <c r="AC26" s="57"/>
      <c r="AD26" s="57"/>
      <c r="AE26" s="50"/>
      <c r="AF26" s="50"/>
      <c r="AG26" s="50"/>
      <c r="AH26" s="50"/>
      <c r="AI26" s="50"/>
      <c r="AJ26" s="50"/>
      <c r="AK26" s="50"/>
      <c r="AL26" s="50"/>
      <c r="AM26" s="50"/>
      <c r="AN26" s="50"/>
      <c r="AO26" s="50"/>
      <c r="AP26" s="50"/>
      <c r="AQ26" s="50"/>
      <c r="AR26" s="50"/>
      <c r="AS26" s="50"/>
      <c r="AT26" s="50"/>
      <c r="AU26" s="50"/>
      <c r="AV26" s="1197"/>
      <c r="AW26" s="1198"/>
      <c r="AX26" s="1198"/>
      <c r="AY26" s="1199"/>
    </row>
    <row r="27" spans="4:52" x14ac:dyDescent="0.45">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1197"/>
      <c r="AW27" s="1198"/>
      <c r="AX27" s="1198"/>
      <c r="AY27" s="1199"/>
    </row>
    <row r="28" spans="4:52" x14ac:dyDescent="0.45">
      <c r="D28" s="50"/>
      <c r="E28" s="50"/>
      <c r="F28" s="50"/>
      <c r="G28" s="50"/>
      <c r="H28" s="50"/>
      <c r="I28" s="50"/>
      <c r="J28" s="59"/>
      <c r="K28" s="50"/>
      <c r="L28" s="50"/>
      <c r="M28" s="50"/>
      <c r="N28" s="50"/>
      <c r="O28" s="50"/>
      <c r="P28" s="59"/>
      <c r="Q28" s="50"/>
      <c r="R28" s="50"/>
      <c r="S28" s="50"/>
      <c r="T28" s="59"/>
      <c r="U28" s="50"/>
      <c r="V28" s="50"/>
      <c r="W28" s="50"/>
      <c r="X28" s="50"/>
      <c r="Y28" s="59"/>
      <c r="Z28" s="50"/>
      <c r="AA28" s="50"/>
      <c r="AB28" s="50"/>
      <c r="AC28" s="50"/>
      <c r="AD28" s="50"/>
      <c r="AE28" s="50"/>
      <c r="AF28" s="50"/>
      <c r="AG28" s="50"/>
      <c r="AH28" s="50"/>
      <c r="AI28" s="50"/>
      <c r="AJ28" s="59"/>
      <c r="AK28" s="50"/>
      <c r="AL28" s="50"/>
      <c r="AM28" s="50"/>
      <c r="AN28" s="50"/>
      <c r="AO28" s="50"/>
      <c r="AP28" s="59"/>
      <c r="AQ28" s="50"/>
      <c r="AR28" s="50"/>
      <c r="AS28" s="50"/>
      <c r="AT28" s="59"/>
      <c r="AU28" s="50"/>
      <c r="AV28" s="1197"/>
      <c r="AW28" s="1198"/>
      <c r="AX28" s="1198"/>
      <c r="AY28" s="1199"/>
    </row>
    <row r="29" spans="4:52" x14ac:dyDescent="0.45">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1197"/>
      <c r="AW29" s="1198"/>
      <c r="AX29" s="1198"/>
      <c r="AY29" s="1199"/>
    </row>
    <row r="30" spans="4:52" x14ac:dyDescent="0.45">
      <c r="D30" s="50"/>
      <c r="E30" s="50"/>
      <c r="F30" s="50"/>
      <c r="G30" s="50"/>
      <c r="H30" s="50"/>
      <c r="I30" s="50"/>
      <c r="J30" s="1188" t="s">
        <v>775</v>
      </c>
      <c r="K30" s="1189"/>
      <c r="L30" s="1189"/>
      <c r="M30" s="1189"/>
      <c r="N30" s="1189"/>
      <c r="O30" s="1189"/>
      <c r="P30" s="1190"/>
      <c r="Q30" s="53"/>
      <c r="R30" s="50"/>
      <c r="S30" s="50"/>
      <c r="T30" s="50"/>
      <c r="U30" s="50"/>
      <c r="V30" s="50"/>
      <c r="W30" s="1188" t="s">
        <v>782</v>
      </c>
      <c r="X30" s="1189"/>
      <c r="Y30" s="1189"/>
      <c r="Z30" s="1189"/>
      <c r="AA30" s="1189"/>
      <c r="AB30" s="1189"/>
      <c r="AC30" s="1190"/>
      <c r="AD30" s="53"/>
      <c r="AE30" s="50"/>
      <c r="AF30" s="50"/>
      <c r="AG30" s="50"/>
      <c r="AH30" s="50"/>
      <c r="AI30" s="936"/>
      <c r="AJ30" s="1188" t="s">
        <v>790</v>
      </c>
      <c r="AK30" s="1189"/>
      <c r="AL30" s="1189"/>
      <c r="AM30" s="1189"/>
      <c r="AN30" s="1189"/>
      <c r="AO30" s="1189"/>
      <c r="AP30" s="1190"/>
      <c r="AQ30" s="53"/>
      <c r="AR30" s="50"/>
      <c r="AS30" s="50"/>
      <c r="AT30" s="50"/>
      <c r="AU30" s="50"/>
      <c r="AV30" s="1200"/>
      <c r="AW30" s="1201"/>
      <c r="AX30" s="1201"/>
      <c r="AY30" s="1202"/>
    </row>
    <row r="31" spans="4:52" x14ac:dyDescent="0.45">
      <c r="D31" s="50"/>
      <c r="E31" s="50"/>
      <c r="F31" s="50"/>
      <c r="G31" s="50"/>
      <c r="H31" s="50"/>
      <c r="I31" s="50"/>
      <c r="J31" s="1191"/>
      <c r="K31" s="1192"/>
      <c r="L31" s="1192"/>
      <c r="M31" s="1192"/>
      <c r="N31" s="1192"/>
      <c r="O31" s="1192"/>
      <c r="P31" s="1193"/>
      <c r="Q31" s="50"/>
      <c r="R31" s="50"/>
      <c r="S31" s="50"/>
      <c r="T31" s="50"/>
      <c r="U31" s="50"/>
      <c r="V31" s="50"/>
      <c r="W31" s="1191"/>
      <c r="X31" s="1192"/>
      <c r="Y31" s="1192"/>
      <c r="Z31" s="1192"/>
      <c r="AA31" s="1192"/>
      <c r="AB31" s="1192"/>
      <c r="AC31" s="1193"/>
      <c r="AD31" s="50"/>
      <c r="AE31" s="50"/>
      <c r="AF31" s="50"/>
      <c r="AG31" s="50"/>
      <c r="AH31" s="50"/>
      <c r="AI31" s="936">
        <v>1</v>
      </c>
      <c r="AJ31" s="1191"/>
      <c r="AK31" s="1192"/>
      <c r="AL31" s="1192"/>
      <c r="AM31" s="1192"/>
      <c r="AN31" s="1192"/>
      <c r="AO31" s="1192"/>
      <c r="AP31" s="1193"/>
      <c r="AQ31" s="50"/>
      <c r="AR31" s="50"/>
      <c r="AS31" s="50"/>
      <c r="AT31" s="50"/>
      <c r="AU31" s="50"/>
      <c r="AV31" s="50"/>
      <c r="AW31" s="50"/>
      <c r="AX31" s="50"/>
      <c r="AY31" s="50"/>
    </row>
    <row r="32" spans="4:52" x14ac:dyDescent="0.45">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row>
    <row r="33" spans="4:51" x14ac:dyDescent="0.45">
      <c r="D33" s="50"/>
      <c r="E33" s="50"/>
      <c r="F33" s="50"/>
      <c r="G33" s="50"/>
      <c r="H33" s="50"/>
      <c r="I33" s="1188" t="s">
        <v>796</v>
      </c>
      <c r="J33" s="1189"/>
      <c r="K33" s="1189"/>
      <c r="L33" s="1189"/>
      <c r="M33" s="1189"/>
      <c r="N33" s="1189"/>
      <c r="O33" s="1190"/>
      <c r="P33" s="53"/>
      <c r="Q33" s="50"/>
      <c r="R33" s="50"/>
      <c r="S33" s="50"/>
      <c r="T33" s="50"/>
      <c r="U33" s="50"/>
      <c r="V33" s="1188" t="s">
        <v>783</v>
      </c>
      <c r="W33" s="1189"/>
      <c r="X33" s="1189"/>
      <c r="Y33" s="1189"/>
      <c r="Z33" s="1189"/>
      <c r="AA33" s="1189"/>
      <c r="AB33" s="1190"/>
      <c r="AC33" s="53"/>
      <c r="AD33" s="50"/>
      <c r="AE33" s="50"/>
      <c r="AF33" s="50"/>
      <c r="AG33" s="50"/>
      <c r="AH33" s="50"/>
      <c r="AI33" s="1188" t="s">
        <v>791</v>
      </c>
      <c r="AJ33" s="1189"/>
      <c r="AK33" s="1189"/>
      <c r="AL33" s="1189"/>
      <c r="AM33" s="1189"/>
      <c r="AN33" s="1189"/>
      <c r="AO33" s="1190"/>
      <c r="AP33" s="53"/>
      <c r="AQ33" s="50"/>
      <c r="AR33" s="50"/>
      <c r="AS33" s="50"/>
      <c r="AT33" s="50"/>
      <c r="AU33" s="50"/>
      <c r="AV33" s="50"/>
      <c r="AW33" s="50"/>
      <c r="AX33" s="50"/>
      <c r="AY33" s="50"/>
    </row>
    <row r="34" spans="4:51" x14ac:dyDescent="0.45">
      <c r="D34" s="50"/>
      <c r="E34" s="50"/>
      <c r="F34" s="50"/>
      <c r="G34" s="50"/>
      <c r="H34" s="936">
        <v>1</v>
      </c>
      <c r="I34" s="1191"/>
      <c r="J34" s="1192"/>
      <c r="K34" s="1192"/>
      <c r="L34" s="1192"/>
      <c r="M34" s="1192"/>
      <c r="N34" s="1192"/>
      <c r="O34" s="1193"/>
      <c r="P34" s="50"/>
      <c r="Q34" s="50"/>
      <c r="R34" s="50"/>
      <c r="S34" s="50"/>
      <c r="T34" s="50"/>
      <c r="U34" s="50"/>
      <c r="V34" s="1191"/>
      <c r="W34" s="1192"/>
      <c r="X34" s="1192"/>
      <c r="Y34" s="1192"/>
      <c r="Z34" s="1192"/>
      <c r="AA34" s="1192"/>
      <c r="AB34" s="1193"/>
      <c r="AC34" s="50"/>
      <c r="AD34" s="50"/>
      <c r="AE34" s="50"/>
      <c r="AF34" s="50"/>
      <c r="AG34" s="50"/>
      <c r="AH34" s="936">
        <v>1</v>
      </c>
      <c r="AI34" s="1191"/>
      <c r="AJ34" s="1192"/>
      <c r="AK34" s="1192"/>
      <c r="AL34" s="1192"/>
      <c r="AM34" s="1192"/>
      <c r="AN34" s="1192"/>
      <c r="AO34" s="1193"/>
      <c r="AP34" s="50"/>
      <c r="AQ34" s="50"/>
      <c r="AR34" s="50"/>
      <c r="AS34" s="50"/>
      <c r="AT34" s="50"/>
      <c r="AU34" s="50"/>
      <c r="AV34" s="50"/>
      <c r="AW34" s="50"/>
      <c r="AX34" s="50"/>
      <c r="AY34" s="50"/>
    </row>
    <row r="35" spans="4:51" x14ac:dyDescent="0.45">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row>
    <row r="36" spans="4:51" x14ac:dyDescent="0.45">
      <c r="D36" s="50"/>
      <c r="E36" s="50"/>
      <c r="F36" s="50"/>
      <c r="G36" s="50"/>
      <c r="H36" s="1188" t="s">
        <v>797</v>
      </c>
      <c r="I36" s="1189"/>
      <c r="J36" s="1189"/>
      <c r="K36" s="1189"/>
      <c r="L36" s="1189"/>
      <c r="M36" s="1189"/>
      <c r="N36" s="1190"/>
      <c r="O36" s="53"/>
      <c r="P36" s="50"/>
      <c r="Q36" s="50"/>
      <c r="R36" s="50"/>
      <c r="S36" s="50"/>
      <c r="T36" s="50"/>
      <c r="U36" s="1188" t="s">
        <v>784</v>
      </c>
      <c r="V36" s="1189"/>
      <c r="W36" s="1189"/>
      <c r="X36" s="1189"/>
      <c r="Y36" s="1189"/>
      <c r="Z36" s="1189"/>
      <c r="AA36" s="1190"/>
      <c r="AB36" s="53"/>
      <c r="AC36" s="50"/>
      <c r="AD36" s="50"/>
      <c r="AE36" s="50"/>
      <c r="AF36" s="50"/>
      <c r="AG36" s="50"/>
      <c r="AH36" s="1188" t="s">
        <v>787</v>
      </c>
      <c r="AI36" s="1189"/>
      <c r="AJ36" s="1189"/>
      <c r="AK36" s="1189"/>
      <c r="AL36" s="1189"/>
      <c r="AM36" s="1189"/>
      <c r="AN36" s="1190"/>
      <c r="AO36" s="53"/>
      <c r="AP36" s="50"/>
      <c r="AQ36" s="50"/>
      <c r="AR36" s="50"/>
      <c r="AS36" s="50"/>
      <c r="AT36" s="50"/>
      <c r="AU36" s="50"/>
      <c r="AV36" s="50"/>
      <c r="AW36" s="50"/>
      <c r="AX36" s="50"/>
      <c r="AY36" s="50"/>
    </row>
    <row r="37" spans="4:51" x14ac:dyDescent="0.45">
      <c r="D37" s="50"/>
      <c r="E37" s="50"/>
      <c r="F37" s="50"/>
      <c r="G37" s="936">
        <v>1</v>
      </c>
      <c r="H37" s="1191"/>
      <c r="I37" s="1192"/>
      <c r="J37" s="1192"/>
      <c r="K37" s="1192"/>
      <c r="L37" s="1192"/>
      <c r="M37" s="1192"/>
      <c r="N37" s="1193"/>
      <c r="O37" s="50"/>
      <c r="P37" s="50"/>
      <c r="Q37" s="50"/>
      <c r="R37" s="50"/>
      <c r="S37" s="50"/>
      <c r="T37" s="50"/>
      <c r="U37" s="1191"/>
      <c r="V37" s="1192"/>
      <c r="W37" s="1192"/>
      <c r="X37" s="1192"/>
      <c r="Y37" s="1192"/>
      <c r="Z37" s="1192"/>
      <c r="AA37" s="1193"/>
      <c r="AB37" s="50"/>
      <c r="AC37" s="50"/>
      <c r="AD37" s="50"/>
      <c r="AE37" s="50"/>
      <c r="AF37" s="50"/>
      <c r="AG37" s="853"/>
      <c r="AH37" s="1191"/>
      <c r="AI37" s="1192"/>
      <c r="AJ37" s="1192"/>
      <c r="AK37" s="1192"/>
      <c r="AL37" s="1192"/>
      <c r="AM37" s="1192"/>
      <c r="AN37" s="1193"/>
      <c r="AO37" s="50"/>
      <c r="AP37" s="50"/>
      <c r="AQ37" s="50"/>
      <c r="AR37" s="50"/>
      <c r="AS37" s="50"/>
      <c r="AT37" s="50"/>
      <c r="AU37" s="50"/>
      <c r="AV37" s="50"/>
      <c r="AW37" s="50"/>
      <c r="AX37" s="50"/>
      <c r="AY37" s="50"/>
    </row>
    <row r="38" spans="4:51" x14ac:dyDescent="0.45">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row>
    <row r="39" spans="4:51" x14ac:dyDescent="0.45">
      <c r="D39" s="50"/>
      <c r="E39" s="50"/>
      <c r="F39" s="50"/>
      <c r="G39" s="1188" t="s">
        <v>776</v>
      </c>
      <c r="H39" s="1189"/>
      <c r="I39" s="1189"/>
      <c r="J39" s="1189"/>
      <c r="K39" s="1189"/>
      <c r="L39" s="1189"/>
      <c r="M39" s="1190"/>
      <c r="N39" s="53"/>
      <c r="O39" s="50"/>
      <c r="P39" s="50"/>
      <c r="Q39" s="50"/>
      <c r="R39" s="50"/>
      <c r="S39" s="50"/>
      <c r="T39" s="1188" t="s">
        <v>785</v>
      </c>
      <c r="U39" s="1189"/>
      <c r="V39" s="1189"/>
      <c r="W39" s="1189"/>
      <c r="X39" s="1189"/>
      <c r="Y39" s="1189"/>
      <c r="Z39" s="1190"/>
      <c r="AA39" s="53"/>
      <c r="AB39" s="50"/>
      <c r="AC39" s="50"/>
      <c r="AD39" s="50"/>
      <c r="AE39" s="50"/>
      <c r="AF39" s="50"/>
      <c r="AG39" s="1188" t="s">
        <v>788</v>
      </c>
      <c r="AH39" s="1189"/>
      <c r="AI39" s="1189"/>
      <c r="AJ39" s="1189"/>
      <c r="AK39" s="1189"/>
      <c r="AL39" s="1189"/>
      <c r="AM39" s="1190"/>
      <c r="AN39" s="53"/>
      <c r="AO39" s="50"/>
      <c r="AP39" s="50"/>
      <c r="AQ39" s="50"/>
      <c r="AR39" s="50"/>
      <c r="AS39" s="50"/>
      <c r="AT39" s="50"/>
      <c r="AU39" s="50"/>
      <c r="AV39" s="50"/>
      <c r="AW39" s="50"/>
      <c r="AX39" s="50"/>
      <c r="AY39" s="50"/>
    </row>
    <row r="40" spans="4:51" x14ac:dyDescent="0.45">
      <c r="D40" s="50"/>
      <c r="E40" s="50"/>
      <c r="F40" s="853"/>
      <c r="G40" s="1191"/>
      <c r="H40" s="1192"/>
      <c r="I40" s="1192"/>
      <c r="J40" s="1192"/>
      <c r="K40" s="1192"/>
      <c r="L40" s="1192"/>
      <c r="M40" s="1193"/>
      <c r="N40" s="50"/>
      <c r="O40" s="50"/>
      <c r="P40" s="50"/>
      <c r="Q40" s="50"/>
      <c r="R40" s="50"/>
      <c r="S40" s="50"/>
      <c r="T40" s="1191"/>
      <c r="U40" s="1192"/>
      <c r="V40" s="1192"/>
      <c r="W40" s="1192"/>
      <c r="X40" s="1192"/>
      <c r="Y40" s="1192"/>
      <c r="Z40" s="1193"/>
      <c r="AA40" s="50"/>
      <c r="AB40" s="50"/>
      <c r="AC40" s="50"/>
      <c r="AD40" s="50"/>
      <c r="AE40" s="50"/>
      <c r="AF40" s="936">
        <v>1</v>
      </c>
      <c r="AG40" s="1191"/>
      <c r="AH40" s="1192"/>
      <c r="AI40" s="1192"/>
      <c r="AJ40" s="1192"/>
      <c r="AK40" s="1192"/>
      <c r="AL40" s="1192"/>
      <c r="AM40" s="1193"/>
      <c r="AN40" s="50"/>
      <c r="AO40" s="50"/>
      <c r="AP40" s="50"/>
      <c r="AQ40" s="50"/>
      <c r="AR40" s="50"/>
      <c r="AS40" s="50"/>
      <c r="AT40" s="50"/>
      <c r="AU40" s="50"/>
      <c r="AV40" s="50"/>
      <c r="AW40" s="50"/>
      <c r="AX40" s="50"/>
      <c r="AY40" s="50"/>
    </row>
    <row r="41" spans="4:51" x14ac:dyDescent="0.45">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row>
    <row r="42" spans="4:51" x14ac:dyDescent="0.45">
      <c r="D42" s="50"/>
      <c r="E42" s="50"/>
      <c r="F42" s="1188"/>
      <c r="G42" s="1189"/>
      <c r="H42" s="1189"/>
      <c r="I42" s="1189"/>
      <c r="J42" s="1189"/>
      <c r="K42" s="1189"/>
      <c r="L42" s="1190"/>
      <c r="M42" s="53"/>
      <c r="N42" s="50"/>
      <c r="O42" s="50"/>
      <c r="P42" s="50"/>
      <c r="Q42" s="50"/>
      <c r="R42" s="50"/>
      <c r="S42" s="1188" t="s">
        <v>786</v>
      </c>
      <c r="T42" s="1189"/>
      <c r="U42" s="1189"/>
      <c r="V42" s="1189"/>
      <c r="W42" s="1189"/>
      <c r="X42" s="1189"/>
      <c r="Y42" s="1190"/>
      <c r="Z42" s="53"/>
      <c r="AA42" s="50"/>
      <c r="AB42" s="50"/>
      <c r="AC42" s="50"/>
      <c r="AD42" s="50"/>
      <c r="AE42" s="50"/>
      <c r="AF42" s="1188" t="s">
        <v>789</v>
      </c>
      <c r="AG42" s="1189"/>
      <c r="AH42" s="1189"/>
      <c r="AI42" s="1189"/>
      <c r="AJ42" s="1189"/>
      <c r="AK42" s="1189"/>
      <c r="AL42" s="1190"/>
      <c r="AM42" s="53"/>
      <c r="AN42" s="50"/>
      <c r="AO42" s="50"/>
      <c r="AP42" s="50"/>
      <c r="AQ42" s="50"/>
      <c r="AR42" s="50"/>
      <c r="AS42" s="50"/>
      <c r="AT42" s="50"/>
      <c r="AU42" s="50"/>
      <c r="AV42" s="50"/>
      <c r="AW42" s="50"/>
      <c r="AX42" s="50"/>
      <c r="AY42" s="50"/>
    </row>
    <row r="43" spans="4:51" x14ac:dyDescent="0.45">
      <c r="D43" s="50"/>
      <c r="E43" s="853"/>
      <c r="F43" s="1191"/>
      <c r="G43" s="1192"/>
      <c r="H43" s="1192"/>
      <c r="I43" s="1192"/>
      <c r="J43" s="1192"/>
      <c r="K43" s="1192"/>
      <c r="L43" s="1193"/>
      <c r="M43" s="50"/>
      <c r="N43" s="50"/>
      <c r="O43" s="50"/>
      <c r="P43" s="50"/>
      <c r="Q43" s="50"/>
      <c r="R43" s="936">
        <v>1</v>
      </c>
      <c r="S43" s="1191"/>
      <c r="T43" s="1192"/>
      <c r="U43" s="1192"/>
      <c r="V43" s="1192"/>
      <c r="W43" s="1192"/>
      <c r="X43" s="1192"/>
      <c r="Y43" s="1193"/>
      <c r="Z43" s="50"/>
      <c r="AA43" s="50"/>
      <c r="AB43" s="50"/>
      <c r="AC43" s="50"/>
      <c r="AD43" s="50"/>
      <c r="AE43" s="936">
        <v>15</v>
      </c>
      <c r="AF43" s="1191"/>
      <c r="AG43" s="1192"/>
      <c r="AH43" s="1192"/>
      <c r="AI43" s="1192"/>
      <c r="AJ43" s="1192"/>
      <c r="AK43" s="1192"/>
      <c r="AL43" s="1193"/>
      <c r="AM43" s="50"/>
      <c r="AN43" s="50"/>
      <c r="AO43" s="50"/>
      <c r="AP43" s="50"/>
      <c r="AQ43" s="50"/>
      <c r="AR43" s="50"/>
      <c r="AS43" s="50"/>
      <c r="AT43" s="50"/>
      <c r="AU43" s="50"/>
      <c r="AV43" s="50"/>
      <c r="AW43" s="50"/>
      <c r="AX43" s="50"/>
      <c r="AY43" s="50"/>
    </row>
    <row r="44" spans="4:51" x14ac:dyDescent="0.45">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row>
    <row r="45" spans="4:51" x14ac:dyDescent="0.45">
      <c r="D45" s="50"/>
      <c r="E45" s="1188"/>
      <c r="F45" s="1189"/>
      <c r="G45" s="1189"/>
      <c r="H45" s="1189"/>
      <c r="I45" s="1189"/>
      <c r="J45" s="1189"/>
      <c r="K45" s="1190"/>
      <c r="L45" s="53"/>
      <c r="M45" s="50"/>
      <c r="N45" s="50"/>
      <c r="O45" s="50"/>
      <c r="P45" s="50"/>
      <c r="Q45" s="50"/>
      <c r="R45" s="1188"/>
      <c r="S45" s="1189"/>
      <c r="T45" s="1189"/>
      <c r="U45" s="1189"/>
      <c r="V45" s="1189"/>
      <c r="W45" s="1189"/>
      <c r="X45" s="1190"/>
      <c r="Y45" s="53"/>
      <c r="Z45" s="50"/>
      <c r="AA45" s="50"/>
      <c r="AB45" s="50"/>
      <c r="AC45" s="50"/>
      <c r="AD45" s="50"/>
      <c r="AE45" s="1188"/>
      <c r="AF45" s="1189"/>
      <c r="AG45" s="1189"/>
      <c r="AH45" s="1189"/>
      <c r="AI45" s="1189"/>
      <c r="AJ45" s="1189"/>
      <c r="AK45" s="1190"/>
      <c r="AL45" s="53"/>
      <c r="AM45" s="50"/>
      <c r="AN45" s="50"/>
      <c r="AO45" s="50"/>
      <c r="AP45" s="50"/>
      <c r="AQ45" s="50"/>
      <c r="AR45" s="50"/>
      <c r="AS45" s="50"/>
      <c r="AT45" s="50"/>
      <c r="AU45" s="50"/>
      <c r="AV45" s="50"/>
      <c r="AW45" s="50"/>
      <c r="AX45" s="50"/>
      <c r="AY45" s="50"/>
    </row>
    <row r="46" spans="4:51" x14ac:dyDescent="0.45">
      <c r="D46" s="853"/>
      <c r="E46" s="1191"/>
      <c r="F46" s="1192"/>
      <c r="G46" s="1192"/>
      <c r="H46" s="1192"/>
      <c r="I46" s="1192"/>
      <c r="J46" s="1192"/>
      <c r="K46" s="1193"/>
      <c r="L46" s="50"/>
      <c r="M46" s="50"/>
      <c r="N46" s="50"/>
      <c r="O46" s="50"/>
      <c r="P46" s="50"/>
      <c r="Q46" s="853"/>
      <c r="R46" s="1191"/>
      <c r="S46" s="1192"/>
      <c r="T46" s="1192"/>
      <c r="U46" s="1192"/>
      <c r="V46" s="1192"/>
      <c r="W46" s="1192"/>
      <c r="X46" s="1193"/>
      <c r="Y46" s="50"/>
      <c r="Z46" s="50"/>
      <c r="AA46" s="50"/>
      <c r="AB46" s="50"/>
      <c r="AC46" s="50"/>
      <c r="AD46" s="853"/>
      <c r="AE46" s="1191"/>
      <c r="AF46" s="1192"/>
      <c r="AG46" s="1192"/>
      <c r="AH46" s="1192"/>
      <c r="AI46" s="1192"/>
      <c r="AJ46" s="1192"/>
      <c r="AK46" s="1193"/>
      <c r="AL46" s="50"/>
      <c r="AM46" s="50"/>
      <c r="AN46" s="50"/>
      <c r="AO46" s="50"/>
      <c r="AP46" s="50"/>
      <c r="AQ46" s="50"/>
      <c r="AR46" s="50"/>
      <c r="AS46" s="50"/>
      <c r="AT46" s="50"/>
      <c r="AU46" s="50"/>
      <c r="AV46" s="50"/>
      <c r="AW46" s="50"/>
      <c r="AX46" s="50"/>
      <c r="AY46" s="50"/>
    </row>
    <row r="47" spans="4:51" x14ac:dyDescent="0.45">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row>
    <row r="48" spans="4:51" x14ac:dyDescent="0.45">
      <c r="D48" s="1188"/>
      <c r="E48" s="1189"/>
      <c r="F48" s="1189"/>
      <c r="G48" s="1189"/>
      <c r="H48" s="1189"/>
      <c r="I48" s="1189"/>
      <c r="J48" s="1190"/>
      <c r="K48" s="53"/>
      <c r="L48" s="50"/>
      <c r="M48" s="50"/>
      <c r="N48" s="50"/>
      <c r="O48" s="50"/>
      <c r="P48" s="50"/>
      <c r="Q48" s="1188"/>
      <c r="R48" s="1189"/>
      <c r="S48" s="1189"/>
      <c r="T48" s="1189"/>
      <c r="U48" s="1189"/>
      <c r="V48" s="1189"/>
      <c r="W48" s="1190"/>
      <c r="X48" s="53"/>
      <c r="Y48" s="50"/>
      <c r="Z48" s="50"/>
      <c r="AA48" s="50"/>
      <c r="AB48" s="50"/>
      <c r="AC48" s="50"/>
      <c r="AD48" s="1188"/>
      <c r="AE48" s="1189"/>
      <c r="AF48" s="1189"/>
      <c r="AG48" s="1189"/>
      <c r="AH48" s="1189"/>
      <c r="AI48" s="1189"/>
      <c r="AJ48" s="1190"/>
      <c r="AK48" s="53"/>
      <c r="AL48" s="50"/>
      <c r="AM48" s="50"/>
      <c r="AN48" s="50"/>
      <c r="AO48" s="50"/>
      <c r="AP48" s="50"/>
      <c r="AQ48" s="50"/>
      <c r="AR48" s="50"/>
      <c r="AS48" s="50"/>
      <c r="AT48" s="50"/>
      <c r="AU48" s="50"/>
      <c r="AV48" s="50"/>
      <c r="AW48" s="50"/>
      <c r="AX48" s="50"/>
      <c r="AY48" s="50"/>
    </row>
    <row r="49" spans="3:51" x14ac:dyDescent="0.45">
      <c r="C49" s="853"/>
      <c r="D49" s="1191"/>
      <c r="E49" s="1192"/>
      <c r="F49" s="1192"/>
      <c r="G49" s="1192"/>
      <c r="H49" s="1192"/>
      <c r="I49" s="1192"/>
      <c r="J49" s="1193"/>
      <c r="K49" s="50"/>
      <c r="L49" s="50"/>
      <c r="M49" s="50"/>
      <c r="N49" s="50"/>
      <c r="O49" s="50"/>
      <c r="P49" s="853"/>
      <c r="Q49" s="1191"/>
      <c r="R49" s="1192"/>
      <c r="S49" s="1192"/>
      <c r="T49" s="1192"/>
      <c r="U49" s="1192"/>
      <c r="V49" s="1192"/>
      <c r="W49" s="1193"/>
      <c r="X49" s="50"/>
      <c r="Y49" s="50"/>
      <c r="Z49" s="50"/>
      <c r="AA49" s="50"/>
      <c r="AB49" s="50"/>
      <c r="AC49" s="853"/>
      <c r="AD49" s="1191"/>
      <c r="AE49" s="1192"/>
      <c r="AF49" s="1192"/>
      <c r="AG49" s="1192"/>
      <c r="AH49" s="1192"/>
      <c r="AI49" s="1192"/>
      <c r="AJ49" s="1193"/>
      <c r="AK49" s="50"/>
      <c r="AL49" s="50"/>
      <c r="AM49" s="50"/>
      <c r="AN49" s="50"/>
      <c r="AO49" s="50"/>
      <c r="AP49" s="50"/>
      <c r="AQ49" s="50"/>
      <c r="AR49" s="50"/>
      <c r="AS49" s="50"/>
      <c r="AT49" s="50"/>
      <c r="AU49" s="50"/>
      <c r="AV49" s="50"/>
      <c r="AW49" s="50"/>
      <c r="AX49" s="50"/>
      <c r="AY49" s="50"/>
    </row>
    <row r="50" spans="3:51" x14ac:dyDescent="0.45">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row>
    <row r="51" spans="3:51" x14ac:dyDescent="0.45">
      <c r="D51" s="49" t="s">
        <v>52</v>
      </c>
      <c r="E51" s="60"/>
      <c r="F51" s="61"/>
      <c r="G51" s="60"/>
      <c r="H51" s="60"/>
      <c r="I51" s="61"/>
      <c r="J51" s="60"/>
      <c r="K51" s="60"/>
      <c r="L51" s="60"/>
      <c r="M51" s="60"/>
      <c r="N51" s="60"/>
      <c r="O51" s="61"/>
      <c r="P51" s="60"/>
      <c r="Q51" s="49" t="s">
        <v>57</v>
      </c>
      <c r="R51" s="60"/>
      <c r="S51" s="60"/>
      <c r="T51" s="60"/>
      <c r="U51" s="60"/>
      <c r="V51" s="60"/>
      <c r="W51" s="60"/>
      <c r="X51" s="61"/>
      <c r="Y51" s="60"/>
      <c r="Z51" s="60"/>
      <c r="AA51" s="60"/>
      <c r="AB51" s="60"/>
      <c r="AC51" s="60"/>
      <c r="AD51" s="49" t="s">
        <v>53</v>
      </c>
      <c r="AE51" s="60"/>
      <c r="AF51" s="50"/>
      <c r="AG51" s="50"/>
      <c r="AH51" s="50"/>
      <c r="AI51" s="50"/>
      <c r="AJ51" s="50"/>
      <c r="AK51" s="50"/>
      <c r="AL51" s="50"/>
      <c r="AM51" s="50"/>
      <c r="AN51" s="50"/>
      <c r="AO51" s="50"/>
      <c r="AP51" s="50"/>
      <c r="AQ51" s="50"/>
      <c r="AR51" s="50"/>
      <c r="AS51" s="50"/>
      <c r="AT51" s="50"/>
      <c r="AU51" s="50"/>
      <c r="AV51" s="50"/>
      <c r="AW51" s="50"/>
      <c r="AX51" s="50"/>
      <c r="AY51" s="50"/>
    </row>
    <row r="52" spans="3:51" x14ac:dyDescent="0.45">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row>
    <row r="53" spans="3:51" x14ac:dyDescent="0.45">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row>
  </sheetData>
  <mergeCells count="43">
    <mergeCell ref="E45:K46"/>
    <mergeCell ref="R45:X46"/>
    <mergeCell ref="AE45:AK46"/>
    <mergeCell ref="D48:J49"/>
    <mergeCell ref="Q48:W49"/>
    <mergeCell ref="AD48:AJ49"/>
    <mergeCell ref="G39:M40"/>
    <mergeCell ref="T39:Z40"/>
    <mergeCell ref="AG39:AM40"/>
    <mergeCell ref="F42:L43"/>
    <mergeCell ref="S42:Y43"/>
    <mergeCell ref="AF42:AL43"/>
    <mergeCell ref="I33:O34"/>
    <mergeCell ref="V33:AB34"/>
    <mergeCell ref="AI33:AO34"/>
    <mergeCell ref="H36:N37"/>
    <mergeCell ref="U36:AA37"/>
    <mergeCell ref="AH36:AN37"/>
    <mergeCell ref="J24:P25"/>
    <mergeCell ref="W24:AC25"/>
    <mergeCell ref="AJ24:AP25"/>
    <mergeCell ref="AV25:AY30"/>
    <mergeCell ref="J30:P31"/>
    <mergeCell ref="W30:AC31"/>
    <mergeCell ref="AJ30:AP31"/>
    <mergeCell ref="H18:N19"/>
    <mergeCell ref="U18:AA19"/>
    <mergeCell ref="AH18:AN19"/>
    <mergeCell ref="I21:O22"/>
    <mergeCell ref="V21:AB22"/>
    <mergeCell ref="AI21:AO22"/>
    <mergeCell ref="F12:L13"/>
    <mergeCell ref="S12:Y13"/>
    <mergeCell ref="AF12:AL13"/>
    <mergeCell ref="G15:M16"/>
    <mergeCell ref="T15:Z16"/>
    <mergeCell ref="AG15:AM16"/>
    <mergeCell ref="D6:J7"/>
    <mergeCell ref="Q6:W7"/>
    <mergeCell ref="AD6:AJ7"/>
    <mergeCell ref="E9:K10"/>
    <mergeCell ref="R9:X10"/>
    <mergeCell ref="AE9:AK10"/>
  </mergeCells>
  <hyperlinks>
    <hyperlink ref="BA1" location="Menu!A1" display="Return to menu" xr:uid="{00000000-0004-0000-2100-000000000000}"/>
  </hyperlinks>
  <pageMargins left="0.7" right="0.7" top="0.75" bottom="0.75" header="0.3" footer="0.3"/>
  <pageSetup scale="2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dimension ref="A1:K70"/>
  <sheetViews>
    <sheetView zoomScale="90" workbookViewId="0">
      <selection activeCell="K1" sqref="K1"/>
    </sheetView>
  </sheetViews>
  <sheetFormatPr defaultColWidth="8.88671875" defaultRowHeight="13.2" x14ac:dyDescent="0.25"/>
  <cols>
    <col min="1" max="1" width="8.88671875" style="13" customWidth="1"/>
    <col min="2" max="2" width="14.88671875" style="13" bestFit="1" customWidth="1"/>
    <col min="3" max="3" width="8" style="13" bestFit="1" customWidth="1"/>
    <col min="4" max="4" width="8" style="13" customWidth="1"/>
    <col min="5" max="5" width="8.44140625" style="13" customWidth="1"/>
    <col min="6" max="6" width="6.6640625" style="13" customWidth="1"/>
    <col min="7" max="7" width="7.44140625" style="13" customWidth="1"/>
    <col min="8" max="8" width="5.6640625" style="13" customWidth="1"/>
    <col min="9" max="10" width="8.88671875" style="13"/>
    <col min="11" max="11" width="37.44140625" style="13" bestFit="1" customWidth="1"/>
    <col min="12" max="256" width="8.88671875" style="13"/>
    <col min="257" max="257" width="8.88671875" style="13" customWidth="1"/>
    <col min="258" max="258" width="14.88671875" style="13" bestFit="1" customWidth="1"/>
    <col min="259" max="259" width="8" style="13" bestFit="1" customWidth="1"/>
    <col min="260" max="260" width="8" style="13" customWidth="1"/>
    <col min="261" max="261" width="8.44140625" style="13" customWidth="1"/>
    <col min="262" max="262" width="6.6640625" style="13" customWidth="1"/>
    <col min="263" max="263" width="7.44140625" style="13" customWidth="1"/>
    <col min="264" max="264" width="5.6640625" style="13" customWidth="1"/>
    <col min="265" max="512" width="8.88671875" style="13"/>
    <col min="513" max="513" width="8.88671875" style="13" customWidth="1"/>
    <col min="514" max="514" width="14.88671875" style="13" bestFit="1" customWidth="1"/>
    <col min="515" max="515" width="8" style="13" bestFit="1" customWidth="1"/>
    <col min="516" max="516" width="8" style="13" customWidth="1"/>
    <col min="517" max="517" width="8.44140625" style="13" customWidth="1"/>
    <col min="518" max="518" width="6.6640625" style="13" customWidth="1"/>
    <col min="519" max="519" width="7.44140625" style="13" customWidth="1"/>
    <col min="520" max="520" width="5.6640625" style="13" customWidth="1"/>
    <col min="521" max="768" width="8.88671875" style="13"/>
    <col min="769" max="769" width="8.88671875" style="13" customWidth="1"/>
    <col min="770" max="770" width="14.88671875" style="13" bestFit="1" customWidth="1"/>
    <col min="771" max="771" width="8" style="13" bestFit="1" customWidth="1"/>
    <col min="772" max="772" width="8" style="13" customWidth="1"/>
    <col min="773" max="773" width="8.44140625" style="13" customWidth="1"/>
    <col min="774" max="774" width="6.6640625" style="13" customWidth="1"/>
    <col min="775" max="775" width="7.44140625" style="13" customWidth="1"/>
    <col min="776" max="776" width="5.6640625" style="13" customWidth="1"/>
    <col min="777" max="1024" width="8.88671875" style="13"/>
    <col min="1025" max="1025" width="8.88671875" style="13" customWidth="1"/>
    <col min="1026" max="1026" width="14.88671875" style="13" bestFit="1" customWidth="1"/>
    <col min="1027" max="1027" width="8" style="13" bestFit="1" customWidth="1"/>
    <col min="1028" max="1028" width="8" style="13" customWidth="1"/>
    <col min="1029" max="1029" width="8.44140625" style="13" customWidth="1"/>
    <col min="1030" max="1030" width="6.6640625" style="13" customWidth="1"/>
    <col min="1031" max="1031" width="7.44140625" style="13" customWidth="1"/>
    <col min="1032" max="1032" width="5.6640625" style="13" customWidth="1"/>
    <col min="1033" max="1280" width="8.88671875" style="13"/>
    <col min="1281" max="1281" width="8.88671875" style="13" customWidth="1"/>
    <col min="1282" max="1282" width="14.88671875" style="13" bestFit="1" customWidth="1"/>
    <col min="1283" max="1283" width="8" style="13" bestFit="1" customWidth="1"/>
    <col min="1284" max="1284" width="8" style="13" customWidth="1"/>
    <col min="1285" max="1285" width="8.44140625" style="13" customWidth="1"/>
    <col min="1286" max="1286" width="6.6640625" style="13" customWidth="1"/>
    <col min="1287" max="1287" width="7.44140625" style="13" customWidth="1"/>
    <col min="1288" max="1288" width="5.6640625" style="13" customWidth="1"/>
    <col min="1289" max="1536" width="8.88671875" style="13"/>
    <col min="1537" max="1537" width="8.88671875" style="13" customWidth="1"/>
    <col min="1538" max="1538" width="14.88671875" style="13" bestFit="1" customWidth="1"/>
    <col min="1539" max="1539" width="8" style="13" bestFit="1" customWidth="1"/>
    <col min="1540" max="1540" width="8" style="13" customWidth="1"/>
    <col min="1541" max="1541" width="8.44140625" style="13" customWidth="1"/>
    <col min="1542" max="1542" width="6.6640625" style="13" customWidth="1"/>
    <col min="1543" max="1543" width="7.44140625" style="13" customWidth="1"/>
    <col min="1544" max="1544" width="5.6640625" style="13" customWidth="1"/>
    <col min="1545" max="1792" width="8.88671875" style="13"/>
    <col min="1793" max="1793" width="8.88671875" style="13" customWidth="1"/>
    <col min="1794" max="1794" width="14.88671875" style="13" bestFit="1" customWidth="1"/>
    <col min="1795" max="1795" width="8" style="13" bestFit="1" customWidth="1"/>
    <col min="1796" max="1796" width="8" style="13" customWidth="1"/>
    <col min="1797" max="1797" width="8.44140625" style="13" customWidth="1"/>
    <col min="1798" max="1798" width="6.6640625" style="13" customWidth="1"/>
    <col min="1799" max="1799" width="7.44140625" style="13" customWidth="1"/>
    <col min="1800" max="1800" width="5.6640625" style="13" customWidth="1"/>
    <col min="1801" max="2048" width="8.88671875" style="13"/>
    <col min="2049" max="2049" width="8.88671875" style="13" customWidth="1"/>
    <col min="2050" max="2050" width="14.88671875" style="13" bestFit="1" customWidth="1"/>
    <col min="2051" max="2051" width="8" style="13" bestFit="1" customWidth="1"/>
    <col min="2052" max="2052" width="8" style="13" customWidth="1"/>
    <col min="2053" max="2053" width="8.44140625" style="13" customWidth="1"/>
    <col min="2054" max="2054" width="6.6640625" style="13" customWidth="1"/>
    <col min="2055" max="2055" width="7.44140625" style="13" customWidth="1"/>
    <col min="2056" max="2056" width="5.6640625" style="13" customWidth="1"/>
    <col min="2057" max="2304" width="8.88671875" style="13"/>
    <col min="2305" max="2305" width="8.88671875" style="13" customWidth="1"/>
    <col min="2306" max="2306" width="14.88671875" style="13" bestFit="1" customWidth="1"/>
    <col min="2307" max="2307" width="8" style="13" bestFit="1" customWidth="1"/>
    <col min="2308" max="2308" width="8" style="13" customWidth="1"/>
    <col min="2309" max="2309" width="8.44140625" style="13" customWidth="1"/>
    <col min="2310" max="2310" width="6.6640625" style="13" customWidth="1"/>
    <col min="2311" max="2311" width="7.44140625" style="13" customWidth="1"/>
    <col min="2312" max="2312" width="5.6640625" style="13" customWidth="1"/>
    <col min="2313" max="2560" width="8.88671875" style="13"/>
    <col min="2561" max="2561" width="8.88671875" style="13" customWidth="1"/>
    <col min="2562" max="2562" width="14.88671875" style="13" bestFit="1" customWidth="1"/>
    <col min="2563" max="2563" width="8" style="13" bestFit="1" customWidth="1"/>
    <col min="2564" max="2564" width="8" style="13" customWidth="1"/>
    <col min="2565" max="2565" width="8.44140625" style="13" customWidth="1"/>
    <col min="2566" max="2566" width="6.6640625" style="13" customWidth="1"/>
    <col min="2567" max="2567" width="7.44140625" style="13" customWidth="1"/>
    <col min="2568" max="2568" width="5.6640625" style="13" customWidth="1"/>
    <col min="2569" max="2816" width="8.88671875" style="13"/>
    <col min="2817" max="2817" width="8.88671875" style="13" customWidth="1"/>
    <col min="2818" max="2818" width="14.88671875" style="13" bestFit="1" customWidth="1"/>
    <col min="2819" max="2819" width="8" style="13" bestFit="1" customWidth="1"/>
    <col min="2820" max="2820" width="8" style="13" customWidth="1"/>
    <col min="2821" max="2821" width="8.44140625" style="13" customWidth="1"/>
    <col min="2822" max="2822" width="6.6640625" style="13" customWidth="1"/>
    <col min="2823" max="2823" width="7.44140625" style="13" customWidth="1"/>
    <col min="2824" max="2824" width="5.6640625" style="13" customWidth="1"/>
    <col min="2825" max="3072" width="8.88671875" style="13"/>
    <col min="3073" max="3073" width="8.88671875" style="13" customWidth="1"/>
    <col min="3074" max="3074" width="14.88671875" style="13" bestFit="1" customWidth="1"/>
    <col min="3075" max="3075" width="8" style="13" bestFit="1" customWidth="1"/>
    <col min="3076" max="3076" width="8" style="13" customWidth="1"/>
    <col min="3077" max="3077" width="8.44140625" style="13" customWidth="1"/>
    <col min="3078" max="3078" width="6.6640625" style="13" customWidth="1"/>
    <col min="3079" max="3079" width="7.44140625" style="13" customWidth="1"/>
    <col min="3080" max="3080" width="5.6640625" style="13" customWidth="1"/>
    <col min="3081" max="3328" width="8.88671875" style="13"/>
    <col min="3329" max="3329" width="8.88671875" style="13" customWidth="1"/>
    <col min="3330" max="3330" width="14.88671875" style="13" bestFit="1" customWidth="1"/>
    <col min="3331" max="3331" width="8" style="13" bestFit="1" customWidth="1"/>
    <col min="3332" max="3332" width="8" style="13" customWidth="1"/>
    <col min="3333" max="3333" width="8.44140625" style="13" customWidth="1"/>
    <col min="3334" max="3334" width="6.6640625" style="13" customWidth="1"/>
    <col min="3335" max="3335" width="7.44140625" style="13" customWidth="1"/>
    <col min="3336" max="3336" width="5.6640625" style="13" customWidth="1"/>
    <col min="3337" max="3584" width="8.88671875" style="13"/>
    <col min="3585" max="3585" width="8.88671875" style="13" customWidth="1"/>
    <col min="3586" max="3586" width="14.88671875" style="13" bestFit="1" customWidth="1"/>
    <col min="3587" max="3587" width="8" style="13" bestFit="1" customWidth="1"/>
    <col min="3588" max="3588" width="8" style="13" customWidth="1"/>
    <col min="3589" max="3589" width="8.44140625" style="13" customWidth="1"/>
    <col min="3590" max="3590" width="6.6640625" style="13" customWidth="1"/>
    <col min="3591" max="3591" width="7.44140625" style="13" customWidth="1"/>
    <col min="3592" max="3592" width="5.6640625" style="13" customWidth="1"/>
    <col min="3593" max="3840" width="8.88671875" style="13"/>
    <col min="3841" max="3841" width="8.88671875" style="13" customWidth="1"/>
    <col min="3842" max="3842" width="14.88671875" style="13" bestFit="1" customWidth="1"/>
    <col min="3843" max="3843" width="8" style="13" bestFit="1" customWidth="1"/>
    <col min="3844" max="3844" width="8" style="13" customWidth="1"/>
    <col min="3845" max="3845" width="8.44140625" style="13" customWidth="1"/>
    <col min="3846" max="3846" width="6.6640625" style="13" customWidth="1"/>
    <col min="3847" max="3847" width="7.44140625" style="13" customWidth="1"/>
    <col min="3848" max="3848" width="5.6640625" style="13" customWidth="1"/>
    <col min="3849" max="4096" width="8.88671875" style="13"/>
    <col min="4097" max="4097" width="8.88671875" style="13" customWidth="1"/>
    <col min="4098" max="4098" width="14.88671875" style="13" bestFit="1" customWidth="1"/>
    <col min="4099" max="4099" width="8" style="13" bestFit="1" customWidth="1"/>
    <col min="4100" max="4100" width="8" style="13" customWidth="1"/>
    <col min="4101" max="4101" width="8.44140625" style="13" customWidth="1"/>
    <col min="4102" max="4102" width="6.6640625" style="13" customWidth="1"/>
    <col min="4103" max="4103" width="7.44140625" style="13" customWidth="1"/>
    <col min="4104" max="4104" width="5.6640625" style="13" customWidth="1"/>
    <col min="4105" max="4352" width="8.88671875" style="13"/>
    <col min="4353" max="4353" width="8.88671875" style="13" customWidth="1"/>
    <col min="4354" max="4354" width="14.88671875" style="13" bestFit="1" customWidth="1"/>
    <col min="4355" max="4355" width="8" style="13" bestFit="1" customWidth="1"/>
    <col min="4356" max="4356" width="8" style="13" customWidth="1"/>
    <col min="4357" max="4357" width="8.44140625" style="13" customWidth="1"/>
    <col min="4358" max="4358" width="6.6640625" style="13" customWidth="1"/>
    <col min="4359" max="4359" width="7.44140625" style="13" customWidth="1"/>
    <col min="4360" max="4360" width="5.6640625" style="13" customWidth="1"/>
    <col min="4361" max="4608" width="8.88671875" style="13"/>
    <col min="4609" max="4609" width="8.88671875" style="13" customWidth="1"/>
    <col min="4610" max="4610" width="14.88671875" style="13" bestFit="1" customWidth="1"/>
    <col min="4611" max="4611" width="8" style="13" bestFit="1" customWidth="1"/>
    <col min="4612" max="4612" width="8" style="13" customWidth="1"/>
    <col min="4613" max="4613" width="8.44140625" style="13" customWidth="1"/>
    <col min="4614" max="4614" width="6.6640625" style="13" customWidth="1"/>
    <col min="4615" max="4615" width="7.44140625" style="13" customWidth="1"/>
    <col min="4616" max="4616" width="5.6640625" style="13" customWidth="1"/>
    <col min="4617" max="4864" width="8.88671875" style="13"/>
    <col min="4865" max="4865" width="8.88671875" style="13" customWidth="1"/>
    <col min="4866" max="4866" width="14.88671875" style="13" bestFit="1" customWidth="1"/>
    <col min="4867" max="4867" width="8" style="13" bestFit="1" customWidth="1"/>
    <col min="4868" max="4868" width="8" style="13" customWidth="1"/>
    <col min="4869" max="4869" width="8.44140625" style="13" customWidth="1"/>
    <col min="4870" max="4870" width="6.6640625" style="13" customWidth="1"/>
    <col min="4871" max="4871" width="7.44140625" style="13" customWidth="1"/>
    <col min="4872" max="4872" width="5.6640625" style="13" customWidth="1"/>
    <col min="4873" max="5120" width="8.88671875" style="13"/>
    <col min="5121" max="5121" width="8.88671875" style="13" customWidth="1"/>
    <col min="5122" max="5122" width="14.88671875" style="13" bestFit="1" customWidth="1"/>
    <col min="5123" max="5123" width="8" style="13" bestFit="1" customWidth="1"/>
    <col min="5124" max="5124" width="8" style="13" customWidth="1"/>
    <col min="5125" max="5125" width="8.44140625" style="13" customWidth="1"/>
    <col min="5126" max="5126" width="6.6640625" style="13" customWidth="1"/>
    <col min="5127" max="5127" width="7.44140625" style="13" customWidth="1"/>
    <col min="5128" max="5128" width="5.6640625" style="13" customWidth="1"/>
    <col min="5129" max="5376" width="8.88671875" style="13"/>
    <col min="5377" max="5377" width="8.88671875" style="13" customWidth="1"/>
    <col min="5378" max="5378" width="14.88671875" style="13" bestFit="1" customWidth="1"/>
    <col min="5379" max="5379" width="8" style="13" bestFit="1" customWidth="1"/>
    <col min="5380" max="5380" width="8" style="13" customWidth="1"/>
    <col min="5381" max="5381" width="8.44140625" style="13" customWidth="1"/>
    <col min="5382" max="5382" width="6.6640625" style="13" customWidth="1"/>
    <col min="5383" max="5383" width="7.44140625" style="13" customWidth="1"/>
    <col min="5384" max="5384" width="5.6640625" style="13" customWidth="1"/>
    <col min="5385" max="5632" width="8.88671875" style="13"/>
    <col min="5633" max="5633" width="8.88671875" style="13" customWidth="1"/>
    <col min="5634" max="5634" width="14.88671875" style="13" bestFit="1" customWidth="1"/>
    <col min="5635" max="5635" width="8" style="13" bestFit="1" customWidth="1"/>
    <col min="5636" max="5636" width="8" style="13" customWidth="1"/>
    <col min="5637" max="5637" width="8.44140625" style="13" customWidth="1"/>
    <col min="5638" max="5638" width="6.6640625" style="13" customWidth="1"/>
    <col min="5639" max="5639" width="7.44140625" style="13" customWidth="1"/>
    <col min="5640" max="5640" width="5.6640625" style="13" customWidth="1"/>
    <col min="5641" max="5888" width="8.88671875" style="13"/>
    <col min="5889" max="5889" width="8.88671875" style="13" customWidth="1"/>
    <col min="5890" max="5890" width="14.88671875" style="13" bestFit="1" customWidth="1"/>
    <col min="5891" max="5891" width="8" style="13" bestFit="1" customWidth="1"/>
    <col min="5892" max="5892" width="8" style="13" customWidth="1"/>
    <col min="5893" max="5893" width="8.44140625" style="13" customWidth="1"/>
    <col min="5894" max="5894" width="6.6640625" style="13" customWidth="1"/>
    <col min="5895" max="5895" width="7.44140625" style="13" customWidth="1"/>
    <col min="5896" max="5896" width="5.6640625" style="13" customWidth="1"/>
    <col min="5897" max="6144" width="8.88671875" style="13"/>
    <col min="6145" max="6145" width="8.88671875" style="13" customWidth="1"/>
    <col min="6146" max="6146" width="14.88671875" style="13" bestFit="1" customWidth="1"/>
    <col min="6147" max="6147" width="8" style="13" bestFit="1" customWidth="1"/>
    <col min="6148" max="6148" width="8" style="13" customWidth="1"/>
    <col min="6149" max="6149" width="8.44140625" style="13" customWidth="1"/>
    <col min="6150" max="6150" width="6.6640625" style="13" customWidth="1"/>
    <col min="6151" max="6151" width="7.44140625" style="13" customWidth="1"/>
    <col min="6152" max="6152" width="5.6640625" style="13" customWidth="1"/>
    <col min="6153" max="6400" width="8.88671875" style="13"/>
    <col min="6401" max="6401" width="8.88671875" style="13" customWidth="1"/>
    <col min="6402" max="6402" width="14.88671875" style="13" bestFit="1" customWidth="1"/>
    <col min="6403" max="6403" width="8" style="13" bestFit="1" customWidth="1"/>
    <col min="6404" max="6404" width="8" style="13" customWidth="1"/>
    <col min="6405" max="6405" width="8.44140625" style="13" customWidth="1"/>
    <col min="6406" max="6406" width="6.6640625" style="13" customWidth="1"/>
    <col min="6407" max="6407" width="7.44140625" style="13" customWidth="1"/>
    <col min="6408" max="6408" width="5.6640625" style="13" customWidth="1"/>
    <col min="6409" max="6656" width="8.88671875" style="13"/>
    <col min="6657" max="6657" width="8.88671875" style="13" customWidth="1"/>
    <col min="6658" max="6658" width="14.88671875" style="13" bestFit="1" customWidth="1"/>
    <col min="6659" max="6659" width="8" style="13" bestFit="1" customWidth="1"/>
    <col min="6660" max="6660" width="8" style="13" customWidth="1"/>
    <col min="6661" max="6661" width="8.44140625" style="13" customWidth="1"/>
    <col min="6662" max="6662" width="6.6640625" style="13" customWidth="1"/>
    <col min="6663" max="6663" width="7.44140625" style="13" customWidth="1"/>
    <col min="6664" max="6664" width="5.6640625" style="13" customWidth="1"/>
    <col min="6665" max="6912" width="8.88671875" style="13"/>
    <col min="6913" max="6913" width="8.88671875" style="13" customWidth="1"/>
    <col min="6914" max="6914" width="14.88671875" style="13" bestFit="1" customWidth="1"/>
    <col min="6915" max="6915" width="8" style="13" bestFit="1" customWidth="1"/>
    <col min="6916" max="6916" width="8" style="13" customWidth="1"/>
    <col min="6917" max="6917" width="8.44140625" style="13" customWidth="1"/>
    <col min="6918" max="6918" width="6.6640625" style="13" customWidth="1"/>
    <col min="6919" max="6919" width="7.44140625" style="13" customWidth="1"/>
    <col min="6920" max="6920" width="5.6640625" style="13" customWidth="1"/>
    <col min="6921" max="7168" width="8.88671875" style="13"/>
    <col min="7169" max="7169" width="8.88671875" style="13" customWidth="1"/>
    <col min="7170" max="7170" width="14.88671875" style="13" bestFit="1" customWidth="1"/>
    <col min="7171" max="7171" width="8" style="13" bestFit="1" customWidth="1"/>
    <col min="7172" max="7172" width="8" style="13" customWidth="1"/>
    <col min="7173" max="7173" width="8.44140625" style="13" customWidth="1"/>
    <col min="7174" max="7174" width="6.6640625" style="13" customWidth="1"/>
    <col min="7175" max="7175" width="7.44140625" style="13" customWidth="1"/>
    <col min="7176" max="7176" width="5.6640625" style="13" customWidth="1"/>
    <col min="7177" max="7424" width="8.88671875" style="13"/>
    <col min="7425" max="7425" width="8.88671875" style="13" customWidth="1"/>
    <col min="7426" max="7426" width="14.88671875" style="13" bestFit="1" customWidth="1"/>
    <col min="7427" max="7427" width="8" style="13" bestFit="1" customWidth="1"/>
    <col min="7428" max="7428" width="8" style="13" customWidth="1"/>
    <col min="7429" max="7429" width="8.44140625" style="13" customWidth="1"/>
    <col min="7430" max="7430" width="6.6640625" style="13" customWidth="1"/>
    <col min="7431" max="7431" width="7.44140625" style="13" customWidth="1"/>
    <col min="7432" max="7432" width="5.6640625" style="13" customWidth="1"/>
    <col min="7433" max="7680" width="8.88671875" style="13"/>
    <col min="7681" max="7681" width="8.88671875" style="13" customWidth="1"/>
    <col min="7682" max="7682" width="14.88671875" style="13" bestFit="1" customWidth="1"/>
    <col min="7683" max="7683" width="8" style="13" bestFit="1" customWidth="1"/>
    <col min="7684" max="7684" width="8" style="13" customWidth="1"/>
    <col min="7685" max="7685" width="8.44140625" style="13" customWidth="1"/>
    <col min="7686" max="7686" width="6.6640625" style="13" customWidth="1"/>
    <col min="7687" max="7687" width="7.44140625" style="13" customWidth="1"/>
    <col min="7688" max="7688" width="5.6640625" style="13" customWidth="1"/>
    <col min="7689" max="7936" width="8.88671875" style="13"/>
    <col min="7937" max="7937" width="8.88671875" style="13" customWidth="1"/>
    <col min="7938" max="7938" width="14.88671875" style="13" bestFit="1" customWidth="1"/>
    <col min="7939" max="7939" width="8" style="13" bestFit="1" customWidth="1"/>
    <col min="7940" max="7940" width="8" style="13" customWidth="1"/>
    <col min="7941" max="7941" width="8.44140625" style="13" customWidth="1"/>
    <col min="7942" max="7942" width="6.6640625" style="13" customWidth="1"/>
    <col min="7943" max="7943" width="7.44140625" style="13" customWidth="1"/>
    <col min="7944" max="7944" width="5.6640625" style="13" customWidth="1"/>
    <col min="7945" max="8192" width="8.88671875" style="13"/>
    <col min="8193" max="8193" width="8.88671875" style="13" customWidth="1"/>
    <col min="8194" max="8194" width="14.88671875" style="13" bestFit="1" customWidth="1"/>
    <col min="8195" max="8195" width="8" style="13" bestFit="1" customWidth="1"/>
    <col min="8196" max="8196" width="8" style="13" customWidth="1"/>
    <col min="8197" max="8197" width="8.44140625" style="13" customWidth="1"/>
    <col min="8198" max="8198" width="6.6640625" style="13" customWidth="1"/>
    <col min="8199" max="8199" width="7.44140625" style="13" customWidth="1"/>
    <col min="8200" max="8200" width="5.6640625" style="13" customWidth="1"/>
    <col min="8201" max="8448" width="8.88671875" style="13"/>
    <col min="8449" max="8449" width="8.88671875" style="13" customWidth="1"/>
    <col min="8450" max="8450" width="14.88671875" style="13" bestFit="1" customWidth="1"/>
    <col min="8451" max="8451" width="8" style="13" bestFit="1" customWidth="1"/>
    <col min="8452" max="8452" width="8" style="13" customWidth="1"/>
    <col min="8453" max="8453" width="8.44140625" style="13" customWidth="1"/>
    <col min="8454" max="8454" width="6.6640625" style="13" customWidth="1"/>
    <col min="8455" max="8455" width="7.44140625" style="13" customWidth="1"/>
    <col min="8456" max="8456" width="5.6640625" style="13" customWidth="1"/>
    <col min="8457" max="8704" width="8.88671875" style="13"/>
    <col min="8705" max="8705" width="8.88671875" style="13" customWidth="1"/>
    <col min="8706" max="8706" width="14.88671875" style="13" bestFit="1" customWidth="1"/>
    <col min="8707" max="8707" width="8" style="13" bestFit="1" customWidth="1"/>
    <col min="8708" max="8708" width="8" style="13" customWidth="1"/>
    <col min="8709" max="8709" width="8.44140625" style="13" customWidth="1"/>
    <col min="8710" max="8710" width="6.6640625" style="13" customWidth="1"/>
    <col min="8711" max="8711" width="7.44140625" style="13" customWidth="1"/>
    <col min="8712" max="8712" width="5.6640625" style="13" customWidth="1"/>
    <col min="8713" max="8960" width="8.88671875" style="13"/>
    <col min="8961" max="8961" width="8.88671875" style="13" customWidth="1"/>
    <col min="8962" max="8962" width="14.88671875" style="13" bestFit="1" customWidth="1"/>
    <col min="8963" max="8963" width="8" style="13" bestFit="1" customWidth="1"/>
    <col min="8964" max="8964" width="8" style="13" customWidth="1"/>
    <col min="8965" max="8965" width="8.44140625" style="13" customWidth="1"/>
    <col min="8966" max="8966" width="6.6640625" style="13" customWidth="1"/>
    <col min="8967" max="8967" width="7.44140625" style="13" customWidth="1"/>
    <col min="8968" max="8968" width="5.6640625" style="13" customWidth="1"/>
    <col min="8969" max="9216" width="8.88671875" style="13"/>
    <col min="9217" max="9217" width="8.88671875" style="13" customWidth="1"/>
    <col min="9218" max="9218" width="14.88671875" style="13" bestFit="1" customWidth="1"/>
    <col min="9219" max="9219" width="8" style="13" bestFit="1" customWidth="1"/>
    <col min="9220" max="9220" width="8" style="13" customWidth="1"/>
    <col min="9221" max="9221" width="8.44140625" style="13" customWidth="1"/>
    <col min="9222" max="9222" width="6.6640625" style="13" customWidth="1"/>
    <col min="9223" max="9223" width="7.44140625" style="13" customWidth="1"/>
    <col min="9224" max="9224" width="5.6640625" style="13" customWidth="1"/>
    <col min="9225" max="9472" width="8.88671875" style="13"/>
    <col min="9473" max="9473" width="8.88671875" style="13" customWidth="1"/>
    <col min="9474" max="9474" width="14.88671875" style="13" bestFit="1" customWidth="1"/>
    <col min="9475" max="9475" width="8" style="13" bestFit="1" customWidth="1"/>
    <col min="9476" max="9476" width="8" style="13" customWidth="1"/>
    <col min="9477" max="9477" width="8.44140625" style="13" customWidth="1"/>
    <col min="9478" max="9478" width="6.6640625" style="13" customWidth="1"/>
    <col min="9479" max="9479" width="7.44140625" style="13" customWidth="1"/>
    <col min="9480" max="9480" width="5.6640625" style="13" customWidth="1"/>
    <col min="9481" max="9728" width="8.88671875" style="13"/>
    <col min="9729" max="9729" width="8.88671875" style="13" customWidth="1"/>
    <col min="9730" max="9730" width="14.88671875" style="13" bestFit="1" customWidth="1"/>
    <col min="9731" max="9731" width="8" style="13" bestFit="1" customWidth="1"/>
    <col min="9732" max="9732" width="8" style="13" customWidth="1"/>
    <col min="9733" max="9733" width="8.44140625" style="13" customWidth="1"/>
    <col min="9734" max="9734" width="6.6640625" style="13" customWidth="1"/>
    <col min="9735" max="9735" width="7.44140625" style="13" customWidth="1"/>
    <col min="9736" max="9736" width="5.6640625" style="13" customWidth="1"/>
    <col min="9737" max="9984" width="8.88671875" style="13"/>
    <col min="9985" max="9985" width="8.88671875" style="13" customWidth="1"/>
    <col min="9986" max="9986" width="14.88671875" style="13" bestFit="1" customWidth="1"/>
    <col min="9987" max="9987" width="8" style="13" bestFit="1" customWidth="1"/>
    <col min="9988" max="9988" width="8" style="13" customWidth="1"/>
    <col min="9989" max="9989" width="8.44140625" style="13" customWidth="1"/>
    <col min="9990" max="9990" width="6.6640625" style="13" customWidth="1"/>
    <col min="9991" max="9991" width="7.44140625" style="13" customWidth="1"/>
    <col min="9992" max="9992" width="5.6640625" style="13" customWidth="1"/>
    <col min="9993" max="10240" width="8.88671875" style="13"/>
    <col min="10241" max="10241" width="8.88671875" style="13" customWidth="1"/>
    <col min="10242" max="10242" width="14.88671875" style="13" bestFit="1" customWidth="1"/>
    <col min="10243" max="10243" width="8" style="13" bestFit="1" customWidth="1"/>
    <col min="10244" max="10244" width="8" style="13" customWidth="1"/>
    <col min="10245" max="10245" width="8.44140625" style="13" customWidth="1"/>
    <col min="10246" max="10246" width="6.6640625" style="13" customWidth="1"/>
    <col min="10247" max="10247" width="7.44140625" style="13" customWidth="1"/>
    <col min="10248" max="10248" width="5.6640625" style="13" customWidth="1"/>
    <col min="10249" max="10496" width="8.88671875" style="13"/>
    <col min="10497" max="10497" width="8.88671875" style="13" customWidth="1"/>
    <col min="10498" max="10498" width="14.88671875" style="13" bestFit="1" customWidth="1"/>
    <col min="10499" max="10499" width="8" style="13" bestFit="1" customWidth="1"/>
    <col min="10500" max="10500" width="8" style="13" customWidth="1"/>
    <col min="10501" max="10501" width="8.44140625" style="13" customWidth="1"/>
    <col min="10502" max="10502" width="6.6640625" style="13" customWidth="1"/>
    <col min="10503" max="10503" width="7.44140625" style="13" customWidth="1"/>
    <col min="10504" max="10504" width="5.6640625" style="13" customWidth="1"/>
    <col min="10505" max="10752" width="8.88671875" style="13"/>
    <col min="10753" max="10753" width="8.88671875" style="13" customWidth="1"/>
    <col min="10754" max="10754" width="14.88671875" style="13" bestFit="1" customWidth="1"/>
    <col min="10755" max="10755" width="8" style="13" bestFit="1" customWidth="1"/>
    <col min="10756" max="10756" width="8" style="13" customWidth="1"/>
    <col min="10757" max="10757" width="8.44140625" style="13" customWidth="1"/>
    <col min="10758" max="10758" width="6.6640625" style="13" customWidth="1"/>
    <col min="10759" max="10759" width="7.44140625" style="13" customWidth="1"/>
    <col min="10760" max="10760" width="5.6640625" style="13" customWidth="1"/>
    <col min="10761" max="11008" width="8.88671875" style="13"/>
    <col min="11009" max="11009" width="8.88671875" style="13" customWidth="1"/>
    <col min="11010" max="11010" width="14.88671875" style="13" bestFit="1" customWidth="1"/>
    <col min="11011" max="11011" width="8" style="13" bestFit="1" customWidth="1"/>
    <col min="11012" max="11012" width="8" style="13" customWidth="1"/>
    <col min="11013" max="11013" width="8.44140625" style="13" customWidth="1"/>
    <col min="11014" max="11014" width="6.6640625" style="13" customWidth="1"/>
    <col min="11015" max="11015" width="7.44140625" style="13" customWidth="1"/>
    <col min="11016" max="11016" width="5.6640625" style="13" customWidth="1"/>
    <col min="11017" max="11264" width="8.88671875" style="13"/>
    <col min="11265" max="11265" width="8.88671875" style="13" customWidth="1"/>
    <col min="11266" max="11266" width="14.88671875" style="13" bestFit="1" customWidth="1"/>
    <col min="11267" max="11267" width="8" style="13" bestFit="1" customWidth="1"/>
    <col min="11268" max="11268" width="8" style="13" customWidth="1"/>
    <col min="11269" max="11269" width="8.44140625" style="13" customWidth="1"/>
    <col min="11270" max="11270" width="6.6640625" style="13" customWidth="1"/>
    <col min="11271" max="11271" width="7.44140625" style="13" customWidth="1"/>
    <col min="11272" max="11272" width="5.6640625" style="13" customWidth="1"/>
    <col min="11273" max="11520" width="8.88671875" style="13"/>
    <col min="11521" max="11521" width="8.88671875" style="13" customWidth="1"/>
    <col min="11522" max="11522" width="14.88671875" style="13" bestFit="1" customWidth="1"/>
    <col min="11523" max="11523" width="8" style="13" bestFit="1" customWidth="1"/>
    <col min="11524" max="11524" width="8" style="13" customWidth="1"/>
    <col min="11525" max="11525" width="8.44140625" style="13" customWidth="1"/>
    <col min="11526" max="11526" width="6.6640625" style="13" customWidth="1"/>
    <col min="11527" max="11527" width="7.44140625" style="13" customWidth="1"/>
    <col min="11528" max="11528" width="5.6640625" style="13" customWidth="1"/>
    <col min="11529" max="11776" width="8.88671875" style="13"/>
    <col min="11777" max="11777" width="8.88671875" style="13" customWidth="1"/>
    <col min="11778" max="11778" width="14.88671875" style="13" bestFit="1" customWidth="1"/>
    <col min="11779" max="11779" width="8" style="13" bestFit="1" customWidth="1"/>
    <col min="11780" max="11780" width="8" style="13" customWidth="1"/>
    <col min="11781" max="11781" width="8.44140625" style="13" customWidth="1"/>
    <col min="11782" max="11782" width="6.6640625" style="13" customWidth="1"/>
    <col min="11783" max="11783" width="7.44140625" style="13" customWidth="1"/>
    <col min="11784" max="11784" width="5.6640625" style="13" customWidth="1"/>
    <col min="11785" max="12032" width="8.88671875" style="13"/>
    <col min="12033" max="12033" width="8.88671875" style="13" customWidth="1"/>
    <col min="12034" max="12034" width="14.88671875" style="13" bestFit="1" customWidth="1"/>
    <col min="12035" max="12035" width="8" style="13" bestFit="1" customWidth="1"/>
    <col min="12036" max="12036" width="8" style="13" customWidth="1"/>
    <col min="12037" max="12037" width="8.44140625" style="13" customWidth="1"/>
    <col min="12038" max="12038" width="6.6640625" style="13" customWidth="1"/>
    <col min="12039" max="12039" width="7.44140625" style="13" customWidth="1"/>
    <col min="12040" max="12040" width="5.6640625" style="13" customWidth="1"/>
    <col min="12041" max="12288" width="8.88671875" style="13"/>
    <col min="12289" max="12289" width="8.88671875" style="13" customWidth="1"/>
    <col min="12290" max="12290" width="14.88671875" style="13" bestFit="1" customWidth="1"/>
    <col min="12291" max="12291" width="8" style="13" bestFit="1" customWidth="1"/>
    <col min="12292" max="12292" width="8" style="13" customWidth="1"/>
    <col min="12293" max="12293" width="8.44140625" style="13" customWidth="1"/>
    <col min="12294" max="12294" width="6.6640625" style="13" customWidth="1"/>
    <col min="12295" max="12295" width="7.44140625" style="13" customWidth="1"/>
    <col min="12296" max="12296" width="5.6640625" style="13" customWidth="1"/>
    <col min="12297" max="12544" width="8.88671875" style="13"/>
    <col min="12545" max="12545" width="8.88671875" style="13" customWidth="1"/>
    <col min="12546" max="12546" width="14.88671875" style="13" bestFit="1" customWidth="1"/>
    <col min="12547" max="12547" width="8" style="13" bestFit="1" customWidth="1"/>
    <col min="12548" max="12548" width="8" style="13" customWidth="1"/>
    <col min="12549" max="12549" width="8.44140625" style="13" customWidth="1"/>
    <col min="12550" max="12550" width="6.6640625" style="13" customWidth="1"/>
    <col min="12551" max="12551" width="7.44140625" style="13" customWidth="1"/>
    <col min="12552" max="12552" width="5.6640625" style="13" customWidth="1"/>
    <col min="12553" max="12800" width="8.88671875" style="13"/>
    <col min="12801" max="12801" width="8.88671875" style="13" customWidth="1"/>
    <col min="12802" max="12802" width="14.88671875" style="13" bestFit="1" customWidth="1"/>
    <col min="12803" max="12803" width="8" style="13" bestFit="1" customWidth="1"/>
    <col min="12804" max="12804" width="8" style="13" customWidth="1"/>
    <col min="12805" max="12805" width="8.44140625" style="13" customWidth="1"/>
    <col min="12806" max="12806" width="6.6640625" style="13" customWidth="1"/>
    <col min="12807" max="12807" width="7.44140625" style="13" customWidth="1"/>
    <col min="12808" max="12808" width="5.6640625" style="13" customWidth="1"/>
    <col min="12809" max="13056" width="8.88671875" style="13"/>
    <col min="13057" max="13057" width="8.88671875" style="13" customWidth="1"/>
    <col min="13058" max="13058" width="14.88671875" style="13" bestFit="1" customWidth="1"/>
    <col min="13059" max="13059" width="8" style="13" bestFit="1" customWidth="1"/>
    <col min="13060" max="13060" width="8" style="13" customWidth="1"/>
    <col min="13061" max="13061" width="8.44140625" style="13" customWidth="1"/>
    <col min="13062" max="13062" width="6.6640625" style="13" customWidth="1"/>
    <col min="13063" max="13063" width="7.44140625" style="13" customWidth="1"/>
    <col min="13064" max="13064" width="5.6640625" style="13" customWidth="1"/>
    <col min="13065" max="13312" width="8.88671875" style="13"/>
    <col min="13313" max="13313" width="8.88671875" style="13" customWidth="1"/>
    <col min="13314" max="13314" width="14.88671875" style="13" bestFit="1" customWidth="1"/>
    <col min="13315" max="13315" width="8" style="13" bestFit="1" customWidth="1"/>
    <col min="13316" max="13316" width="8" style="13" customWidth="1"/>
    <col min="13317" max="13317" width="8.44140625" style="13" customWidth="1"/>
    <col min="13318" max="13318" width="6.6640625" style="13" customWidth="1"/>
    <col min="13319" max="13319" width="7.44140625" style="13" customWidth="1"/>
    <col min="13320" max="13320" width="5.6640625" style="13" customWidth="1"/>
    <col min="13321" max="13568" width="8.88671875" style="13"/>
    <col min="13569" max="13569" width="8.88671875" style="13" customWidth="1"/>
    <col min="13570" max="13570" width="14.88671875" style="13" bestFit="1" customWidth="1"/>
    <col min="13571" max="13571" width="8" style="13" bestFit="1" customWidth="1"/>
    <col min="13572" max="13572" width="8" style="13" customWidth="1"/>
    <col min="13573" max="13573" width="8.44140625" style="13" customWidth="1"/>
    <col min="13574" max="13574" width="6.6640625" style="13" customWidth="1"/>
    <col min="13575" max="13575" width="7.44140625" style="13" customWidth="1"/>
    <col min="13576" max="13576" width="5.6640625" style="13" customWidth="1"/>
    <col min="13577" max="13824" width="8.88671875" style="13"/>
    <col min="13825" max="13825" width="8.88671875" style="13" customWidth="1"/>
    <col min="13826" max="13826" width="14.88671875" style="13" bestFit="1" customWidth="1"/>
    <col min="13827" max="13827" width="8" style="13" bestFit="1" customWidth="1"/>
    <col min="13828" max="13828" width="8" style="13" customWidth="1"/>
    <col min="13829" max="13829" width="8.44140625" style="13" customWidth="1"/>
    <col min="13830" max="13830" width="6.6640625" style="13" customWidth="1"/>
    <col min="13831" max="13831" width="7.44140625" style="13" customWidth="1"/>
    <col min="13832" max="13832" width="5.6640625" style="13" customWidth="1"/>
    <col min="13833" max="14080" width="8.88671875" style="13"/>
    <col min="14081" max="14081" width="8.88671875" style="13" customWidth="1"/>
    <col min="14082" max="14082" width="14.88671875" style="13" bestFit="1" customWidth="1"/>
    <col min="14083" max="14083" width="8" style="13" bestFit="1" customWidth="1"/>
    <col min="14084" max="14084" width="8" style="13" customWidth="1"/>
    <col min="14085" max="14085" width="8.44140625" style="13" customWidth="1"/>
    <col min="14086" max="14086" width="6.6640625" style="13" customWidth="1"/>
    <col min="14087" max="14087" width="7.44140625" style="13" customWidth="1"/>
    <col min="14088" max="14088" width="5.6640625" style="13" customWidth="1"/>
    <col min="14089" max="14336" width="8.88671875" style="13"/>
    <col min="14337" max="14337" width="8.88671875" style="13" customWidth="1"/>
    <col min="14338" max="14338" width="14.88671875" style="13" bestFit="1" customWidth="1"/>
    <col min="14339" max="14339" width="8" style="13" bestFit="1" customWidth="1"/>
    <col min="14340" max="14340" width="8" style="13" customWidth="1"/>
    <col min="14341" max="14341" width="8.44140625" style="13" customWidth="1"/>
    <col min="14342" max="14342" width="6.6640625" style="13" customWidth="1"/>
    <col min="14343" max="14343" width="7.44140625" style="13" customWidth="1"/>
    <col min="14344" max="14344" width="5.6640625" style="13" customWidth="1"/>
    <col min="14345" max="14592" width="8.88671875" style="13"/>
    <col min="14593" max="14593" width="8.88671875" style="13" customWidth="1"/>
    <col min="14594" max="14594" width="14.88671875" style="13" bestFit="1" customWidth="1"/>
    <col min="14595" max="14595" width="8" style="13" bestFit="1" customWidth="1"/>
    <col min="14596" max="14596" width="8" style="13" customWidth="1"/>
    <col min="14597" max="14597" width="8.44140625" style="13" customWidth="1"/>
    <col min="14598" max="14598" width="6.6640625" style="13" customWidth="1"/>
    <col min="14599" max="14599" width="7.44140625" style="13" customWidth="1"/>
    <col min="14600" max="14600" width="5.6640625" style="13" customWidth="1"/>
    <col min="14601" max="14848" width="8.88671875" style="13"/>
    <col min="14849" max="14849" width="8.88671875" style="13" customWidth="1"/>
    <col min="14850" max="14850" width="14.88671875" style="13" bestFit="1" customWidth="1"/>
    <col min="14851" max="14851" width="8" style="13" bestFit="1" customWidth="1"/>
    <col min="14852" max="14852" width="8" style="13" customWidth="1"/>
    <col min="14853" max="14853" width="8.44140625" style="13" customWidth="1"/>
    <col min="14854" max="14854" width="6.6640625" style="13" customWidth="1"/>
    <col min="14855" max="14855" width="7.44140625" style="13" customWidth="1"/>
    <col min="14856" max="14856" width="5.6640625" style="13" customWidth="1"/>
    <col min="14857" max="15104" width="8.88671875" style="13"/>
    <col min="15105" max="15105" width="8.88671875" style="13" customWidth="1"/>
    <col min="15106" max="15106" width="14.88671875" style="13" bestFit="1" customWidth="1"/>
    <col min="15107" max="15107" width="8" style="13" bestFit="1" customWidth="1"/>
    <col min="15108" max="15108" width="8" style="13" customWidth="1"/>
    <col min="15109" max="15109" width="8.44140625" style="13" customWidth="1"/>
    <col min="15110" max="15110" width="6.6640625" style="13" customWidth="1"/>
    <col min="15111" max="15111" width="7.44140625" style="13" customWidth="1"/>
    <col min="15112" max="15112" width="5.6640625" style="13" customWidth="1"/>
    <col min="15113" max="15360" width="8.88671875" style="13"/>
    <col min="15361" max="15361" width="8.88671875" style="13" customWidth="1"/>
    <col min="15362" max="15362" width="14.88671875" style="13" bestFit="1" customWidth="1"/>
    <col min="15363" max="15363" width="8" style="13" bestFit="1" customWidth="1"/>
    <col min="15364" max="15364" width="8" style="13" customWidth="1"/>
    <col min="15365" max="15365" width="8.44140625" style="13" customWidth="1"/>
    <col min="15366" max="15366" width="6.6640625" style="13" customWidth="1"/>
    <col min="15367" max="15367" width="7.44140625" style="13" customWidth="1"/>
    <col min="15368" max="15368" width="5.6640625" style="13" customWidth="1"/>
    <col min="15369" max="15616" width="8.88671875" style="13"/>
    <col min="15617" max="15617" width="8.88671875" style="13" customWidth="1"/>
    <col min="15618" max="15618" width="14.88671875" style="13" bestFit="1" customWidth="1"/>
    <col min="15619" max="15619" width="8" style="13" bestFit="1" customWidth="1"/>
    <col min="15620" max="15620" width="8" style="13" customWidth="1"/>
    <col min="15621" max="15621" width="8.44140625" style="13" customWidth="1"/>
    <col min="15622" max="15622" width="6.6640625" style="13" customWidth="1"/>
    <col min="15623" max="15623" width="7.44140625" style="13" customWidth="1"/>
    <col min="15624" max="15624" width="5.6640625" style="13" customWidth="1"/>
    <col min="15625" max="15872" width="8.88671875" style="13"/>
    <col min="15873" max="15873" width="8.88671875" style="13" customWidth="1"/>
    <col min="15874" max="15874" width="14.88671875" style="13" bestFit="1" customWidth="1"/>
    <col min="15875" max="15875" width="8" style="13" bestFit="1" customWidth="1"/>
    <col min="15876" max="15876" width="8" style="13" customWidth="1"/>
    <col min="15877" max="15877" width="8.44140625" style="13" customWidth="1"/>
    <col min="15878" max="15878" width="6.6640625" style="13" customWidth="1"/>
    <col min="15879" max="15879" width="7.44140625" style="13" customWidth="1"/>
    <col min="15880" max="15880" width="5.6640625" style="13" customWidth="1"/>
    <col min="15881" max="16128" width="8.88671875" style="13"/>
    <col min="16129" max="16129" width="8.88671875" style="13" customWidth="1"/>
    <col min="16130" max="16130" width="14.88671875" style="13" bestFit="1" customWidth="1"/>
    <col min="16131" max="16131" width="8" style="13" bestFit="1" customWidth="1"/>
    <col min="16132" max="16132" width="8" style="13" customWidth="1"/>
    <col min="16133" max="16133" width="8.44140625" style="13" customWidth="1"/>
    <col min="16134" max="16134" width="6.6640625" style="13" customWidth="1"/>
    <col min="16135" max="16135" width="7.44140625" style="13" customWidth="1"/>
    <col min="16136" max="16136" width="5.6640625" style="13" customWidth="1"/>
    <col min="16137" max="16384" width="8.88671875" style="13"/>
  </cols>
  <sheetData>
    <row r="1" spans="1:11" ht="36.6" x14ac:dyDescent="0.7">
      <c r="A1" s="143" t="s">
        <v>218</v>
      </c>
      <c r="K1" s="751" t="s">
        <v>19</v>
      </c>
    </row>
    <row r="2" spans="1:11" x14ac:dyDescent="0.25">
      <c r="A2" s="277" t="s">
        <v>219</v>
      </c>
    </row>
    <row r="3" spans="1:11" x14ac:dyDescent="0.25">
      <c r="A3" s="139" t="s">
        <v>220</v>
      </c>
    </row>
    <row r="4" spans="1:11" x14ac:dyDescent="0.25">
      <c r="A4" s="139" t="s">
        <v>209</v>
      </c>
    </row>
    <row r="5" spans="1:11" ht="13.8" thickBot="1" x14ac:dyDescent="0.3"/>
    <row r="6" spans="1:11" ht="16.2" thickBot="1" x14ac:dyDescent="0.35">
      <c r="A6" s="151" t="s">
        <v>221</v>
      </c>
      <c r="C6" s="289">
        <v>4</v>
      </c>
      <c r="K6" s="137" t="s">
        <v>364</v>
      </c>
    </row>
    <row r="7" spans="1:11" ht="13.8" thickBot="1" x14ac:dyDescent="0.3">
      <c r="A7" s="151"/>
      <c r="C7" s="290"/>
    </row>
    <row r="8" spans="1:11" x14ac:dyDescent="0.25">
      <c r="A8" s="284" t="s">
        <v>222</v>
      </c>
      <c r="B8" s="285"/>
      <c r="C8" s="1111">
        <f>SUMIF(B13:B62,"&gt;-99999",B13:B62)/COUNTIF(B13:B62,"&gt;-99999")</f>
        <v>1.5</v>
      </c>
      <c r="D8" s="1112"/>
    </row>
    <row r="9" spans="1:11" ht="13.8" thickBot="1" x14ac:dyDescent="0.3">
      <c r="A9" s="291" t="s">
        <v>223</v>
      </c>
      <c r="B9" s="292"/>
      <c r="C9" s="1184">
        <f>SQRT(C8*(1-C8/C6))</f>
        <v>0.96824583655185426</v>
      </c>
      <c r="D9" s="1203"/>
    </row>
    <row r="10" spans="1:11" x14ac:dyDescent="0.25">
      <c r="E10" s="143"/>
      <c r="F10" s="143"/>
      <c r="G10" s="143"/>
    </row>
    <row r="11" spans="1:11" x14ac:dyDescent="0.25">
      <c r="B11" s="143" t="s">
        <v>212</v>
      </c>
      <c r="C11" s="143"/>
      <c r="D11" s="143"/>
    </row>
    <row r="12" spans="1:11" ht="13.8" thickBot="1" x14ac:dyDescent="0.3">
      <c r="A12" s="143" t="s">
        <v>213</v>
      </c>
      <c r="B12" s="143" t="s">
        <v>224</v>
      </c>
      <c r="C12" s="143" t="s">
        <v>225</v>
      </c>
      <c r="D12" s="143" t="s">
        <v>216</v>
      </c>
      <c r="E12" s="143" t="s">
        <v>226</v>
      </c>
    </row>
    <row r="13" spans="1:11" x14ac:dyDescent="0.25">
      <c r="A13" s="13">
        <v>1</v>
      </c>
      <c r="B13" s="282">
        <v>1</v>
      </c>
      <c r="C13" s="13">
        <f>IF(B13&lt;&gt;"",MAX(0,$C$8-3*$C$9),NA())</f>
        <v>0</v>
      </c>
      <c r="D13" s="13">
        <f>IF(B13&lt;&gt;"",$C$8,NA())</f>
        <v>1.5</v>
      </c>
      <c r="E13" s="13">
        <f>IF(B13&lt;&gt;"",MAX(0,$C$8+3*$C$9),NA())</f>
        <v>4.404737509655563</v>
      </c>
    </row>
    <row r="14" spans="1:11" x14ac:dyDescent="0.25">
      <c r="A14" s="13">
        <v>2</v>
      </c>
      <c r="B14" s="283">
        <v>1</v>
      </c>
      <c r="C14" s="13">
        <f t="shared" ref="C14:C62" si="0">IF(B14&lt;&gt;"",MAX(0,$C$8-3*$C$9),NA())</f>
        <v>0</v>
      </c>
      <c r="D14" s="13">
        <f t="shared" ref="D14:D62" si="1">IF(B14&lt;&gt;"",$C$8,NA())</f>
        <v>1.5</v>
      </c>
      <c r="E14" s="13">
        <f t="shared" ref="E14:E62" si="2">IF(B14&lt;&gt;"",MAX(0,$C$8+3*$C$9),NA())</f>
        <v>4.404737509655563</v>
      </c>
    </row>
    <row r="15" spans="1:11" x14ac:dyDescent="0.25">
      <c r="A15" s="13">
        <v>3</v>
      </c>
      <c r="B15" s="283">
        <v>1</v>
      </c>
      <c r="C15" s="13">
        <f t="shared" si="0"/>
        <v>0</v>
      </c>
      <c r="D15" s="13">
        <f t="shared" si="1"/>
        <v>1.5</v>
      </c>
      <c r="E15" s="13">
        <f t="shared" si="2"/>
        <v>4.404737509655563</v>
      </c>
    </row>
    <row r="16" spans="1:11" x14ac:dyDescent="0.25">
      <c r="A16" s="13">
        <v>4</v>
      </c>
      <c r="B16" s="283">
        <v>3</v>
      </c>
      <c r="C16" s="13">
        <f t="shared" si="0"/>
        <v>0</v>
      </c>
      <c r="D16" s="13">
        <f t="shared" si="1"/>
        <v>1.5</v>
      </c>
      <c r="E16" s="13">
        <f t="shared" si="2"/>
        <v>4.404737509655563</v>
      </c>
    </row>
    <row r="17" spans="1:5" x14ac:dyDescent="0.25">
      <c r="A17" s="13">
        <v>5</v>
      </c>
      <c r="B17" s="283">
        <v>2</v>
      </c>
      <c r="C17" s="13">
        <f t="shared" si="0"/>
        <v>0</v>
      </c>
      <c r="D17" s="13">
        <f t="shared" si="1"/>
        <v>1.5</v>
      </c>
      <c r="E17" s="13">
        <f t="shared" si="2"/>
        <v>4.404737509655563</v>
      </c>
    </row>
    <row r="18" spans="1:5" x14ac:dyDescent="0.25">
      <c r="A18" s="13">
        <v>6</v>
      </c>
      <c r="B18" s="283">
        <v>2</v>
      </c>
      <c r="C18" s="13">
        <f t="shared" si="0"/>
        <v>0</v>
      </c>
      <c r="D18" s="13">
        <f t="shared" si="1"/>
        <v>1.5</v>
      </c>
      <c r="E18" s="13">
        <f t="shared" si="2"/>
        <v>4.404737509655563</v>
      </c>
    </row>
    <row r="19" spans="1:5" x14ac:dyDescent="0.25">
      <c r="A19" s="13">
        <v>7</v>
      </c>
      <c r="B19" s="283">
        <v>1</v>
      </c>
      <c r="C19" s="13">
        <f t="shared" si="0"/>
        <v>0</v>
      </c>
      <c r="D19" s="13">
        <f t="shared" si="1"/>
        <v>1.5</v>
      </c>
      <c r="E19" s="13">
        <f t="shared" si="2"/>
        <v>4.404737509655563</v>
      </c>
    </row>
    <row r="20" spans="1:5" x14ac:dyDescent="0.25">
      <c r="A20" s="13">
        <v>8</v>
      </c>
      <c r="B20" s="283">
        <v>1</v>
      </c>
      <c r="C20" s="13">
        <f t="shared" si="0"/>
        <v>0</v>
      </c>
      <c r="D20" s="13">
        <f t="shared" si="1"/>
        <v>1.5</v>
      </c>
      <c r="E20" s="13">
        <f t="shared" si="2"/>
        <v>4.404737509655563</v>
      </c>
    </row>
    <row r="21" spans="1:5" x14ac:dyDescent="0.25">
      <c r="A21" s="13">
        <v>9</v>
      </c>
      <c r="B21" s="283"/>
      <c r="C21" s="13" t="e">
        <f t="shared" si="0"/>
        <v>#N/A</v>
      </c>
      <c r="D21" s="13" t="e">
        <f t="shared" si="1"/>
        <v>#N/A</v>
      </c>
      <c r="E21" s="13" t="e">
        <f t="shared" si="2"/>
        <v>#N/A</v>
      </c>
    </row>
    <row r="22" spans="1:5" x14ac:dyDescent="0.25">
      <c r="A22" s="13">
        <v>10</v>
      </c>
      <c r="B22" s="283"/>
      <c r="C22" s="13" t="e">
        <f t="shared" si="0"/>
        <v>#N/A</v>
      </c>
      <c r="D22" s="13" t="e">
        <f t="shared" si="1"/>
        <v>#N/A</v>
      </c>
      <c r="E22" s="13" t="e">
        <f t="shared" si="2"/>
        <v>#N/A</v>
      </c>
    </row>
    <row r="23" spans="1:5" x14ac:dyDescent="0.25">
      <c r="A23" s="13">
        <v>11</v>
      </c>
      <c r="B23" s="283"/>
      <c r="C23" s="13" t="e">
        <f t="shared" si="0"/>
        <v>#N/A</v>
      </c>
      <c r="D23" s="13" t="e">
        <f t="shared" si="1"/>
        <v>#N/A</v>
      </c>
      <c r="E23" s="13" t="e">
        <f t="shared" si="2"/>
        <v>#N/A</v>
      </c>
    </row>
    <row r="24" spans="1:5" x14ac:dyDescent="0.25">
      <c r="A24" s="13">
        <v>12</v>
      </c>
      <c r="B24" s="283"/>
      <c r="C24" s="13" t="e">
        <f t="shared" si="0"/>
        <v>#N/A</v>
      </c>
      <c r="D24" s="13" t="e">
        <f t="shared" si="1"/>
        <v>#N/A</v>
      </c>
      <c r="E24" s="13" t="e">
        <f t="shared" si="2"/>
        <v>#N/A</v>
      </c>
    </row>
    <row r="25" spans="1:5" x14ac:dyDescent="0.25">
      <c r="A25" s="13">
        <v>13</v>
      </c>
      <c r="B25" s="283"/>
      <c r="C25" s="13" t="e">
        <f t="shared" si="0"/>
        <v>#N/A</v>
      </c>
      <c r="D25" s="13" t="e">
        <f t="shared" si="1"/>
        <v>#N/A</v>
      </c>
      <c r="E25" s="13" t="e">
        <f t="shared" si="2"/>
        <v>#N/A</v>
      </c>
    </row>
    <row r="26" spans="1:5" x14ac:dyDescent="0.25">
      <c r="A26" s="13">
        <v>14</v>
      </c>
      <c r="B26" s="283"/>
      <c r="C26" s="13" t="e">
        <f t="shared" si="0"/>
        <v>#N/A</v>
      </c>
      <c r="D26" s="13" t="e">
        <f t="shared" si="1"/>
        <v>#N/A</v>
      </c>
      <c r="E26" s="13" t="e">
        <f t="shared" si="2"/>
        <v>#N/A</v>
      </c>
    </row>
    <row r="27" spans="1:5" x14ac:dyDescent="0.25">
      <c r="A27" s="13">
        <v>15</v>
      </c>
      <c r="B27" s="283"/>
      <c r="C27" s="13" t="e">
        <f t="shared" si="0"/>
        <v>#N/A</v>
      </c>
      <c r="D27" s="13" t="e">
        <f t="shared" si="1"/>
        <v>#N/A</v>
      </c>
      <c r="E27" s="13" t="e">
        <f t="shared" si="2"/>
        <v>#N/A</v>
      </c>
    </row>
    <row r="28" spans="1:5" x14ac:dyDescent="0.25">
      <c r="A28" s="13">
        <v>16</v>
      </c>
      <c r="B28" s="283"/>
      <c r="C28" s="13" t="e">
        <f t="shared" si="0"/>
        <v>#N/A</v>
      </c>
      <c r="D28" s="13" t="e">
        <f t="shared" si="1"/>
        <v>#N/A</v>
      </c>
      <c r="E28" s="13" t="e">
        <f t="shared" si="2"/>
        <v>#N/A</v>
      </c>
    </row>
    <row r="29" spans="1:5" x14ac:dyDescent="0.25">
      <c r="A29" s="13">
        <v>17</v>
      </c>
      <c r="B29" s="283"/>
      <c r="C29" s="13" t="e">
        <f t="shared" si="0"/>
        <v>#N/A</v>
      </c>
      <c r="D29" s="13" t="e">
        <f t="shared" si="1"/>
        <v>#N/A</v>
      </c>
      <c r="E29" s="13" t="e">
        <f t="shared" si="2"/>
        <v>#N/A</v>
      </c>
    </row>
    <row r="30" spans="1:5" x14ac:dyDescent="0.25">
      <c r="A30" s="13">
        <v>18</v>
      </c>
      <c r="B30" s="283"/>
      <c r="C30" s="13" t="e">
        <f t="shared" si="0"/>
        <v>#N/A</v>
      </c>
      <c r="D30" s="13" t="e">
        <f t="shared" si="1"/>
        <v>#N/A</v>
      </c>
      <c r="E30" s="13" t="e">
        <f t="shared" si="2"/>
        <v>#N/A</v>
      </c>
    </row>
    <row r="31" spans="1:5" x14ac:dyDescent="0.25">
      <c r="A31" s="13">
        <v>19</v>
      </c>
      <c r="B31" s="283"/>
      <c r="C31" s="13" t="e">
        <f t="shared" si="0"/>
        <v>#N/A</v>
      </c>
      <c r="D31" s="13" t="e">
        <f t="shared" si="1"/>
        <v>#N/A</v>
      </c>
      <c r="E31" s="13" t="e">
        <f t="shared" si="2"/>
        <v>#N/A</v>
      </c>
    </row>
    <row r="32" spans="1:5" x14ac:dyDescent="0.25">
      <c r="A32" s="13">
        <v>20</v>
      </c>
      <c r="B32" s="283"/>
      <c r="C32" s="13" t="e">
        <f t="shared" si="0"/>
        <v>#N/A</v>
      </c>
      <c r="D32" s="13" t="e">
        <f t="shared" si="1"/>
        <v>#N/A</v>
      </c>
      <c r="E32" s="13" t="e">
        <f t="shared" si="2"/>
        <v>#N/A</v>
      </c>
    </row>
    <row r="33" spans="1:5" x14ac:dyDescent="0.25">
      <c r="A33" s="13">
        <v>21</v>
      </c>
      <c r="B33" s="283"/>
      <c r="C33" s="13" t="e">
        <f t="shared" si="0"/>
        <v>#N/A</v>
      </c>
      <c r="D33" s="13" t="e">
        <f t="shared" si="1"/>
        <v>#N/A</v>
      </c>
      <c r="E33" s="13" t="e">
        <f t="shared" si="2"/>
        <v>#N/A</v>
      </c>
    </row>
    <row r="34" spans="1:5" x14ac:dyDescent="0.25">
      <c r="A34" s="13">
        <v>22</v>
      </c>
      <c r="B34" s="283"/>
      <c r="C34" s="13" t="e">
        <f t="shared" si="0"/>
        <v>#N/A</v>
      </c>
      <c r="D34" s="13" t="e">
        <f t="shared" si="1"/>
        <v>#N/A</v>
      </c>
      <c r="E34" s="13" t="e">
        <f t="shared" si="2"/>
        <v>#N/A</v>
      </c>
    </row>
    <row r="35" spans="1:5" x14ac:dyDescent="0.25">
      <c r="A35" s="13">
        <v>23</v>
      </c>
      <c r="B35" s="283"/>
      <c r="C35" s="13" t="e">
        <f t="shared" si="0"/>
        <v>#N/A</v>
      </c>
      <c r="D35" s="13" t="e">
        <f t="shared" si="1"/>
        <v>#N/A</v>
      </c>
      <c r="E35" s="13" t="e">
        <f t="shared" si="2"/>
        <v>#N/A</v>
      </c>
    </row>
    <row r="36" spans="1:5" x14ac:dyDescent="0.25">
      <c r="A36" s="13">
        <v>24</v>
      </c>
      <c r="B36" s="283"/>
      <c r="C36" s="13" t="e">
        <f t="shared" si="0"/>
        <v>#N/A</v>
      </c>
      <c r="D36" s="13" t="e">
        <f t="shared" si="1"/>
        <v>#N/A</v>
      </c>
      <c r="E36" s="13" t="e">
        <f t="shared" si="2"/>
        <v>#N/A</v>
      </c>
    </row>
    <row r="37" spans="1:5" x14ac:dyDescent="0.25">
      <c r="A37" s="13">
        <v>25</v>
      </c>
      <c r="B37" s="283"/>
      <c r="C37" s="13" t="e">
        <f t="shared" si="0"/>
        <v>#N/A</v>
      </c>
      <c r="D37" s="13" t="e">
        <f t="shared" si="1"/>
        <v>#N/A</v>
      </c>
      <c r="E37" s="13" t="e">
        <f t="shared" si="2"/>
        <v>#N/A</v>
      </c>
    </row>
    <row r="38" spans="1:5" x14ac:dyDescent="0.25">
      <c r="A38" s="13">
        <v>26</v>
      </c>
      <c r="B38" s="283"/>
      <c r="C38" s="13" t="e">
        <f t="shared" si="0"/>
        <v>#N/A</v>
      </c>
      <c r="D38" s="13" t="e">
        <f t="shared" si="1"/>
        <v>#N/A</v>
      </c>
      <c r="E38" s="13" t="e">
        <f t="shared" si="2"/>
        <v>#N/A</v>
      </c>
    </row>
    <row r="39" spans="1:5" x14ac:dyDescent="0.25">
      <c r="A39" s="13">
        <v>27</v>
      </c>
      <c r="B39" s="283"/>
      <c r="C39" s="13" t="e">
        <f t="shared" si="0"/>
        <v>#N/A</v>
      </c>
      <c r="D39" s="13" t="e">
        <f t="shared" si="1"/>
        <v>#N/A</v>
      </c>
      <c r="E39" s="13" t="e">
        <f t="shared" si="2"/>
        <v>#N/A</v>
      </c>
    </row>
    <row r="40" spans="1:5" x14ac:dyDescent="0.25">
      <c r="A40" s="13">
        <v>28</v>
      </c>
      <c r="B40" s="283"/>
      <c r="C40" s="13" t="e">
        <f t="shared" si="0"/>
        <v>#N/A</v>
      </c>
      <c r="D40" s="13" t="e">
        <f t="shared" si="1"/>
        <v>#N/A</v>
      </c>
      <c r="E40" s="13" t="e">
        <f t="shared" si="2"/>
        <v>#N/A</v>
      </c>
    </row>
    <row r="41" spans="1:5" x14ac:dyDescent="0.25">
      <c r="A41" s="13">
        <v>29</v>
      </c>
      <c r="B41" s="283"/>
      <c r="C41" s="13" t="e">
        <f t="shared" si="0"/>
        <v>#N/A</v>
      </c>
      <c r="D41" s="13" t="e">
        <f t="shared" si="1"/>
        <v>#N/A</v>
      </c>
      <c r="E41" s="13" t="e">
        <f t="shared" si="2"/>
        <v>#N/A</v>
      </c>
    </row>
    <row r="42" spans="1:5" x14ac:dyDescent="0.25">
      <c r="A42" s="13">
        <v>30</v>
      </c>
      <c r="B42" s="283"/>
      <c r="C42" s="13" t="e">
        <f t="shared" si="0"/>
        <v>#N/A</v>
      </c>
      <c r="D42" s="13" t="e">
        <f t="shared" si="1"/>
        <v>#N/A</v>
      </c>
      <c r="E42" s="13" t="e">
        <f t="shared" si="2"/>
        <v>#N/A</v>
      </c>
    </row>
    <row r="43" spans="1:5" x14ac:dyDescent="0.25">
      <c r="A43" s="13">
        <v>31</v>
      </c>
      <c r="B43" s="283"/>
      <c r="C43" s="13" t="e">
        <f t="shared" si="0"/>
        <v>#N/A</v>
      </c>
      <c r="D43" s="13" t="e">
        <f t="shared" si="1"/>
        <v>#N/A</v>
      </c>
      <c r="E43" s="13" t="e">
        <f t="shared" si="2"/>
        <v>#N/A</v>
      </c>
    </row>
    <row r="44" spans="1:5" x14ac:dyDescent="0.25">
      <c r="A44" s="13">
        <v>32</v>
      </c>
      <c r="B44" s="283"/>
      <c r="C44" s="13" t="e">
        <f t="shared" si="0"/>
        <v>#N/A</v>
      </c>
      <c r="D44" s="13" t="e">
        <f t="shared" si="1"/>
        <v>#N/A</v>
      </c>
      <c r="E44" s="13" t="e">
        <f t="shared" si="2"/>
        <v>#N/A</v>
      </c>
    </row>
    <row r="45" spans="1:5" x14ac:dyDescent="0.25">
      <c r="A45" s="13">
        <v>33</v>
      </c>
      <c r="B45" s="283"/>
      <c r="C45" s="13" t="e">
        <f t="shared" si="0"/>
        <v>#N/A</v>
      </c>
      <c r="D45" s="13" t="e">
        <f t="shared" si="1"/>
        <v>#N/A</v>
      </c>
      <c r="E45" s="13" t="e">
        <f t="shared" si="2"/>
        <v>#N/A</v>
      </c>
    </row>
    <row r="46" spans="1:5" x14ac:dyDescent="0.25">
      <c r="A46" s="13">
        <v>34</v>
      </c>
      <c r="B46" s="283"/>
      <c r="C46" s="13" t="e">
        <f t="shared" si="0"/>
        <v>#N/A</v>
      </c>
      <c r="D46" s="13" t="e">
        <f t="shared" si="1"/>
        <v>#N/A</v>
      </c>
      <c r="E46" s="13" t="e">
        <f t="shared" si="2"/>
        <v>#N/A</v>
      </c>
    </row>
    <row r="47" spans="1:5" x14ac:dyDescent="0.25">
      <c r="A47" s="13">
        <v>35</v>
      </c>
      <c r="B47" s="283"/>
      <c r="C47" s="13" t="e">
        <f t="shared" si="0"/>
        <v>#N/A</v>
      </c>
      <c r="D47" s="13" t="e">
        <f t="shared" si="1"/>
        <v>#N/A</v>
      </c>
      <c r="E47" s="13" t="e">
        <f t="shared" si="2"/>
        <v>#N/A</v>
      </c>
    </row>
    <row r="48" spans="1:5" x14ac:dyDescent="0.25">
      <c r="A48" s="13">
        <v>36</v>
      </c>
      <c r="B48" s="283"/>
      <c r="C48" s="13" t="e">
        <f t="shared" si="0"/>
        <v>#N/A</v>
      </c>
      <c r="D48" s="13" t="e">
        <f t="shared" si="1"/>
        <v>#N/A</v>
      </c>
      <c r="E48" s="13" t="e">
        <f t="shared" si="2"/>
        <v>#N/A</v>
      </c>
    </row>
    <row r="49" spans="1:8" x14ac:dyDescent="0.25">
      <c r="A49" s="13">
        <v>37</v>
      </c>
      <c r="B49" s="283"/>
      <c r="C49" s="13" t="e">
        <f t="shared" si="0"/>
        <v>#N/A</v>
      </c>
      <c r="D49" s="13" t="e">
        <f t="shared" si="1"/>
        <v>#N/A</v>
      </c>
      <c r="E49" s="13" t="e">
        <f t="shared" si="2"/>
        <v>#N/A</v>
      </c>
    </row>
    <row r="50" spans="1:8" x14ac:dyDescent="0.25">
      <c r="A50" s="13">
        <v>38</v>
      </c>
      <c r="B50" s="283"/>
      <c r="C50" s="13" t="e">
        <f t="shared" si="0"/>
        <v>#N/A</v>
      </c>
      <c r="D50" s="13" t="e">
        <f t="shared" si="1"/>
        <v>#N/A</v>
      </c>
      <c r="E50" s="13" t="e">
        <f t="shared" si="2"/>
        <v>#N/A</v>
      </c>
    </row>
    <row r="51" spans="1:8" x14ac:dyDescent="0.25">
      <c r="A51" s="13">
        <v>39</v>
      </c>
      <c r="B51" s="283"/>
      <c r="C51" s="13" t="e">
        <f t="shared" si="0"/>
        <v>#N/A</v>
      </c>
      <c r="D51" s="13" t="e">
        <f t="shared" si="1"/>
        <v>#N/A</v>
      </c>
      <c r="E51" s="13" t="e">
        <f t="shared" si="2"/>
        <v>#N/A</v>
      </c>
    </row>
    <row r="52" spans="1:8" x14ac:dyDescent="0.25">
      <c r="A52" s="13">
        <v>40</v>
      </c>
      <c r="B52" s="283"/>
      <c r="C52" s="13" t="e">
        <f t="shared" si="0"/>
        <v>#N/A</v>
      </c>
      <c r="D52" s="13" t="e">
        <f t="shared" si="1"/>
        <v>#N/A</v>
      </c>
      <c r="E52" s="13" t="e">
        <f t="shared" si="2"/>
        <v>#N/A</v>
      </c>
    </row>
    <row r="53" spans="1:8" x14ac:dyDescent="0.25">
      <c r="A53" s="13">
        <v>41</v>
      </c>
      <c r="B53" s="283"/>
      <c r="C53" s="13" t="e">
        <f t="shared" si="0"/>
        <v>#N/A</v>
      </c>
      <c r="D53" s="13" t="e">
        <f t="shared" si="1"/>
        <v>#N/A</v>
      </c>
      <c r="E53" s="13" t="e">
        <f t="shared" si="2"/>
        <v>#N/A</v>
      </c>
    </row>
    <row r="54" spans="1:8" x14ac:dyDescent="0.25">
      <c r="A54" s="13">
        <v>42</v>
      </c>
      <c r="B54" s="283"/>
      <c r="C54" s="13" t="e">
        <f t="shared" si="0"/>
        <v>#N/A</v>
      </c>
      <c r="D54" s="13" t="e">
        <f t="shared" si="1"/>
        <v>#N/A</v>
      </c>
      <c r="E54" s="13" t="e">
        <f t="shared" si="2"/>
        <v>#N/A</v>
      </c>
    </row>
    <row r="55" spans="1:8" x14ac:dyDescent="0.25">
      <c r="A55" s="13">
        <v>43</v>
      </c>
      <c r="B55" s="283"/>
      <c r="C55" s="13" t="e">
        <f t="shared" si="0"/>
        <v>#N/A</v>
      </c>
      <c r="D55" s="13" t="e">
        <f t="shared" si="1"/>
        <v>#N/A</v>
      </c>
      <c r="E55" s="13" t="e">
        <f t="shared" si="2"/>
        <v>#N/A</v>
      </c>
    </row>
    <row r="56" spans="1:8" x14ac:dyDescent="0.25">
      <c r="A56" s="13">
        <v>44</v>
      </c>
      <c r="B56" s="283"/>
      <c r="C56" s="13" t="e">
        <f t="shared" si="0"/>
        <v>#N/A</v>
      </c>
      <c r="D56" s="13" t="e">
        <f t="shared" si="1"/>
        <v>#N/A</v>
      </c>
      <c r="E56" s="13" t="e">
        <f t="shared" si="2"/>
        <v>#N/A</v>
      </c>
    </row>
    <row r="57" spans="1:8" x14ac:dyDescent="0.25">
      <c r="A57" s="13">
        <v>45</v>
      </c>
      <c r="B57" s="283"/>
      <c r="C57" s="13" t="e">
        <f t="shared" si="0"/>
        <v>#N/A</v>
      </c>
      <c r="D57" s="13" t="e">
        <f t="shared" si="1"/>
        <v>#N/A</v>
      </c>
      <c r="E57" s="13" t="e">
        <f t="shared" si="2"/>
        <v>#N/A</v>
      </c>
    </row>
    <row r="58" spans="1:8" x14ac:dyDescent="0.25">
      <c r="A58" s="13">
        <v>46</v>
      </c>
      <c r="B58" s="283"/>
      <c r="C58" s="13" t="e">
        <f t="shared" si="0"/>
        <v>#N/A</v>
      </c>
      <c r="D58" s="13" t="e">
        <f t="shared" si="1"/>
        <v>#N/A</v>
      </c>
      <c r="E58" s="13" t="e">
        <f t="shared" si="2"/>
        <v>#N/A</v>
      </c>
    </row>
    <row r="59" spans="1:8" x14ac:dyDescent="0.25">
      <c r="A59" s="13">
        <v>47</v>
      </c>
      <c r="B59" s="283"/>
      <c r="C59" s="13" t="e">
        <f t="shared" si="0"/>
        <v>#N/A</v>
      </c>
      <c r="D59" s="13" t="e">
        <f t="shared" si="1"/>
        <v>#N/A</v>
      </c>
      <c r="E59" s="13" t="e">
        <f t="shared" si="2"/>
        <v>#N/A</v>
      </c>
    </row>
    <row r="60" spans="1:8" x14ac:dyDescent="0.25">
      <c r="A60" s="13">
        <v>48</v>
      </c>
      <c r="B60" s="283"/>
      <c r="C60" s="13" t="e">
        <f t="shared" si="0"/>
        <v>#N/A</v>
      </c>
      <c r="D60" s="13" t="e">
        <f t="shared" si="1"/>
        <v>#N/A</v>
      </c>
      <c r="E60" s="13" t="e">
        <f t="shared" si="2"/>
        <v>#N/A</v>
      </c>
      <c r="G60" s="159"/>
      <c r="H60" s="159"/>
    </row>
    <row r="61" spans="1:8" x14ac:dyDescent="0.25">
      <c r="A61" s="13">
        <v>49</v>
      </c>
      <c r="B61" s="283"/>
      <c r="C61" s="13" t="e">
        <f t="shared" si="0"/>
        <v>#N/A</v>
      </c>
      <c r="D61" s="13" t="e">
        <f t="shared" si="1"/>
        <v>#N/A</v>
      </c>
      <c r="E61" s="13" t="e">
        <f t="shared" si="2"/>
        <v>#N/A</v>
      </c>
      <c r="G61" s="159"/>
      <c r="H61" s="159"/>
    </row>
    <row r="62" spans="1:8" ht="13.8" thickBot="1" x14ac:dyDescent="0.3">
      <c r="A62" s="13">
        <v>50</v>
      </c>
      <c r="B62" s="293"/>
      <c r="C62" s="13" t="e">
        <f t="shared" si="0"/>
        <v>#N/A</v>
      </c>
      <c r="D62" s="13" t="e">
        <f t="shared" si="1"/>
        <v>#N/A</v>
      </c>
      <c r="E62" s="13" t="e">
        <f t="shared" si="2"/>
        <v>#N/A</v>
      </c>
      <c r="G62" s="40"/>
      <c r="H62" s="40"/>
    </row>
    <row r="63" spans="1:8" x14ac:dyDescent="0.25">
      <c r="A63" s="40"/>
      <c r="B63" s="40"/>
      <c r="C63" s="40"/>
      <c r="D63" s="40"/>
      <c r="E63" s="40"/>
      <c r="F63" s="40"/>
      <c r="G63" s="40"/>
      <c r="H63" s="40"/>
    </row>
    <row r="64" spans="1:8" x14ac:dyDescent="0.25">
      <c r="A64" s="40"/>
      <c r="B64" s="40"/>
      <c r="C64" s="40"/>
      <c r="D64" s="40"/>
      <c r="E64" s="40"/>
      <c r="F64" s="40"/>
      <c r="G64" s="40"/>
      <c r="H64" s="40"/>
    </row>
    <row r="65" spans="1:8" x14ac:dyDescent="0.25">
      <c r="A65" s="40"/>
      <c r="B65" s="40"/>
      <c r="C65" s="40"/>
      <c r="D65" s="40"/>
      <c r="E65" s="40"/>
      <c r="F65" s="40"/>
      <c r="G65" s="40"/>
      <c r="H65" s="40"/>
    </row>
    <row r="66" spans="1:8" x14ac:dyDescent="0.25">
      <c r="A66" s="40"/>
      <c r="B66" s="40"/>
      <c r="C66" s="40"/>
      <c r="D66" s="40"/>
      <c r="E66" s="40"/>
      <c r="F66" s="40"/>
      <c r="G66" s="40"/>
      <c r="H66" s="40"/>
    </row>
    <row r="67" spans="1:8" x14ac:dyDescent="0.25">
      <c r="A67" s="40"/>
      <c r="B67" s="40"/>
      <c r="C67" s="40"/>
      <c r="D67" s="40"/>
      <c r="E67" s="40"/>
      <c r="F67" s="40"/>
      <c r="G67" s="40"/>
      <c r="H67" s="40"/>
    </row>
    <row r="68" spans="1:8" x14ac:dyDescent="0.25">
      <c r="A68" s="40"/>
      <c r="B68" s="40"/>
      <c r="C68" s="40"/>
      <c r="D68" s="40"/>
      <c r="E68" s="40"/>
      <c r="F68" s="40"/>
      <c r="G68" s="40"/>
      <c r="H68" s="40"/>
    </row>
    <row r="69" spans="1:8" x14ac:dyDescent="0.25">
      <c r="A69" s="40"/>
      <c r="B69" s="40"/>
      <c r="C69" s="40"/>
      <c r="D69" s="40"/>
      <c r="E69" s="40"/>
      <c r="F69" s="40"/>
      <c r="G69" s="40"/>
      <c r="H69" s="40"/>
    </row>
    <row r="70" spans="1:8" x14ac:dyDescent="0.25">
      <c r="A70" s="40"/>
      <c r="B70" s="40"/>
      <c r="C70" s="40"/>
      <c r="D70" s="40"/>
      <c r="E70" s="40"/>
      <c r="F70" s="40"/>
      <c r="G70" s="40"/>
      <c r="H70" s="40"/>
    </row>
  </sheetData>
  <mergeCells count="2">
    <mergeCell ref="C8:D8"/>
    <mergeCell ref="C9:D9"/>
  </mergeCells>
  <dataValidations count="1">
    <dataValidation type="whole" allowBlank="1" showInputMessage="1" showErrorMessage="1" errorTitle="Input Error" error="The cell entry must be a whole number." sqref="B13:B62 IX13:IX62 ST13:ST62 ACP13:ACP62 AML13:AML62 AWH13:AWH62 BGD13:BGD62 BPZ13:BPZ62 BZV13:BZV62 CJR13:CJR62 CTN13:CTN62 DDJ13:DDJ62 DNF13:DNF62 DXB13:DXB62 EGX13:EGX62 EQT13:EQT62 FAP13:FAP62 FKL13:FKL62 FUH13:FUH62 GED13:GED62 GNZ13:GNZ62 GXV13:GXV62 HHR13:HHR62 HRN13:HRN62 IBJ13:IBJ62 ILF13:ILF62 IVB13:IVB62 JEX13:JEX62 JOT13:JOT62 JYP13:JYP62 KIL13:KIL62 KSH13:KSH62 LCD13:LCD62 LLZ13:LLZ62 LVV13:LVV62 MFR13:MFR62 MPN13:MPN62 MZJ13:MZJ62 NJF13:NJF62 NTB13:NTB62 OCX13:OCX62 OMT13:OMT62 OWP13:OWP62 PGL13:PGL62 PQH13:PQH62 QAD13:QAD62 QJZ13:QJZ62 QTV13:QTV62 RDR13:RDR62 RNN13:RNN62 RXJ13:RXJ62 SHF13:SHF62 SRB13:SRB62 TAX13:TAX62 TKT13:TKT62 TUP13:TUP62 UEL13:UEL62 UOH13:UOH62 UYD13:UYD62 VHZ13:VHZ62 VRV13:VRV62 WBR13:WBR62 WLN13:WLN62 WVJ13:WVJ62 B65549:B65598 IX65549:IX65598 ST65549:ST65598 ACP65549:ACP65598 AML65549:AML65598 AWH65549:AWH65598 BGD65549:BGD65598 BPZ65549:BPZ65598 BZV65549:BZV65598 CJR65549:CJR65598 CTN65549:CTN65598 DDJ65549:DDJ65598 DNF65549:DNF65598 DXB65549:DXB65598 EGX65549:EGX65598 EQT65549:EQT65598 FAP65549:FAP65598 FKL65549:FKL65598 FUH65549:FUH65598 GED65549:GED65598 GNZ65549:GNZ65598 GXV65549:GXV65598 HHR65549:HHR65598 HRN65549:HRN65598 IBJ65549:IBJ65598 ILF65549:ILF65598 IVB65549:IVB65598 JEX65549:JEX65598 JOT65549:JOT65598 JYP65549:JYP65598 KIL65549:KIL65598 KSH65549:KSH65598 LCD65549:LCD65598 LLZ65549:LLZ65598 LVV65549:LVV65598 MFR65549:MFR65598 MPN65549:MPN65598 MZJ65549:MZJ65598 NJF65549:NJF65598 NTB65549:NTB65598 OCX65549:OCX65598 OMT65549:OMT65598 OWP65549:OWP65598 PGL65549:PGL65598 PQH65549:PQH65598 QAD65549:QAD65598 QJZ65549:QJZ65598 QTV65549:QTV65598 RDR65549:RDR65598 RNN65549:RNN65598 RXJ65549:RXJ65598 SHF65549:SHF65598 SRB65549:SRB65598 TAX65549:TAX65598 TKT65549:TKT65598 TUP65549:TUP65598 UEL65549:UEL65598 UOH65549:UOH65598 UYD65549:UYD65598 VHZ65549:VHZ65598 VRV65549:VRV65598 WBR65549:WBR65598 WLN65549:WLN65598 WVJ65549:WVJ65598 B131085:B131134 IX131085:IX131134 ST131085:ST131134 ACP131085:ACP131134 AML131085:AML131134 AWH131085:AWH131134 BGD131085:BGD131134 BPZ131085:BPZ131134 BZV131085:BZV131134 CJR131085:CJR131134 CTN131085:CTN131134 DDJ131085:DDJ131134 DNF131085:DNF131134 DXB131085:DXB131134 EGX131085:EGX131134 EQT131085:EQT131134 FAP131085:FAP131134 FKL131085:FKL131134 FUH131085:FUH131134 GED131085:GED131134 GNZ131085:GNZ131134 GXV131085:GXV131134 HHR131085:HHR131134 HRN131085:HRN131134 IBJ131085:IBJ131134 ILF131085:ILF131134 IVB131085:IVB131134 JEX131085:JEX131134 JOT131085:JOT131134 JYP131085:JYP131134 KIL131085:KIL131134 KSH131085:KSH131134 LCD131085:LCD131134 LLZ131085:LLZ131134 LVV131085:LVV131134 MFR131085:MFR131134 MPN131085:MPN131134 MZJ131085:MZJ131134 NJF131085:NJF131134 NTB131085:NTB131134 OCX131085:OCX131134 OMT131085:OMT131134 OWP131085:OWP131134 PGL131085:PGL131134 PQH131085:PQH131134 QAD131085:QAD131134 QJZ131085:QJZ131134 QTV131085:QTV131134 RDR131085:RDR131134 RNN131085:RNN131134 RXJ131085:RXJ131134 SHF131085:SHF131134 SRB131085:SRB131134 TAX131085:TAX131134 TKT131085:TKT131134 TUP131085:TUP131134 UEL131085:UEL131134 UOH131085:UOH131134 UYD131085:UYD131134 VHZ131085:VHZ131134 VRV131085:VRV131134 WBR131085:WBR131134 WLN131085:WLN131134 WVJ131085:WVJ131134 B196621:B196670 IX196621:IX196670 ST196621:ST196670 ACP196621:ACP196670 AML196621:AML196670 AWH196621:AWH196670 BGD196621:BGD196670 BPZ196621:BPZ196670 BZV196621:BZV196670 CJR196621:CJR196670 CTN196621:CTN196670 DDJ196621:DDJ196670 DNF196621:DNF196670 DXB196621:DXB196670 EGX196621:EGX196670 EQT196621:EQT196670 FAP196621:FAP196670 FKL196621:FKL196670 FUH196621:FUH196670 GED196621:GED196670 GNZ196621:GNZ196670 GXV196621:GXV196670 HHR196621:HHR196670 HRN196621:HRN196670 IBJ196621:IBJ196670 ILF196621:ILF196670 IVB196621:IVB196670 JEX196621:JEX196670 JOT196621:JOT196670 JYP196621:JYP196670 KIL196621:KIL196670 KSH196621:KSH196670 LCD196621:LCD196670 LLZ196621:LLZ196670 LVV196621:LVV196670 MFR196621:MFR196670 MPN196621:MPN196670 MZJ196621:MZJ196670 NJF196621:NJF196670 NTB196621:NTB196670 OCX196621:OCX196670 OMT196621:OMT196670 OWP196621:OWP196670 PGL196621:PGL196670 PQH196621:PQH196670 QAD196621:QAD196670 QJZ196621:QJZ196670 QTV196621:QTV196670 RDR196621:RDR196670 RNN196621:RNN196670 RXJ196621:RXJ196670 SHF196621:SHF196670 SRB196621:SRB196670 TAX196621:TAX196670 TKT196621:TKT196670 TUP196621:TUP196670 UEL196621:UEL196670 UOH196621:UOH196670 UYD196621:UYD196670 VHZ196621:VHZ196670 VRV196621:VRV196670 WBR196621:WBR196670 WLN196621:WLN196670 WVJ196621:WVJ196670 B262157:B262206 IX262157:IX262206 ST262157:ST262206 ACP262157:ACP262206 AML262157:AML262206 AWH262157:AWH262206 BGD262157:BGD262206 BPZ262157:BPZ262206 BZV262157:BZV262206 CJR262157:CJR262206 CTN262157:CTN262206 DDJ262157:DDJ262206 DNF262157:DNF262206 DXB262157:DXB262206 EGX262157:EGX262206 EQT262157:EQT262206 FAP262157:FAP262206 FKL262157:FKL262206 FUH262157:FUH262206 GED262157:GED262206 GNZ262157:GNZ262206 GXV262157:GXV262206 HHR262157:HHR262206 HRN262157:HRN262206 IBJ262157:IBJ262206 ILF262157:ILF262206 IVB262157:IVB262206 JEX262157:JEX262206 JOT262157:JOT262206 JYP262157:JYP262206 KIL262157:KIL262206 KSH262157:KSH262206 LCD262157:LCD262206 LLZ262157:LLZ262206 LVV262157:LVV262206 MFR262157:MFR262206 MPN262157:MPN262206 MZJ262157:MZJ262206 NJF262157:NJF262206 NTB262157:NTB262206 OCX262157:OCX262206 OMT262157:OMT262206 OWP262157:OWP262206 PGL262157:PGL262206 PQH262157:PQH262206 QAD262157:QAD262206 QJZ262157:QJZ262206 QTV262157:QTV262206 RDR262157:RDR262206 RNN262157:RNN262206 RXJ262157:RXJ262206 SHF262157:SHF262206 SRB262157:SRB262206 TAX262157:TAX262206 TKT262157:TKT262206 TUP262157:TUP262206 UEL262157:UEL262206 UOH262157:UOH262206 UYD262157:UYD262206 VHZ262157:VHZ262206 VRV262157:VRV262206 WBR262157:WBR262206 WLN262157:WLN262206 WVJ262157:WVJ262206 B327693:B327742 IX327693:IX327742 ST327693:ST327742 ACP327693:ACP327742 AML327693:AML327742 AWH327693:AWH327742 BGD327693:BGD327742 BPZ327693:BPZ327742 BZV327693:BZV327742 CJR327693:CJR327742 CTN327693:CTN327742 DDJ327693:DDJ327742 DNF327693:DNF327742 DXB327693:DXB327742 EGX327693:EGX327742 EQT327693:EQT327742 FAP327693:FAP327742 FKL327693:FKL327742 FUH327693:FUH327742 GED327693:GED327742 GNZ327693:GNZ327742 GXV327693:GXV327742 HHR327693:HHR327742 HRN327693:HRN327742 IBJ327693:IBJ327742 ILF327693:ILF327742 IVB327693:IVB327742 JEX327693:JEX327742 JOT327693:JOT327742 JYP327693:JYP327742 KIL327693:KIL327742 KSH327693:KSH327742 LCD327693:LCD327742 LLZ327693:LLZ327742 LVV327693:LVV327742 MFR327693:MFR327742 MPN327693:MPN327742 MZJ327693:MZJ327742 NJF327693:NJF327742 NTB327693:NTB327742 OCX327693:OCX327742 OMT327693:OMT327742 OWP327693:OWP327742 PGL327693:PGL327742 PQH327693:PQH327742 QAD327693:QAD327742 QJZ327693:QJZ327742 QTV327693:QTV327742 RDR327693:RDR327742 RNN327693:RNN327742 RXJ327693:RXJ327742 SHF327693:SHF327742 SRB327693:SRB327742 TAX327693:TAX327742 TKT327693:TKT327742 TUP327693:TUP327742 UEL327693:UEL327742 UOH327693:UOH327742 UYD327693:UYD327742 VHZ327693:VHZ327742 VRV327693:VRV327742 WBR327693:WBR327742 WLN327693:WLN327742 WVJ327693:WVJ327742 B393229:B393278 IX393229:IX393278 ST393229:ST393278 ACP393229:ACP393278 AML393229:AML393278 AWH393229:AWH393278 BGD393229:BGD393278 BPZ393229:BPZ393278 BZV393229:BZV393278 CJR393229:CJR393278 CTN393229:CTN393278 DDJ393229:DDJ393278 DNF393229:DNF393278 DXB393229:DXB393278 EGX393229:EGX393278 EQT393229:EQT393278 FAP393229:FAP393278 FKL393229:FKL393278 FUH393229:FUH393278 GED393229:GED393278 GNZ393229:GNZ393278 GXV393229:GXV393278 HHR393229:HHR393278 HRN393229:HRN393278 IBJ393229:IBJ393278 ILF393229:ILF393278 IVB393229:IVB393278 JEX393229:JEX393278 JOT393229:JOT393278 JYP393229:JYP393278 KIL393229:KIL393278 KSH393229:KSH393278 LCD393229:LCD393278 LLZ393229:LLZ393278 LVV393229:LVV393278 MFR393229:MFR393278 MPN393229:MPN393278 MZJ393229:MZJ393278 NJF393229:NJF393278 NTB393229:NTB393278 OCX393229:OCX393278 OMT393229:OMT393278 OWP393229:OWP393278 PGL393229:PGL393278 PQH393229:PQH393278 QAD393229:QAD393278 QJZ393229:QJZ393278 QTV393229:QTV393278 RDR393229:RDR393278 RNN393229:RNN393278 RXJ393229:RXJ393278 SHF393229:SHF393278 SRB393229:SRB393278 TAX393229:TAX393278 TKT393229:TKT393278 TUP393229:TUP393278 UEL393229:UEL393278 UOH393229:UOH393278 UYD393229:UYD393278 VHZ393229:VHZ393278 VRV393229:VRV393278 WBR393229:WBR393278 WLN393229:WLN393278 WVJ393229:WVJ393278 B458765:B458814 IX458765:IX458814 ST458765:ST458814 ACP458765:ACP458814 AML458765:AML458814 AWH458765:AWH458814 BGD458765:BGD458814 BPZ458765:BPZ458814 BZV458765:BZV458814 CJR458765:CJR458814 CTN458765:CTN458814 DDJ458765:DDJ458814 DNF458765:DNF458814 DXB458765:DXB458814 EGX458765:EGX458814 EQT458765:EQT458814 FAP458765:FAP458814 FKL458765:FKL458814 FUH458765:FUH458814 GED458765:GED458814 GNZ458765:GNZ458814 GXV458765:GXV458814 HHR458765:HHR458814 HRN458765:HRN458814 IBJ458765:IBJ458814 ILF458765:ILF458814 IVB458765:IVB458814 JEX458765:JEX458814 JOT458765:JOT458814 JYP458765:JYP458814 KIL458765:KIL458814 KSH458765:KSH458814 LCD458765:LCD458814 LLZ458765:LLZ458814 LVV458765:LVV458814 MFR458765:MFR458814 MPN458765:MPN458814 MZJ458765:MZJ458814 NJF458765:NJF458814 NTB458765:NTB458814 OCX458765:OCX458814 OMT458765:OMT458814 OWP458765:OWP458814 PGL458765:PGL458814 PQH458765:PQH458814 QAD458765:QAD458814 QJZ458765:QJZ458814 QTV458765:QTV458814 RDR458765:RDR458814 RNN458765:RNN458814 RXJ458765:RXJ458814 SHF458765:SHF458814 SRB458765:SRB458814 TAX458765:TAX458814 TKT458765:TKT458814 TUP458765:TUP458814 UEL458765:UEL458814 UOH458765:UOH458814 UYD458765:UYD458814 VHZ458765:VHZ458814 VRV458765:VRV458814 WBR458765:WBR458814 WLN458765:WLN458814 WVJ458765:WVJ458814 B524301:B524350 IX524301:IX524350 ST524301:ST524350 ACP524301:ACP524350 AML524301:AML524350 AWH524301:AWH524350 BGD524301:BGD524350 BPZ524301:BPZ524350 BZV524301:BZV524350 CJR524301:CJR524350 CTN524301:CTN524350 DDJ524301:DDJ524350 DNF524301:DNF524350 DXB524301:DXB524350 EGX524301:EGX524350 EQT524301:EQT524350 FAP524301:FAP524350 FKL524301:FKL524350 FUH524301:FUH524350 GED524301:GED524350 GNZ524301:GNZ524350 GXV524301:GXV524350 HHR524301:HHR524350 HRN524301:HRN524350 IBJ524301:IBJ524350 ILF524301:ILF524350 IVB524301:IVB524350 JEX524301:JEX524350 JOT524301:JOT524350 JYP524301:JYP524350 KIL524301:KIL524350 KSH524301:KSH524350 LCD524301:LCD524350 LLZ524301:LLZ524350 LVV524301:LVV524350 MFR524301:MFR524350 MPN524301:MPN524350 MZJ524301:MZJ524350 NJF524301:NJF524350 NTB524301:NTB524350 OCX524301:OCX524350 OMT524301:OMT524350 OWP524301:OWP524350 PGL524301:PGL524350 PQH524301:PQH524350 QAD524301:QAD524350 QJZ524301:QJZ524350 QTV524301:QTV524350 RDR524301:RDR524350 RNN524301:RNN524350 RXJ524301:RXJ524350 SHF524301:SHF524350 SRB524301:SRB524350 TAX524301:TAX524350 TKT524301:TKT524350 TUP524301:TUP524350 UEL524301:UEL524350 UOH524301:UOH524350 UYD524301:UYD524350 VHZ524301:VHZ524350 VRV524301:VRV524350 WBR524301:WBR524350 WLN524301:WLN524350 WVJ524301:WVJ524350 B589837:B589886 IX589837:IX589886 ST589837:ST589886 ACP589837:ACP589886 AML589837:AML589886 AWH589837:AWH589886 BGD589837:BGD589886 BPZ589837:BPZ589886 BZV589837:BZV589886 CJR589837:CJR589886 CTN589837:CTN589886 DDJ589837:DDJ589886 DNF589837:DNF589886 DXB589837:DXB589886 EGX589837:EGX589886 EQT589837:EQT589886 FAP589837:FAP589886 FKL589837:FKL589886 FUH589837:FUH589886 GED589837:GED589886 GNZ589837:GNZ589886 GXV589837:GXV589886 HHR589837:HHR589886 HRN589837:HRN589886 IBJ589837:IBJ589886 ILF589837:ILF589886 IVB589837:IVB589886 JEX589837:JEX589886 JOT589837:JOT589886 JYP589837:JYP589886 KIL589837:KIL589886 KSH589837:KSH589886 LCD589837:LCD589886 LLZ589837:LLZ589886 LVV589837:LVV589886 MFR589837:MFR589886 MPN589837:MPN589886 MZJ589837:MZJ589886 NJF589837:NJF589886 NTB589837:NTB589886 OCX589837:OCX589886 OMT589837:OMT589886 OWP589837:OWP589886 PGL589837:PGL589886 PQH589837:PQH589886 QAD589837:QAD589886 QJZ589837:QJZ589886 QTV589837:QTV589886 RDR589837:RDR589886 RNN589837:RNN589886 RXJ589837:RXJ589886 SHF589837:SHF589886 SRB589837:SRB589886 TAX589837:TAX589886 TKT589837:TKT589886 TUP589837:TUP589886 UEL589837:UEL589886 UOH589837:UOH589886 UYD589837:UYD589886 VHZ589837:VHZ589886 VRV589837:VRV589886 WBR589837:WBR589886 WLN589837:WLN589886 WVJ589837:WVJ589886 B655373:B655422 IX655373:IX655422 ST655373:ST655422 ACP655373:ACP655422 AML655373:AML655422 AWH655373:AWH655422 BGD655373:BGD655422 BPZ655373:BPZ655422 BZV655373:BZV655422 CJR655373:CJR655422 CTN655373:CTN655422 DDJ655373:DDJ655422 DNF655373:DNF655422 DXB655373:DXB655422 EGX655373:EGX655422 EQT655373:EQT655422 FAP655373:FAP655422 FKL655373:FKL655422 FUH655373:FUH655422 GED655373:GED655422 GNZ655373:GNZ655422 GXV655373:GXV655422 HHR655373:HHR655422 HRN655373:HRN655422 IBJ655373:IBJ655422 ILF655373:ILF655422 IVB655373:IVB655422 JEX655373:JEX655422 JOT655373:JOT655422 JYP655373:JYP655422 KIL655373:KIL655422 KSH655373:KSH655422 LCD655373:LCD655422 LLZ655373:LLZ655422 LVV655373:LVV655422 MFR655373:MFR655422 MPN655373:MPN655422 MZJ655373:MZJ655422 NJF655373:NJF655422 NTB655373:NTB655422 OCX655373:OCX655422 OMT655373:OMT655422 OWP655373:OWP655422 PGL655373:PGL655422 PQH655373:PQH655422 QAD655373:QAD655422 QJZ655373:QJZ655422 QTV655373:QTV655422 RDR655373:RDR655422 RNN655373:RNN655422 RXJ655373:RXJ655422 SHF655373:SHF655422 SRB655373:SRB655422 TAX655373:TAX655422 TKT655373:TKT655422 TUP655373:TUP655422 UEL655373:UEL655422 UOH655373:UOH655422 UYD655373:UYD655422 VHZ655373:VHZ655422 VRV655373:VRV655422 WBR655373:WBR655422 WLN655373:WLN655422 WVJ655373:WVJ655422 B720909:B720958 IX720909:IX720958 ST720909:ST720958 ACP720909:ACP720958 AML720909:AML720958 AWH720909:AWH720958 BGD720909:BGD720958 BPZ720909:BPZ720958 BZV720909:BZV720958 CJR720909:CJR720958 CTN720909:CTN720958 DDJ720909:DDJ720958 DNF720909:DNF720958 DXB720909:DXB720958 EGX720909:EGX720958 EQT720909:EQT720958 FAP720909:FAP720958 FKL720909:FKL720958 FUH720909:FUH720958 GED720909:GED720958 GNZ720909:GNZ720958 GXV720909:GXV720958 HHR720909:HHR720958 HRN720909:HRN720958 IBJ720909:IBJ720958 ILF720909:ILF720958 IVB720909:IVB720958 JEX720909:JEX720958 JOT720909:JOT720958 JYP720909:JYP720958 KIL720909:KIL720958 KSH720909:KSH720958 LCD720909:LCD720958 LLZ720909:LLZ720958 LVV720909:LVV720958 MFR720909:MFR720958 MPN720909:MPN720958 MZJ720909:MZJ720958 NJF720909:NJF720958 NTB720909:NTB720958 OCX720909:OCX720958 OMT720909:OMT720958 OWP720909:OWP720958 PGL720909:PGL720958 PQH720909:PQH720958 QAD720909:QAD720958 QJZ720909:QJZ720958 QTV720909:QTV720958 RDR720909:RDR720958 RNN720909:RNN720958 RXJ720909:RXJ720958 SHF720909:SHF720958 SRB720909:SRB720958 TAX720909:TAX720958 TKT720909:TKT720958 TUP720909:TUP720958 UEL720909:UEL720958 UOH720909:UOH720958 UYD720909:UYD720958 VHZ720909:VHZ720958 VRV720909:VRV720958 WBR720909:WBR720958 WLN720909:WLN720958 WVJ720909:WVJ720958 B786445:B786494 IX786445:IX786494 ST786445:ST786494 ACP786445:ACP786494 AML786445:AML786494 AWH786445:AWH786494 BGD786445:BGD786494 BPZ786445:BPZ786494 BZV786445:BZV786494 CJR786445:CJR786494 CTN786445:CTN786494 DDJ786445:DDJ786494 DNF786445:DNF786494 DXB786445:DXB786494 EGX786445:EGX786494 EQT786445:EQT786494 FAP786445:FAP786494 FKL786445:FKL786494 FUH786445:FUH786494 GED786445:GED786494 GNZ786445:GNZ786494 GXV786445:GXV786494 HHR786445:HHR786494 HRN786445:HRN786494 IBJ786445:IBJ786494 ILF786445:ILF786494 IVB786445:IVB786494 JEX786445:JEX786494 JOT786445:JOT786494 JYP786445:JYP786494 KIL786445:KIL786494 KSH786445:KSH786494 LCD786445:LCD786494 LLZ786445:LLZ786494 LVV786445:LVV786494 MFR786445:MFR786494 MPN786445:MPN786494 MZJ786445:MZJ786494 NJF786445:NJF786494 NTB786445:NTB786494 OCX786445:OCX786494 OMT786445:OMT786494 OWP786445:OWP786494 PGL786445:PGL786494 PQH786445:PQH786494 QAD786445:QAD786494 QJZ786445:QJZ786494 QTV786445:QTV786494 RDR786445:RDR786494 RNN786445:RNN786494 RXJ786445:RXJ786494 SHF786445:SHF786494 SRB786445:SRB786494 TAX786445:TAX786494 TKT786445:TKT786494 TUP786445:TUP786494 UEL786445:UEL786494 UOH786445:UOH786494 UYD786445:UYD786494 VHZ786445:VHZ786494 VRV786445:VRV786494 WBR786445:WBR786494 WLN786445:WLN786494 WVJ786445:WVJ786494 B851981:B852030 IX851981:IX852030 ST851981:ST852030 ACP851981:ACP852030 AML851981:AML852030 AWH851981:AWH852030 BGD851981:BGD852030 BPZ851981:BPZ852030 BZV851981:BZV852030 CJR851981:CJR852030 CTN851981:CTN852030 DDJ851981:DDJ852030 DNF851981:DNF852030 DXB851981:DXB852030 EGX851981:EGX852030 EQT851981:EQT852030 FAP851981:FAP852030 FKL851981:FKL852030 FUH851981:FUH852030 GED851981:GED852030 GNZ851981:GNZ852030 GXV851981:GXV852030 HHR851981:HHR852030 HRN851981:HRN852030 IBJ851981:IBJ852030 ILF851981:ILF852030 IVB851981:IVB852030 JEX851981:JEX852030 JOT851981:JOT852030 JYP851981:JYP852030 KIL851981:KIL852030 KSH851981:KSH852030 LCD851981:LCD852030 LLZ851981:LLZ852030 LVV851981:LVV852030 MFR851981:MFR852030 MPN851981:MPN852030 MZJ851981:MZJ852030 NJF851981:NJF852030 NTB851981:NTB852030 OCX851981:OCX852030 OMT851981:OMT852030 OWP851981:OWP852030 PGL851981:PGL852030 PQH851981:PQH852030 QAD851981:QAD852030 QJZ851981:QJZ852030 QTV851981:QTV852030 RDR851981:RDR852030 RNN851981:RNN852030 RXJ851981:RXJ852030 SHF851981:SHF852030 SRB851981:SRB852030 TAX851981:TAX852030 TKT851981:TKT852030 TUP851981:TUP852030 UEL851981:UEL852030 UOH851981:UOH852030 UYD851981:UYD852030 VHZ851981:VHZ852030 VRV851981:VRV852030 WBR851981:WBR852030 WLN851981:WLN852030 WVJ851981:WVJ852030 B917517:B917566 IX917517:IX917566 ST917517:ST917566 ACP917517:ACP917566 AML917517:AML917566 AWH917517:AWH917566 BGD917517:BGD917566 BPZ917517:BPZ917566 BZV917517:BZV917566 CJR917517:CJR917566 CTN917517:CTN917566 DDJ917517:DDJ917566 DNF917517:DNF917566 DXB917517:DXB917566 EGX917517:EGX917566 EQT917517:EQT917566 FAP917517:FAP917566 FKL917517:FKL917566 FUH917517:FUH917566 GED917517:GED917566 GNZ917517:GNZ917566 GXV917517:GXV917566 HHR917517:HHR917566 HRN917517:HRN917566 IBJ917517:IBJ917566 ILF917517:ILF917566 IVB917517:IVB917566 JEX917517:JEX917566 JOT917517:JOT917566 JYP917517:JYP917566 KIL917517:KIL917566 KSH917517:KSH917566 LCD917517:LCD917566 LLZ917517:LLZ917566 LVV917517:LVV917566 MFR917517:MFR917566 MPN917517:MPN917566 MZJ917517:MZJ917566 NJF917517:NJF917566 NTB917517:NTB917566 OCX917517:OCX917566 OMT917517:OMT917566 OWP917517:OWP917566 PGL917517:PGL917566 PQH917517:PQH917566 QAD917517:QAD917566 QJZ917517:QJZ917566 QTV917517:QTV917566 RDR917517:RDR917566 RNN917517:RNN917566 RXJ917517:RXJ917566 SHF917517:SHF917566 SRB917517:SRB917566 TAX917517:TAX917566 TKT917517:TKT917566 TUP917517:TUP917566 UEL917517:UEL917566 UOH917517:UOH917566 UYD917517:UYD917566 VHZ917517:VHZ917566 VRV917517:VRV917566 WBR917517:WBR917566 WLN917517:WLN917566 WVJ917517:WVJ917566 B983053:B983102 IX983053:IX983102 ST983053:ST983102 ACP983053:ACP983102 AML983053:AML983102 AWH983053:AWH983102 BGD983053:BGD983102 BPZ983053:BPZ983102 BZV983053:BZV983102 CJR983053:CJR983102 CTN983053:CTN983102 DDJ983053:DDJ983102 DNF983053:DNF983102 DXB983053:DXB983102 EGX983053:EGX983102 EQT983053:EQT983102 FAP983053:FAP983102 FKL983053:FKL983102 FUH983053:FUH983102 GED983053:GED983102 GNZ983053:GNZ983102 GXV983053:GXV983102 HHR983053:HHR983102 HRN983053:HRN983102 IBJ983053:IBJ983102 ILF983053:ILF983102 IVB983053:IVB983102 JEX983053:JEX983102 JOT983053:JOT983102 JYP983053:JYP983102 KIL983053:KIL983102 KSH983053:KSH983102 LCD983053:LCD983102 LLZ983053:LLZ983102 LVV983053:LVV983102 MFR983053:MFR983102 MPN983053:MPN983102 MZJ983053:MZJ983102 NJF983053:NJF983102 NTB983053:NTB983102 OCX983053:OCX983102 OMT983053:OMT983102 OWP983053:OWP983102 PGL983053:PGL983102 PQH983053:PQH983102 QAD983053:QAD983102 QJZ983053:QJZ983102 QTV983053:QTV983102 RDR983053:RDR983102 RNN983053:RNN983102 RXJ983053:RXJ983102 SHF983053:SHF983102 SRB983053:SRB983102 TAX983053:TAX983102 TKT983053:TKT983102 TUP983053:TUP983102 UEL983053:UEL983102 UOH983053:UOH983102 UYD983053:UYD983102 VHZ983053:VHZ983102 VRV983053:VRV983102 WBR983053:WBR983102 WLN983053:WLN983102 WVJ983053:WVJ983102" xr:uid="{00000000-0002-0000-2300-000000000000}">
      <formula1>0</formula1>
      <formula2>999999</formula2>
    </dataValidation>
  </dataValidations>
  <hyperlinks>
    <hyperlink ref="K1" location="Menu!A1" display="Return to menu" xr:uid="{00000000-0004-0000-2300-000000000000}"/>
  </hyperlinks>
  <pageMargins left="0.75" right="0.75" top="1" bottom="1"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7F7C8-A975-4964-A9EE-CD9EB4FB888C}">
  <dimension ref="B1:E19"/>
  <sheetViews>
    <sheetView zoomScale="160" zoomScaleNormal="160" workbookViewId="0">
      <selection activeCell="E1" sqref="E1"/>
    </sheetView>
  </sheetViews>
  <sheetFormatPr defaultRowHeight="14.4" x14ac:dyDescent="0.3"/>
  <cols>
    <col min="2" max="2" width="26.44140625" bestFit="1" customWidth="1"/>
    <col min="3" max="3" width="50.44140625" customWidth="1"/>
    <col min="4" max="4" width="1.5546875" customWidth="1"/>
    <col min="5" max="5" width="44.77734375" customWidth="1"/>
  </cols>
  <sheetData>
    <row r="1" spans="2:5" ht="26.4" customHeight="1" x14ac:dyDescent="0.45">
      <c r="B1" s="927" t="s">
        <v>1033</v>
      </c>
      <c r="E1" s="902" t="s">
        <v>19</v>
      </c>
    </row>
    <row r="2" spans="2:5" ht="28.8" customHeight="1" x14ac:dyDescent="0.3"/>
    <row r="3" spans="2:5" x14ac:dyDescent="0.3">
      <c r="B3" s="928" t="s">
        <v>1034</v>
      </c>
      <c r="C3" s="929"/>
      <c r="E3" s="930" t="s">
        <v>1035</v>
      </c>
    </row>
    <row r="5" spans="2:5" x14ac:dyDescent="0.3">
      <c r="B5" s="931" t="s">
        <v>1036</v>
      </c>
      <c r="C5" s="932"/>
      <c r="E5" s="933"/>
    </row>
    <row r="6" spans="2:5" x14ac:dyDescent="0.3">
      <c r="B6" s="934"/>
    </row>
    <row r="7" spans="2:5" x14ac:dyDescent="0.3">
      <c r="B7" s="931" t="s">
        <v>1036</v>
      </c>
      <c r="C7" s="932"/>
      <c r="E7" s="933"/>
    </row>
    <row r="8" spans="2:5" x14ac:dyDescent="0.3">
      <c r="B8" s="934"/>
    </row>
    <row r="9" spans="2:5" x14ac:dyDescent="0.3">
      <c r="B9" s="931" t="s">
        <v>1036</v>
      </c>
      <c r="C9" s="932"/>
      <c r="E9" s="933"/>
    </row>
    <row r="10" spans="2:5" x14ac:dyDescent="0.3">
      <c r="B10" s="934"/>
    </row>
    <row r="11" spans="2:5" x14ac:dyDescent="0.3">
      <c r="B11" s="931" t="s">
        <v>1036</v>
      </c>
      <c r="C11" s="932"/>
      <c r="E11" s="933"/>
    </row>
    <row r="12" spans="2:5" x14ac:dyDescent="0.3">
      <c r="B12" s="934"/>
    </row>
    <row r="13" spans="2:5" x14ac:dyDescent="0.3">
      <c r="B13" s="931" t="s">
        <v>1036</v>
      </c>
      <c r="C13" s="932"/>
      <c r="E13" s="933"/>
    </row>
    <row r="14" spans="2:5" x14ac:dyDescent="0.3">
      <c r="B14" s="934"/>
    </row>
    <row r="15" spans="2:5" x14ac:dyDescent="0.3">
      <c r="B15" s="931" t="s">
        <v>1036</v>
      </c>
      <c r="C15" s="932"/>
      <c r="E15" s="933"/>
    </row>
    <row r="16" spans="2:5" x14ac:dyDescent="0.3">
      <c r="B16" s="934"/>
    </row>
    <row r="17" spans="2:5" x14ac:dyDescent="0.3">
      <c r="B17" s="931" t="s">
        <v>1036</v>
      </c>
      <c r="C17" s="932"/>
      <c r="E17" s="933"/>
    </row>
    <row r="18" spans="2:5" x14ac:dyDescent="0.3">
      <c r="B18" s="934"/>
    </row>
    <row r="19" spans="2:5" x14ac:dyDescent="0.3">
      <c r="B19" s="931" t="s">
        <v>1036</v>
      </c>
      <c r="C19" s="932"/>
      <c r="E19" s="933"/>
    </row>
  </sheetData>
  <hyperlinks>
    <hyperlink ref="E1" location="Menu!A1" display="Return to menu" xr:uid="{14E43CDF-C994-4394-9648-F01C427982BE}"/>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dimension ref="P1"/>
  <sheetViews>
    <sheetView showGridLines="0" workbookViewId="0">
      <selection activeCell="P1" sqref="P1"/>
    </sheetView>
  </sheetViews>
  <sheetFormatPr defaultColWidth="8.88671875" defaultRowHeight="13.2" x14ac:dyDescent="0.25"/>
  <cols>
    <col min="1" max="15" width="8.88671875" style="13"/>
    <col min="16" max="16" width="36.21875" style="13" bestFit="1" customWidth="1"/>
    <col min="17" max="16384" width="8.88671875" style="13"/>
  </cols>
  <sheetData>
    <row r="1" spans="16:16" ht="36.6" x14ac:dyDescent="0.7">
      <c r="P1" s="751" t="s">
        <v>19</v>
      </c>
    </row>
  </sheetData>
  <hyperlinks>
    <hyperlink ref="P1" location="Menu!A1" display="Return to menu" xr:uid="{00000000-0004-0000-2400-000000000000}"/>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dimension ref="A1:N67"/>
  <sheetViews>
    <sheetView zoomScale="90" workbookViewId="0">
      <selection activeCell="N1" sqref="N1"/>
    </sheetView>
  </sheetViews>
  <sheetFormatPr defaultColWidth="8.88671875" defaultRowHeight="13.2" x14ac:dyDescent="0.25"/>
  <cols>
    <col min="1" max="1" width="8.88671875" style="13" customWidth="1"/>
    <col min="2" max="2" width="6.6640625" style="13" customWidth="1"/>
    <col min="3" max="3" width="8" style="13" bestFit="1" customWidth="1"/>
    <col min="4" max="4" width="14.88671875" style="13" bestFit="1" customWidth="1"/>
    <col min="5" max="5" width="9.44140625" style="13" bestFit="1" customWidth="1"/>
    <col min="6" max="6" width="6.6640625" style="13" customWidth="1"/>
    <col min="7" max="7" width="6.21875" style="13" customWidth="1"/>
    <col min="8" max="8" width="7" style="13" customWidth="1"/>
    <col min="9" max="13" width="8.88671875" style="13"/>
    <col min="14" max="14" width="37.44140625" style="13" bestFit="1" customWidth="1"/>
    <col min="15" max="256" width="8.88671875" style="13"/>
    <col min="257" max="257" width="8.88671875" style="13" customWidth="1"/>
    <col min="258" max="258" width="6.6640625" style="13" customWidth="1"/>
    <col min="259" max="259" width="8" style="13" bestFit="1" customWidth="1"/>
    <col min="260" max="260" width="14.88671875" style="13" bestFit="1" customWidth="1"/>
    <col min="261" max="261" width="9.44140625" style="13" bestFit="1" customWidth="1"/>
    <col min="262" max="262" width="6.6640625" style="13" customWidth="1"/>
    <col min="263" max="263" width="6.21875" style="13" customWidth="1"/>
    <col min="264" max="264" width="7" style="13" customWidth="1"/>
    <col min="265" max="512" width="8.88671875" style="13"/>
    <col min="513" max="513" width="8.88671875" style="13" customWidth="1"/>
    <col min="514" max="514" width="6.6640625" style="13" customWidth="1"/>
    <col min="515" max="515" width="8" style="13" bestFit="1" customWidth="1"/>
    <col min="516" max="516" width="14.88671875" style="13" bestFit="1" customWidth="1"/>
    <col min="517" max="517" width="9.44140625" style="13" bestFit="1" customWidth="1"/>
    <col min="518" max="518" width="6.6640625" style="13" customWidth="1"/>
    <col min="519" max="519" width="6.21875" style="13" customWidth="1"/>
    <col min="520" max="520" width="7" style="13" customWidth="1"/>
    <col min="521" max="768" width="8.88671875" style="13"/>
    <col min="769" max="769" width="8.88671875" style="13" customWidth="1"/>
    <col min="770" max="770" width="6.6640625" style="13" customWidth="1"/>
    <col min="771" max="771" width="8" style="13" bestFit="1" customWidth="1"/>
    <col min="772" max="772" width="14.88671875" style="13" bestFit="1" customWidth="1"/>
    <col min="773" max="773" width="9.44140625" style="13" bestFit="1" customWidth="1"/>
    <col min="774" max="774" width="6.6640625" style="13" customWidth="1"/>
    <col min="775" max="775" width="6.21875" style="13" customWidth="1"/>
    <col min="776" max="776" width="7" style="13" customWidth="1"/>
    <col min="777" max="1024" width="8.88671875" style="13"/>
    <col min="1025" max="1025" width="8.88671875" style="13" customWidth="1"/>
    <col min="1026" max="1026" width="6.6640625" style="13" customWidth="1"/>
    <col min="1027" max="1027" width="8" style="13" bestFit="1" customWidth="1"/>
    <col min="1028" max="1028" width="14.88671875" style="13" bestFit="1" customWidth="1"/>
    <col min="1029" max="1029" width="9.44140625" style="13" bestFit="1" customWidth="1"/>
    <col min="1030" max="1030" width="6.6640625" style="13" customWidth="1"/>
    <col min="1031" max="1031" width="6.21875" style="13" customWidth="1"/>
    <col min="1032" max="1032" width="7" style="13" customWidth="1"/>
    <col min="1033" max="1280" width="8.88671875" style="13"/>
    <col min="1281" max="1281" width="8.88671875" style="13" customWidth="1"/>
    <col min="1282" max="1282" width="6.6640625" style="13" customWidth="1"/>
    <col min="1283" max="1283" width="8" style="13" bestFit="1" customWidth="1"/>
    <col min="1284" max="1284" width="14.88671875" style="13" bestFit="1" customWidth="1"/>
    <col min="1285" max="1285" width="9.44140625" style="13" bestFit="1" customWidth="1"/>
    <col min="1286" max="1286" width="6.6640625" style="13" customWidth="1"/>
    <col min="1287" max="1287" width="6.21875" style="13" customWidth="1"/>
    <col min="1288" max="1288" width="7" style="13" customWidth="1"/>
    <col min="1289" max="1536" width="8.88671875" style="13"/>
    <col min="1537" max="1537" width="8.88671875" style="13" customWidth="1"/>
    <col min="1538" max="1538" width="6.6640625" style="13" customWidth="1"/>
    <col min="1539" max="1539" width="8" style="13" bestFit="1" customWidth="1"/>
    <col min="1540" max="1540" width="14.88671875" style="13" bestFit="1" customWidth="1"/>
    <col min="1541" max="1541" width="9.44140625" style="13" bestFit="1" customWidth="1"/>
    <col min="1542" max="1542" width="6.6640625" style="13" customWidth="1"/>
    <col min="1543" max="1543" width="6.21875" style="13" customWidth="1"/>
    <col min="1544" max="1544" width="7" style="13" customWidth="1"/>
    <col min="1545" max="1792" width="8.88671875" style="13"/>
    <col min="1793" max="1793" width="8.88671875" style="13" customWidth="1"/>
    <col min="1794" max="1794" width="6.6640625" style="13" customWidth="1"/>
    <col min="1795" max="1795" width="8" style="13" bestFit="1" customWidth="1"/>
    <col min="1796" max="1796" width="14.88671875" style="13" bestFit="1" customWidth="1"/>
    <col min="1797" max="1797" width="9.44140625" style="13" bestFit="1" customWidth="1"/>
    <col min="1798" max="1798" width="6.6640625" style="13" customWidth="1"/>
    <col min="1799" max="1799" width="6.21875" style="13" customWidth="1"/>
    <col min="1800" max="1800" width="7" style="13" customWidth="1"/>
    <col min="1801" max="2048" width="8.88671875" style="13"/>
    <col min="2049" max="2049" width="8.88671875" style="13" customWidth="1"/>
    <col min="2050" max="2050" width="6.6640625" style="13" customWidth="1"/>
    <col min="2051" max="2051" width="8" style="13" bestFit="1" customWidth="1"/>
    <col min="2052" max="2052" width="14.88671875" style="13" bestFit="1" customWidth="1"/>
    <col min="2053" max="2053" width="9.44140625" style="13" bestFit="1" customWidth="1"/>
    <col min="2054" max="2054" width="6.6640625" style="13" customWidth="1"/>
    <col min="2055" max="2055" width="6.21875" style="13" customWidth="1"/>
    <col min="2056" max="2056" width="7" style="13" customWidth="1"/>
    <col min="2057" max="2304" width="8.88671875" style="13"/>
    <col min="2305" max="2305" width="8.88671875" style="13" customWidth="1"/>
    <col min="2306" max="2306" width="6.6640625" style="13" customWidth="1"/>
    <col min="2307" max="2307" width="8" style="13" bestFit="1" customWidth="1"/>
    <col min="2308" max="2308" width="14.88671875" style="13" bestFit="1" customWidth="1"/>
    <col min="2309" max="2309" width="9.44140625" style="13" bestFit="1" customWidth="1"/>
    <col min="2310" max="2310" width="6.6640625" style="13" customWidth="1"/>
    <col min="2311" max="2311" width="6.21875" style="13" customWidth="1"/>
    <col min="2312" max="2312" width="7" style="13" customWidth="1"/>
    <col min="2313" max="2560" width="8.88671875" style="13"/>
    <col min="2561" max="2561" width="8.88671875" style="13" customWidth="1"/>
    <col min="2562" max="2562" width="6.6640625" style="13" customWidth="1"/>
    <col min="2563" max="2563" width="8" style="13" bestFit="1" customWidth="1"/>
    <col min="2564" max="2564" width="14.88671875" style="13" bestFit="1" customWidth="1"/>
    <col min="2565" max="2565" width="9.44140625" style="13" bestFit="1" customWidth="1"/>
    <col min="2566" max="2566" width="6.6640625" style="13" customWidth="1"/>
    <col min="2567" max="2567" width="6.21875" style="13" customWidth="1"/>
    <col min="2568" max="2568" width="7" style="13" customWidth="1"/>
    <col min="2569" max="2816" width="8.88671875" style="13"/>
    <col min="2817" max="2817" width="8.88671875" style="13" customWidth="1"/>
    <col min="2818" max="2818" width="6.6640625" style="13" customWidth="1"/>
    <col min="2819" max="2819" width="8" style="13" bestFit="1" customWidth="1"/>
    <col min="2820" max="2820" width="14.88671875" style="13" bestFit="1" customWidth="1"/>
    <col min="2821" max="2821" width="9.44140625" style="13" bestFit="1" customWidth="1"/>
    <col min="2822" max="2822" width="6.6640625" style="13" customWidth="1"/>
    <col min="2823" max="2823" width="6.21875" style="13" customWidth="1"/>
    <col min="2824" max="2824" width="7" style="13" customWidth="1"/>
    <col min="2825" max="3072" width="8.88671875" style="13"/>
    <col min="3073" max="3073" width="8.88671875" style="13" customWidth="1"/>
    <col min="3074" max="3074" width="6.6640625" style="13" customWidth="1"/>
    <col min="3075" max="3075" width="8" style="13" bestFit="1" customWidth="1"/>
    <col min="3076" max="3076" width="14.88671875" style="13" bestFit="1" customWidth="1"/>
    <col min="3077" max="3077" width="9.44140625" style="13" bestFit="1" customWidth="1"/>
    <col min="3078" max="3078" width="6.6640625" style="13" customWidth="1"/>
    <col min="3079" max="3079" width="6.21875" style="13" customWidth="1"/>
    <col min="3080" max="3080" width="7" style="13" customWidth="1"/>
    <col min="3081" max="3328" width="8.88671875" style="13"/>
    <col min="3329" max="3329" width="8.88671875" style="13" customWidth="1"/>
    <col min="3330" max="3330" width="6.6640625" style="13" customWidth="1"/>
    <col min="3331" max="3331" width="8" style="13" bestFit="1" customWidth="1"/>
    <col min="3332" max="3332" width="14.88671875" style="13" bestFit="1" customWidth="1"/>
    <col min="3333" max="3333" width="9.44140625" style="13" bestFit="1" customWidth="1"/>
    <col min="3334" max="3334" width="6.6640625" style="13" customWidth="1"/>
    <col min="3335" max="3335" width="6.21875" style="13" customWidth="1"/>
    <col min="3336" max="3336" width="7" style="13" customWidth="1"/>
    <col min="3337" max="3584" width="8.88671875" style="13"/>
    <col min="3585" max="3585" width="8.88671875" style="13" customWidth="1"/>
    <col min="3586" max="3586" width="6.6640625" style="13" customWidth="1"/>
    <col min="3587" max="3587" width="8" style="13" bestFit="1" customWidth="1"/>
    <col min="3588" max="3588" width="14.88671875" style="13" bestFit="1" customWidth="1"/>
    <col min="3589" max="3589" width="9.44140625" style="13" bestFit="1" customWidth="1"/>
    <col min="3590" max="3590" width="6.6640625" style="13" customWidth="1"/>
    <col min="3591" max="3591" width="6.21875" style="13" customWidth="1"/>
    <col min="3592" max="3592" width="7" style="13" customWidth="1"/>
    <col min="3593" max="3840" width="8.88671875" style="13"/>
    <col min="3841" max="3841" width="8.88671875" style="13" customWidth="1"/>
    <col min="3842" max="3842" width="6.6640625" style="13" customWidth="1"/>
    <col min="3843" max="3843" width="8" style="13" bestFit="1" customWidth="1"/>
    <col min="3844" max="3844" width="14.88671875" style="13" bestFit="1" customWidth="1"/>
    <col min="3845" max="3845" width="9.44140625" style="13" bestFit="1" customWidth="1"/>
    <col min="3846" max="3846" width="6.6640625" style="13" customWidth="1"/>
    <col min="3847" max="3847" width="6.21875" style="13" customWidth="1"/>
    <col min="3848" max="3848" width="7" style="13" customWidth="1"/>
    <col min="3849" max="4096" width="8.88671875" style="13"/>
    <col min="4097" max="4097" width="8.88671875" style="13" customWidth="1"/>
    <col min="4098" max="4098" width="6.6640625" style="13" customWidth="1"/>
    <col min="4099" max="4099" width="8" style="13" bestFit="1" customWidth="1"/>
    <col min="4100" max="4100" width="14.88671875" style="13" bestFit="1" customWidth="1"/>
    <col min="4101" max="4101" width="9.44140625" style="13" bestFit="1" customWidth="1"/>
    <col min="4102" max="4102" width="6.6640625" style="13" customWidth="1"/>
    <col min="4103" max="4103" width="6.21875" style="13" customWidth="1"/>
    <col min="4104" max="4104" width="7" style="13" customWidth="1"/>
    <col min="4105" max="4352" width="8.88671875" style="13"/>
    <col min="4353" max="4353" width="8.88671875" style="13" customWidth="1"/>
    <col min="4354" max="4354" width="6.6640625" style="13" customWidth="1"/>
    <col min="4355" max="4355" width="8" style="13" bestFit="1" customWidth="1"/>
    <col min="4356" max="4356" width="14.88671875" style="13" bestFit="1" customWidth="1"/>
    <col min="4357" max="4357" width="9.44140625" style="13" bestFit="1" customWidth="1"/>
    <col min="4358" max="4358" width="6.6640625" style="13" customWidth="1"/>
    <col min="4359" max="4359" width="6.21875" style="13" customWidth="1"/>
    <col min="4360" max="4360" width="7" style="13" customWidth="1"/>
    <col min="4361" max="4608" width="8.88671875" style="13"/>
    <col min="4609" max="4609" width="8.88671875" style="13" customWidth="1"/>
    <col min="4610" max="4610" width="6.6640625" style="13" customWidth="1"/>
    <col min="4611" max="4611" width="8" style="13" bestFit="1" customWidth="1"/>
    <col min="4612" max="4612" width="14.88671875" style="13" bestFit="1" customWidth="1"/>
    <col min="4613" max="4613" width="9.44140625" style="13" bestFit="1" customWidth="1"/>
    <col min="4614" max="4614" width="6.6640625" style="13" customWidth="1"/>
    <col min="4615" max="4615" width="6.21875" style="13" customWidth="1"/>
    <col min="4616" max="4616" width="7" style="13" customWidth="1"/>
    <col min="4617" max="4864" width="8.88671875" style="13"/>
    <col min="4865" max="4865" width="8.88671875" style="13" customWidth="1"/>
    <col min="4866" max="4866" width="6.6640625" style="13" customWidth="1"/>
    <col min="4867" max="4867" width="8" style="13" bestFit="1" customWidth="1"/>
    <col min="4868" max="4868" width="14.88671875" style="13" bestFit="1" customWidth="1"/>
    <col min="4869" max="4869" width="9.44140625" style="13" bestFit="1" customWidth="1"/>
    <col min="4870" max="4870" width="6.6640625" style="13" customWidth="1"/>
    <col min="4871" max="4871" width="6.21875" style="13" customWidth="1"/>
    <col min="4872" max="4872" width="7" style="13" customWidth="1"/>
    <col min="4873" max="5120" width="8.88671875" style="13"/>
    <col min="5121" max="5121" width="8.88671875" style="13" customWidth="1"/>
    <col min="5122" max="5122" width="6.6640625" style="13" customWidth="1"/>
    <col min="5123" max="5123" width="8" style="13" bestFit="1" customWidth="1"/>
    <col min="5124" max="5124" width="14.88671875" style="13" bestFit="1" customWidth="1"/>
    <col min="5125" max="5125" width="9.44140625" style="13" bestFit="1" customWidth="1"/>
    <col min="5126" max="5126" width="6.6640625" style="13" customWidth="1"/>
    <col min="5127" max="5127" width="6.21875" style="13" customWidth="1"/>
    <col min="5128" max="5128" width="7" style="13" customWidth="1"/>
    <col min="5129" max="5376" width="8.88671875" style="13"/>
    <col min="5377" max="5377" width="8.88671875" style="13" customWidth="1"/>
    <col min="5378" max="5378" width="6.6640625" style="13" customWidth="1"/>
    <col min="5379" max="5379" width="8" style="13" bestFit="1" customWidth="1"/>
    <col min="5380" max="5380" width="14.88671875" style="13" bestFit="1" customWidth="1"/>
    <col min="5381" max="5381" width="9.44140625" style="13" bestFit="1" customWidth="1"/>
    <col min="5382" max="5382" width="6.6640625" style="13" customWidth="1"/>
    <col min="5383" max="5383" width="6.21875" style="13" customWidth="1"/>
    <col min="5384" max="5384" width="7" style="13" customWidth="1"/>
    <col min="5385" max="5632" width="8.88671875" style="13"/>
    <col min="5633" max="5633" width="8.88671875" style="13" customWidth="1"/>
    <col min="5634" max="5634" width="6.6640625" style="13" customWidth="1"/>
    <col min="5635" max="5635" width="8" style="13" bestFit="1" customWidth="1"/>
    <col min="5636" max="5636" width="14.88671875" style="13" bestFit="1" customWidth="1"/>
    <col min="5637" max="5637" width="9.44140625" style="13" bestFit="1" customWidth="1"/>
    <col min="5638" max="5638" width="6.6640625" style="13" customWidth="1"/>
    <col min="5639" max="5639" width="6.21875" style="13" customWidth="1"/>
    <col min="5640" max="5640" width="7" style="13" customWidth="1"/>
    <col min="5641" max="5888" width="8.88671875" style="13"/>
    <col min="5889" max="5889" width="8.88671875" style="13" customWidth="1"/>
    <col min="5890" max="5890" width="6.6640625" style="13" customWidth="1"/>
    <col min="5891" max="5891" width="8" style="13" bestFit="1" customWidth="1"/>
    <col min="5892" max="5892" width="14.88671875" style="13" bestFit="1" customWidth="1"/>
    <col min="5893" max="5893" width="9.44140625" style="13" bestFit="1" customWidth="1"/>
    <col min="5894" max="5894" width="6.6640625" style="13" customWidth="1"/>
    <col min="5895" max="5895" width="6.21875" style="13" customWidth="1"/>
    <col min="5896" max="5896" width="7" style="13" customWidth="1"/>
    <col min="5897" max="6144" width="8.88671875" style="13"/>
    <col min="6145" max="6145" width="8.88671875" style="13" customWidth="1"/>
    <col min="6146" max="6146" width="6.6640625" style="13" customWidth="1"/>
    <col min="6147" max="6147" width="8" style="13" bestFit="1" customWidth="1"/>
    <col min="6148" max="6148" width="14.88671875" style="13" bestFit="1" customWidth="1"/>
    <col min="6149" max="6149" width="9.44140625" style="13" bestFit="1" customWidth="1"/>
    <col min="6150" max="6150" width="6.6640625" style="13" customWidth="1"/>
    <col min="6151" max="6151" width="6.21875" style="13" customWidth="1"/>
    <col min="6152" max="6152" width="7" style="13" customWidth="1"/>
    <col min="6153" max="6400" width="8.88671875" style="13"/>
    <col min="6401" max="6401" width="8.88671875" style="13" customWidth="1"/>
    <col min="6402" max="6402" width="6.6640625" style="13" customWidth="1"/>
    <col min="6403" max="6403" width="8" style="13" bestFit="1" customWidth="1"/>
    <col min="6404" max="6404" width="14.88671875" style="13" bestFit="1" customWidth="1"/>
    <col min="6405" max="6405" width="9.44140625" style="13" bestFit="1" customWidth="1"/>
    <col min="6406" max="6406" width="6.6640625" style="13" customWidth="1"/>
    <col min="6407" max="6407" width="6.21875" style="13" customWidth="1"/>
    <col min="6408" max="6408" width="7" style="13" customWidth="1"/>
    <col min="6409" max="6656" width="8.88671875" style="13"/>
    <col min="6657" max="6657" width="8.88671875" style="13" customWidth="1"/>
    <col min="6658" max="6658" width="6.6640625" style="13" customWidth="1"/>
    <col min="6659" max="6659" width="8" style="13" bestFit="1" customWidth="1"/>
    <col min="6660" max="6660" width="14.88671875" style="13" bestFit="1" customWidth="1"/>
    <col min="6661" max="6661" width="9.44140625" style="13" bestFit="1" customWidth="1"/>
    <col min="6662" max="6662" width="6.6640625" style="13" customWidth="1"/>
    <col min="6663" max="6663" width="6.21875" style="13" customWidth="1"/>
    <col min="6664" max="6664" width="7" style="13" customWidth="1"/>
    <col min="6665" max="6912" width="8.88671875" style="13"/>
    <col min="6913" max="6913" width="8.88671875" style="13" customWidth="1"/>
    <col min="6914" max="6914" width="6.6640625" style="13" customWidth="1"/>
    <col min="6915" max="6915" width="8" style="13" bestFit="1" customWidth="1"/>
    <col min="6916" max="6916" width="14.88671875" style="13" bestFit="1" customWidth="1"/>
    <col min="6917" max="6917" width="9.44140625" style="13" bestFit="1" customWidth="1"/>
    <col min="6918" max="6918" width="6.6640625" style="13" customWidth="1"/>
    <col min="6919" max="6919" width="6.21875" style="13" customWidth="1"/>
    <col min="6920" max="6920" width="7" style="13" customWidth="1"/>
    <col min="6921" max="7168" width="8.88671875" style="13"/>
    <col min="7169" max="7169" width="8.88671875" style="13" customWidth="1"/>
    <col min="7170" max="7170" width="6.6640625" style="13" customWidth="1"/>
    <col min="7171" max="7171" width="8" style="13" bestFit="1" customWidth="1"/>
    <col min="7172" max="7172" width="14.88671875" style="13" bestFit="1" customWidth="1"/>
    <col min="7173" max="7173" width="9.44140625" style="13" bestFit="1" customWidth="1"/>
    <col min="7174" max="7174" width="6.6640625" style="13" customWidth="1"/>
    <col min="7175" max="7175" width="6.21875" style="13" customWidth="1"/>
    <col min="7176" max="7176" width="7" style="13" customWidth="1"/>
    <col min="7177" max="7424" width="8.88671875" style="13"/>
    <col min="7425" max="7425" width="8.88671875" style="13" customWidth="1"/>
    <col min="7426" max="7426" width="6.6640625" style="13" customWidth="1"/>
    <col min="7427" max="7427" width="8" style="13" bestFit="1" customWidth="1"/>
    <col min="7428" max="7428" width="14.88671875" style="13" bestFit="1" customWidth="1"/>
    <col min="7429" max="7429" width="9.44140625" style="13" bestFit="1" customWidth="1"/>
    <col min="7430" max="7430" width="6.6640625" style="13" customWidth="1"/>
    <col min="7431" max="7431" width="6.21875" style="13" customWidth="1"/>
    <col min="7432" max="7432" width="7" style="13" customWidth="1"/>
    <col min="7433" max="7680" width="8.88671875" style="13"/>
    <col min="7681" max="7681" width="8.88671875" style="13" customWidth="1"/>
    <col min="7682" max="7682" width="6.6640625" style="13" customWidth="1"/>
    <col min="7683" max="7683" width="8" style="13" bestFit="1" customWidth="1"/>
    <col min="7684" max="7684" width="14.88671875" style="13" bestFit="1" customWidth="1"/>
    <col min="7685" max="7685" width="9.44140625" style="13" bestFit="1" customWidth="1"/>
    <col min="7686" max="7686" width="6.6640625" style="13" customWidth="1"/>
    <col min="7687" max="7687" width="6.21875" style="13" customWidth="1"/>
    <col min="7688" max="7688" width="7" style="13" customWidth="1"/>
    <col min="7689" max="7936" width="8.88671875" style="13"/>
    <col min="7937" max="7937" width="8.88671875" style="13" customWidth="1"/>
    <col min="7938" max="7938" width="6.6640625" style="13" customWidth="1"/>
    <col min="7939" max="7939" width="8" style="13" bestFit="1" customWidth="1"/>
    <col min="7940" max="7940" width="14.88671875" style="13" bestFit="1" customWidth="1"/>
    <col min="7941" max="7941" width="9.44140625" style="13" bestFit="1" customWidth="1"/>
    <col min="7942" max="7942" width="6.6640625" style="13" customWidth="1"/>
    <col min="7943" max="7943" width="6.21875" style="13" customWidth="1"/>
    <col min="7944" max="7944" width="7" style="13" customWidth="1"/>
    <col min="7945" max="8192" width="8.88671875" style="13"/>
    <col min="8193" max="8193" width="8.88671875" style="13" customWidth="1"/>
    <col min="8194" max="8194" width="6.6640625" style="13" customWidth="1"/>
    <col min="8195" max="8195" width="8" style="13" bestFit="1" customWidth="1"/>
    <col min="8196" max="8196" width="14.88671875" style="13" bestFit="1" customWidth="1"/>
    <col min="8197" max="8197" width="9.44140625" style="13" bestFit="1" customWidth="1"/>
    <col min="8198" max="8198" width="6.6640625" style="13" customWidth="1"/>
    <col min="8199" max="8199" width="6.21875" style="13" customWidth="1"/>
    <col min="8200" max="8200" width="7" style="13" customWidth="1"/>
    <col min="8201" max="8448" width="8.88671875" style="13"/>
    <col min="8449" max="8449" width="8.88671875" style="13" customWidth="1"/>
    <col min="8450" max="8450" width="6.6640625" style="13" customWidth="1"/>
    <col min="8451" max="8451" width="8" style="13" bestFit="1" customWidth="1"/>
    <col min="8452" max="8452" width="14.88671875" style="13" bestFit="1" customWidth="1"/>
    <col min="8453" max="8453" width="9.44140625" style="13" bestFit="1" customWidth="1"/>
    <col min="8454" max="8454" width="6.6640625" style="13" customWidth="1"/>
    <col min="8455" max="8455" width="6.21875" style="13" customWidth="1"/>
    <col min="8456" max="8456" width="7" style="13" customWidth="1"/>
    <col min="8457" max="8704" width="8.88671875" style="13"/>
    <col min="8705" max="8705" width="8.88671875" style="13" customWidth="1"/>
    <col min="8706" max="8706" width="6.6640625" style="13" customWidth="1"/>
    <col min="8707" max="8707" width="8" style="13" bestFit="1" customWidth="1"/>
    <col min="8708" max="8708" width="14.88671875" style="13" bestFit="1" customWidth="1"/>
    <col min="8709" max="8709" width="9.44140625" style="13" bestFit="1" customWidth="1"/>
    <col min="8710" max="8710" width="6.6640625" style="13" customWidth="1"/>
    <col min="8711" max="8711" width="6.21875" style="13" customWidth="1"/>
    <col min="8712" max="8712" width="7" style="13" customWidth="1"/>
    <col min="8713" max="8960" width="8.88671875" style="13"/>
    <col min="8961" max="8961" width="8.88671875" style="13" customWidth="1"/>
    <col min="8962" max="8962" width="6.6640625" style="13" customWidth="1"/>
    <col min="8963" max="8963" width="8" style="13" bestFit="1" customWidth="1"/>
    <col min="8964" max="8964" width="14.88671875" style="13" bestFit="1" customWidth="1"/>
    <col min="8965" max="8965" width="9.44140625" style="13" bestFit="1" customWidth="1"/>
    <col min="8966" max="8966" width="6.6640625" style="13" customWidth="1"/>
    <col min="8967" max="8967" width="6.21875" style="13" customWidth="1"/>
    <col min="8968" max="8968" width="7" style="13" customWidth="1"/>
    <col min="8969" max="9216" width="8.88671875" style="13"/>
    <col min="9217" max="9217" width="8.88671875" style="13" customWidth="1"/>
    <col min="9218" max="9218" width="6.6640625" style="13" customWidth="1"/>
    <col min="9219" max="9219" width="8" style="13" bestFit="1" customWidth="1"/>
    <col min="9220" max="9220" width="14.88671875" style="13" bestFit="1" customWidth="1"/>
    <col min="9221" max="9221" width="9.44140625" style="13" bestFit="1" customWidth="1"/>
    <col min="9222" max="9222" width="6.6640625" style="13" customWidth="1"/>
    <col min="9223" max="9223" width="6.21875" style="13" customWidth="1"/>
    <col min="9224" max="9224" width="7" style="13" customWidth="1"/>
    <col min="9225" max="9472" width="8.88671875" style="13"/>
    <col min="9473" max="9473" width="8.88671875" style="13" customWidth="1"/>
    <col min="9474" max="9474" width="6.6640625" style="13" customWidth="1"/>
    <col min="9475" max="9475" width="8" style="13" bestFit="1" customWidth="1"/>
    <col min="9476" max="9476" width="14.88671875" style="13" bestFit="1" customWidth="1"/>
    <col min="9477" max="9477" width="9.44140625" style="13" bestFit="1" customWidth="1"/>
    <col min="9478" max="9478" width="6.6640625" style="13" customWidth="1"/>
    <col min="9479" max="9479" width="6.21875" style="13" customWidth="1"/>
    <col min="9480" max="9480" width="7" style="13" customWidth="1"/>
    <col min="9481" max="9728" width="8.88671875" style="13"/>
    <col min="9729" max="9729" width="8.88671875" style="13" customWidth="1"/>
    <col min="9730" max="9730" width="6.6640625" style="13" customWidth="1"/>
    <col min="9731" max="9731" width="8" style="13" bestFit="1" customWidth="1"/>
    <col min="9732" max="9732" width="14.88671875" style="13" bestFit="1" customWidth="1"/>
    <col min="9733" max="9733" width="9.44140625" style="13" bestFit="1" customWidth="1"/>
    <col min="9734" max="9734" width="6.6640625" style="13" customWidth="1"/>
    <col min="9735" max="9735" width="6.21875" style="13" customWidth="1"/>
    <col min="9736" max="9736" width="7" style="13" customWidth="1"/>
    <col min="9737" max="9984" width="8.88671875" style="13"/>
    <col min="9985" max="9985" width="8.88671875" style="13" customWidth="1"/>
    <col min="9986" max="9986" width="6.6640625" style="13" customWidth="1"/>
    <col min="9987" max="9987" width="8" style="13" bestFit="1" customWidth="1"/>
    <col min="9988" max="9988" width="14.88671875" style="13" bestFit="1" customWidth="1"/>
    <col min="9989" max="9989" width="9.44140625" style="13" bestFit="1" customWidth="1"/>
    <col min="9990" max="9990" width="6.6640625" style="13" customWidth="1"/>
    <col min="9991" max="9991" width="6.21875" style="13" customWidth="1"/>
    <col min="9992" max="9992" width="7" style="13" customWidth="1"/>
    <col min="9993" max="10240" width="8.88671875" style="13"/>
    <col min="10241" max="10241" width="8.88671875" style="13" customWidth="1"/>
    <col min="10242" max="10242" width="6.6640625" style="13" customWidth="1"/>
    <col min="10243" max="10243" width="8" style="13" bestFit="1" customWidth="1"/>
    <col min="10244" max="10244" width="14.88671875" style="13" bestFit="1" customWidth="1"/>
    <col min="10245" max="10245" width="9.44140625" style="13" bestFit="1" customWidth="1"/>
    <col min="10246" max="10246" width="6.6640625" style="13" customWidth="1"/>
    <col min="10247" max="10247" width="6.21875" style="13" customWidth="1"/>
    <col min="10248" max="10248" width="7" style="13" customWidth="1"/>
    <col min="10249" max="10496" width="8.88671875" style="13"/>
    <col min="10497" max="10497" width="8.88671875" style="13" customWidth="1"/>
    <col min="10498" max="10498" width="6.6640625" style="13" customWidth="1"/>
    <col min="10499" max="10499" width="8" style="13" bestFit="1" customWidth="1"/>
    <col min="10500" max="10500" width="14.88671875" style="13" bestFit="1" customWidth="1"/>
    <col min="10501" max="10501" width="9.44140625" style="13" bestFit="1" customWidth="1"/>
    <col min="10502" max="10502" width="6.6640625" style="13" customWidth="1"/>
    <col min="10503" max="10503" width="6.21875" style="13" customWidth="1"/>
    <col min="10504" max="10504" width="7" style="13" customWidth="1"/>
    <col min="10505" max="10752" width="8.88671875" style="13"/>
    <col min="10753" max="10753" width="8.88671875" style="13" customWidth="1"/>
    <col min="10754" max="10754" width="6.6640625" style="13" customWidth="1"/>
    <col min="10755" max="10755" width="8" style="13" bestFit="1" customWidth="1"/>
    <col min="10756" max="10756" width="14.88671875" style="13" bestFit="1" customWidth="1"/>
    <col min="10757" max="10757" width="9.44140625" style="13" bestFit="1" customWidth="1"/>
    <col min="10758" max="10758" width="6.6640625" style="13" customWidth="1"/>
    <col min="10759" max="10759" width="6.21875" style="13" customWidth="1"/>
    <col min="10760" max="10760" width="7" style="13" customWidth="1"/>
    <col min="10761" max="11008" width="8.88671875" style="13"/>
    <col min="11009" max="11009" width="8.88671875" style="13" customWidth="1"/>
    <col min="11010" max="11010" width="6.6640625" style="13" customWidth="1"/>
    <col min="11011" max="11011" width="8" style="13" bestFit="1" customWidth="1"/>
    <col min="11012" max="11012" width="14.88671875" style="13" bestFit="1" customWidth="1"/>
    <col min="11013" max="11013" width="9.44140625" style="13" bestFit="1" customWidth="1"/>
    <col min="11014" max="11014" width="6.6640625" style="13" customWidth="1"/>
    <col min="11015" max="11015" width="6.21875" style="13" customWidth="1"/>
    <col min="11016" max="11016" width="7" style="13" customWidth="1"/>
    <col min="11017" max="11264" width="8.88671875" style="13"/>
    <col min="11265" max="11265" width="8.88671875" style="13" customWidth="1"/>
    <col min="11266" max="11266" width="6.6640625" style="13" customWidth="1"/>
    <col min="11267" max="11267" width="8" style="13" bestFit="1" customWidth="1"/>
    <col min="11268" max="11268" width="14.88671875" style="13" bestFit="1" customWidth="1"/>
    <col min="11269" max="11269" width="9.44140625" style="13" bestFit="1" customWidth="1"/>
    <col min="11270" max="11270" width="6.6640625" style="13" customWidth="1"/>
    <col min="11271" max="11271" width="6.21875" style="13" customWidth="1"/>
    <col min="11272" max="11272" width="7" style="13" customWidth="1"/>
    <col min="11273" max="11520" width="8.88671875" style="13"/>
    <col min="11521" max="11521" width="8.88671875" style="13" customWidth="1"/>
    <col min="11522" max="11522" width="6.6640625" style="13" customWidth="1"/>
    <col min="11523" max="11523" width="8" style="13" bestFit="1" customWidth="1"/>
    <col min="11524" max="11524" width="14.88671875" style="13" bestFit="1" customWidth="1"/>
    <col min="11525" max="11525" width="9.44140625" style="13" bestFit="1" customWidth="1"/>
    <col min="11526" max="11526" width="6.6640625" style="13" customWidth="1"/>
    <col min="11527" max="11527" width="6.21875" style="13" customWidth="1"/>
    <col min="11528" max="11528" width="7" style="13" customWidth="1"/>
    <col min="11529" max="11776" width="8.88671875" style="13"/>
    <col min="11777" max="11777" width="8.88671875" style="13" customWidth="1"/>
    <col min="11778" max="11778" width="6.6640625" style="13" customWidth="1"/>
    <col min="11779" max="11779" width="8" style="13" bestFit="1" customWidth="1"/>
    <col min="11780" max="11780" width="14.88671875" style="13" bestFit="1" customWidth="1"/>
    <col min="11781" max="11781" width="9.44140625" style="13" bestFit="1" customWidth="1"/>
    <col min="11782" max="11782" width="6.6640625" style="13" customWidth="1"/>
    <col min="11783" max="11783" width="6.21875" style="13" customWidth="1"/>
    <col min="11784" max="11784" width="7" style="13" customWidth="1"/>
    <col min="11785" max="12032" width="8.88671875" style="13"/>
    <col min="12033" max="12033" width="8.88671875" style="13" customWidth="1"/>
    <col min="12034" max="12034" width="6.6640625" style="13" customWidth="1"/>
    <col min="12035" max="12035" width="8" style="13" bestFit="1" customWidth="1"/>
    <col min="12036" max="12036" width="14.88671875" style="13" bestFit="1" customWidth="1"/>
    <col min="12037" max="12037" width="9.44140625" style="13" bestFit="1" customWidth="1"/>
    <col min="12038" max="12038" width="6.6640625" style="13" customWidth="1"/>
    <col min="12039" max="12039" width="6.21875" style="13" customWidth="1"/>
    <col min="12040" max="12040" width="7" style="13" customWidth="1"/>
    <col min="12041" max="12288" width="8.88671875" style="13"/>
    <col min="12289" max="12289" width="8.88671875" style="13" customWidth="1"/>
    <col min="12290" max="12290" width="6.6640625" style="13" customWidth="1"/>
    <col min="12291" max="12291" width="8" style="13" bestFit="1" customWidth="1"/>
    <col min="12292" max="12292" width="14.88671875" style="13" bestFit="1" customWidth="1"/>
    <col min="12293" max="12293" width="9.44140625" style="13" bestFit="1" customWidth="1"/>
    <col min="12294" max="12294" width="6.6640625" style="13" customWidth="1"/>
    <col min="12295" max="12295" width="6.21875" style="13" customWidth="1"/>
    <col min="12296" max="12296" width="7" style="13" customWidth="1"/>
    <col min="12297" max="12544" width="8.88671875" style="13"/>
    <col min="12545" max="12545" width="8.88671875" style="13" customWidth="1"/>
    <col min="12546" max="12546" width="6.6640625" style="13" customWidth="1"/>
    <col min="12547" max="12547" width="8" style="13" bestFit="1" customWidth="1"/>
    <col min="12548" max="12548" width="14.88671875" style="13" bestFit="1" customWidth="1"/>
    <col min="12549" max="12549" width="9.44140625" style="13" bestFit="1" customWidth="1"/>
    <col min="12550" max="12550" width="6.6640625" style="13" customWidth="1"/>
    <col min="12551" max="12551" width="6.21875" style="13" customWidth="1"/>
    <col min="12552" max="12552" width="7" style="13" customWidth="1"/>
    <col min="12553" max="12800" width="8.88671875" style="13"/>
    <col min="12801" max="12801" width="8.88671875" style="13" customWidth="1"/>
    <col min="12802" max="12802" width="6.6640625" style="13" customWidth="1"/>
    <col min="12803" max="12803" width="8" style="13" bestFit="1" customWidth="1"/>
    <col min="12804" max="12804" width="14.88671875" style="13" bestFit="1" customWidth="1"/>
    <col min="12805" max="12805" width="9.44140625" style="13" bestFit="1" customWidth="1"/>
    <col min="12806" max="12806" width="6.6640625" style="13" customWidth="1"/>
    <col min="12807" max="12807" width="6.21875" style="13" customWidth="1"/>
    <col min="12808" max="12808" width="7" style="13" customWidth="1"/>
    <col min="12809" max="13056" width="8.88671875" style="13"/>
    <col min="13057" max="13057" width="8.88671875" style="13" customWidth="1"/>
    <col min="13058" max="13058" width="6.6640625" style="13" customWidth="1"/>
    <col min="13059" max="13059" width="8" style="13" bestFit="1" customWidth="1"/>
    <col min="13060" max="13060" width="14.88671875" style="13" bestFit="1" customWidth="1"/>
    <col min="13061" max="13061" width="9.44140625" style="13" bestFit="1" customWidth="1"/>
    <col min="13062" max="13062" width="6.6640625" style="13" customWidth="1"/>
    <col min="13063" max="13063" width="6.21875" style="13" customWidth="1"/>
    <col min="13064" max="13064" width="7" style="13" customWidth="1"/>
    <col min="13065" max="13312" width="8.88671875" style="13"/>
    <col min="13313" max="13313" width="8.88671875" style="13" customWidth="1"/>
    <col min="13314" max="13314" width="6.6640625" style="13" customWidth="1"/>
    <col min="13315" max="13315" width="8" style="13" bestFit="1" customWidth="1"/>
    <col min="13316" max="13316" width="14.88671875" style="13" bestFit="1" customWidth="1"/>
    <col min="13317" max="13317" width="9.44140625" style="13" bestFit="1" customWidth="1"/>
    <col min="13318" max="13318" width="6.6640625" style="13" customWidth="1"/>
    <col min="13319" max="13319" width="6.21875" style="13" customWidth="1"/>
    <col min="13320" max="13320" width="7" style="13" customWidth="1"/>
    <col min="13321" max="13568" width="8.88671875" style="13"/>
    <col min="13569" max="13569" width="8.88671875" style="13" customWidth="1"/>
    <col min="13570" max="13570" width="6.6640625" style="13" customWidth="1"/>
    <col min="13571" max="13571" width="8" style="13" bestFit="1" customWidth="1"/>
    <col min="13572" max="13572" width="14.88671875" style="13" bestFit="1" customWidth="1"/>
    <col min="13573" max="13573" width="9.44140625" style="13" bestFit="1" customWidth="1"/>
    <col min="13574" max="13574" width="6.6640625" style="13" customWidth="1"/>
    <col min="13575" max="13575" width="6.21875" style="13" customWidth="1"/>
    <col min="13576" max="13576" width="7" style="13" customWidth="1"/>
    <col min="13577" max="13824" width="8.88671875" style="13"/>
    <col min="13825" max="13825" width="8.88671875" style="13" customWidth="1"/>
    <col min="13826" max="13826" width="6.6640625" style="13" customWidth="1"/>
    <col min="13827" max="13827" width="8" style="13" bestFit="1" customWidth="1"/>
    <col min="13828" max="13828" width="14.88671875" style="13" bestFit="1" customWidth="1"/>
    <col min="13829" max="13829" width="9.44140625" style="13" bestFit="1" customWidth="1"/>
    <col min="13830" max="13830" width="6.6640625" style="13" customWidth="1"/>
    <col min="13831" max="13831" width="6.21875" style="13" customWidth="1"/>
    <col min="13832" max="13832" width="7" style="13" customWidth="1"/>
    <col min="13833" max="14080" width="8.88671875" style="13"/>
    <col min="14081" max="14081" width="8.88671875" style="13" customWidth="1"/>
    <col min="14082" max="14082" width="6.6640625" style="13" customWidth="1"/>
    <col min="14083" max="14083" width="8" style="13" bestFit="1" customWidth="1"/>
    <col min="14084" max="14084" width="14.88671875" style="13" bestFit="1" customWidth="1"/>
    <col min="14085" max="14085" width="9.44140625" style="13" bestFit="1" customWidth="1"/>
    <col min="14086" max="14086" width="6.6640625" style="13" customWidth="1"/>
    <col min="14087" max="14087" width="6.21875" style="13" customWidth="1"/>
    <col min="14088" max="14088" width="7" style="13" customWidth="1"/>
    <col min="14089" max="14336" width="8.88671875" style="13"/>
    <col min="14337" max="14337" width="8.88671875" style="13" customWidth="1"/>
    <col min="14338" max="14338" width="6.6640625" style="13" customWidth="1"/>
    <col min="14339" max="14339" width="8" style="13" bestFit="1" customWidth="1"/>
    <col min="14340" max="14340" width="14.88671875" style="13" bestFit="1" customWidth="1"/>
    <col min="14341" max="14341" width="9.44140625" style="13" bestFit="1" customWidth="1"/>
    <col min="14342" max="14342" width="6.6640625" style="13" customWidth="1"/>
    <col min="14343" max="14343" width="6.21875" style="13" customWidth="1"/>
    <col min="14344" max="14344" width="7" style="13" customWidth="1"/>
    <col min="14345" max="14592" width="8.88671875" style="13"/>
    <col min="14593" max="14593" width="8.88671875" style="13" customWidth="1"/>
    <col min="14594" max="14594" width="6.6640625" style="13" customWidth="1"/>
    <col min="14595" max="14595" width="8" style="13" bestFit="1" customWidth="1"/>
    <col min="14596" max="14596" width="14.88671875" style="13" bestFit="1" customWidth="1"/>
    <col min="14597" max="14597" width="9.44140625" style="13" bestFit="1" customWidth="1"/>
    <col min="14598" max="14598" width="6.6640625" style="13" customWidth="1"/>
    <col min="14599" max="14599" width="6.21875" style="13" customWidth="1"/>
    <col min="14600" max="14600" width="7" style="13" customWidth="1"/>
    <col min="14601" max="14848" width="8.88671875" style="13"/>
    <col min="14849" max="14849" width="8.88671875" style="13" customWidth="1"/>
    <col min="14850" max="14850" width="6.6640625" style="13" customWidth="1"/>
    <col min="14851" max="14851" width="8" style="13" bestFit="1" customWidth="1"/>
    <col min="14852" max="14852" width="14.88671875" style="13" bestFit="1" customWidth="1"/>
    <col min="14853" max="14853" width="9.44140625" style="13" bestFit="1" customWidth="1"/>
    <col min="14854" max="14854" width="6.6640625" style="13" customWidth="1"/>
    <col min="14855" max="14855" width="6.21875" style="13" customWidth="1"/>
    <col min="14856" max="14856" width="7" style="13" customWidth="1"/>
    <col min="14857" max="15104" width="8.88671875" style="13"/>
    <col min="15105" max="15105" width="8.88671875" style="13" customWidth="1"/>
    <col min="15106" max="15106" width="6.6640625" style="13" customWidth="1"/>
    <col min="15107" max="15107" width="8" style="13" bestFit="1" customWidth="1"/>
    <col min="15108" max="15108" width="14.88671875" style="13" bestFit="1" customWidth="1"/>
    <col min="15109" max="15109" width="9.44140625" style="13" bestFit="1" customWidth="1"/>
    <col min="15110" max="15110" width="6.6640625" style="13" customWidth="1"/>
    <col min="15111" max="15111" width="6.21875" style="13" customWidth="1"/>
    <col min="15112" max="15112" width="7" style="13" customWidth="1"/>
    <col min="15113" max="15360" width="8.88671875" style="13"/>
    <col min="15361" max="15361" width="8.88671875" style="13" customWidth="1"/>
    <col min="15362" max="15362" width="6.6640625" style="13" customWidth="1"/>
    <col min="15363" max="15363" width="8" style="13" bestFit="1" customWidth="1"/>
    <col min="15364" max="15364" width="14.88671875" style="13" bestFit="1" customWidth="1"/>
    <col min="15365" max="15365" width="9.44140625" style="13" bestFit="1" customWidth="1"/>
    <col min="15366" max="15366" width="6.6640625" style="13" customWidth="1"/>
    <col min="15367" max="15367" width="6.21875" style="13" customWidth="1"/>
    <col min="15368" max="15368" width="7" style="13" customWidth="1"/>
    <col min="15369" max="15616" width="8.88671875" style="13"/>
    <col min="15617" max="15617" width="8.88671875" style="13" customWidth="1"/>
    <col min="15618" max="15618" width="6.6640625" style="13" customWidth="1"/>
    <col min="15619" max="15619" width="8" style="13" bestFit="1" customWidth="1"/>
    <col min="15620" max="15620" width="14.88671875" style="13" bestFit="1" customWidth="1"/>
    <col min="15621" max="15621" width="9.44140625" style="13" bestFit="1" customWidth="1"/>
    <col min="15622" max="15622" width="6.6640625" style="13" customWidth="1"/>
    <col min="15623" max="15623" width="6.21875" style="13" customWidth="1"/>
    <col min="15624" max="15624" width="7" style="13" customWidth="1"/>
    <col min="15625" max="15872" width="8.88671875" style="13"/>
    <col min="15873" max="15873" width="8.88671875" style="13" customWidth="1"/>
    <col min="15874" max="15874" width="6.6640625" style="13" customWidth="1"/>
    <col min="15875" max="15875" width="8" style="13" bestFit="1" customWidth="1"/>
    <col min="15876" max="15876" width="14.88671875" style="13" bestFit="1" customWidth="1"/>
    <col min="15877" max="15877" width="9.44140625" style="13" bestFit="1" customWidth="1"/>
    <col min="15878" max="15878" width="6.6640625" style="13" customWidth="1"/>
    <col min="15879" max="15879" width="6.21875" style="13" customWidth="1"/>
    <col min="15880" max="15880" width="7" style="13" customWidth="1"/>
    <col min="15881" max="16128" width="8.88671875" style="13"/>
    <col min="16129" max="16129" width="8.88671875" style="13" customWidth="1"/>
    <col min="16130" max="16130" width="6.6640625" style="13" customWidth="1"/>
    <col min="16131" max="16131" width="8" style="13" bestFit="1" customWidth="1"/>
    <col min="16132" max="16132" width="14.88671875" style="13" bestFit="1" customWidth="1"/>
    <col min="16133" max="16133" width="9.44140625" style="13" bestFit="1" customWidth="1"/>
    <col min="16134" max="16134" width="6.6640625" style="13" customWidth="1"/>
    <col min="16135" max="16135" width="6.21875" style="13" customWidth="1"/>
    <col min="16136" max="16136" width="7" style="13" customWidth="1"/>
    <col min="16137" max="16384" width="8.88671875" style="13"/>
  </cols>
  <sheetData>
    <row r="1" spans="1:14" ht="36.6" x14ac:dyDescent="0.7">
      <c r="A1" s="143" t="s">
        <v>227</v>
      </c>
      <c r="N1" s="751" t="s">
        <v>19</v>
      </c>
    </row>
    <row r="2" spans="1:14" x14ac:dyDescent="0.25">
      <c r="A2" s="277" t="s">
        <v>208</v>
      </c>
    </row>
    <row r="3" spans="1:14" x14ac:dyDescent="0.25">
      <c r="A3" s="139" t="s">
        <v>209</v>
      </c>
    </row>
    <row r="4" spans="1:14" ht="13.8" thickBot="1" x14ac:dyDescent="0.3"/>
    <row r="5" spans="1:14" ht="16.2" thickBot="1" x14ac:dyDescent="0.35">
      <c r="A5" s="294" t="s">
        <v>228</v>
      </c>
      <c r="B5" s="295"/>
      <c r="C5" s="1204">
        <f>SUMIF(B10:B59,"&gt;-99999",B10:B59)/SUM(C10:C59)</f>
        <v>0.31428571428571428</v>
      </c>
      <c r="D5" s="1205"/>
      <c r="N5" s="137" t="s">
        <v>137</v>
      </c>
    </row>
    <row r="6" spans="1:14" ht="13.8" thickBot="1" x14ac:dyDescent="0.3">
      <c r="A6" s="296" t="s">
        <v>229</v>
      </c>
      <c r="B6" s="297"/>
      <c r="C6" s="1206">
        <f>SUM(C10:C59)/COUNTIF(C10:C59,"&gt;0")</f>
        <v>8.75</v>
      </c>
      <c r="D6" s="1205"/>
    </row>
    <row r="7" spans="1:14" x14ac:dyDescent="0.25">
      <c r="E7" s="143"/>
      <c r="F7" s="143"/>
      <c r="G7" s="143"/>
      <c r="J7" s="143" t="s">
        <v>230</v>
      </c>
    </row>
    <row r="8" spans="1:14" x14ac:dyDescent="0.25">
      <c r="C8" s="143" t="s">
        <v>213</v>
      </c>
      <c r="D8" s="143" t="s">
        <v>231</v>
      </c>
      <c r="E8" s="143" t="s">
        <v>232</v>
      </c>
      <c r="J8" s="143" t="s">
        <v>233</v>
      </c>
    </row>
    <row r="9" spans="1:14" ht="13.8" thickBot="1" x14ac:dyDescent="0.3">
      <c r="A9" s="143" t="s">
        <v>213</v>
      </c>
      <c r="B9" s="143" t="s">
        <v>200</v>
      </c>
      <c r="C9" s="143" t="s">
        <v>234</v>
      </c>
      <c r="D9" s="143" t="s">
        <v>224</v>
      </c>
      <c r="E9" s="143" t="s">
        <v>235</v>
      </c>
      <c r="F9" s="143" t="s">
        <v>236</v>
      </c>
      <c r="G9" s="143" t="s">
        <v>216</v>
      </c>
      <c r="H9" s="143" t="s">
        <v>237</v>
      </c>
      <c r="J9" s="143" t="s">
        <v>236</v>
      </c>
      <c r="K9" s="143" t="s">
        <v>216</v>
      </c>
      <c r="L9" s="143" t="s">
        <v>237</v>
      </c>
    </row>
    <row r="10" spans="1:14" x14ac:dyDescent="0.25">
      <c r="A10" s="13">
        <v>1</v>
      </c>
      <c r="B10" s="298">
        <v>2</v>
      </c>
      <c r="C10" s="299">
        <v>10</v>
      </c>
      <c r="D10" s="300">
        <f>IF(B10&lt;&gt;"",B10/C10,NA())</f>
        <v>0.2</v>
      </c>
      <c r="E10" s="13">
        <f>IF(B10&lt;&gt;"",SQRT($C$5*(1-$C$5)/C10),NA())</f>
        <v>0.14680265804188719</v>
      </c>
      <c r="F10" s="13">
        <f>IF(B10&lt;&gt;"",MAX(0,$C$5-3*E10),NA())</f>
        <v>0</v>
      </c>
      <c r="G10" s="13">
        <f>IF(B10&lt;&gt;"",$C$5,NA())</f>
        <v>0.31428571428571428</v>
      </c>
      <c r="H10" s="13">
        <f>IF(B10&lt;&gt;"",$C$5+3*E10,NA())</f>
        <v>0.75469368841137585</v>
      </c>
      <c r="J10" s="13">
        <f>IF(B10&lt;&gt;"",MAX(0,$C$5-3*SQRT($C$5*(1-$C$5)/$C$6)),NA())</f>
        <v>0</v>
      </c>
      <c r="K10" s="13">
        <f>IF(B10&lt;&gt;"",$C$5,NA())</f>
        <v>0.31428571428571428</v>
      </c>
      <c r="L10" s="13">
        <f>IF(B10&lt;&gt;"",$C$5+3*SQRT($C$5*(1-$C$5)/$C$6),NA())</f>
        <v>0.78510164273755101</v>
      </c>
    </row>
    <row r="11" spans="1:14" x14ac:dyDescent="0.25">
      <c r="A11" s="13">
        <v>2</v>
      </c>
      <c r="B11" s="301">
        <v>6</v>
      </c>
      <c r="C11" s="302">
        <v>12</v>
      </c>
      <c r="D11" s="300">
        <f t="shared" ref="D11:D59" si="0">IF(B11&lt;&gt;"",B11/C11,NA())</f>
        <v>0.5</v>
      </c>
      <c r="E11" s="13">
        <f t="shared" ref="E11:E59" si="1">IF(B11&lt;&gt;"",SQRT($C$5*(1-$C$5)/C11),NA())</f>
        <v>0.13401187885209798</v>
      </c>
      <c r="F11" s="13">
        <f t="shared" ref="F11:F59" si="2">IF(B11&lt;&gt;"",MAX(0,$C$5-3*E11),NA())</f>
        <v>0</v>
      </c>
      <c r="G11" s="13">
        <f t="shared" ref="G11:G59" si="3">IF(B11&lt;&gt;"",$C$5,NA())</f>
        <v>0.31428571428571428</v>
      </c>
      <c r="H11" s="13">
        <f t="shared" ref="H11:H59" si="4">IF(B11&lt;&gt;"",$C$5+3*E11,NA())</f>
        <v>0.71632135084200821</v>
      </c>
      <c r="J11" s="13">
        <f t="shared" ref="J11:J59" si="5">IF(B11&lt;&gt;"",MAX(0,$C$5-3*SQRT($C$5*(1-$C$5)/$C$6)),NA())</f>
        <v>0</v>
      </c>
      <c r="K11" s="13">
        <f t="shared" ref="K11:K59" si="6">IF(B11&lt;&gt;"",$C$5,NA())</f>
        <v>0.31428571428571428</v>
      </c>
      <c r="L11" s="13">
        <f t="shared" ref="L11:L59" si="7">IF(B11&lt;&gt;"",$C$5+3*SQRT($C$5*(1-$C$5)/$C$6),NA())</f>
        <v>0.78510164273755101</v>
      </c>
    </row>
    <row r="12" spans="1:14" x14ac:dyDescent="0.25">
      <c r="A12" s="13">
        <v>3</v>
      </c>
      <c r="B12" s="301">
        <v>2</v>
      </c>
      <c r="C12" s="302">
        <v>5</v>
      </c>
      <c r="D12" s="300">
        <f t="shared" si="0"/>
        <v>0.4</v>
      </c>
      <c r="E12" s="13">
        <f t="shared" si="1"/>
        <v>0.20761030999525656</v>
      </c>
      <c r="F12" s="13">
        <f t="shared" si="2"/>
        <v>0</v>
      </c>
      <c r="G12" s="13">
        <f t="shared" si="3"/>
        <v>0.31428571428571428</v>
      </c>
      <c r="H12" s="13">
        <f t="shared" si="4"/>
        <v>0.937116644271484</v>
      </c>
      <c r="J12" s="13">
        <f t="shared" si="5"/>
        <v>0</v>
      </c>
      <c r="K12" s="13">
        <f t="shared" si="6"/>
        <v>0.31428571428571428</v>
      </c>
      <c r="L12" s="13">
        <f t="shared" si="7"/>
        <v>0.78510164273755101</v>
      </c>
    </row>
    <row r="13" spans="1:14" x14ac:dyDescent="0.25">
      <c r="A13" s="13">
        <v>4</v>
      </c>
      <c r="B13" s="301">
        <v>1</v>
      </c>
      <c r="C13" s="302">
        <v>8</v>
      </c>
      <c r="D13" s="300">
        <f t="shared" si="0"/>
        <v>0.125</v>
      </c>
      <c r="E13" s="13">
        <f t="shared" si="1"/>
        <v>0.16413036132965797</v>
      </c>
      <c r="F13" s="13">
        <f t="shared" si="2"/>
        <v>0</v>
      </c>
      <c r="G13" s="13">
        <f t="shared" si="3"/>
        <v>0.31428571428571428</v>
      </c>
      <c r="H13" s="13">
        <f t="shared" si="4"/>
        <v>0.80667679827468819</v>
      </c>
      <c r="J13" s="13">
        <f t="shared" si="5"/>
        <v>0</v>
      </c>
      <c r="K13" s="13">
        <f t="shared" si="6"/>
        <v>0.31428571428571428</v>
      </c>
      <c r="L13" s="13">
        <f t="shared" si="7"/>
        <v>0.78510164273755101</v>
      </c>
    </row>
    <row r="14" spans="1:14" x14ac:dyDescent="0.25">
      <c r="A14" s="13">
        <v>5</v>
      </c>
      <c r="B14" s="301"/>
      <c r="C14" s="302"/>
      <c r="D14" s="300" t="e">
        <f t="shared" si="0"/>
        <v>#N/A</v>
      </c>
      <c r="E14" s="13" t="e">
        <f t="shared" si="1"/>
        <v>#N/A</v>
      </c>
      <c r="F14" s="13" t="e">
        <f t="shared" si="2"/>
        <v>#N/A</v>
      </c>
      <c r="G14" s="13" t="e">
        <f t="shared" si="3"/>
        <v>#N/A</v>
      </c>
      <c r="H14" s="13" t="e">
        <f t="shared" si="4"/>
        <v>#N/A</v>
      </c>
      <c r="J14" s="13" t="e">
        <f t="shared" si="5"/>
        <v>#N/A</v>
      </c>
      <c r="K14" s="13" t="e">
        <f t="shared" si="6"/>
        <v>#N/A</v>
      </c>
      <c r="L14" s="13" t="e">
        <f t="shared" si="7"/>
        <v>#N/A</v>
      </c>
    </row>
    <row r="15" spans="1:14" x14ac:dyDescent="0.25">
      <c r="A15" s="13">
        <v>6</v>
      </c>
      <c r="B15" s="301"/>
      <c r="C15" s="302"/>
      <c r="D15" s="300" t="e">
        <f t="shared" si="0"/>
        <v>#N/A</v>
      </c>
      <c r="E15" s="13" t="e">
        <f t="shared" si="1"/>
        <v>#N/A</v>
      </c>
      <c r="F15" s="13" t="e">
        <f t="shared" si="2"/>
        <v>#N/A</v>
      </c>
      <c r="G15" s="13" t="e">
        <f t="shared" si="3"/>
        <v>#N/A</v>
      </c>
      <c r="H15" s="13" t="e">
        <f t="shared" si="4"/>
        <v>#N/A</v>
      </c>
      <c r="J15" s="13" t="e">
        <f t="shared" si="5"/>
        <v>#N/A</v>
      </c>
      <c r="K15" s="13" t="e">
        <f t="shared" si="6"/>
        <v>#N/A</v>
      </c>
      <c r="L15" s="13" t="e">
        <f t="shared" si="7"/>
        <v>#N/A</v>
      </c>
    </row>
    <row r="16" spans="1:14" x14ac:dyDescent="0.25">
      <c r="A16" s="13">
        <v>7</v>
      </c>
      <c r="B16" s="301"/>
      <c r="C16" s="302"/>
      <c r="D16" s="300" t="e">
        <f t="shared" si="0"/>
        <v>#N/A</v>
      </c>
      <c r="E16" s="13" t="e">
        <f t="shared" si="1"/>
        <v>#N/A</v>
      </c>
      <c r="F16" s="13" t="e">
        <f t="shared" si="2"/>
        <v>#N/A</v>
      </c>
      <c r="G16" s="13" t="e">
        <f t="shared" si="3"/>
        <v>#N/A</v>
      </c>
      <c r="H16" s="13" t="e">
        <f t="shared" si="4"/>
        <v>#N/A</v>
      </c>
      <c r="J16" s="13" t="e">
        <f t="shared" si="5"/>
        <v>#N/A</v>
      </c>
      <c r="K16" s="13" t="e">
        <f t="shared" si="6"/>
        <v>#N/A</v>
      </c>
      <c r="L16" s="13" t="e">
        <f t="shared" si="7"/>
        <v>#N/A</v>
      </c>
    </row>
    <row r="17" spans="1:12" x14ac:dyDescent="0.25">
      <c r="A17" s="13">
        <v>8</v>
      </c>
      <c r="B17" s="301"/>
      <c r="C17" s="302"/>
      <c r="D17" s="300" t="e">
        <f t="shared" si="0"/>
        <v>#N/A</v>
      </c>
      <c r="E17" s="13" t="e">
        <f t="shared" si="1"/>
        <v>#N/A</v>
      </c>
      <c r="F17" s="13" t="e">
        <f t="shared" si="2"/>
        <v>#N/A</v>
      </c>
      <c r="G17" s="13" t="e">
        <f t="shared" si="3"/>
        <v>#N/A</v>
      </c>
      <c r="H17" s="13" t="e">
        <f t="shared" si="4"/>
        <v>#N/A</v>
      </c>
      <c r="J17" s="13" t="e">
        <f t="shared" si="5"/>
        <v>#N/A</v>
      </c>
      <c r="K17" s="13" t="e">
        <f t="shared" si="6"/>
        <v>#N/A</v>
      </c>
      <c r="L17" s="13" t="e">
        <f t="shared" si="7"/>
        <v>#N/A</v>
      </c>
    </row>
    <row r="18" spans="1:12" x14ac:dyDescent="0.25">
      <c r="A18" s="13">
        <v>9</v>
      </c>
      <c r="B18" s="301"/>
      <c r="C18" s="302"/>
      <c r="D18" s="300" t="e">
        <f t="shared" si="0"/>
        <v>#N/A</v>
      </c>
      <c r="E18" s="13" t="e">
        <f t="shared" si="1"/>
        <v>#N/A</v>
      </c>
      <c r="F18" s="13" t="e">
        <f t="shared" si="2"/>
        <v>#N/A</v>
      </c>
      <c r="G18" s="13" t="e">
        <f t="shared" si="3"/>
        <v>#N/A</v>
      </c>
      <c r="H18" s="13" t="e">
        <f t="shared" si="4"/>
        <v>#N/A</v>
      </c>
      <c r="J18" s="13" t="e">
        <f t="shared" si="5"/>
        <v>#N/A</v>
      </c>
      <c r="K18" s="13" t="e">
        <f t="shared" si="6"/>
        <v>#N/A</v>
      </c>
      <c r="L18" s="13" t="e">
        <f t="shared" si="7"/>
        <v>#N/A</v>
      </c>
    </row>
    <row r="19" spans="1:12" x14ac:dyDescent="0.25">
      <c r="A19" s="13">
        <v>10</v>
      </c>
      <c r="B19" s="301"/>
      <c r="C19" s="302"/>
      <c r="D19" s="300" t="e">
        <f t="shared" si="0"/>
        <v>#N/A</v>
      </c>
      <c r="E19" s="13" t="e">
        <f t="shared" si="1"/>
        <v>#N/A</v>
      </c>
      <c r="F19" s="13" t="e">
        <f t="shared" si="2"/>
        <v>#N/A</v>
      </c>
      <c r="G19" s="13" t="e">
        <f t="shared" si="3"/>
        <v>#N/A</v>
      </c>
      <c r="H19" s="13" t="e">
        <f t="shared" si="4"/>
        <v>#N/A</v>
      </c>
      <c r="J19" s="13" t="e">
        <f t="shared" si="5"/>
        <v>#N/A</v>
      </c>
      <c r="K19" s="13" t="e">
        <f t="shared" si="6"/>
        <v>#N/A</v>
      </c>
      <c r="L19" s="13" t="e">
        <f t="shared" si="7"/>
        <v>#N/A</v>
      </c>
    </row>
    <row r="20" spans="1:12" x14ac:dyDescent="0.25">
      <c r="A20" s="13">
        <v>11</v>
      </c>
      <c r="B20" s="301"/>
      <c r="C20" s="302"/>
      <c r="D20" s="300" t="e">
        <f t="shared" si="0"/>
        <v>#N/A</v>
      </c>
      <c r="E20" s="13" t="e">
        <f t="shared" si="1"/>
        <v>#N/A</v>
      </c>
      <c r="F20" s="13" t="e">
        <f t="shared" si="2"/>
        <v>#N/A</v>
      </c>
      <c r="G20" s="13" t="e">
        <f t="shared" si="3"/>
        <v>#N/A</v>
      </c>
      <c r="H20" s="13" t="e">
        <f t="shared" si="4"/>
        <v>#N/A</v>
      </c>
      <c r="J20" s="13" t="e">
        <f t="shared" si="5"/>
        <v>#N/A</v>
      </c>
      <c r="K20" s="13" t="e">
        <f t="shared" si="6"/>
        <v>#N/A</v>
      </c>
      <c r="L20" s="13" t="e">
        <f t="shared" si="7"/>
        <v>#N/A</v>
      </c>
    </row>
    <row r="21" spans="1:12" x14ac:dyDescent="0.25">
      <c r="A21" s="13">
        <v>12</v>
      </c>
      <c r="B21" s="301"/>
      <c r="C21" s="302"/>
      <c r="D21" s="300" t="e">
        <f t="shared" si="0"/>
        <v>#N/A</v>
      </c>
      <c r="E21" s="13" t="e">
        <f t="shared" si="1"/>
        <v>#N/A</v>
      </c>
      <c r="F21" s="13" t="e">
        <f t="shared" si="2"/>
        <v>#N/A</v>
      </c>
      <c r="G21" s="13" t="e">
        <f t="shared" si="3"/>
        <v>#N/A</v>
      </c>
      <c r="H21" s="13" t="e">
        <f t="shared" si="4"/>
        <v>#N/A</v>
      </c>
      <c r="J21" s="13" t="e">
        <f t="shared" si="5"/>
        <v>#N/A</v>
      </c>
      <c r="K21" s="13" t="e">
        <f t="shared" si="6"/>
        <v>#N/A</v>
      </c>
      <c r="L21" s="13" t="e">
        <f t="shared" si="7"/>
        <v>#N/A</v>
      </c>
    </row>
    <row r="22" spans="1:12" x14ac:dyDescent="0.25">
      <c r="A22" s="13">
        <v>13</v>
      </c>
      <c r="B22" s="301"/>
      <c r="C22" s="302"/>
      <c r="D22" s="300" t="e">
        <f t="shared" si="0"/>
        <v>#N/A</v>
      </c>
      <c r="E22" s="13" t="e">
        <f t="shared" si="1"/>
        <v>#N/A</v>
      </c>
      <c r="F22" s="13" t="e">
        <f t="shared" si="2"/>
        <v>#N/A</v>
      </c>
      <c r="G22" s="13" t="e">
        <f t="shared" si="3"/>
        <v>#N/A</v>
      </c>
      <c r="H22" s="13" t="e">
        <f t="shared" si="4"/>
        <v>#N/A</v>
      </c>
      <c r="J22" s="13" t="e">
        <f t="shared" si="5"/>
        <v>#N/A</v>
      </c>
      <c r="K22" s="13" t="e">
        <f t="shared" si="6"/>
        <v>#N/A</v>
      </c>
      <c r="L22" s="13" t="e">
        <f t="shared" si="7"/>
        <v>#N/A</v>
      </c>
    </row>
    <row r="23" spans="1:12" x14ac:dyDescent="0.25">
      <c r="A23" s="13">
        <v>14</v>
      </c>
      <c r="B23" s="301"/>
      <c r="C23" s="302"/>
      <c r="D23" s="300" t="e">
        <f t="shared" si="0"/>
        <v>#N/A</v>
      </c>
      <c r="E23" s="13" t="e">
        <f t="shared" si="1"/>
        <v>#N/A</v>
      </c>
      <c r="F23" s="13" t="e">
        <f t="shared" si="2"/>
        <v>#N/A</v>
      </c>
      <c r="G23" s="13" t="e">
        <f t="shared" si="3"/>
        <v>#N/A</v>
      </c>
      <c r="H23" s="13" t="e">
        <f t="shared" si="4"/>
        <v>#N/A</v>
      </c>
      <c r="J23" s="13" t="e">
        <f t="shared" si="5"/>
        <v>#N/A</v>
      </c>
      <c r="K23" s="13" t="e">
        <f t="shared" si="6"/>
        <v>#N/A</v>
      </c>
      <c r="L23" s="13" t="e">
        <f t="shared" si="7"/>
        <v>#N/A</v>
      </c>
    </row>
    <row r="24" spans="1:12" x14ac:dyDescent="0.25">
      <c r="A24" s="13">
        <v>15</v>
      </c>
      <c r="B24" s="301"/>
      <c r="C24" s="302"/>
      <c r="D24" s="300" t="e">
        <f t="shared" si="0"/>
        <v>#N/A</v>
      </c>
      <c r="E24" s="13" t="e">
        <f t="shared" si="1"/>
        <v>#N/A</v>
      </c>
      <c r="F24" s="13" t="e">
        <f t="shared" si="2"/>
        <v>#N/A</v>
      </c>
      <c r="G24" s="13" t="e">
        <f t="shared" si="3"/>
        <v>#N/A</v>
      </c>
      <c r="H24" s="13" t="e">
        <f t="shared" si="4"/>
        <v>#N/A</v>
      </c>
      <c r="J24" s="13" t="e">
        <f t="shared" si="5"/>
        <v>#N/A</v>
      </c>
      <c r="K24" s="13" t="e">
        <f t="shared" si="6"/>
        <v>#N/A</v>
      </c>
      <c r="L24" s="13" t="e">
        <f t="shared" si="7"/>
        <v>#N/A</v>
      </c>
    </row>
    <row r="25" spans="1:12" x14ac:dyDescent="0.25">
      <c r="A25" s="13">
        <v>16</v>
      </c>
      <c r="B25" s="301"/>
      <c r="C25" s="302"/>
      <c r="D25" s="300" t="e">
        <f t="shared" si="0"/>
        <v>#N/A</v>
      </c>
      <c r="E25" s="13" t="e">
        <f t="shared" si="1"/>
        <v>#N/A</v>
      </c>
      <c r="F25" s="13" t="e">
        <f t="shared" si="2"/>
        <v>#N/A</v>
      </c>
      <c r="G25" s="13" t="e">
        <f t="shared" si="3"/>
        <v>#N/A</v>
      </c>
      <c r="H25" s="13" t="e">
        <f t="shared" si="4"/>
        <v>#N/A</v>
      </c>
      <c r="J25" s="13" t="e">
        <f t="shared" si="5"/>
        <v>#N/A</v>
      </c>
      <c r="K25" s="13" t="e">
        <f t="shared" si="6"/>
        <v>#N/A</v>
      </c>
      <c r="L25" s="13" t="e">
        <f t="shared" si="7"/>
        <v>#N/A</v>
      </c>
    </row>
    <row r="26" spans="1:12" x14ac:dyDescent="0.25">
      <c r="A26" s="13">
        <v>17</v>
      </c>
      <c r="B26" s="301"/>
      <c r="C26" s="302"/>
      <c r="D26" s="300" t="e">
        <f t="shared" si="0"/>
        <v>#N/A</v>
      </c>
      <c r="E26" s="13" t="e">
        <f t="shared" si="1"/>
        <v>#N/A</v>
      </c>
      <c r="F26" s="13" t="e">
        <f t="shared" si="2"/>
        <v>#N/A</v>
      </c>
      <c r="G26" s="13" t="e">
        <f t="shared" si="3"/>
        <v>#N/A</v>
      </c>
      <c r="H26" s="13" t="e">
        <f t="shared" si="4"/>
        <v>#N/A</v>
      </c>
      <c r="J26" s="13" t="e">
        <f t="shared" si="5"/>
        <v>#N/A</v>
      </c>
      <c r="K26" s="13" t="e">
        <f t="shared" si="6"/>
        <v>#N/A</v>
      </c>
      <c r="L26" s="13" t="e">
        <f t="shared" si="7"/>
        <v>#N/A</v>
      </c>
    </row>
    <row r="27" spans="1:12" x14ac:dyDescent="0.25">
      <c r="A27" s="13">
        <v>18</v>
      </c>
      <c r="B27" s="301"/>
      <c r="C27" s="302"/>
      <c r="D27" s="300" t="e">
        <f t="shared" si="0"/>
        <v>#N/A</v>
      </c>
      <c r="E27" s="13" t="e">
        <f t="shared" si="1"/>
        <v>#N/A</v>
      </c>
      <c r="F27" s="13" t="e">
        <f t="shared" si="2"/>
        <v>#N/A</v>
      </c>
      <c r="G27" s="13" t="e">
        <f t="shared" si="3"/>
        <v>#N/A</v>
      </c>
      <c r="H27" s="13" t="e">
        <f t="shared" si="4"/>
        <v>#N/A</v>
      </c>
      <c r="J27" s="13" t="e">
        <f t="shared" si="5"/>
        <v>#N/A</v>
      </c>
      <c r="K27" s="13" t="e">
        <f t="shared" si="6"/>
        <v>#N/A</v>
      </c>
      <c r="L27" s="13" t="e">
        <f t="shared" si="7"/>
        <v>#N/A</v>
      </c>
    </row>
    <row r="28" spans="1:12" x14ac:dyDescent="0.25">
      <c r="A28" s="13">
        <v>19</v>
      </c>
      <c r="B28" s="301"/>
      <c r="C28" s="302"/>
      <c r="D28" s="300" t="e">
        <f t="shared" si="0"/>
        <v>#N/A</v>
      </c>
      <c r="E28" s="13" t="e">
        <f t="shared" si="1"/>
        <v>#N/A</v>
      </c>
      <c r="F28" s="13" t="e">
        <f t="shared" si="2"/>
        <v>#N/A</v>
      </c>
      <c r="G28" s="13" t="e">
        <f t="shared" si="3"/>
        <v>#N/A</v>
      </c>
      <c r="H28" s="13" t="e">
        <f t="shared" si="4"/>
        <v>#N/A</v>
      </c>
      <c r="J28" s="13" t="e">
        <f t="shared" si="5"/>
        <v>#N/A</v>
      </c>
      <c r="K28" s="13" t="e">
        <f t="shared" si="6"/>
        <v>#N/A</v>
      </c>
      <c r="L28" s="13" t="e">
        <f t="shared" si="7"/>
        <v>#N/A</v>
      </c>
    </row>
    <row r="29" spans="1:12" x14ac:dyDescent="0.25">
      <c r="A29" s="13">
        <v>20</v>
      </c>
      <c r="B29" s="301"/>
      <c r="C29" s="302"/>
      <c r="D29" s="300" t="e">
        <f t="shared" si="0"/>
        <v>#N/A</v>
      </c>
      <c r="E29" s="13" t="e">
        <f t="shared" si="1"/>
        <v>#N/A</v>
      </c>
      <c r="F29" s="13" t="e">
        <f t="shared" si="2"/>
        <v>#N/A</v>
      </c>
      <c r="G29" s="13" t="e">
        <f t="shared" si="3"/>
        <v>#N/A</v>
      </c>
      <c r="H29" s="13" t="e">
        <f t="shared" si="4"/>
        <v>#N/A</v>
      </c>
      <c r="J29" s="13" t="e">
        <f t="shared" si="5"/>
        <v>#N/A</v>
      </c>
      <c r="K29" s="13" t="e">
        <f t="shared" si="6"/>
        <v>#N/A</v>
      </c>
      <c r="L29" s="13" t="e">
        <f t="shared" si="7"/>
        <v>#N/A</v>
      </c>
    </row>
    <row r="30" spans="1:12" x14ac:dyDescent="0.25">
      <c r="A30" s="13">
        <v>21</v>
      </c>
      <c r="B30" s="301"/>
      <c r="C30" s="302"/>
      <c r="D30" s="300" t="e">
        <f t="shared" si="0"/>
        <v>#N/A</v>
      </c>
      <c r="E30" s="13" t="e">
        <f t="shared" si="1"/>
        <v>#N/A</v>
      </c>
      <c r="F30" s="13" t="e">
        <f t="shared" si="2"/>
        <v>#N/A</v>
      </c>
      <c r="G30" s="13" t="e">
        <f t="shared" si="3"/>
        <v>#N/A</v>
      </c>
      <c r="H30" s="13" t="e">
        <f t="shared" si="4"/>
        <v>#N/A</v>
      </c>
      <c r="J30" s="13" t="e">
        <f t="shared" si="5"/>
        <v>#N/A</v>
      </c>
      <c r="K30" s="13" t="e">
        <f t="shared" si="6"/>
        <v>#N/A</v>
      </c>
      <c r="L30" s="13" t="e">
        <f t="shared" si="7"/>
        <v>#N/A</v>
      </c>
    </row>
    <row r="31" spans="1:12" x14ac:dyDescent="0.25">
      <c r="A31" s="13">
        <v>22</v>
      </c>
      <c r="B31" s="301"/>
      <c r="C31" s="302"/>
      <c r="D31" s="300" t="e">
        <f t="shared" si="0"/>
        <v>#N/A</v>
      </c>
      <c r="E31" s="13" t="e">
        <f t="shared" si="1"/>
        <v>#N/A</v>
      </c>
      <c r="F31" s="13" t="e">
        <f t="shared" si="2"/>
        <v>#N/A</v>
      </c>
      <c r="G31" s="13" t="e">
        <f t="shared" si="3"/>
        <v>#N/A</v>
      </c>
      <c r="H31" s="13" t="e">
        <f t="shared" si="4"/>
        <v>#N/A</v>
      </c>
      <c r="J31" s="13" t="e">
        <f t="shared" si="5"/>
        <v>#N/A</v>
      </c>
      <c r="K31" s="13" t="e">
        <f t="shared" si="6"/>
        <v>#N/A</v>
      </c>
      <c r="L31" s="13" t="e">
        <f t="shared" si="7"/>
        <v>#N/A</v>
      </c>
    </row>
    <row r="32" spans="1:12" x14ac:dyDescent="0.25">
      <c r="A32" s="13">
        <v>23</v>
      </c>
      <c r="B32" s="301"/>
      <c r="C32" s="302"/>
      <c r="D32" s="300" t="e">
        <f t="shared" si="0"/>
        <v>#N/A</v>
      </c>
      <c r="E32" s="13" t="e">
        <f t="shared" si="1"/>
        <v>#N/A</v>
      </c>
      <c r="F32" s="13" t="e">
        <f t="shared" si="2"/>
        <v>#N/A</v>
      </c>
      <c r="G32" s="13" t="e">
        <f t="shared" si="3"/>
        <v>#N/A</v>
      </c>
      <c r="H32" s="13" t="e">
        <f t="shared" si="4"/>
        <v>#N/A</v>
      </c>
      <c r="J32" s="13" t="e">
        <f t="shared" si="5"/>
        <v>#N/A</v>
      </c>
      <c r="K32" s="13" t="e">
        <f t="shared" si="6"/>
        <v>#N/A</v>
      </c>
      <c r="L32" s="13" t="e">
        <f t="shared" si="7"/>
        <v>#N/A</v>
      </c>
    </row>
    <row r="33" spans="1:12" x14ac:dyDescent="0.25">
      <c r="A33" s="13">
        <v>24</v>
      </c>
      <c r="B33" s="301"/>
      <c r="C33" s="302"/>
      <c r="D33" s="300" t="e">
        <f t="shared" si="0"/>
        <v>#N/A</v>
      </c>
      <c r="E33" s="13" t="e">
        <f t="shared" si="1"/>
        <v>#N/A</v>
      </c>
      <c r="F33" s="13" t="e">
        <f t="shared" si="2"/>
        <v>#N/A</v>
      </c>
      <c r="G33" s="13" t="e">
        <f t="shared" si="3"/>
        <v>#N/A</v>
      </c>
      <c r="H33" s="13" t="e">
        <f t="shared" si="4"/>
        <v>#N/A</v>
      </c>
      <c r="J33" s="13" t="e">
        <f t="shared" si="5"/>
        <v>#N/A</v>
      </c>
      <c r="K33" s="13" t="e">
        <f t="shared" si="6"/>
        <v>#N/A</v>
      </c>
      <c r="L33" s="13" t="e">
        <f t="shared" si="7"/>
        <v>#N/A</v>
      </c>
    </row>
    <row r="34" spans="1:12" x14ac:dyDescent="0.25">
      <c r="A34" s="13">
        <v>25</v>
      </c>
      <c r="B34" s="301"/>
      <c r="C34" s="302"/>
      <c r="D34" s="300" t="e">
        <f t="shared" si="0"/>
        <v>#N/A</v>
      </c>
      <c r="E34" s="13" t="e">
        <f t="shared" si="1"/>
        <v>#N/A</v>
      </c>
      <c r="F34" s="13" t="e">
        <f t="shared" si="2"/>
        <v>#N/A</v>
      </c>
      <c r="G34" s="13" t="e">
        <f t="shared" si="3"/>
        <v>#N/A</v>
      </c>
      <c r="H34" s="13" t="e">
        <f t="shared" si="4"/>
        <v>#N/A</v>
      </c>
      <c r="J34" s="13" t="e">
        <f t="shared" si="5"/>
        <v>#N/A</v>
      </c>
      <c r="K34" s="13" t="e">
        <f t="shared" si="6"/>
        <v>#N/A</v>
      </c>
      <c r="L34" s="13" t="e">
        <f t="shared" si="7"/>
        <v>#N/A</v>
      </c>
    </row>
    <row r="35" spans="1:12" x14ac:dyDescent="0.25">
      <c r="A35" s="13">
        <v>26</v>
      </c>
      <c r="B35" s="301"/>
      <c r="C35" s="302"/>
      <c r="D35" s="300" t="e">
        <f t="shared" si="0"/>
        <v>#N/A</v>
      </c>
      <c r="E35" s="13" t="e">
        <f t="shared" si="1"/>
        <v>#N/A</v>
      </c>
      <c r="F35" s="13" t="e">
        <f t="shared" si="2"/>
        <v>#N/A</v>
      </c>
      <c r="G35" s="13" t="e">
        <f t="shared" si="3"/>
        <v>#N/A</v>
      </c>
      <c r="H35" s="13" t="e">
        <f t="shared" si="4"/>
        <v>#N/A</v>
      </c>
      <c r="J35" s="13" t="e">
        <f t="shared" si="5"/>
        <v>#N/A</v>
      </c>
      <c r="K35" s="13" t="e">
        <f t="shared" si="6"/>
        <v>#N/A</v>
      </c>
      <c r="L35" s="13" t="e">
        <f t="shared" si="7"/>
        <v>#N/A</v>
      </c>
    </row>
    <row r="36" spans="1:12" x14ac:dyDescent="0.25">
      <c r="A36" s="13">
        <v>27</v>
      </c>
      <c r="B36" s="301"/>
      <c r="C36" s="302"/>
      <c r="D36" s="300" t="e">
        <f t="shared" si="0"/>
        <v>#N/A</v>
      </c>
      <c r="E36" s="13" t="e">
        <f t="shared" si="1"/>
        <v>#N/A</v>
      </c>
      <c r="F36" s="13" t="e">
        <f t="shared" si="2"/>
        <v>#N/A</v>
      </c>
      <c r="G36" s="13" t="e">
        <f t="shared" si="3"/>
        <v>#N/A</v>
      </c>
      <c r="H36" s="13" t="e">
        <f t="shared" si="4"/>
        <v>#N/A</v>
      </c>
      <c r="J36" s="13" t="e">
        <f t="shared" si="5"/>
        <v>#N/A</v>
      </c>
      <c r="K36" s="13" t="e">
        <f t="shared" si="6"/>
        <v>#N/A</v>
      </c>
      <c r="L36" s="13" t="e">
        <f t="shared" si="7"/>
        <v>#N/A</v>
      </c>
    </row>
    <row r="37" spans="1:12" x14ac:dyDescent="0.25">
      <c r="A37" s="13">
        <v>28</v>
      </c>
      <c r="B37" s="301"/>
      <c r="C37" s="302"/>
      <c r="D37" s="300" t="e">
        <f t="shared" si="0"/>
        <v>#N/A</v>
      </c>
      <c r="E37" s="13" t="e">
        <f t="shared" si="1"/>
        <v>#N/A</v>
      </c>
      <c r="F37" s="13" t="e">
        <f t="shared" si="2"/>
        <v>#N/A</v>
      </c>
      <c r="G37" s="13" t="e">
        <f t="shared" si="3"/>
        <v>#N/A</v>
      </c>
      <c r="H37" s="13" t="e">
        <f t="shared" si="4"/>
        <v>#N/A</v>
      </c>
      <c r="J37" s="13" t="e">
        <f t="shared" si="5"/>
        <v>#N/A</v>
      </c>
      <c r="K37" s="13" t="e">
        <f t="shared" si="6"/>
        <v>#N/A</v>
      </c>
      <c r="L37" s="13" t="e">
        <f t="shared" si="7"/>
        <v>#N/A</v>
      </c>
    </row>
    <row r="38" spans="1:12" x14ac:dyDescent="0.25">
      <c r="A38" s="13">
        <v>29</v>
      </c>
      <c r="B38" s="301"/>
      <c r="C38" s="302"/>
      <c r="D38" s="300" t="e">
        <f t="shared" si="0"/>
        <v>#N/A</v>
      </c>
      <c r="E38" s="13" t="e">
        <f t="shared" si="1"/>
        <v>#N/A</v>
      </c>
      <c r="F38" s="13" t="e">
        <f t="shared" si="2"/>
        <v>#N/A</v>
      </c>
      <c r="G38" s="13" t="e">
        <f t="shared" si="3"/>
        <v>#N/A</v>
      </c>
      <c r="H38" s="13" t="e">
        <f t="shared" si="4"/>
        <v>#N/A</v>
      </c>
      <c r="J38" s="13" t="e">
        <f t="shared" si="5"/>
        <v>#N/A</v>
      </c>
      <c r="K38" s="13" t="e">
        <f t="shared" si="6"/>
        <v>#N/A</v>
      </c>
      <c r="L38" s="13" t="e">
        <f t="shared" si="7"/>
        <v>#N/A</v>
      </c>
    </row>
    <row r="39" spans="1:12" x14ac:dyDescent="0.25">
      <c r="A39" s="13">
        <v>30</v>
      </c>
      <c r="B39" s="301"/>
      <c r="C39" s="302"/>
      <c r="D39" s="300" t="e">
        <f t="shared" si="0"/>
        <v>#N/A</v>
      </c>
      <c r="E39" s="13" t="e">
        <f t="shared" si="1"/>
        <v>#N/A</v>
      </c>
      <c r="F39" s="13" t="e">
        <f t="shared" si="2"/>
        <v>#N/A</v>
      </c>
      <c r="G39" s="13" t="e">
        <f t="shared" si="3"/>
        <v>#N/A</v>
      </c>
      <c r="H39" s="13" t="e">
        <f t="shared" si="4"/>
        <v>#N/A</v>
      </c>
      <c r="J39" s="13" t="e">
        <f t="shared" si="5"/>
        <v>#N/A</v>
      </c>
      <c r="K39" s="13" t="e">
        <f t="shared" si="6"/>
        <v>#N/A</v>
      </c>
      <c r="L39" s="13" t="e">
        <f t="shared" si="7"/>
        <v>#N/A</v>
      </c>
    </row>
    <row r="40" spans="1:12" x14ac:dyDescent="0.25">
      <c r="A40" s="13">
        <v>31</v>
      </c>
      <c r="B40" s="301"/>
      <c r="C40" s="302"/>
      <c r="D40" s="300" t="e">
        <f t="shared" si="0"/>
        <v>#N/A</v>
      </c>
      <c r="E40" s="13" t="e">
        <f t="shared" si="1"/>
        <v>#N/A</v>
      </c>
      <c r="F40" s="13" t="e">
        <f t="shared" si="2"/>
        <v>#N/A</v>
      </c>
      <c r="G40" s="13" t="e">
        <f t="shared" si="3"/>
        <v>#N/A</v>
      </c>
      <c r="H40" s="13" t="e">
        <f t="shared" si="4"/>
        <v>#N/A</v>
      </c>
      <c r="J40" s="13" t="e">
        <f t="shared" si="5"/>
        <v>#N/A</v>
      </c>
      <c r="K40" s="13" t="e">
        <f t="shared" si="6"/>
        <v>#N/A</v>
      </c>
      <c r="L40" s="13" t="e">
        <f t="shared" si="7"/>
        <v>#N/A</v>
      </c>
    </row>
    <row r="41" spans="1:12" x14ac:dyDescent="0.25">
      <c r="A41" s="13">
        <v>32</v>
      </c>
      <c r="B41" s="301"/>
      <c r="C41" s="302"/>
      <c r="D41" s="300" t="e">
        <f t="shared" si="0"/>
        <v>#N/A</v>
      </c>
      <c r="E41" s="13" t="e">
        <f t="shared" si="1"/>
        <v>#N/A</v>
      </c>
      <c r="F41" s="13" t="e">
        <f t="shared" si="2"/>
        <v>#N/A</v>
      </c>
      <c r="G41" s="13" t="e">
        <f t="shared" si="3"/>
        <v>#N/A</v>
      </c>
      <c r="H41" s="13" t="e">
        <f t="shared" si="4"/>
        <v>#N/A</v>
      </c>
      <c r="J41" s="13" t="e">
        <f t="shared" si="5"/>
        <v>#N/A</v>
      </c>
      <c r="K41" s="13" t="e">
        <f t="shared" si="6"/>
        <v>#N/A</v>
      </c>
      <c r="L41" s="13" t="e">
        <f t="shared" si="7"/>
        <v>#N/A</v>
      </c>
    </row>
    <row r="42" spans="1:12" x14ac:dyDescent="0.25">
      <c r="A42" s="13">
        <v>33</v>
      </c>
      <c r="B42" s="301"/>
      <c r="C42" s="302"/>
      <c r="D42" s="300" t="e">
        <f t="shared" si="0"/>
        <v>#N/A</v>
      </c>
      <c r="E42" s="13" t="e">
        <f t="shared" si="1"/>
        <v>#N/A</v>
      </c>
      <c r="F42" s="13" t="e">
        <f t="shared" si="2"/>
        <v>#N/A</v>
      </c>
      <c r="G42" s="13" t="e">
        <f t="shared" si="3"/>
        <v>#N/A</v>
      </c>
      <c r="H42" s="13" t="e">
        <f t="shared" si="4"/>
        <v>#N/A</v>
      </c>
      <c r="J42" s="13" t="e">
        <f t="shared" si="5"/>
        <v>#N/A</v>
      </c>
      <c r="K42" s="13" t="e">
        <f t="shared" si="6"/>
        <v>#N/A</v>
      </c>
      <c r="L42" s="13" t="e">
        <f t="shared" si="7"/>
        <v>#N/A</v>
      </c>
    </row>
    <row r="43" spans="1:12" x14ac:dyDescent="0.25">
      <c r="A43" s="13">
        <v>34</v>
      </c>
      <c r="B43" s="301"/>
      <c r="C43" s="302"/>
      <c r="D43" s="300" t="e">
        <f t="shared" si="0"/>
        <v>#N/A</v>
      </c>
      <c r="E43" s="13" t="e">
        <f t="shared" si="1"/>
        <v>#N/A</v>
      </c>
      <c r="F43" s="13" t="e">
        <f t="shared" si="2"/>
        <v>#N/A</v>
      </c>
      <c r="G43" s="13" t="e">
        <f t="shared" si="3"/>
        <v>#N/A</v>
      </c>
      <c r="H43" s="13" t="e">
        <f t="shared" si="4"/>
        <v>#N/A</v>
      </c>
      <c r="J43" s="13" t="e">
        <f t="shared" si="5"/>
        <v>#N/A</v>
      </c>
      <c r="K43" s="13" t="e">
        <f t="shared" si="6"/>
        <v>#N/A</v>
      </c>
      <c r="L43" s="13" t="e">
        <f t="shared" si="7"/>
        <v>#N/A</v>
      </c>
    </row>
    <row r="44" spans="1:12" x14ac:dyDescent="0.25">
      <c r="A44" s="13">
        <v>35</v>
      </c>
      <c r="B44" s="301"/>
      <c r="C44" s="302"/>
      <c r="D44" s="300" t="e">
        <f t="shared" si="0"/>
        <v>#N/A</v>
      </c>
      <c r="E44" s="13" t="e">
        <f t="shared" si="1"/>
        <v>#N/A</v>
      </c>
      <c r="F44" s="13" t="e">
        <f t="shared" si="2"/>
        <v>#N/A</v>
      </c>
      <c r="G44" s="13" t="e">
        <f t="shared" si="3"/>
        <v>#N/A</v>
      </c>
      <c r="H44" s="13" t="e">
        <f t="shared" si="4"/>
        <v>#N/A</v>
      </c>
      <c r="J44" s="13" t="e">
        <f t="shared" si="5"/>
        <v>#N/A</v>
      </c>
      <c r="K44" s="13" t="e">
        <f t="shared" si="6"/>
        <v>#N/A</v>
      </c>
      <c r="L44" s="13" t="e">
        <f t="shared" si="7"/>
        <v>#N/A</v>
      </c>
    </row>
    <row r="45" spans="1:12" x14ac:dyDescent="0.25">
      <c r="A45" s="13">
        <v>36</v>
      </c>
      <c r="B45" s="301"/>
      <c r="C45" s="302"/>
      <c r="D45" s="300" t="e">
        <f t="shared" si="0"/>
        <v>#N/A</v>
      </c>
      <c r="E45" s="13" t="e">
        <f t="shared" si="1"/>
        <v>#N/A</v>
      </c>
      <c r="F45" s="13" t="e">
        <f t="shared" si="2"/>
        <v>#N/A</v>
      </c>
      <c r="G45" s="13" t="e">
        <f t="shared" si="3"/>
        <v>#N/A</v>
      </c>
      <c r="H45" s="13" t="e">
        <f t="shared" si="4"/>
        <v>#N/A</v>
      </c>
      <c r="J45" s="13" t="e">
        <f t="shared" si="5"/>
        <v>#N/A</v>
      </c>
      <c r="K45" s="13" t="e">
        <f t="shared" si="6"/>
        <v>#N/A</v>
      </c>
      <c r="L45" s="13" t="e">
        <f t="shared" si="7"/>
        <v>#N/A</v>
      </c>
    </row>
    <row r="46" spans="1:12" x14ac:dyDescent="0.25">
      <c r="A46" s="13">
        <v>37</v>
      </c>
      <c r="B46" s="301"/>
      <c r="C46" s="302"/>
      <c r="D46" s="300" t="e">
        <f t="shared" si="0"/>
        <v>#N/A</v>
      </c>
      <c r="E46" s="13" t="e">
        <f t="shared" si="1"/>
        <v>#N/A</v>
      </c>
      <c r="F46" s="13" t="e">
        <f t="shared" si="2"/>
        <v>#N/A</v>
      </c>
      <c r="G46" s="13" t="e">
        <f t="shared" si="3"/>
        <v>#N/A</v>
      </c>
      <c r="H46" s="13" t="e">
        <f t="shared" si="4"/>
        <v>#N/A</v>
      </c>
      <c r="J46" s="13" t="e">
        <f t="shared" si="5"/>
        <v>#N/A</v>
      </c>
      <c r="K46" s="13" t="e">
        <f t="shared" si="6"/>
        <v>#N/A</v>
      </c>
      <c r="L46" s="13" t="e">
        <f t="shared" si="7"/>
        <v>#N/A</v>
      </c>
    </row>
    <row r="47" spans="1:12" x14ac:dyDescent="0.25">
      <c r="A47" s="13">
        <v>38</v>
      </c>
      <c r="B47" s="301"/>
      <c r="C47" s="302"/>
      <c r="D47" s="300" t="e">
        <f t="shared" si="0"/>
        <v>#N/A</v>
      </c>
      <c r="E47" s="13" t="e">
        <f t="shared" si="1"/>
        <v>#N/A</v>
      </c>
      <c r="F47" s="13" t="e">
        <f t="shared" si="2"/>
        <v>#N/A</v>
      </c>
      <c r="G47" s="13" t="e">
        <f t="shared" si="3"/>
        <v>#N/A</v>
      </c>
      <c r="H47" s="13" t="e">
        <f t="shared" si="4"/>
        <v>#N/A</v>
      </c>
      <c r="J47" s="13" t="e">
        <f t="shared" si="5"/>
        <v>#N/A</v>
      </c>
      <c r="K47" s="13" t="e">
        <f t="shared" si="6"/>
        <v>#N/A</v>
      </c>
      <c r="L47" s="13" t="e">
        <f t="shared" si="7"/>
        <v>#N/A</v>
      </c>
    </row>
    <row r="48" spans="1:12" x14ac:dyDescent="0.25">
      <c r="A48" s="13">
        <v>39</v>
      </c>
      <c r="B48" s="301"/>
      <c r="C48" s="302"/>
      <c r="D48" s="300" t="e">
        <f t="shared" si="0"/>
        <v>#N/A</v>
      </c>
      <c r="E48" s="13" t="e">
        <f t="shared" si="1"/>
        <v>#N/A</v>
      </c>
      <c r="F48" s="13" t="e">
        <f t="shared" si="2"/>
        <v>#N/A</v>
      </c>
      <c r="G48" s="13" t="e">
        <f t="shared" si="3"/>
        <v>#N/A</v>
      </c>
      <c r="H48" s="13" t="e">
        <f t="shared" si="4"/>
        <v>#N/A</v>
      </c>
      <c r="J48" s="13" t="e">
        <f t="shared" si="5"/>
        <v>#N/A</v>
      </c>
      <c r="K48" s="13" t="e">
        <f t="shared" si="6"/>
        <v>#N/A</v>
      </c>
      <c r="L48" s="13" t="e">
        <f t="shared" si="7"/>
        <v>#N/A</v>
      </c>
    </row>
    <row r="49" spans="1:12" x14ac:dyDescent="0.25">
      <c r="A49" s="13">
        <v>40</v>
      </c>
      <c r="B49" s="301"/>
      <c r="C49" s="302"/>
      <c r="D49" s="300" t="e">
        <f t="shared" si="0"/>
        <v>#N/A</v>
      </c>
      <c r="E49" s="13" t="e">
        <f t="shared" si="1"/>
        <v>#N/A</v>
      </c>
      <c r="F49" s="13" t="e">
        <f t="shared" si="2"/>
        <v>#N/A</v>
      </c>
      <c r="G49" s="13" t="e">
        <f t="shared" si="3"/>
        <v>#N/A</v>
      </c>
      <c r="H49" s="13" t="e">
        <f t="shared" si="4"/>
        <v>#N/A</v>
      </c>
      <c r="J49" s="13" t="e">
        <f t="shared" si="5"/>
        <v>#N/A</v>
      </c>
      <c r="K49" s="13" t="e">
        <f t="shared" si="6"/>
        <v>#N/A</v>
      </c>
      <c r="L49" s="13" t="e">
        <f t="shared" si="7"/>
        <v>#N/A</v>
      </c>
    </row>
    <row r="50" spans="1:12" x14ac:dyDescent="0.25">
      <c r="A50" s="13">
        <v>41</v>
      </c>
      <c r="B50" s="301"/>
      <c r="C50" s="302"/>
      <c r="D50" s="300" t="e">
        <f t="shared" si="0"/>
        <v>#N/A</v>
      </c>
      <c r="E50" s="13" t="e">
        <f t="shared" si="1"/>
        <v>#N/A</v>
      </c>
      <c r="F50" s="13" t="e">
        <f t="shared" si="2"/>
        <v>#N/A</v>
      </c>
      <c r="G50" s="13" t="e">
        <f t="shared" si="3"/>
        <v>#N/A</v>
      </c>
      <c r="H50" s="13" t="e">
        <f t="shared" si="4"/>
        <v>#N/A</v>
      </c>
      <c r="J50" s="13" t="e">
        <f t="shared" si="5"/>
        <v>#N/A</v>
      </c>
      <c r="K50" s="13" t="e">
        <f t="shared" si="6"/>
        <v>#N/A</v>
      </c>
      <c r="L50" s="13" t="e">
        <f t="shared" si="7"/>
        <v>#N/A</v>
      </c>
    </row>
    <row r="51" spans="1:12" x14ac:dyDescent="0.25">
      <c r="A51" s="13">
        <v>42</v>
      </c>
      <c r="B51" s="301"/>
      <c r="C51" s="302"/>
      <c r="D51" s="300" t="e">
        <f t="shared" si="0"/>
        <v>#N/A</v>
      </c>
      <c r="E51" s="13" t="e">
        <f t="shared" si="1"/>
        <v>#N/A</v>
      </c>
      <c r="F51" s="13" t="e">
        <f t="shared" si="2"/>
        <v>#N/A</v>
      </c>
      <c r="G51" s="13" t="e">
        <f t="shared" si="3"/>
        <v>#N/A</v>
      </c>
      <c r="H51" s="13" t="e">
        <f t="shared" si="4"/>
        <v>#N/A</v>
      </c>
      <c r="J51" s="13" t="e">
        <f t="shared" si="5"/>
        <v>#N/A</v>
      </c>
      <c r="K51" s="13" t="e">
        <f t="shared" si="6"/>
        <v>#N/A</v>
      </c>
      <c r="L51" s="13" t="e">
        <f t="shared" si="7"/>
        <v>#N/A</v>
      </c>
    </row>
    <row r="52" spans="1:12" x14ac:dyDescent="0.25">
      <c r="A52" s="13">
        <v>43</v>
      </c>
      <c r="B52" s="301"/>
      <c r="C52" s="302"/>
      <c r="D52" s="300" t="e">
        <f t="shared" si="0"/>
        <v>#N/A</v>
      </c>
      <c r="E52" s="13" t="e">
        <f t="shared" si="1"/>
        <v>#N/A</v>
      </c>
      <c r="F52" s="13" t="e">
        <f t="shared" si="2"/>
        <v>#N/A</v>
      </c>
      <c r="G52" s="13" t="e">
        <f t="shared" si="3"/>
        <v>#N/A</v>
      </c>
      <c r="H52" s="13" t="e">
        <f t="shared" si="4"/>
        <v>#N/A</v>
      </c>
      <c r="J52" s="13" t="e">
        <f t="shared" si="5"/>
        <v>#N/A</v>
      </c>
      <c r="K52" s="13" t="e">
        <f t="shared" si="6"/>
        <v>#N/A</v>
      </c>
      <c r="L52" s="13" t="e">
        <f t="shared" si="7"/>
        <v>#N/A</v>
      </c>
    </row>
    <row r="53" spans="1:12" x14ac:dyDescent="0.25">
      <c r="A53" s="13">
        <v>44</v>
      </c>
      <c r="B53" s="301"/>
      <c r="C53" s="302"/>
      <c r="D53" s="300" t="e">
        <f t="shared" si="0"/>
        <v>#N/A</v>
      </c>
      <c r="E53" s="13" t="e">
        <f t="shared" si="1"/>
        <v>#N/A</v>
      </c>
      <c r="F53" s="13" t="e">
        <f t="shared" si="2"/>
        <v>#N/A</v>
      </c>
      <c r="G53" s="13" t="e">
        <f t="shared" si="3"/>
        <v>#N/A</v>
      </c>
      <c r="H53" s="13" t="e">
        <f t="shared" si="4"/>
        <v>#N/A</v>
      </c>
      <c r="J53" s="13" t="e">
        <f t="shared" si="5"/>
        <v>#N/A</v>
      </c>
      <c r="K53" s="13" t="e">
        <f t="shared" si="6"/>
        <v>#N/A</v>
      </c>
      <c r="L53" s="13" t="e">
        <f t="shared" si="7"/>
        <v>#N/A</v>
      </c>
    </row>
    <row r="54" spans="1:12" x14ac:dyDescent="0.25">
      <c r="A54" s="13">
        <v>45</v>
      </c>
      <c r="B54" s="301"/>
      <c r="C54" s="302"/>
      <c r="D54" s="300" t="e">
        <f t="shared" si="0"/>
        <v>#N/A</v>
      </c>
      <c r="E54" s="13" t="e">
        <f t="shared" si="1"/>
        <v>#N/A</v>
      </c>
      <c r="F54" s="13" t="e">
        <f t="shared" si="2"/>
        <v>#N/A</v>
      </c>
      <c r="G54" s="13" t="e">
        <f t="shared" si="3"/>
        <v>#N/A</v>
      </c>
      <c r="H54" s="13" t="e">
        <f t="shared" si="4"/>
        <v>#N/A</v>
      </c>
      <c r="J54" s="13" t="e">
        <f t="shared" si="5"/>
        <v>#N/A</v>
      </c>
      <c r="K54" s="13" t="e">
        <f t="shared" si="6"/>
        <v>#N/A</v>
      </c>
      <c r="L54" s="13" t="e">
        <f t="shared" si="7"/>
        <v>#N/A</v>
      </c>
    </row>
    <row r="55" spans="1:12" x14ac:dyDescent="0.25">
      <c r="A55" s="13">
        <v>46</v>
      </c>
      <c r="B55" s="301"/>
      <c r="C55" s="302"/>
      <c r="D55" s="300" t="e">
        <f t="shared" si="0"/>
        <v>#N/A</v>
      </c>
      <c r="E55" s="13" t="e">
        <f t="shared" si="1"/>
        <v>#N/A</v>
      </c>
      <c r="F55" s="13" t="e">
        <f t="shared" si="2"/>
        <v>#N/A</v>
      </c>
      <c r="G55" s="13" t="e">
        <f t="shared" si="3"/>
        <v>#N/A</v>
      </c>
      <c r="H55" s="13" t="e">
        <f t="shared" si="4"/>
        <v>#N/A</v>
      </c>
      <c r="J55" s="13" t="e">
        <f t="shared" si="5"/>
        <v>#N/A</v>
      </c>
      <c r="K55" s="13" t="e">
        <f t="shared" si="6"/>
        <v>#N/A</v>
      </c>
      <c r="L55" s="13" t="e">
        <f t="shared" si="7"/>
        <v>#N/A</v>
      </c>
    </row>
    <row r="56" spans="1:12" x14ac:dyDescent="0.25">
      <c r="A56" s="13">
        <v>47</v>
      </c>
      <c r="B56" s="301"/>
      <c r="C56" s="302"/>
      <c r="D56" s="300" t="e">
        <f t="shared" si="0"/>
        <v>#N/A</v>
      </c>
      <c r="E56" s="13" t="e">
        <f t="shared" si="1"/>
        <v>#N/A</v>
      </c>
      <c r="F56" s="13" t="e">
        <f t="shared" si="2"/>
        <v>#N/A</v>
      </c>
      <c r="G56" s="13" t="e">
        <f t="shared" si="3"/>
        <v>#N/A</v>
      </c>
      <c r="H56" s="13" t="e">
        <f t="shared" si="4"/>
        <v>#N/A</v>
      </c>
      <c r="J56" s="13" t="e">
        <f t="shared" si="5"/>
        <v>#N/A</v>
      </c>
      <c r="K56" s="13" t="e">
        <f t="shared" si="6"/>
        <v>#N/A</v>
      </c>
      <c r="L56" s="13" t="e">
        <f t="shared" si="7"/>
        <v>#N/A</v>
      </c>
    </row>
    <row r="57" spans="1:12" x14ac:dyDescent="0.25">
      <c r="A57" s="13">
        <v>48</v>
      </c>
      <c r="B57" s="301"/>
      <c r="C57" s="302"/>
      <c r="D57" s="300" t="e">
        <f t="shared" si="0"/>
        <v>#N/A</v>
      </c>
      <c r="E57" s="13" t="e">
        <f t="shared" si="1"/>
        <v>#N/A</v>
      </c>
      <c r="F57" s="13" t="e">
        <f t="shared" si="2"/>
        <v>#N/A</v>
      </c>
      <c r="G57" s="13" t="e">
        <f t="shared" si="3"/>
        <v>#N/A</v>
      </c>
      <c r="H57" s="13" t="e">
        <f t="shared" si="4"/>
        <v>#N/A</v>
      </c>
      <c r="J57" s="13" t="e">
        <f t="shared" si="5"/>
        <v>#N/A</v>
      </c>
      <c r="K57" s="13" t="e">
        <f t="shared" si="6"/>
        <v>#N/A</v>
      </c>
      <c r="L57" s="13" t="e">
        <f t="shared" si="7"/>
        <v>#N/A</v>
      </c>
    </row>
    <row r="58" spans="1:12" x14ac:dyDescent="0.25">
      <c r="A58" s="13">
        <v>49</v>
      </c>
      <c r="B58" s="301"/>
      <c r="C58" s="302"/>
      <c r="D58" s="300" t="e">
        <f t="shared" si="0"/>
        <v>#N/A</v>
      </c>
      <c r="E58" s="13" t="e">
        <f t="shared" si="1"/>
        <v>#N/A</v>
      </c>
      <c r="F58" s="13" t="e">
        <f t="shared" si="2"/>
        <v>#N/A</v>
      </c>
      <c r="G58" s="13" t="e">
        <f t="shared" si="3"/>
        <v>#N/A</v>
      </c>
      <c r="H58" s="13" t="e">
        <f t="shared" si="4"/>
        <v>#N/A</v>
      </c>
      <c r="J58" s="13" t="e">
        <f t="shared" si="5"/>
        <v>#N/A</v>
      </c>
      <c r="K58" s="13" t="e">
        <f t="shared" si="6"/>
        <v>#N/A</v>
      </c>
      <c r="L58" s="13" t="e">
        <f t="shared" si="7"/>
        <v>#N/A</v>
      </c>
    </row>
    <row r="59" spans="1:12" ht="13.8" thickBot="1" x14ac:dyDescent="0.3">
      <c r="A59" s="13">
        <v>50</v>
      </c>
      <c r="B59" s="303"/>
      <c r="C59" s="304"/>
      <c r="D59" s="300" t="e">
        <f t="shared" si="0"/>
        <v>#N/A</v>
      </c>
      <c r="E59" s="13" t="e">
        <f t="shared" si="1"/>
        <v>#N/A</v>
      </c>
      <c r="F59" s="13" t="e">
        <f t="shared" si="2"/>
        <v>#N/A</v>
      </c>
      <c r="G59" s="13" t="e">
        <f t="shared" si="3"/>
        <v>#N/A</v>
      </c>
      <c r="H59" s="13" t="e">
        <f t="shared" si="4"/>
        <v>#N/A</v>
      </c>
      <c r="J59" s="13" t="e">
        <f t="shared" si="5"/>
        <v>#N/A</v>
      </c>
      <c r="K59" s="13" t="e">
        <f t="shared" si="6"/>
        <v>#N/A</v>
      </c>
      <c r="L59" s="13" t="e">
        <f t="shared" si="7"/>
        <v>#N/A</v>
      </c>
    </row>
    <row r="60" spans="1:12" x14ac:dyDescent="0.25">
      <c r="A60" s="40"/>
      <c r="B60" s="40"/>
      <c r="C60" s="40"/>
      <c r="D60" s="40"/>
      <c r="E60" s="40"/>
      <c r="F60" s="40"/>
      <c r="G60" s="40"/>
      <c r="H60" s="40"/>
    </row>
    <row r="61" spans="1:12" x14ac:dyDescent="0.25">
      <c r="A61" s="40"/>
      <c r="B61" s="40"/>
      <c r="C61" s="40"/>
      <c r="D61" s="40"/>
      <c r="E61" s="40"/>
      <c r="F61" s="40"/>
      <c r="G61" s="40"/>
      <c r="H61" s="40"/>
    </row>
    <row r="62" spans="1:12" x14ac:dyDescent="0.25">
      <c r="A62" s="40"/>
      <c r="B62" s="40"/>
      <c r="C62" s="40"/>
      <c r="D62" s="40"/>
      <c r="E62" s="40"/>
      <c r="F62" s="40"/>
      <c r="G62" s="40"/>
      <c r="H62" s="40"/>
    </row>
    <row r="63" spans="1:12" x14ac:dyDescent="0.25">
      <c r="A63" s="40"/>
      <c r="B63" s="40"/>
      <c r="C63" s="40"/>
      <c r="D63" s="40"/>
      <c r="E63" s="40"/>
      <c r="F63" s="40"/>
      <c r="G63" s="40"/>
      <c r="H63" s="40"/>
    </row>
    <row r="64" spans="1:12" x14ac:dyDescent="0.25">
      <c r="A64" s="40"/>
      <c r="B64" s="40"/>
      <c r="C64" s="40"/>
      <c r="D64" s="40"/>
      <c r="E64" s="40"/>
      <c r="F64" s="40"/>
      <c r="G64" s="40"/>
      <c r="H64" s="40"/>
    </row>
    <row r="65" spans="1:8" x14ac:dyDescent="0.25">
      <c r="A65" s="40"/>
      <c r="B65" s="40"/>
      <c r="C65" s="40"/>
      <c r="D65" s="40"/>
      <c r="E65" s="40"/>
      <c r="F65" s="40"/>
      <c r="G65" s="40"/>
      <c r="H65" s="40"/>
    </row>
    <row r="66" spans="1:8" x14ac:dyDescent="0.25">
      <c r="A66" s="40"/>
      <c r="B66" s="40"/>
      <c r="C66" s="40"/>
      <c r="D66" s="40"/>
      <c r="E66" s="40"/>
      <c r="F66" s="40"/>
      <c r="G66" s="40"/>
      <c r="H66" s="40"/>
    </row>
    <row r="67" spans="1:8" x14ac:dyDescent="0.25">
      <c r="A67" s="40"/>
      <c r="B67" s="40"/>
      <c r="C67" s="40"/>
      <c r="D67" s="40"/>
      <c r="E67" s="40"/>
      <c r="F67" s="40"/>
      <c r="G67" s="40"/>
      <c r="H67" s="40"/>
    </row>
  </sheetData>
  <mergeCells count="2">
    <mergeCell ref="C5:D5"/>
    <mergeCell ref="C6:D6"/>
  </mergeCells>
  <dataValidations count="1">
    <dataValidation type="whole" allowBlank="1" showInputMessage="1" showErrorMessage="1" errorTitle="Input Error!" error="The cell entry must be a whole number." sqref="B10:C59 IX10:IY59 ST10:SU59 ACP10:ACQ59 AML10:AMM59 AWH10:AWI59 BGD10:BGE59 BPZ10:BQA59 BZV10:BZW59 CJR10:CJS59 CTN10:CTO59 DDJ10:DDK59 DNF10:DNG59 DXB10:DXC59 EGX10:EGY59 EQT10:EQU59 FAP10:FAQ59 FKL10:FKM59 FUH10:FUI59 GED10:GEE59 GNZ10:GOA59 GXV10:GXW59 HHR10:HHS59 HRN10:HRO59 IBJ10:IBK59 ILF10:ILG59 IVB10:IVC59 JEX10:JEY59 JOT10:JOU59 JYP10:JYQ59 KIL10:KIM59 KSH10:KSI59 LCD10:LCE59 LLZ10:LMA59 LVV10:LVW59 MFR10:MFS59 MPN10:MPO59 MZJ10:MZK59 NJF10:NJG59 NTB10:NTC59 OCX10:OCY59 OMT10:OMU59 OWP10:OWQ59 PGL10:PGM59 PQH10:PQI59 QAD10:QAE59 QJZ10:QKA59 QTV10:QTW59 RDR10:RDS59 RNN10:RNO59 RXJ10:RXK59 SHF10:SHG59 SRB10:SRC59 TAX10:TAY59 TKT10:TKU59 TUP10:TUQ59 UEL10:UEM59 UOH10:UOI59 UYD10:UYE59 VHZ10:VIA59 VRV10:VRW59 WBR10:WBS59 WLN10:WLO59 WVJ10:WVK59 B65546:C65595 IX65546:IY65595 ST65546:SU65595 ACP65546:ACQ65595 AML65546:AMM65595 AWH65546:AWI65595 BGD65546:BGE65595 BPZ65546:BQA65595 BZV65546:BZW65595 CJR65546:CJS65595 CTN65546:CTO65595 DDJ65546:DDK65595 DNF65546:DNG65595 DXB65546:DXC65595 EGX65546:EGY65595 EQT65546:EQU65595 FAP65546:FAQ65595 FKL65546:FKM65595 FUH65546:FUI65595 GED65546:GEE65595 GNZ65546:GOA65595 GXV65546:GXW65595 HHR65546:HHS65595 HRN65546:HRO65595 IBJ65546:IBK65595 ILF65546:ILG65595 IVB65546:IVC65595 JEX65546:JEY65595 JOT65546:JOU65595 JYP65546:JYQ65595 KIL65546:KIM65595 KSH65546:KSI65595 LCD65546:LCE65595 LLZ65546:LMA65595 LVV65546:LVW65595 MFR65546:MFS65595 MPN65546:MPO65595 MZJ65546:MZK65595 NJF65546:NJG65595 NTB65546:NTC65595 OCX65546:OCY65595 OMT65546:OMU65595 OWP65546:OWQ65595 PGL65546:PGM65595 PQH65546:PQI65595 QAD65546:QAE65595 QJZ65546:QKA65595 QTV65546:QTW65595 RDR65546:RDS65595 RNN65546:RNO65595 RXJ65546:RXK65595 SHF65546:SHG65595 SRB65546:SRC65595 TAX65546:TAY65595 TKT65546:TKU65595 TUP65546:TUQ65595 UEL65546:UEM65595 UOH65546:UOI65595 UYD65546:UYE65595 VHZ65546:VIA65595 VRV65546:VRW65595 WBR65546:WBS65595 WLN65546:WLO65595 WVJ65546:WVK65595 B131082:C131131 IX131082:IY131131 ST131082:SU131131 ACP131082:ACQ131131 AML131082:AMM131131 AWH131082:AWI131131 BGD131082:BGE131131 BPZ131082:BQA131131 BZV131082:BZW131131 CJR131082:CJS131131 CTN131082:CTO131131 DDJ131082:DDK131131 DNF131082:DNG131131 DXB131082:DXC131131 EGX131082:EGY131131 EQT131082:EQU131131 FAP131082:FAQ131131 FKL131082:FKM131131 FUH131082:FUI131131 GED131082:GEE131131 GNZ131082:GOA131131 GXV131082:GXW131131 HHR131082:HHS131131 HRN131082:HRO131131 IBJ131082:IBK131131 ILF131082:ILG131131 IVB131082:IVC131131 JEX131082:JEY131131 JOT131082:JOU131131 JYP131082:JYQ131131 KIL131082:KIM131131 KSH131082:KSI131131 LCD131082:LCE131131 LLZ131082:LMA131131 LVV131082:LVW131131 MFR131082:MFS131131 MPN131082:MPO131131 MZJ131082:MZK131131 NJF131082:NJG131131 NTB131082:NTC131131 OCX131082:OCY131131 OMT131082:OMU131131 OWP131082:OWQ131131 PGL131082:PGM131131 PQH131082:PQI131131 QAD131082:QAE131131 QJZ131082:QKA131131 QTV131082:QTW131131 RDR131082:RDS131131 RNN131082:RNO131131 RXJ131082:RXK131131 SHF131082:SHG131131 SRB131082:SRC131131 TAX131082:TAY131131 TKT131082:TKU131131 TUP131082:TUQ131131 UEL131082:UEM131131 UOH131082:UOI131131 UYD131082:UYE131131 VHZ131082:VIA131131 VRV131082:VRW131131 WBR131082:WBS131131 WLN131082:WLO131131 WVJ131082:WVK131131 B196618:C196667 IX196618:IY196667 ST196618:SU196667 ACP196618:ACQ196667 AML196618:AMM196667 AWH196618:AWI196667 BGD196618:BGE196667 BPZ196618:BQA196667 BZV196618:BZW196667 CJR196618:CJS196667 CTN196618:CTO196667 DDJ196618:DDK196667 DNF196618:DNG196667 DXB196618:DXC196667 EGX196618:EGY196667 EQT196618:EQU196667 FAP196618:FAQ196667 FKL196618:FKM196667 FUH196618:FUI196667 GED196618:GEE196667 GNZ196618:GOA196667 GXV196618:GXW196667 HHR196618:HHS196667 HRN196618:HRO196667 IBJ196618:IBK196667 ILF196618:ILG196667 IVB196618:IVC196667 JEX196618:JEY196667 JOT196618:JOU196667 JYP196618:JYQ196667 KIL196618:KIM196667 KSH196618:KSI196667 LCD196618:LCE196667 LLZ196618:LMA196667 LVV196618:LVW196667 MFR196618:MFS196667 MPN196618:MPO196667 MZJ196618:MZK196667 NJF196618:NJG196667 NTB196618:NTC196667 OCX196618:OCY196667 OMT196618:OMU196667 OWP196618:OWQ196667 PGL196618:PGM196667 PQH196618:PQI196667 QAD196618:QAE196667 QJZ196618:QKA196667 QTV196618:QTW196667 RDR196618:RDS196667 RNN196618:RNO196667 RXJ196618:RXK196667 SHF196618:SHG196667 SRB196618:SRC196667 TAX196618:TAY196667 TKT196618:TKU196667 TUP196618:TUQ196667 UEL196618:UEM196667 UOH196618:UOI196667 UYD196618:UYE196667 VHZ196618:VIA196667 VRV196618:VRW196667 WBR196618:WBS196667 WLN196618:WLO196667 WVJ196618:WVK196667 B262154:C262203 IX262154:IY262203 ST262154:SU262203 ACP262154:ACQ262203 AML262154:AMM262203 AWH262154:AWI262203 BGD262154:BGE262203 BPZ262154:BQA262203 BZV262154:BZW262203 CJR262154:CJS262203 CTN262154:CTO262203 DDJ262154:DDK262203 DNF262154:DNG262203 DXB262154:DXC262203 EGX262154:EGY262203 EQT262154:EQU262203 FAP262154:FAQ262203 FKL262154:FKM262203 FUH262154:FUI262203 GED262154:GEE262203 GNZ262154:GOA262203 GXV262154:GXW262203 HHR262154:HHS262203 HRN262154:HRO262203 IBJ262154:IBK262203 ILF262154:ILG262203 IVB262154:IVC262203 JEX262154:JEY262203 JOT262154:JOU262203 JYP262154:JYQ262203 KIL262154:KIM262203 KSH262154:KSI262203 LCD262154:LCE262203 LLZ262154:LMA262203 LVV262154:LVW262203 MFR262154:MFS262203 MPN262154:MPO262203 MZJ262154:MZK262203 NJF262154:NJG262203 NTB262154:NTC262203 OCX262154:OCY262203 OMT262154:OMU262203 OWP262154:OWQ262203 PGL262154:PGM262203 PQH262154:PQI262203 QAD262154:QAE262203 QJZ262154:QKA262203 QTV262154:QTW262203 RDR262154:RDS262203 RNN262154:RNO262203 RXJ262154:RXK262203 SHF262154:SHG262203 SRB262154:SRC262203 TAX262154:TAY262203 TKT262154:TKU262203 TUP262154:TUQ262203 UEL262154:UEM262203 UOH262154:UOI262203 UYD262154:UYE262203 VHZ262154:VIA262203 VRV262154:VRW262203 WBR262154:WBS262203 WLN262154:WLO262203 WVJ262154:WVK262203 B327690:C327739 IX327690:IY327739 ST327690:SU327739 ACP327690:ACQ327739 AML327690:AMM327739 AWH327690:AWI327739 BGD327690:BGE327739 BPZ327690:BQA327739 BZV327690:BZW327739 CJR327690:CJS327739 CTN327690:CTO327739 DDJ327690:DDK327739 DNF327690:DNG327739 DXB327690:DXC327739 EGX327690:EGY327739 EQT327690:EQU327739 FAP327690:FAQ327739 FKL327690:FKM327739 FUH327690:FUI327739 GED327690:GEE327739 GNZ327690:GOA327739 GXV327690:GXW327739 HHR327690:HHS327739 HRN327690:HRO327739 IBJ327690:IBK327739 ILF327690:ILG327739 IVB327690:IVC327739 JEX327690:JEY327739 JOT327690:JOU327739 JYP327690:JYQ327739 KIL327690:KIM327739 KSH327690:KSI327739 LCD327690:LCE327739 LLZ327690:LMA327739 LVV327690:LVW327739 MFR327690:MFS327739 MPN327690:MPO327739 MZJ327690:MZK327739 NJF327690:NJG327739 NTB327690:NTC327739 OCX327690:OCY327739 OMT327690:OMU327739 OWP327690:OWQ327739 PGL327690:PGM327739 PQH327690:PQI327739 QAD327690:QAE327739 QJZ327690:QKA327739 QTV327690:QTW327739 RDR327690:RDS327739 RNN327690:RNO327739 RXJ327690:RXK327739 SHF327690:SHG327739 SRB327690:SRC327739 TAX327690:TAY327739 TKT327690:TKU327739 TUP327690:TUQ327739 UEL327690:UEM327739 UOH327690:UOI327739 UYD327690:UYE327739 VHZ327690:VIA327739 VRV327690:VRW327739 WBR327690:WBS327739 WLN327690:WLO327739 WVJ327690:WVK327739 B393226:C393275 IX393226:IY393275 ST393226:SU393275 ACP393226:ACQ393275 AML393226:AMM393275 AWH393226:AWI393275 BGD393226:BGE393275 BPZ393226:BQA393275 BZV393226:BZW393275 CJR393226:CJS393275 CTN393226:CTO393275 DDJ393226:DDK393275 DNF393226:DNG393275 DXB393226:DXC393275 EGX393226:EGY393275 EQT393226:EQU393275 FAP393226:FAQ393275 FKL393226:FKM393275 FUH393226:FUI393275 GED393226:GEE393275 GNZ393226:GOA393275 GXV393226:GXW393275 HHR393226:HHS393275 HRN393226:HRO393275 IBJ393226:IBK393275 ILF393226:ILG393275 IVB393226:IVC393275 JEX393226:JEY393275 JOT393226:JOU393275 JYP393226:JYQ393275 KIL393226:KIM393275 KSH393226:KSI393275 LCD393226:LCE393275 LLZ393226:LMA393275 LVV393226:LVW393275 MFR393226:MFS393275 MPN393226:MPO393275 MZJ393226:MZK393275 NJF393226:NJG393275 NTB393226:NTC393275 OCX393226:OCY393275 OMT393226:OMU393275 OWP393226:OWQ393275 PGL393226:PGM393275 PQH393226:PQI393275 QAD393226:QAE393275 QJZ393226:QKA393275 QTV393226:QTW393275 RDR393226:RDS393275 RNN393226:RNO393275 RXJ393226:RXK393275 SHF393226:SHG393275 SRB393226:SRC393275 TAX393226:TAY393275 TKT393226:TKU393275 TUP393226:TUQ393275 UEL393226:UEM393275 UOH393226:UOI393275 UYD393226:UYE393275 VHZ393226:VIA393275 VRV393226:VRW393275 WBR393226:WBS393275 WLN393226:WLO393275 WVJ393226:WVK393275 B458762:C458811 IX458762:IY458811 ST458762:SU458811 ACP458762:ACQ458811 AML458762:AMM458811 AWH458762:AWI458811 BGD458762:BGE458811 BPZ458762:BQA458811 BZV458762:BZW458811 CJR458762:CJS458811 CTN458762:CTO458811 DDJ458762:DDK458811 DNF458762:DNG458811 DXB458762:DXC458811 EGX458762:EGY458811 EQT458762:EQU458811 FAP458762:FAQ458811 FKL458762:FKM458811 FUH458762:FUI458811 GED458762:GEE458811 GNZ458762:GOA458811 GXV458762:GXW458811 HHR458762:HHS458811 HRN458762:HRO458811 IBJ458762:IBK458811 ILF458762:ILG458811 IVB458762:IVC458811 JEX458762:JEY458811 JOT458762:JOU458811 JYP458762:JYQ458811 KIL458762:KIM458811 KSH458762:KSI458811 LCD458762:LCE458811 LLZ458762:LMA458811 LVV458762:LVW458811 MFR458762:MFS458811 MPN458762:MPO458811 MZJ458762:MZK458811 NJF458762:NJG458811 NTB458762:NTC458811 OCX458762:OCY458811 OMT458762:OMU458811 OWP458762:OWQ458811 PGL458762:PGM458811 PQH458762:PQI458811 QAD458762:QAE458811 QJZ458762:QKA458811 QTV458762:QTW458811 RDR458762:RDS458811 RNN458762:RNO458811 RXJ458762:RXK458811 SHF458762:SHG458811 SRB458762:SRC458811 TAX458762:TAY458811 TKT458762:TKU458811 TUP458762:TUQ458811 UEL458762:UEM458811 UOH458762:UOI458811 UYD458762:UYE458811 VHZ458762:VIA458811 VRV458762:VRW458811 WBR458762:WBS458811 WLN458762:WLO458811 WVJ458762:WVK458811 B524298:C524347 IX524298:IY524347 ST524298:SU524347 ACP524298:ACQ524347 AML524298:AMM524347 AWH524298:AWI524347 BGD524298:BGE524347 BPZ524298:BQA524347 BZV524298:BZW524347 CJR524298:CJS524347 CTN524298:CTO524347 DDJ524298:DDK524347 DNF524298:DNG524347 DXB524298:DXC524347 EGX524298:EGY524347 EQT524298:EQU524347 FAP524298:FAQ524347 FKL524298:FKM524347 FUH524298:FUI524347 GED524298:GEE524347 GNZ524298:GOA524347 GXV524298:GXW524347 HHR524298:HHS524347 HRN524298:HRO524347 IBJ524298:IBK524347 ILF524298:ILG524347 IVB524298:IVC524347 JEX524298:JEY524347 JOT524298:JOU524347 JYP524298:JYQ524347 KIL524298:KIM524347 KSH524298:KSI524347 LCD524298:LCE524347 LLZ524298:LMA524347 LVV524298:LVW524347 MFR524298:MFS524347 MPN524298:MPO524347 MZJ524298:MZK524347 NJF524298:NJG524347 NTB524298:NTC524347 OCX524298:OCY524347 OMT524298:OMU524347 OWP524298:OWQ524347 PGL524298:PGM524347 PQH524298:PQI524347 QAD524298:QAE524347 QJZ524298:QKA524347 QTV524298:QTW524347 RDR524298:RDS524347 RNN524298:RNO524347 RXJ524298:RXK524347 SHF524298:SHG524347 SRB524298:SRC524347 TAX524298:TAY524347 TKT524298:TKU524347 TUP524298:TUQ524347 UEL524298:UEM524347 UOH524298:UOI524347 UYD524298:UYE524347 VHZ524298:VIA524347 VRV524298:VRW524347 WBR524298:WBS524347 WLN524298:WLO524347 WVJ524298:WVK524347 B589834:C589883 IX589834:IY589883 ST589834:SU589883 ACP589834:ACQ589883 AML589834:AMM589883 AWH589834:AWI589883 BGD589834:BGE589883 BPZ589834:BQA589883 BZV589834:BZW589883 CJR589834:CJS589883 CTN589834:CTO589883 DDJ589834:DDK589883 DNF589834:DNG589883 DXB589834:DXC589883 EGX589834:EGY589883 EQT589834:EQU589883 FAP589834:FAQ589883 FKL589834:FKM589883 FUH589834:FUI589883 GED589834:GEE589883 GNZ589834:GOA589883 GXV589834:GXW589883 HHR589834:HHS589883 HRN589834:HRO589883 IBJ589834:IBK589883 ILF589834:ILG589883 IVB589834:IVC589883 JEX589834:JEY589883 JOT589834:JOU589883 JYP589834:JYQ589883 KIL589834:KIM589883 KSH589834:KSI589883 LCD589834:LCE589883 LLZ589834:LMA589883 LVV589834:LVW589883 MFR589834:MFS589883 MPN589834:MPO589883 MZJ589834:MZK589883 NJF589834:NJG589883 NTB589834:NTC589883 OCX589834:OCY589883 OMT589834:OMU589883 OWP589834:OWQ589883 PGL589834:PGM589883 PQH589834:PQI589883 QAD589834:QAE589883 QJZ589834:QKA589883 QTV589834:QTW589883 RDR589834:RDS589883 RNN589834:RNO589883 RXJ589834:RXK589883 SHF589834:SHG589883 SRB589834:SRC589883 TAX589834:TAY589883 TKT589834:TKU589883 TUP589834:TUQ589883 UEL589834:UEM589883 UOH589834:UOI589883 UYD589834:UYE589883 VHZ589834:VIA589883 VRV589834:VRW589883 WBR589834:WBS589883 WLN589834:WLO589883 WVJ589834:WVK589883 B655370:C655419 IX655370:IY655419 ST655370:SU655419 ACP655370:ACQ655419 AML655370:AMM655419 AWH655370:AWI655419 BGD655370:BGE655419 BPZ655370:BQA655419 BZV655370:BZW655419 CJR655370:CJS655419 CTN655370:CTO655419 DDJ655370:DDK655419 DNF655370:DNG655419 DXB655370:DXC655419 EGX655370:EGY655419 EQT655370:EQU655419 FAP655370:FAQ655419 FKL655370:FKM655419 FUH655370:FUI655419 GED655370:GEE655419 GNZ655370:GOA655419 GXV655370:GXW655419 HHR655370:HHS655419 HRN655370:HRO655419 IBJ655370:IBK655419 ILF655370:ILG655419 IVB655370:IVC655419 JEX655370:JEY655419 JOT655370:JOU655419 JYP655370:JYQ655419 KIL655370:KIM655419 KSH655370:KSI655419 LCD655370:LCE655419 LLZ655370:LMA655419 LVV655370:LVW655419 MFR655370:MFS655419 MPN655370:MPO655419 MZJ655370:MZK655419 NJF655370:NJG655419 NTB655370:NTC655419 OCX655370:OCY655419 OMT655370:OMU655419 OWP655370:OWQ655419 PGL655370:PGM655419 PQH655370:PQI655419 QAD655370:QAE655419 QJZ655370:QKA655419 QTV655370:QTW655419 RDR655370:RDS655419 RNN655370:RNO655419 RXJ655370:RXK655419 SHF655370:SHG655419 SRB655370:SRC655419 TAX655370:TAY655419 TKT655370:TKU655419 TUP655370:TUQ655419 UEL655370:UEM655419 UOH655370:UOI655419 UYD655370:UYE655419 VHZ655370:VIA655419 VRV655370:VRW655419 WBR655370:WBS655419 WLN655370:WLO655419 WVJ655370:WVK655419 B720906:C720955 IX720906:IY720955 ST720906:SU720955 ACP720906:ACQ720955 AML720906:AMM720955 AWH720906:AWI720955 BGD720906:BGE720955 BPZ720906:BQA720955 BZV720906:BZW720955 CJR720906:CJS720955 CTN720906:CTO720955 DDJ720906:DDK720955 DNF720906:DNG720955 DXB720906:DXC720955 EGX720906:EGY720955 EQT720906:EQU720955 FAP720906:FAQ720955 FKL720906:FKM720955 FUH720906:FUI720955 GED720906:GEE720955 GNZ720906:GOA720955 GXV720906:GXW720955 HHR720906:HHS720955 HRN720906:HRO720955 IBJ720906:IBK720955 ILF720906:ILG720955 IVB720906:IVC720955 JEX720906:JEY720955 JOT720906:JOU720955 JYP720906:JYQ720955 KIL720906:KIM720955 KSH720906:KSI720955 LCD720906:LCE720955 LLZ720906:LMA720955 LVV720906:LVW720955 MFR720906:MFS720955 MPN720906:MPO720955 MZJ720906:MZK720955 NJF720906:NJG720955 NTB720906:NTC720955 OCX720906:OCY720955 OMT720906:OMU720955 OWP720906:OWQ720955 PGL720906:PGM720955 PQH720906:PQI720955 QAD720906:QAE720955 QJZ720906:QKA720955 QTV720906:QTW720955 RDR720906:RDS720955 RNN720906:RNO720955 RXJ720906:RXK720955 SHF720906:SHG720955 SRB720906:SRC720955 TAX720906:TAY720955 TKT720906:TKU720955 TUP720906:TUQ720955 UEL720906:UEM720955 UOH720906:UOI720955 UYD720906:UYE720955 VHZ720906:VIA720955 VRV720906:VRW720955 WBR720906:WBS720955 WLN720906:WLO720955 WVJ720906:WVK720955 B786442:C786491 IX786442:IY786491 ST786442:SU786491 ACP786442:ACQ786491 AML786442:AMM786491 AWH786442:AWI786491 BGD786442:BGE786491 BPZ786442:BQA786491 BZV786442:BZW786491 CJR786442:CJS786491 CTN786442:CTO786491 DDJ786442:DDK786491 DNF786442:DNG786491 DXB786442:DXC786491 EGX786442:EGY786491 EQT786442:EQU786491 FAP786442:FAQ786491 FKL786442:FKM786491 FUH786442:FUI786491 GED786442:GEE786491 GNZ786442:GOA786491 GXV786442:GXW786491 HHR786442:HHS786491 HRN786442:HRO786491 IBJ786442:IBK786491 ILF786442:ILG786491 IVB786442:IVC786491 JEX786442:JEY786491 JOT786442:JOU786491 JYP786442:JYQ786491 KIL786442:KIM786491 KSH786442:KSI786491 LCD786442:LCE786491 LLZ786442:LMA786491 LVV786442:LVW786491 MFR786442:MFS786491 MPN786442:MPO786491 MZJ786442:MZK786491 NJF786442:NJG786491 NTB786442:NTC786491 OCX786442:OCY786491 OMT786442:OMU786491 OWP786442:OWQ786491 PGL786442:PGM786491 PQH786442:PQI786491 QAD786442:QAE786491 QJZ786442:QKA786491 QTV786442:QTW786491 RDR786442:RDS786491 RNN786442:RNO786491 RXJ786442:RXK786491 SHF786442:SHG786491 SRB786442:SRC786491 TAX786442:TAY786491 TKT786442:TKU786491 TUP786442:TUQ786491 UEL786442:UEM786491 UOH786442:UOI786491 UYD786442:UYE786491 VHZ786442:VIA786491 VRV786442:VRW786491 WBR786442:WBS786491 WLN786442:WLO786491 WVJ786442:WVK786491 B851978:C852027 IX851978:IY852027 ST851978:SU852027 ACP851978:ACQ852027 AML851978:AMM852027 AWH851978:AWI852027 BGD851978:BGE852027 BPZ851978:BQA852027 BZV851978:BZW852027 CJR851978:CJS852027 CTN851978:CTO852027 DDJ851978:DDK852027 DNF851978:DNG852027 DXB851978:DXC852027 EGX851978:EGY852027 EQT851978:EQU852027 FAP851978:FAQ852027 FKL851978:FKM852027 FUH851978:FUI852027 GED851978:GEE852027 GNZ851978:GOA852027 GXV851978:GXW852027 HHR851978:HHS852027 HRN851978:HRO852027 IBJ851978:IBK852027 ILF851978:ILG852027 IVB851978:IVC852027 JEX851978:JEY852027 JOT851978:JOU852027 JYP851978:JYQ852027 KIL851978:KIM852027 KSH851978:KSI852027 LCD851978:LCE852027 LLZ851978:LMA852027 LVV851978:LVW852027 MFR851978:MFS852027 MPN851978:MPO852027 MZJ851978:MZK852027 NJF851978:NJG852027 NTB851978:NTC852027 OCX851978:OCY852027 OMT851978:OMU852027 OWP851978:OWQ852027 PGL851978:PGM852027 PQH851978:PQI852027 QAD851978:QAE852027 QJZ851978:QKA852027 QTV851978:QTW852027 RDR851978:RDS852027 RNN851978:RNO852027 RXJ851978:RXK852027 SHF851978:SHG852027 SRB851978:SRC852027 TAX851978:TAY852027 TKT851978:TKU852027 TUP851978:TUQ852027 UEL851978:UEM852027 UOH851978:UOI852027 UYD851978:UYE852027 VHZ851978:VIA852027 VRV851978:VRW852027 WBR851978:WBS852027 WLN851978:WLO852027 WVJ851978:WVK852027 B917514:C917563 IX917514:IY917563 ST917514:SU917563 ACP917514:ACQ917563 AML917514:AMM917563 AWH917514:AWI917563 BGD917514:BGE917563 BPZ917514:BQA917563 BZV917514:BZW917563 CJR917514:CJS917563 CTN917514:CTO917563 DDJ917514:DDK917563 DNF917514:DNG917563 DXB917514:DXC917563 EGX917514:EGY917563 EQT917514:EQU917563 FAP917514:FAQ917563 FKL917514:FKM917563 FUH917514:FUI917563 GED917514:GEE917563 GNZ917514:GOA917563 GXV917514:GXW917563 HHR917514:HHS917563 HRN917514:HRO917563 IBJ917514:IBK917563 ILF917514:ILG917563 IVB917514:IVC917563 JEX917514:JEY917563 JOT917514:JOU917563 JYP917514:JYQ917563 KIL917514:KIM917563 KSH917514:KSI917563 LCD917514:LCE917563 LLZ917514:LMA917563 LVV917514:LVW917563 MFR917514:MFS917563 MPN917514:MPO917563 MZJ917514:MZK917563 NJF917514:NJG917563 NTB917514:NTC917563 OCX917514:OCY917563 OMT917514:OMU917563 OWP917514:OWQ917563 PGL917514:PGM917563 PQH917514:PQI917563 QAD917514:QAE917563 QJZ917514:QKA917563 QTV917514:QTW917563 RDR917514:RDS917563 RNN917514:RNO917563 RXJ917514:RXK917563 SHF917514:SHG917563 SRB917514:SRC917563 TAX917514:TAY917563 TKT917514:TKU917563 TUP917514:TUQ917563 UEL917514:UEM917563 UOH917514:UOI917563 UYD917514:UYE917563 VHZ917514:VIA917563 VRV917514:VRW917563 WBR917514:WBS917563 WLN917514:WLO917563 WVJ917514:WVK917563 B983050:C983099 IX983050:IY983099 ST983050:SU983099 ACP983050:ACQ983099 AML983050:AMM983099 AWH983050:AWI983099 BGD983050:BGE983099 BPZ983050:BQA983099 BZV983050:BZW983099 CJR983050:CJS983099 CTN983050:CTO983099 DDJ983050:DDK983099 DNF983050:DNG983099 DXB983050:DXC983099 EGX983050:EGY983099 EQT983050:EQU983099 FAP983050:FAQ983099 FKL983050:FKM983099 FUH983050:FUI983099 GED983050:GEE983099 GNZ983050:GOA983099 GXV983050:GXW983099 HHR983050:HHS983099 HRN983050:HRO983099 IBJ983050:IBK983099 ILF983050:ILG983099 IVB983050:IVC983099 JEX983050:JEY983099 JOT983050:JOU983099 JYP983050:JYQ983099 KIL983050:KIM983099 KSH983050:KSI983099 LCD983050:LCE983099 LLZ983050:LMA983099 LVV983050:LVW983099 MFR983050:MFS983099 MPN983050:MPO983099 MZJ983050:MZK983099 NJF983050:NJG983099 NTB983050:NTC983099 OCX983050:OCY983099 OMT983050:OMU983099 OWP983050:OWQ983099 PGL983050:PGM983099 PQH983050:PQI983099 QAD983050:QAE983099 QJZ983050:QKA983099 QTV983050:QTW983099 RDR983050:RDS983099 RNN983050:RNO983099 RXJ983050:RXK983099 SHF983050:SHG983099 SRB983050:SRC983099 TAX983050:TAY983099 TKT983050:TKU983099 TUP983050:TUQ983099 UEL983050:UEM983099 UOH983050:UOI983099 UYD983050:UYE983099 VHZ983050:VIA983099 VRV983050:VRW983099 WBR983050:WBS983099 WLN983050:WLO983099 WVJ983050:WVK983099" xr:uid="{00000000-0002-0000-2500-000000000000}">
      <formula1>0</formula1>
      <formula2>999999</formula2>
    </dataValidation>
  </dataValidations>
  <hyperlinks>
    <hyperlink ref="N1" location="Menu!A1" display="Return to menu" xr:uid="{00000000-0004-0000-2500-000000000000}"/>
  </hyperlinks>
  <pageMargins left="0.75" right="0.75" top="1" bottom="1" header="0.5" footer="0.5"/>
  <pageSetup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dimension ref="P1"/>
  <sheetViews>
    <sheetView showGridLines="0" workbookViewId="0">
      <selection activeCell="P1" sqref="P1"/>
    </sheetView>
  </sheetViews>
  <sheetFormatPr defaultColWidth="8.88671875" defaultRowHeight="13.2" x14ac:dyDescent="0.25"/>
  <cols>
    <col min="1" max="15" width="8.88671875" style="13"/>
    <col min="16" max="16" width="36.21875" style="13" bestFit="1" customWidth="1"/>
    <col min="17" max="16384" width="8.88671875" style="13"/>
  </cols>
  <sheetData>
    <row r="1" spans="16:16" ht="36.6" x14ac:dyDescent="0.7">
      <c r="P1" s="751" t="s">
        <v>19</v>
      </c>
    </row>
  </sheetData>
  <hyperlinks>
    <hyperlink ref="P1" location="Menu!A1" display="Return to menu" xr:uid="{00000000-0004-0000-2600-000000000000}"/>
  </hyperlinks>
  <pageMargins left="0.75" right="0.75" top="1" bottom="1" header="0.5" footer="0.5"/>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dimension ref="P1"/>
  <sheetViews>
    <sheetView showGridLines="0" workbookViewId="0">
      <selection activeCell="P1" sqref="P1"/>
    </sheetView>
  </sheetViews>
  <sheetFormatPr defaultColWidth="8.88671875" defaultRowHeight="13.2" x14ac:dyDescent="0.25"/>
  <cols>
    <col min="1" max="15" width="8.88671875" style="13"/>
    <col min="16" max="16" width="36.21875" style="13" bestFit="1" customWidth="1"/>
    <col min="17" max="16384" width="8.88671875" style="13"/>
  </cols>
  <sheetData>
    <row r="1" spans="16:16" ht="36.6" x14ac:dyDescent="0.7">
      <c r="P1" s="751" t="s">
        <v>19</v>
      </c>
    </row>
  </sheetData>
  <hyperlinks>
    <hyperlink ref="P1" location="Menu!A1" display="Return to menu" xr:uid="{00000000-0004-0000-2700-000000000000}"/>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pageSetUpPr fitToPage="1"/>
  </sheetPr>
  <dimension ref="A1:O25"/>
  <sheetViews>
    <sheetView showGridLines="0" zoomScale="85" zoomScaleNormal="85" zoomScalePageLayoutView="130" workbookViewId="0">
      <selection activeCell="O1" sqref="O1"/>
    </sheetView>
  </sheetViews>
  <sheetFormatPr defaultColWidth="8.88671875" defaultRowHeight="13.2" x14ac:dyDescent="0.25"/>
  <cols>
    <col min="1" max="1" width="10.6640625" style="13" customWidth="1"/>
    <col min="2" max="2" width="12" style="13" customWidth="1"/>
    <col min="3" max="3" width="12.44140625" style="13" customWidth="1"/>
    <col min="4" max="4" width="14" style="13" customWidth="1"/>
    <col min="5" max="14" width="8.88671875" style="13"/>
    <col min="15" max="15" width="21.21875" style="13" bestFit="1" customWidth="1"/>
    <col min="16" max="255" width="8.88671875" style="13"/>
    <col min="256" max="256" width="10.6640625" style="13" customWidth="1"/>
    <col min="257" max="257" width="13.88671875" style="13" customWidth="1"/>
    <col min="258" max="258" width="12" style="13" customWidth="1"/>
    <col min="259" max="259" width="0" style="13" hidden="1" customWidth="1"/>
    <col min="260" max="260" width="14" style="13" customWidth="1"/>
    <col min="261" max="511" width="8.88671875" style="13"/>
    <col min="512" max="512" width="10.6640625" style="13" customWidth="1"/>
    <col min="513" max="513" width="13.88671875" style="13" customWidth="1"/>
    <col min="514" max="514" width="12" style="13" customWidth="1"/>
    <col min="515" max="515" width="0" style="13" hidden="1" customWidth="1"/>
    <col min="516" max="516" width="14" style="13" customWidth="1"/>
    <col min="517" max="767" width="8.88671875" style="13"/>
    <col min="768" max="768" width="10.6640625" style="13" customWidth="1"/>
    <col min="769" max="769" width="13.88671875" style="13" customWidth="1"/>
    <col min="770" max="770" width="12" style="13" customWidth="1"/>
    <col min="771" max="771" width="0" style="13" hidden="1" customWidth="1"/>
    <col min="772" max="772" width="14" style="13" customWidth="1"/>
    <col min="773" max="1023" width="8.88671875" style="13"/>
    <col min="1024" max="1024" width="10.6640625" style="13" customWidth="1"/>
    <col min="1025" max="1025" width="13.88671875" style="13" customWidth="1"/>
    <col min="1026" max="1026" width="12" style="13" customWidth="1"/>
    <col min="1027" max="1027" width="0" style="13" hidden="1" customWidth="1"/>
    <col min="1028" max="1028" width="14" style="13" customWidth="1"/>
    <col min="1029" max="1279" width="8.88671875" style="13"/>
    <col min="1280" max="1280" width="10.6640625" style="13" customWidth="1"/>
    <col min="1281" max="1281" width="13.88671875" style="13" customWidth="1"/>
    <col min="1282" max="1282" width="12" style="13" customWidth="1"/>
    <col min="1283" max="1283" width="0" style="13" hidden="1" customWidth="1"/>
    <col min="1284" max="1284" width="14" style="13" customWidth="1"/>
    <col min="1285" max="1535" width="8.88671875" style="13"/>
    <col min="1536" max="1536" width="10.6640625" style="13" customWidth="1"/>
    <col min="1537" max="1537" width="13.88671875" style="13" customWidth="1"/>
    <col min="1538" max="1538" width="12" style="13" customWidth="1"/>
    <col min="1539" max="1539" width="0" style="13" hidden="1" customWidth="1"/>
    <col min="1540" max="1540" width="14" style="13" customWidth="1"/>
    <col min="1541" max="1791" width="8.88671875" style="13"/>
    <col min="1792" max="1792" width="10.6640625" style="13" customWidth="1"/>
    <col min="1793" max="1793" width="13.88671875" style="13" customWidth="1"/>
    <col min="1794" max="1794" width="12" style="13" customWidth="1"/>
    <col min="1795" max="1795" width="0" style="13" hidden="1" customWidth="1"/>
    <col min="1796" max="1796" width="14" style="13" customWidth="1"/>
    <col min="1797" max="2047" width="8.88671875" style="13"/>
    <col min="2048" max="2048" width="10.6640625" style="13" customWidth="1"/>
    <col min="2049" max="2049" width="13.88671875" style="13" customWidth="1"/>
    <col min="2050" max="2050" width="12" style="13" customWidth="1"/>
    <col min="2051" max="2051" width="0" style="13" hidden="1" customWidth="1"/>
    <col min="2052" max="2052" width="14" style="13" customWidth="1"/>
    <col min="2053" max="2303" width="8.88671875" style="13"/>
    <col min="2304" max="2304" width="10.6640625" style="13" customWidth="1"/>
    <col min="2305" max="2305" width="13.88671875" style="13" customWidth="1"/>
    <col min="2306" max="2306" width="12" style="13" customWidth="1"/>
    <col min="2307" max="2307" width="0" style="13" hidden="1" customWidth="1"/>
    <col min="2308" max="2308" width="14" style="13" customWidth="1"/>
    <col min="2309" max="2559" width="8.88671875" style="13"/>
    <col min="2560" max="2560" width="10.6640625" style="13" customWidth="1"/>
    <col min="2561" max="2561" width="13.88671875" style="13" customWidth="1"/>
    <col min="2562" max="2562" width="12" style="13" customWidth="1"/>
    <col min="2563" max="2563" width="0" style="13" hidden="1" customWidth="1"/>
    <col min="2564" max="2564" width="14" style="13" customWidth="1"/>
    <col min="2565" max="2815" width="8.88671875" style="13"/>
    <col min="2816" max="2816" width="10.6640625" style="13" customWidth="1"/>
    <col min="2817" max="2817" width="13.88671875" style="13" customWidth="1"/>
    <col min="2818" max="2818" width="12" style="13" customWidth="1"/>
    <col min="2819" max="2819" width="0" style="13" hidden="1" customWidth="1"/>
    <col min="2820" max="2820" width="14" style="13" customWidth="1"/>
    <col min="2821" max="3071" width="8.88671875" style="13"/>
    <col min="3072" max="3072" width="10.6640625" style="13" customWidth="1"/>
    <col min="3073" max="3073" width="13.88671875" style="13" customWidth="1"/>
    <col min="3074" max="3074" width="12" style="13" customWidth="1"/>
    <col min="3075" max="3075" width="0" style="13" hidden="1" customWidth="1"/>
    <col min="3076" max="3076" width="14" style="13" customWidth="1"/>
    <col min="3077" max="3327" width="8.88671875" style="13"/>
    <col min="3328" max="3328" width="10.6640625" style="13" customWidth="1"/>
    <col min="3329" max="3329" width="13.88671875" style="13" customWidth="1"/>
    <col min="3330" max="3330" width="12" style="13" customWidth="1"/>
    <col min="3331" max="3331" width="0" style="13" hidden="1" customWidth="1"/>
    <col min="3332" max="3332" width="14" style="13" customWidth="1"/>
    <col min="3333" max="3583" width="8.88671875" style="13"/>
    <col min="3584" max="3584" width="10.6640625" style="13" customWidth="1"/>
    <col min="3585" max="3585" width="13.88671875" style="13" customWidth="1"/>
    <col min="3586" max="3586" width="12" style="13" customWidth="1"/>
    <col min="3587" max="3587" width="0" style="13" hidden="1" customWidth="1"/>
    <col min="3588" max="3588" width="14" style="13" customWidth="1"/>
    <col min="3589" max="3839" width="8.88671875" style="13"/>
    <col min="3840" max="3840" width="10.6640625" style="13" customWidth="1"/>
    <col min="3841" max="3841" width="13.88671875" style="13" customWidth="1"/>
    <col min="3842" max="3842" width="12" style="13" customWidth="1"/>
    <col min="3843" max="3843" width="0" style="13" hidden="1" customWidth="1"/>
    <col min="3844" max="3844" width="14" style="13" customWidth="1"/>
    <col min="3845" max="4095" width="8.88671875" style="13"/>
    <col min="4096" max="4096" width="10.6640625" style="13" customWidth="1"/>
    <col min="4097" max="4097" width="13.88671875" style="13" customWidth="1"/>
    <col min="4098" max="4098" width="12" style="13" customWidth="1"/>
    <col min="4099" max="4099" width="0" style="13" hidden="1" customWidth="1"/>
    <col min="4100" max="4100" width="14" style="13" customWidth="1"/>
    <col min="4101" max="4351" width="8.88671875" style="13"/>
    <col min="4352" max="4352" width="10.6640625" style="13" customWidth="1"/>
    <col min="4353" max="4353" width="13.88671875" style="13" customWidth="1"/>
    <col min="4354" max="4354" width="12" style="13" customWidth="1"/>
    <col min="4355" max="4355" width="0" style="13" hidden="1" customWidth="1"/>
    <col min="4356" max="4356" width="14" style="13" customWidth="1"/>
    <col min="4357" max="4607" width="8.88671875" style="13"/>
    <col min="4608" max="4608" width="10.6640625" style="13" customWidth="1"/>
    <col min="4609" max="4609" width="13.88671875" style="13" customWidth="1"/>
    <col min="4610" max="4610" width="12" style="13" customWidth="1"/>
    <col min="4611" max="4611" width="0" style="13" hidden="1" customWidth="1"/>
    <col min="4612" max="4612" width="14" style="13" customWidth="1"/>
    <col min="4613" max="4863" width="8.88671875" style="13"/>
    <col min="4864" max="4864" width="10.6640625" style="13" customWidth="1"/>
    <col min="4865" max="4865" width="13.88671875" style="13" customWidth="1"/>
    <col min="4866" max="4866" width="12" style="13" customWidth="1"/>
    <col min="4867" max="4867" width="0" style="13" hidden="1" customWidth="1"/>
    <col min="4868" max="4868" width="14" style="13" customWidth="1"/>
    <col min="4869" max="5119" width="8.88671875" style="13"/>
    <col min="5120" max="5120" width="10.6640625" style="13" customWidth="1"/>
    <col min="5121" max="5121" width="13.88671875" style="13" customWidth="1"/>
    <col min="5122" max="5122" width="12" style="13" customWidth="1"/>
    <col min="5123" max="5123" width="0" style="13" hidden="1" customWidth="1"/>
    <col min="5124" max="5124" width="14" style="13" customWidth="1"/>
    <col min="5125" max="5375" width="8.88671875" style="13"/>
    <col min="5376" max="5376" width="10.6640625" style="13" customWidth="1"/>
    <col min="5377" max="5377" width="13.88671875" style="13" customWidth="1"/>
    <col min="5378" max="5378" width="12" style="13" customWidth="1"/>
    <col min="5379" max="5379" width="0" style="13" hidden="1" customWidth="1"/>
    <col min="5380" max="5380" width="14" style="13" customWidth="1"/>
    <col min="5381" max="5631" width="8.88671875" style="13"/>
    <col min="5632" max="5632" width="10.6640625" style="13" customWidth="1"/>
    <col min="5633" max="5633" width="13.88671875" style="13" customWidth="1"/>
    <col min="5634" max="5634" width="12" style="13" customWidth="1"/>
    <col min="5635" max="5635" width="0" style="13" hidden="1" customWidth="1"/>
    <col min="5636" max="5636" width="14" style="13" customWidth="1"/>
    <col min="5637" max="5887" width="8.88671875" style="13"/>
    <col min="5888" max="5888" width="10.6640625" style="13" customWidth="1"/>
    <col min="5889" max="5889" width="13.88671875" style="13" customWidth="1"/>
    <col min="5890" max="5890" width="12" style="13" customWidth="1"/>
    <col min="5891" max="5891" width="0" style="13" hidden="1" customWidth="1"/>
    <col min="5892" max="5892" width="14" style="13" customWidth="1"/>
    <col min="5893" max="6143" width="8.88671875" style="13"/>
    <col min="6144" max="6144" width="10.6640625" style="13" customWidth="1"/>
    <col min="6145" max="6145" width="13.88671875" style="13" customWidth="1"/>
    <col min="6146" max="6146" width="12" style="13" customWidth="1"/>
    <col min="6147" max="6147" width="0" style="13" hidden="1" customWidth="1"/>
    <col min="6148" max="6148" width="14" style="13" customWidth="1"/>
    <col min="6149" max="6399" width="8.88671875" style="13"/>
    <col min="6400" max="6400" width="10.6640625" style="13" customWidth="1"/>
    <col min="6401" max="6401" width="13.88671875" style="13" customWidth="1"/>
    <col min="6402" max="6402" width="12" style="13" customWidth="1"/>
    <col min="6403" max="6403" width="0" style="13" hidden="1" customWidth="1"/>
    <col min="6404" max="6404" width="14" style="13" customWidth="1"/>
    <col min="6405" max="6655" width="8.88671875" style="13"/>
    <col min="6656" max="6656" width="10.6640625" style="13" customWidth="1"/>
    <col min="6657" max="6657" width="13.88671875" style="13" customWidth="1"/>
    <col min="6658" max="6658" width="12" style="13" customWidth="1"/>
    <col min="6659" max="6659" width="0" style="13" hidden="1" customWidth="1"/>
    <col min="6660" max="6660" width="14" style="13" customWidth="1"/>
    <col min="6661" max="6911" width="8.88671875" style="13"/>
    <col min="6912" max="6912" width="10.6640625" style="13" customWidth="1"/>
    <col min="6913" max="6913" width="13.88671875" style="13" customWidth="1"/>
    <col min="6914" max="6914" width="12" style="13" customWidth="1"/>
    <col min="6915" max="6915" width="0" style="13" hidden="1" customWidth="1"/>
    <col min="6916" max="6916" width="14" style="13" customWidth="1"/>
    <col min="6917" max="7167" width="8.88671875" style="13"/>
    <col min="7168" max="7168" width="10.6640625" style="13" customWidth="1"/>
    <col min="7169" max="7169" width="13.88671875" style="13" customWidth="1"/>
    <col min="7170" max="7170" width="12" style="13" customWidth="1"/>
    <col min="7171" max="7171" width="0" style="13" hidden="1" customWidth="1"/>
    <col min="7172" max="7172" width="14" style="13" customWidth="1"/>
    <col min="7173" max="7423" width="8.88671875" style="13"/>
    <col min="7424" max="7424" width="10.6640625" style="13" customWidth="1"/>
    <col min="7425" max="7425" width="13.88671875" style="13" customWidth="1"/>
    <col min="7426" max="7426" width="12" style="13" customWidth="1"/>
    <col min="7427" max="7427" width="0" style="13" hidden="1" customWidth="1"/>
    <col min="7428" max="7428" width="14" style="13" customWidth="1"/>
    <col min="7429" max="7679" width="8.88671875" style="13"/>
    <col min="7680" max="7680" width="10.6640625" style="13" customWidth="1"/>
    <col min="7681" max="7681" width="13.88671875" style="13" customWidth="1"/>
    <col min="7682" max="7682" width="12" style="13" customWidth="1"/>
    <col min="7683" max="7683" width="0" style="13" hidden="1" customWidth="1"/>
    <col min="7684" max="7684" width="14" style="13" customWidth="1"/>
    <col min="7685" max="7935" width="8.88671875" style="13"/>
    <col min="7936" max="7936" width="10.6640625" style="13" customWidth="1"/>
    <col min="7937" max="7937" width="13.88671875" style="13" customWidth="1"/>
    <col min="7938" max="7938" width="12" style="13" customWidth="1"/>
    <col min="7939" max="7939" width="0" style="13" hidden="1" customWidth="1"/>
    <col min="7940" max="7940" width="14" style="13" customWidth="1"/>
    <col min="7941" max="8191" width="8.88671875" style="13"/>
    <col min="8192" max="8192" width="10.6640625" style="13" customWidth="1"/>
    <col min="8193" max="8193" width="13.88671875" style="13" customWidth="1"/>
    <col min="8194" max="8194" width="12" style="13" customWidth="1"/>
    <col min="8195" max="8195" width="0" style="13" hidden="1" customWidth="1"/>
    <col min="8196" max="8196" width="14" style="13" customWidth="1"/>
    <col min="8197" max="8447" width="8.88671875" style="13"/>
    <col min="8448" max="8448" width="10.6640625" style="13" customWidth="1"/>
    <col min="8449" max="8449" width="13.88671875" style="13" customWidth="1"/>
    <col min="8450" max="8450" width="12" style="13" customWidth="1"/>
    <col min="8451" max="8451" width="0" style="13" hidden="1" customWidth="1"/>
    <col min="8452" max="8452" width="14" style="13" customWidth="1"/>
    <col min="8453" max="8703" width="8.88671875" style="13"/>
    <col min="8704" max="8704" width="10.6640625" style="13" customWidth="1"/>
    <col min="8705" max="8705" width="13.88671875" style="13" customWidth="1"/>
    <col min="8706" max="8706" width="12" style="13" customWidth="1"/>
    <col min="8707" max="8707" width="0" style="13" hidden="1" customWidth="1"/>
    <col min="8708" max="8708" width="14" style="13" customWidth="1"/>
    <col min="8709" max="8959" width="8.88671875" style="13"/>
    <col min="8960" max="8960" width="10.6640625" style="13" customWidth="1"/>
    <col min="8961" max="8961" width="13.88671875" style="13" customWidth="1"/>
    <col min="8962" max="8962" width="12" style="13" customWidth="1"/>
    <col min="8963" max="8963" width="0" style="13" hidden="1" customWidth="1"/>
    <col min="8964" max="8964" width="14" style="13" customWidth="1"/>
    <col min="8965" max="9215" width="8.88671875" style="13"/>
    <col min="9216" max="9216" width="10.6640625" style="13" customWidth="1"/>
    <col min="9217" max="9217" width="13.88671875" style="13" customWidth="1"/>
    <col min="9218" max="9218" width="12" style="13" customWidth="1"/>
    <col min="9219" max="9219" width="0" style="13" hidden="1" customWidth="1"/>
    <col min="9220" max="9220" width="14" style="13" customWidth="1"/>
    <col min="9221" max="9471" width="8.88671875" style="13"/>
    <col min="9472" max="9472" width="10.6640625" style="13" customWidth="1"/>
    <col min="9473" max="9473" width="13.88671875" style="13" customWidth="1"/>
    <col min="9474" max="9474" width="12" style="13" customWidth="1"/>
    <col min="9475" max="9475" width="0" style="13" hidden="1" customWidth="1"/>
    <col min="9476" max="9476" width="14" style="13" customWidth="1"/>
    <col min="9477" max="9727" width="8.88671875" style="13"/>
    <col min="9728" max="9728" width="10.6640625" style="13" customWidth="1"/>
    <col min="9729" max="9729" width="13.88671875" style="13" customWidth="1"/>
    <col min="9730" max="9730" width="12" style="13" customWidth="1"/>
    <col min="9731" max="9731" width="0" style="13" hidden="1" customWidth="1"/>
    <col min="9732" max="9732" width="14" style="13" customWidth="1"/>
    <col min="9733" max="9983" width="8.88671875" style="13"/>
    <col min="9984" max="9984" width="10.6640625" style="13" customWidth="1"/>
    <col min="9985" max="9985" width="13.88671875" style="13" customWidth="1"/>
    <col min="9986" max="9986" width="12" style="13" customWidth="1"/>
    <col min="9987" max="9987" width="0" style="13" hidden="1" customWidth="1"/>
    <col min="9988" max="9988" width="14" style="13" customWidth="1"/>
    <col min="9989" max="10239" width="8.88671875" style="13"/>
    <col min="10240" max="10240" width="10.6640625" style="13" customWidth="1"/>
    <col min="10241" max="10241" width="13.88671875" style="13" customWidth="1"/>
    <col min="10242" max="10242" width="12" style="13" customWidth="1"/>
    <col min="10243" max="10243" width="0" style="13" hidden="1" customWidth="1"/>
    <col min="10244" max="10244" width="14" style="13" customWidth="1"/>
    <col min="10245" max="10495" width="8.88671875" style="13"/>
    <col min="10496" max="10496" width="10.6640625" style="13" customWidth="1"/>
    <col min="10497" max="10497" width="13.88671875" style="13" customWidth="1"/>
    <col min="10498" max="10498" width="12" style="13" customWidth="1"/>
    <col min="10499" max="10499" width="0" style="13" hidden="1" customWidth="1"/>
    <col min="10500" max="10500" width="14" style="13" customWidth="1"/>
    <col min="10501" max="10751" width="8.88671875" style="13"/>
    <col min="10752" max="10752" width="10.6640625" style="13" customWidth="1"/>
    <col min="10753" max="10753" width="13.88671875" style="13" customWidth="1"/>
    <col min="10754" max="10754" width="12" style="13" customWidth="1"/>
    <col min="10755" max="10755" width="0" style="13" hidden="1" customWidth="1"/>
    <col min="10756" max="10756" width="14" style="13" customWidth="1"/>
    <col min="10757" max="11007" width="8.88671875" style="13"/>
    <col min="11008" max="11008" width="10.6640625" style="13" customWidth="1"/>
    <col min="11009" max="11009" width="13.88671875" style="13" customWidth="1"/>
    <col min="11010" max="11010" width="12" style="13" customWidth="1"/>
    <col min="11011" max="11011" width="0" style="13" hidden="1" customWidth="1"/>
    <col min="11012" max="11012" width="14" style="13" customWidth="1"/>
    <col min="11013" max="11263" width="8.88671875" style="13"/>
    <col min="11264" max="11264" width="10.6640625" style="13" customWidth="1"/>
    <col min="11265" max="11265" width="13.88671875" style="13" customWidth="1"/>
    <col min="11266" max="11266" width="12" style="13" customWidth="1"/>
    <col min="11267" max="11267" width="0" style="13" hidden="1" customWidth="1"/>
    <col min="11268" max="11268" width="14" style="13" customWidth="1"/>
    <col min="11269" max="11519" width="8.88671875" style="13"/>
    <col min="11520" max="11520" width="10.6640625" style="13" customWidth="1"/>
    <col min="11521" max="11521" width="13.88671875" style="13" customWidth="1"/>
    <col min="11522" max="11522" width="12" style="13" customWidth="1"/>
    <col min="11523" max="11523" width="0" style="13" hidden="1" customWidth="1"/>
    <col min="11524" max="11524" width="14" style="13" customWidth="1"/>
    <col min="11525" max="11775" width="8.88671875" style="13"/>
    <col min="11776" max="11776" width="10.6640625" style="13" customWidth="1"/>
    <col min="11777" max="11777" width="13.88671875" style="13" customWidth="1"/>
    <col min="11778" max="11778" width="12" style="13" customWidth="1"/>
    <col min="11779" max="11779" width="0" style="13" hidden="1" customWidth="1"/>
    <col min="11780" max="11780" width="14" style="13" customWidth="1"/>
    <col min="11781" max="12031" width="8.88671875" style="13"/>
    <col min="12032" max="12032" width="10.6640625" style="13" customWidth="1"/>
    <col min="12033" max="12033" width="13.88671875" style="13" customWidth="1"/>
    <col min="12034" max="12034" width="12" style="13" customWidth="1"/>
    <col min="12035" max="12035" width="0" style="13" hidden="1" customWidth="1"/>
    <col min="12036" max="12036" width="14" style="13" customWidth="1"/>
    <col min="12037" max="12287" width="8.88671875" style="13"/>
    <col min="12288" max="12288" width="10.6640625" style="13" customWidth="1"/>
    <col min="12289" max="12289" width="13.88671875" style="13" customWidth="1"/>
    <col min="12290" max="12290" width="12" style="13" customWidth="1"/>
    <col min="12291" max="12291" width="0" style="13" hidden="1" customWidth="1"/>
    <col min="12292" max="12292" width="14" style="13" customWidth="1"/>
    <col min="12293" max="12543" width="8.88671875" style="13"/>
    <col min="12544" max="12544" width="10.6640625" style="13" customWidth="1"/>
    <col min="12545" max="12545" width="13.88671875" style="13" customWidth="1"/>
    <col min="12546" max="12546" width="12" style="13" customWidth="1"/>
    <col min="12547" max="12547" width="0" style="13" hidden="1" customWidth="1"/>
    <col min="12548" max="12548" width="14" style="13" customWidth="1"/>
    <col min="12549" max="12799" width="8.88671875" style="13"/>
    <col min="12800" max="12800" width="10.6640625" style="13" customWidth="1"/>
    <col min="12801" max="12801" width="13.88671875" style="13" customWidth="1"/>
    <col min="12802" max="12802" width="12" style="13" customWidth="1"/>
    <col min="12803" max="12803" width="0" style="13" hidden="1" customWidth="1"/>
    <col min="12804" max="12804" width="14" style="13" customWidth="1"/>
    <col min="12805" max="13055" width="8.88671875" style="13"/>
    <col min="13056" max="13056" width="10.6640625" style="13" customWidth="1"/>
    <col min="13057" max="13057" width="13.88671875" style="13" customWidth="1"/>
    <col min="13058" max="13058" width="12" style="13" customWidth="1"/>
    <col min="13059" max="13059" width="0" style="13" hidden="1" customWidth="1"/>
    <col min="13060" max="13060" width="14" style="13" customWidth="1"/>
    <col min="13061" max="13311" width="8.88671875" style="13"/>
    <col min="13312" max="13312" width="10.6640625" style="13" customWidth="1"/>
    <col min="13313" max="13313" width="13.88671875" style="13" customWidth="1"/>
    <col min="13314" max="13314" width="12" style="13" customWidth="1"/>
    <col min="13315" max="13315" width="0" style="13" hidden="1" customWidth="1"/>
    <col min="13316" max="13316" width="14" style="13" customWidth="1"/>
    <col min="13317" max="13567" width="8.88671875" style="13"/>
    <col min="13568" max="13568" width="10.6640625" style="13" customWidth="1"/>
    <col min="13569" max="13569" width="13.88671875" style="13" customWidth="1"/>
    <col min="13570" max="13570" width="12" style="13" customWidth="1"/>
    <col min="13571" max="13571" width="0" style="13" hidden="1" customWidth="1"/>
    <col min="13572" max="13572" width="14" style="13" customWidth="1"/>
    <col min="13573" max="13823" width="8.88671875" style="13"/>
    <col min="13824" max="13824" width="10.6640625" style="13" customWidth="1"/>
    <col min="13825" max="13825" width="13.88671875" style="13" customWidth="1"/>
    <col min="13826" max="13826" width="12" style="13" customWidth="1"/>
    <col min="13827" max="13827" width="0" style="13" hidden="1" customWidth="1"/>
    <col min="13828" max="13828" width="14" style="13" customWidth="1"/>
    <col min="13829" max="14079" width="8.88671875" style="13"/>
    <col min="14080" max="14080" width="10.6640625" style="13" customWidth="1"/>
    <col min="14081" max="14081" width="13.88671875" style="13" customWidth="1"/>
    <col min="14082" max="14082" width="12" style="13" customWidth="1"/>
    <col min="14083" max="14083" width="0" style="13" hidden="1" customWidth="1"/>
    <col min="14084" max="14084" width="14" style="13" customWidth="1"/>
    <col min="14085" max="14335" width="8.88671875" style="13"/>
    <col min="14336" max="14336" width="10.6640625" style="13" customWidth="1"/>
    <col min="14337" max="14337" width="13.88671875" style="13" customWidth="1"/>
    <col min="14338" max="14338" width="12" style="13" customWidth="1"/>
    <col min="14339" max="14339" width="0" style="13" hidden="1" customWidth="1"/>
    <col min="14340" max="14340" width="14" style="13" customWidth="1"/>
    <col min="14341" max="14591" width="8.88671875" style="13"/>
    <col min="14592" max="14592" width="10.6640625" style="13" customWidth="1"/>
    <col min="14593" max="14593" width="13.88671875" style="13" customWidth="1"/>
    <col min="14594" max="14594" width="12" style="13" customWidth="1"/>
    <col min="14595" max="14595" width="0" style="13" hidden="1" customWidth="1"/>
    <col min="14596" max="14596" width="14" style="13" customWidth="1"/>
    <col min="14597" max="14847" width="8.88671875" style="13"/>
    <col min="14848" max="14848" width="10.6640625" style="13" customWidth="1"/>
    <col min="14849" max="14849" width="13.88671875" style="13" customWidth="1"/>
    <col min="14850" max="14850" width="12" style="13" customWidth="1"/>
    <col min="14851" max="14851" width="0" style="13" hidden="1" customWidth="1"/>
    <col min="14852" max="14852" width="14" style="13" customWidth="1"/>
    <col min="14853" max="15103" width="8.88671875" style="13"/>
    <col min="15104" max="15104" width="10.6640625" style="13" customWidth="1"/>
    <col min="15105" max="15105" width="13.88671875" style="13" customWidth="1"/>
    <col min="15106" max="15106" width="12" style="13" customWidth="1"/>
    <col min="15107" max="15107" width="0" style="13" hidden="1" customWidth="1"/>
    <col min="15108" max="15108" width="14" style="13" customWidth="1"/>
    <col min="15109" max="15359" width="8.88671875" style="13"/>
    <col min="15360" max="15360" width="10.6640625" style="13" customWidth="1"/>
    <col min="15361" max="15361" width="13.88671875" style="13" customWidth="1"/>
    <col min="15362" max="15362" width="12" style="13" customWidth="1"/>
    <col min="15363" max="15363" width="0" style="13" hidden="1" customWidth="1"/>
    <col min="15364" max="15364" width="14" style="13" customWidth="1"/>
    <col min="15365" max="15615" width="8.88671875" style="13"/>
    <col min="15616" max="15616" width="10.6640625" style="13" customWidth="1"/>
    <col min="15617" max="15617" width="13.88671875" style="13" customWidth="1"/>
    <col min="15618" max="15618" width="12" style="13" customWidth="1"/>
    <col min="15619" max="15619" width="0" style="13" hidden="1" customWidth="1"/>
    <col min="15620" max="15620" width="14" style="13" customWidth="1"/>
    <col min="15621" max="15871" width="8.88671875" style="13"/>
    <col min="15872" max="15872" width="10.6640625" style="13" customWidth="1"/>
    <col min="15873" max="15873" width="13.88671875" style="13" customWidth="1"/>
    <col min="15874" max="15874" width="12" style="13" customWidth="1"/>
    <col min="15875" max="15875" width="0" style="13" hidden="1" customWidth="1"/>
    <col min="15876" max="15876" width="14" style="13" customWidth="1"/>
    <col min="15877" max="16127" width="8.88671875" style="13"/>
    <col min="16128" max="16128" width="10.6640625" style="13" customWidth="1"/>
    <col min="16129" max="16129" width="13.88671875" style="13" customWidth="1"/>
    <col min="16130" max="16130" width="12" style="13" customWidth="1"/>
    <col min="16131" max="16131" width="0" style="13" hidden="1" customWidth="1"/>
    <col min="16132" max="16132" width="14" style="13" customWidth="1"/>
    <col min="16133" max="16384" width="8.88671875" style="13"/>
  </cols>
  <sheetData>
    <row r="1" spans="1:15" ht="21" x14ac:dyDescent="0.4">
      <c r="A1" s="130" t="s">
        <v>349</v>
      </c>
      <c r="B1" s="131"/>
      <c r="C1" s="131"/>
      <c r="O1" s="750" t="s">
        <v>19</v>
      </c>
    </row>
    <row r="2" spans="1:15" x14ac:dyDescent="0.25">
      <c r="A2" s="41" t="s">
        <v>31</v>
      </c>
      <c r="B2" s="41" t="s">
        <v>32</v>
      </c>
      <c r="C2" s="41" t="s">
        <v>33</v>
      </c>
      <c r="D2" s="41" t="s">
        <v>34</v>
      </c>
    </row>
    <row r="3" spans="1:15" ht="14.4" x14ac:dyDescent="0.3">
      <c r="A3" s="45" t="s">
        <v>35</v>
      </c>
      <c r="B3" s="45">
        <v>90</v>
      </c>
      <c r="C3" s="42">
        <f t="shared" ref="C3:C19" si="0">B3/$B$20</f>
        <v>0.2608695652173913</v>
      </c>
      <c r="D3" s="43">
        <f>C3</f>
        <v>0.2608695652173913</v>
      </c>
      <c r="E3" s="13" t="s">
        <v>190</v>
      </c>
    </row>
    <row r="4" spans="1:15" ht="14.4" x14ac:dyDescent="0.3">
      <c r="A4" s="45" t="s">
        <v>36</v>
      </c>
      <c r="B4" s="45">
        <v>87</v>
      </c>
      <c r="C4" s="42">
        <f t="shared" si="0"/>
        <v>0.25217391304347825</v>
      </c>
      <c r="D4" s="43">
        <f>C4+D3</f>
        <v>0.51304347826086949</v>
      </c>
    </row>
    <row r="5" spans="1:15" ht="14.4" x14ac:dyDescent="0.3">
      <c r="A5" s="45" t="s">
        <v>37</v>
      </c>
      <c r="B5" s="45">
        <v>45</v>
      </c>
      <c r="C5" s="42">
        <f t="shared" si="0"/>
        <v>0.13043478260869565</v>
      </c>
      <c r="D5" s="43">
        <f>C5+D4</f>
        <v>0.64347826086956517</v>
      </c>
    </row>
    <row r="6" spans="1:15" ht="14.4" x14ac:dyDescent="0.3">
      <c r="A6" s="45" t="s">
        <v>38</v>
      </c>
      <c r="B6" s="45">
        <v>33</v>
      </c>
      <c r="C6" s="42">
        <f t="shared" si="0"/>
        <v>9.5652173913043481E-2</v>
      </c>
      <c r="D6" s="43">
        <f>C6+D5</f>
        <v>0.73913043478260865</v>
      </c>
    </row>
    <row r="7" spans="1:15" ht="14.4" x14ac:dyDescent="0.3">
      <c r="A7" s="45" t="s">
        <v>39</v>
      </c>
      <c r="B7" s="45">
        <v>23</v>
      </c>
      <c r="C7" s="42">
        <f t="shared" si="0"/>
        <v>6.6666666666666666E-2</v>
      </c>
      <c r="D7" s="43">
        <f t="shared" ref="D7:D19" si="1">C7+D6</f>
        <v>0.8057971014492753</v>
      </c>
    </row>
    <row r="8" spans="1:15" ht="14.4" x14ac:dyDescent="0.3">
      <c r="A8" s="45" t="s">
        <v>40</v>
      </c>
      <c r="B8" s="45">
        <v>18</v>
      </c>
      <c r="C8" s="42">
        <f t="shared" si="0"/>
        <v>5.2173913043478258E-2</v>
      </c>
      <c r="D8" s="43">
        <f t="shared" si="1"/>
        <v>0.85797101449275359</v>
      </c>
    </row>
    <row r="9" spans="1:15" ht="14.4" x14ac:dyDescent="0.3">
      <c r="A9" s="45" t="s">
        <v>41</v>
      </c>
      <c r="B9" s="45">
        <v>14</v>
      </c>
      <c r="C9" s="42">
        <f t="shared" si="0"/>
        <v>4.0579710144927533E-2</v>
      </c>
      <c r="D9" s="43">
        <f t="shared" si="1"/>
        <v>0.89855072463768115</v>
      </c>
    </row>
    <row r="10" spans="1:15" ht="14.4" x14ac:dyDescent="0.3">
      <c r="A10" s="45" t="s">
        <v>42</v>
      </c>
      <c r="B10" s="45">
        <v>13</v>
      </c>
      <c r="C10" s="42">
        <f t="shared" si="0"/>
        <v>3.7681159420289857E-2</v>
      </c>
      <c r="D10" s="43">
        <f t="shared" si="1"/>
        <v>0.93623188405797098</v>
      </c>
    </row>
    <row r="11" spans="1:15" ht="14.4" x14ac:dyDescent="0.3">
      <c r="A11" s="45" t="s">
        <v>43</v>
      </c>
      <c r="B11" s="45">
        <v>5</v>
      </c>
      <c r="C11" s="42">
        <f t="shared" si="0"/>
        <v>1.4492753623188406E-2</v>
      </c>
      <c r="D11" s="43">
        <f t="shared" si="1"/>
        <v>0.95072463768115933</v>
      </c>
    </row>
    <row r="12" spans="1:15" ht="14.4" x14ac:dyDescent="0.3">
      <c r="A12" s="45" t="s">
        <v>44</v>
      </c>
      <c r="B12" s="45">
        <v>4</v>
      </c>
      <c r="C12" s="42">
        <f t="shared" si="0"/>
        <v>1.1594202898550725E-2</v>
      </c>
      <c r="D12" s="43">
        <f t="shared" si="1"/>
        <v>0.96231884057971007</v>
      </c>
    </row>
    <row r="13" spans="1:15" ht="14.4" x14ac:dyDescent="0.3">
      <c r="A13" s="45" t="s">
        <v>41</v>
      </c>
      <c r="B13" s="45">
        <v>3</v>
      </c>
      <c r="C13" s="42">
        <f t="shared" si="0"/>
        <v>8.6956521739130436E-3</v>
      </c>
      <c r="D13" s="43">
        <f t="shared" si="1"/>
        <v>0.97101449275362306</v>
      </c>
    </row>
    <row r="14" spans="1:15" ht="14.4" x14ac:dyDescent="0.3">
      <c r="A14" s="45" t="s">
        <v>42</v>
      </c>
      <c r="B14" s="45">
        <v>3</v>
      </c>
      <c r="C14" s="42">
        <f t="shared" si="0"/>
        <v>8.6956521739130436E-3</v>
      </c>
      <c r="D14" s="43">
        <f t="shared" si="1"/>
        <v>0.97971014492753605</v>
      </c>
    </row>
    <row r="15" spans="1:15" ht="14.4" x14ac:dyDescent="0.3">
      <c r="A15" s="45" t="s">
        <v>43</v>
      </c>
      <c r="B15" s="45">
        <v>2</v>
      </c>
      <c r="C15" s="42">
        <f t="shared" si="0"/>
        <v>5.7971014492753624E-3</v>
      </c>
      <c r="D15" s="43">
        <f t="shared" si="1"/>
        <v>0.98550724637681142</v>
      </c>
    </row>
    <row r="16" spans="1:15" ht="14.4" x14ac:dyDescent="0.3">
      <c r="A16" s="45" t="s">
        <v>44</v>
      </c>
      <c r="B16" s="45">
        <v>2</v>
      </c>
      <c r="C16" s="42">
        <f t="shared" si="0"/>
        <v>5.7971014492753624E-3</v>
      </c>
      <c r="D16" s="43">
        <f t="shared" si="1"/>
        <v>0.99130434782608678</v>
      </c>
    </row>
    <row r="17" spans="1:4" ht="14.4" x14ac:dyDescent="0.3">
      <c r="A17" s="45" t="s">
        <v>41</v>
      </c>
      <c r="B17" s="45">
        <v>1</v>
      </c>
      <c r="C17" s="42">
        <f t="shared" si="0"/>
        <v>2.8985507246376812E-3</v>
      </c>
      <c r="D17" s="43">
        <f t="shared" si="1"/>
        <v>0.99420289855072441</v>
      </c>
    </row>
    <row r="18" spans="1:4" ht="14.4" x14ac:dyDescent="0.3">
      <c r="A18" s="45" t="s">
        <v>42</v>
      </c>
      <c r="B18" s="45">
        <v>1</v>
      </c>
      <c r="C18" s="42">
        <f t="shared" si="0"/>
        <v>2.8985507246376812E-3</v>
      </c>
      <c r="D18" s="43">
        <f t="shared" si="1"/>
        <v>0.99710144927536204</v>
      </c>
    </row>
    <row r="19" spans="1:4" ht="14.4" x14ac:dyDescent="0.3">
      <c r="A19" s="45" t="s">
        <v>43</v>
      </c>
      <c r="B19" s="45">
        <v>1</v>
      </c>
      <c r="C19" s="42">
        <f t="shared" si="0"/>
        <v>2.8985507246376812E-3</v>
      </c>
      <c r="D19" s="43">
        <f t="shared" si="1"/>
        <v>0.99999999999999967</v>
      </c>
    </row>
    <row r="20" spans="1:4" x14ac:dyDescent="0.25">
      <c r="A20" s="41" t="s">
        <v>45</v>
      </c>
      <c r="B20" s="41">
        <f>SUM(B3:B19)</f>
        <v>345</v>
      </c>
    </row>
    <row r="23" spans="1:4" ht="18" x14ac:dyDescent="0.35">
      <c r="A23" s="130" t="s">
        <v>346</v>
      </c>
    </row>
    <row r="24" spans="1:4" ht="18" x14ac:dyDescent="0.35">
      <c r="A24" s="130" t="s">
        <v>348</v>
      </c>
    </row>
    <row r="25" spans="1:4" ht="18" x14ac:dyDescent="0.35">
      <c r="A25" s="130" t="s">
        <v>347</v>
      </c>
    </row>
  </sheetData>
  <hyperlinks>
    <hyperlink ref="O1" location="Menu!A1" display="Return to menu" xr:uid="{00000000-0004-0000-2800-000000000000}"/>
  </hyperlinks>
  <pageMargins left="0.75" right="0.75" top="1" bottom="1" header="0.5" footer="0.5"/>
  <pageSetup orientation="landscape"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6501D-08FF-464F-B872-FBE370F3DFFA}">
  <dimension ref="B1:M20"/>
  <sheetViews>
    <sheetView workbookViewId="0">
      <selection activeCell="L1" sqref="L1"/>
    </sheetView>
  </sheetViews>
  <sheetFormatPr defaultRowHeight="14.4" x14ac:dyDescent="0.3"/>
  <cols>
    <col min="2" max="2" width="9" customWidth="1"/>
    <col min="3" max="3" width="14" customWidth="1"/>
    <col min="12" max="12" width="18.88671875" customWidth="1"/>
  </cols>
  <sheetData>
    <row r="1" spans="2:13" ht="21" x14ac:dyDescent="0.4">
      <c r="K1" s="14"/>
      <c r="L1" s="7" t="s">
        <v>19</v>
      </c>
      <c r="M1" s="14"/>
    </row>
    <row r="2" spans="2:13" ht="18" x14ac:dyDescent="0.35">
      <c r="B2" s="130" t="s">
        <v>1001</v>
      </c>
      <c r="C2" s="131"/>
    </row>
    <row r="3" spans="2:13" x14ac:dyDescent="0.3">
      <c r="B3" s="41" t="s">
        <v>31</v>
      </c>
      <c r="C3" s="41" t="s">
        <v>32</v>
      </c>
    </row>
    <row r="4" spans="2:13" x14ac:dyDescent="0.3">
      <c r="B4" s="45" t="s">
        <v>35</v>
      </c>
      <c r="C4" s="45">
        <v>90</v>
      </c>
    </row>
    <row r="5" spans="2:13" x14ac:dyDescent="0.3">
      <c r="B5" s="45" t="s">
        <v>36</v>
      </c>
      <c r="C5" s="45">
        <v>87</v>
      </c>
    </row>
    <row r="6" spans="2:13" x14ac:dyDescent="0.3">
      <c r="B6" s="45" t="s">
        <v>37</v>
      </c>
      <c r="C6" s="45">
        <v>45</v>
      </c>
    </row>
    <row r="7" spans="2:13" x14ac:dyDescent="0.3">
      <c r="B7" s="45" t="s">
        <v>38</v>
      </c>
      <c r="C7" s="45">
        <v>33</v>
      </c>
    </row>
    <row r="8" spans="2:13" x14ac:dyDescent="0.3">
      <c r="B8" s="45" t="s">
        <v>39</v>
      </c>
      <c r="C8" s="45">
        <v>23</v>
      </c>
    </row>
    <row r="9" spans="2:13" x14ac:dyDescent="0.3">
      <c r="B9" s="45" t="s">
        <v>40</v>
      </c>
      <c r="C9" s="45">
        <v>18</v>
      </c>
    </row>
    <row r="10" spans="2:13" x14ac:dyDescent="0.3">
      <c r="B10" s="45" t="s">
        <v>41</v>
      </c>
      <c r="C10" s="45">
        <v>14</v>
      </c>
    </row>
    <row r="11" spans="2:13" x14ac:dyDescent="0.3">
      <c r="B11" s="45" t="s">
        <v>42</v>
      </c>
      <c r="C11" s="45">
        <v>13</v>
      </c>
    </row>
    <row r="12" spans="2:13" x14ac:dyDescent="0.3">
      <c r="B12" s="45" t="s">
        <v>43</v>
      </c>
      <c r="C12" s="45">
        <v>0</v>
      </c>
    </row>
    <row r="13" spans="2:13" x14ac:dyDescent="0.3">
      <c r="B13" s="45" t="s">
        <v>44</v>
      </c>
      <c r="C13" s="45">
        <v>0</v>
      </c>
    </row>
    <row r="14" spans="2:13" x14ac:dyDescent="0.3">
      <c r="B14" s="45" t="s">
        <v>41</v>
      </c>
      <c r="C14" s="45">
        <v>0</v>
      </c>
    </row>
    <row r="15" spans="2:13" x14ac:dyDescent="0.3">
      <c r="B15" s="45" t="s">
        <v>42</v>
      </c>
      <c r="C15" s="45">
        <v>0</v>
      </c>
    </row>
    <row r="16" spans="2:13" x14ac:dyDescent="0.3">
      <c r="B16" s="45" t="s">
        <v>43</v>
      </c>
      <c r="C16" s="45">
        <v>0</v>
      </c>
    </row>
    <row r="17" spans="2:3" x14ac:dyDescent="0.3">
      <c r="B17" s="45" t="s">
        <v>44</v>
      </c>
      <c r="C17" s="45">
        <v>0</v>
      </c>
    </row>
    <row r="18" spans="2:3" x14ac:dyDescent="0.3">
      <c r="B18" s="45" t="s">
        <v>41</v>
      </c>
      <c r="C18" s="45">
        <v>0</v>
      </c>
    </row>
    <row r="19" spans="2:3" x14ac:dyDescent="0.3">
      <c r="B19" s="45" t="s">
        <v>42</v>
      </c>
      <c r="C19" s="45">
        <v>0</v>
      </c>
    </row>
    <row r="20" spans="2:3" x14ac:dyDescent="0.3">
      <c r="B20" s="45" t="s">
        <v>43</v>
      </c>
      <c r="C20" s="45">
        <v>0</v>
      </c>
    </row>
  </sheetData>
  <hyperlinks>
    <hyperlink ref="L1" location="Menu!A1" display="Return to menu" xr:uid="{8B5B1F80-93F2-496E-A4E7-97C2C02B7425}"/>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dimension ref="A1:M83"/>
  <sheetViews>
    <sheetView showGridLines="0" zoomScale="85" zoomScaleNormal="85" zoomScalePageLayoutView="115" workbookViewId="0">
      <selection activeCell="M1" sqref="M1"/>
    </sheetView>
  </sheetViews>
  <sheetFormatPr defaultColWidth="8.88671875" defaultRowHeight="13.2" x14ac:dyDescent="0.25"/>
  <cols>
    <col min="1" max="4" width="14.21875" style="13" customWidth="1"/>
    <col min="5" max="5" width="19.21875" style="13" bestFit="1" customWidth="1"/>
    <col min="6" max="6" width="16.6640625" style="13" customWidth="1"/>
    <col min="7" max="7" width="12.44140625" style="39" customWidth="1"/>
    <col min="8" max="11" width="12.44140625" style="40" customWidth="1"/>
    <col min="12" max="12" width="8.88671875" style="13"/>
    <col min="13" max="13" width="21.44140625" style="13" bestFit="1" customWidth="1"/>
    <col min="14" max="257" width="8.88671875" style="13"/>
    <col min="258" max="260" width="14.21875" style="13" customWidth="1"/>
    <col min="261" max="261" width="12.44140625" style="13" customWidth="1"/>
    <col min="262" max="262" width="14.21875" style="13" customWidth="1"/>
    <col min="263" max="267" width="12.44140625" style="13" customWidth="1"/>
    <col min="268" max="513" width="8.88671875" style="13"/>
    <col min="514" max="516" width="14.21875" style="13" customWidth="1"/>
    <col min="517" max="517" width="12.44140625" style="13" customWidth="1"/>
    <col min="518" max="518" width="14.21875" style="13" customWidth="1"/>
    <col min="519" max="523" width="12.44140625" style="13" customWidth="1"/>
    <col min="524" max="769" width="8.88671875" style="13"/>
    <col min="770" max="772" width="14.21875" style="13" customWidth="1"/>
    <col min="773" max="773" width="12.44140625" style="13" customWidth="1"/>
    <col min="774" max="774" width="14.21875" style="13" customWidth="1"/>
    <col min="775" max="779" width="12.44140625" style="13" customWidth="1"/>
    <col min="780" max="1025" width="8.88671875" style="13"/>
    <col min="1026" max="1028" width="14.21875" style="13" customWidth="1"/>
    <col min="1029" max="1029" width="12.44140625" style="13" customWidth="1"/>
    <col min="1030" max="1030" width="14.21875" style="13" customWidth="1"/>
    <col min="1031" max="1035" width="12.44140625" style="13" customWidth="1"/>
    <col min="1036" max="1281" width="8.88671875" style="13"/>
    <col min="1282" max="1284" width="14.21875" style="13" customWidth="1"/>
    <col min="1285" max="1285" width="12.44140625" style="13" customWidth="1"/>
    <col min="1286" max="1286" width="14.21875" style="13" customWidth="1"/>
    <col min="1287" max="1291" width="12.44140625" style="13" customWidth="1"/>
    <col min="1292" max="1537" width="8.88671875" style="13"/>
    <col min="1538" max="1540" width="14.21875" style="13" customWidth="1"/>
    <col min="1541" max="1541" width="12.44140625" style="13" customWidth="1"/>
    <col min="1542" max="1542" width="14.21875" style="13" customWidth="1"/>
    <col min="1543" max="1547" width="12.44140625" style="13" customWidth="1"/>
    <col min="1548" max="1793" width="8.88671875" style="13"/>
    <col min="1794" max="1796" width="14.21875" style="13" customWidth="1"/>
    <col min="1797" max="1797" width="12.44140625" style="13" customWidth="1"/>
    <col min="1798" max="1798" width="14.21875" style="13" customWidth="1"/>
    <col min="1799" max="1803" width="12.44140625" style="13" customWidth="1"/>
    <col min="1804" max="2049" width="8.88671875" style="13"/>
    <col min="2050" max="2052" width="14.21875" style="13" customWidth="1"/>
    <col min="2053" max="2053" width="12.44140625" style="13" customWidth="1"/>
    <col min="2054" max="2054" width="14.21875" style="13" customWidth="1"/>
    <col min="2055" max="2059" width="12.44140625" style="13" customWidth="1"/>
    <col min="2060" max="2305" width="8.88671875" style="13"/>
    <col min="2306" max="2308" width="14.21875" style="13" customWidth="1"/>
    <col min="2309" max="2309" width="12.44140625" style="13" customWidth="1"/>
    <col min="2310" max="2310" width="14.21875" style="13" customWidth="1"/>
    <col min="2311" max="2315" width="12.44140625" style="13" customWidth="1"/>
    <col min="2316" max="2561" width="8.88671875" style="13"/>
    <col min="2562" max="2564" width="14.21875" style="13" customWidth="1"/>
    <col min="2565" max="2565" width="12.44140625" style="13" customWidth="1"/>
    <col min="2566" max="2566" width="14.21875" style="13" customWidth="1"/>
    <col min="2567" max="2571" width="12.44140625" style="13" customWidth="1"/>
    <col min="2572" max="2817" width="8.88671875" style="13"/>
    <col min="2818" max="2820" width="14.21875" style="13" customWidth="1"/>
    <col min="2821" max="2821" width="12.44140625" style="13" customWidth="1"/>
    <col min="2822" max="2822" width="14.21875" style="13" customWidth="1"/>
    <col min="2823" max="2827" width="12.44140625" style="13" customWidth="1"/>
    <col min="2828" max="3073" width="8.88671875" style="13"/>
    <col min="3074" max="3076" width="14.21875" style="13" customWidth="1"/>
    <col min="3077" max="3077" width="12.44140625" style="13" customWidth="1"/>
    <col min="3078" max="3078" width="14.21875" style="13" customWidth="1"/>
    <col min="3079" max="3083" width="12.44140625" style="13" customWidth="1"/>
    <col min="3084" max="3329" width="8.88671875" style="13"/>
    <col min="3330" max="3332" width="14.21875" style="13" customWidth="1"/>
    <col min="3333" max="3333" width="12.44140625" style="13" customWidth="1"/>
    <col min="3334" max="3334" width="14.21875" style="13" customWidth="1"/>
    <col min="3335" max="3339" width="12.44140625" style="13" customWidth="1"/>
    <col min="3340" max="3585" width="8.88671875" style="13"/>
    <col min="3586" max="3588" width="14.21875" style="13" customWidth="1"/>
    <col min="3589" max="3589" width="12.44140625" style="13" customWidth="1"/>
    <col min="3590" max="3590" width="14.21875" style="13" customWidth="1"/>
    <col min="3591" max="3595" width="12.44140625" style="13" customWidth="1"/>
    <col min="3596" max="3841" width="8.88671875" style="13"/>
    <col min="3842" max="3844" width="14.21875" style="13" customWidth="1"/>
    <col min="3845" max="3845" width="12.44140625" style="13" customWidth="1"/>
    <col min="3846" max="3846" width="14.21875" style="13" customWidth="1"/>
    <col min="3847" max="3851" width="12.44140625" style="13" customWidth="1"/>
    <col min="3852" max="4097" width="8.88671875" style="13"/>
    <col min="4098" max="4100" width="14.21875" style="13" customWidth="1"/>
    <col min="4101" max="4101" width="12.44140625" style="13" customWidth="1"/>
    <col min="4102" max="4102" width="14.21875" style="13" customWidth="1"/>
    <col min="4103" max="4107" width="12.44140625" style="13" customWidth="1"/>
    <col min="4108" max="4353" width="8.88671875" style="13"/>
    <col min="4354" max="4356" width="14.21875" style="13" customWidth="1"/>
    <col min="4357" max="4357" width="12.44140625" style="13" customWidth="1"/>
    <col min="4358" max="4358" width="14.21875" style="13" customWidth="1"/>
    <col min="4359" max="4363" width="12.44140625" style="13" customWidth="1"/>
    <col min="4364" max="4609" width="8.88671875" style="13"/>
    <col min="4610" max="4612" width="14.21875" style="13" customWidth="1"/>
    <col min="4613" max="4613" width="12.44140625" style="13" customWidth="1"/>
    <col min="4614" max="4614" width="14.21875" style="13" customWidth="1"/>
    <col min="4615" max="4619" width="12.44140625" style="13" customWidth="1"/>
    <col min="4620" max="4865" width="8.88671875" style="13"/>
    <col min="4866" max="4868" width="14.21875" style="13" customWidth="1"/>
    <col min="4869" max="4869" width="12.44140625" style="13" customWidth="1"/>
    <col min="4870" max="4870" width="14.21875" style="13" customWidth="1"/>
    <col min="4871" max="4875" width="12.44140625" style="13" customWidth="1"/>
    <col min="4876" max="5121" width="8.88671875" style="13"/>
    <col min="5122" max="5124" width="14.21875" style="13" customWidth="1"/>
    <col min="5125" max="5125" width="12.44140625" style="13" customWidth="1"/>
    <col min="5126" max="5126" width="14.21875" style="13" customWidth="1"/>
    <col min="5127" max="5131" width="12.44140625" style="13" customWidth="1"/>
    <col min="5132" max="5377" width="8.88671875" style="13"/>
    <col min="5378" max="5380" width="14.21875" style="13" customWidth="1"/>
    <col min="5381" max="5381" width="12.44140625" style="13" customWidth="1"/>
    <col min="5382" max="5382" width="14.21875" style="13" customWidth="1"/>
    <col min="5383" max="5387" width="12.44140625" style="13" customWidth="1"/>
    <col min="5388" max="5633" width="8.88671875" style="13"/>
    <col min="5634" max="5636" width="14.21875" style="13" customWidth="1"/>
    <col min="5637" max="5637" width="12.44140625" style="13" customWidth="1"/>
    <col min="5638" max="5638" width="14.21875" style="13" customWidth="1"/>
    <col min="5639" max="5643" width="12.44140625" style="13" customWidth="1"/>
    <col min="5644" max="5889" width="8.88671875" style="13"/>
    <col min="5890" max="5892" width="14.21875" style="13" customWidth="1"/>
    <col min="5893" max="5893" width="12.44140625" style="13" customWidth="1"/>
    <col min="5894" max="5894" width="14.21875" style="13" customWidth="1"/>
    <col min="5895" max="5899" width="12.44140625" style="13" customWidth="1"/>
    <col min="5900" max="6145" width="8.88671875" style="13"/>
    <col min="6146" max="6148" width="14.21875" style="13" customWidth="1"/>
    <col min="6149" max="6149" width="12.44140625" style="13" customWidth="1"/>
    <col min="6150" max="6150" width="14.21875" style="13" customWidth="1"/>
    <col min="6151" max="6155" width="12.44140625" style="13" customWidth="1"/>
    <col min="6156" max="6401" width="8.88671875" style="13"/>
    <col min="6402" max="6404" width="14.21875" style="13" customWidth="1"/>
    <col min="6405" max="6405" width="12.44140625" style="13" customWidth="1"/>
    <col min="6406" max="6406" width="14.21875" style="13" customWidth="1"/>
    <col min="6407" max="6411" width="12.44140625" style="13" customWidth="1"/>
    <col min="6412" max="6657" width="8.88671875" style="13"/>
    <col min="6658" max="6660" width="14.21875" style="13" customWidth="1"/>
    <col min="6661" max="6661" width="12.44140625" style="13" customWidth="1"/>
    <col min="6662" max="6662" width="14.21875" style="13" customWidth="1"/>
    <col min="6663" max="6667" width="12.44140625" style="13" customWidth="1"/>
    <col min="6668" max="6913" width="8.88671875" style="13"/>
    <col min="6914" max="6916" width="14.21875" style="13" customWidth="1"/>
    <col min="6917" max="6917" width="12.44140625" style="13" customWidth="1"/>
    <col min="6918" max="6918" width="14.21875" style="13" customWidth="1"/>
    <col min="6919" max="6923" width="12.44140625" style="13" customWidth="1"/>
    <col min="6924" max="7169" width="8.88671875" style="13"/>
    <col min="7170" max="7172" width="14.21875" style="13" customWidth="1"/>
    <col min="7173" max="7173" width="12.44140625" style="13" customWidth="1"/>
    <col min="7174" max="7174" width="14.21875" style="13" customWidth="1"/>
    <col min="7175" max="7179" width="12.44140625" style="13" customWidth="1"/>
    <col min="7180" max="7425" width="8.88671875" style="13"/>
    <col min="7426" max="7428" width="14.21875" style="13" customWidth="1"/>
    <col min="7429" max="7429" width="12.44140625" style="13" customWidth="1"/>
    <col min="7430" max="7430" width="14.21875" style="13" customWidth="1"/>
    <col min="7431" max="7435" width="12.44140625" style="13" customWidth="1"/>
    <col min="7436" max="7681" width="8.88671875" style="13"/>
    <col min="7682" max="7684" width="14.21875" style="13" customWidth="1"/>
    <col min="7685" max="7685" width="12.44140625" style="13" customWidth="1"/>
    <col min="7686" max="7686" width="14.21875" style="13" customWidth="1"/>
    <col min="7687" max="7691" width="12.44140625" style="13" customWidth="1"/>
    <col min="7692" max="7937" width="8.88671875" style="13"/>
    <col min="7938" max="7940" width="14.21875" style="13" customWidth="1"/>
    <col min="7941" max="7941" width="12.44140625" style="13" customWidth="1"/>
    <col min="7942" max="7942" width="14.21875" style="13" customWidth="1"/>
    <col min="7943" max="7947" width="12.44140625" style="13" customWidth="1"/>
    <col min="7948" max="8193" width="8.88671875" style="13"/>
    <col min="8194" max="8196" width="14.21875" style="13" customWidth="1"/>
    <col min="8197" max="8197" width="12.44140625" style="13" customWidth="1"/>
    <col min="8198" max="8198" width="14.21875" style="13" customWidth="1"/>
    <col min="8199" max="8203" width="12.44140625" style="13" customWidth="1"/>
    <col min="8204" max="8449" width="8.88671875" style="13"/>
    <col min="8450" max="8452" width="14.21875" style="13" customWidth="1"/>
    <col min="8453" max="8453" width="12.44140625" style="13" customWidth="1"/>
    <col min="8454" max="8454" width="14.21875" style="13" customWidth="1"/>
    <col min="8455" max="8459" width="12.44140625" style="13" customWidth="1"/>
    <col min="8460" max="8705" width="8.88671875" style="13"/>
    <col min="8706" max="8708" width="14.21875" style="13" customWidth="1"/>
    <col min="8709" max="8709" width="12.44140625" style="13" customWidth="1"/>
    <col min="8710" max="8710" width="14.21875" style="13" customWidth="1"/>
    <col min="8711" max="8715" width="12.44140625" style="13" customWidth="1"/>
    <col min="8716" max="8961" width="8.88671875" style="13"/>
    <col min="8962" max="8964" width="14.21875" style="13" customWidth="1"/>
    <col min="8965" max="8965" width="12.44140625" style="13" customWidth="1"/>
    <col min="8966" max="8966" width="14.21875" style="13" customWidth="1"/>
    <col min="8967" max="8971" width="12.44140625" style="13" customWidth="1"/>
    <col min="8972" max="9217" width="8.88671875" style="13"/>
    <col min="9218" max="9220" width="14.21875" style="13" customWidth="1"/>
    <col min="9221" max="9221" width="12.44140625" style="13" customWidth="1"/>
    <col min="9222" max="9222" width="14.21875" style="13" customWidth="1"/>
    <col min="9223" max="9227" width="12.44140625" style="13" customWidth="1"/>
    <col min="9228" max="9473" width="8.88671875" style="13"/>
    <col min="9474" max="9476" width="14.21875" style="13" customWidth="1"/>
    <col min="9477" max="9477" width="12.44140625" style="13" customWidth="1"/>
    <col min="9478" max="9478" width="14.21875" style="13" customWidth="1"/>
    <col min="9479" max="9483" width="12.44140625" style="13" customWidth="1"/>
    <col min="9484" max="9729" width="8.88671875" style="13"/>
    <col min="9730" max="9732" width="14.21875" style="13" customWidth="1"/>
    <col min="9733" max="9733" width="12.44140625" style="13" customWidth="1"/>
    <col min="9734" max="9734" width="14.21875" style="13" customWidth="1"/>
    <col min="9735" max="9739" width="12.44140625" style="13" customWidth="1"/>
    <col min="9740" max="9985" width="8.88671875" style="13"/>
    <col min="9986" max="9988" width="14.21875" style="13" customWidth="1"/>
    <col min="9989" max="9989" width="12.44140625" style="13" customWidth="1"/>
    <col min="9990" max="9990" width="14.21875" style="13" customWidth="1"/>
    <col min="9991" max="9995" width="12.44140625" style="13" customWidth="1"/>
    <col min="9996" max="10241" width="8.88671875" style="13"/>
    <col min="10242" max="10244" width="14.21875" style="13" customWidth="1"/>
    <col min="10245" max="10245" width="12.44140625" style="13" customWidth="1"/>
    <col min="10246" max="10246" width="14.21875" style="13" customWidth="1"/>
    <col min="10247" max="10251" width="12.44140625" style="13" customWidth="1"/>
    <col min="10252" max="10497" width="8.88671875" style="13"/>
    <col min="10498" max="10500" width="14.21875" style="13" customWidth="1"/>
    <col min="10501" max="10501" width="12.44140625" style="13" customWidth="1"/>
    <col min="10502" max="10502" width="14.21875" style="13" customWidth="1"/>
    <col min="10503" max="10507" width="12.44140625" style="13" customWidth="1"/>
    <col min="10508" max="10753" width="8.88671875" style="13"/>
    <col min="10754" max="10756" width="14.21875" style="13" customWidth="1"/>
    <col min="10757" max="10757" width="12.44140625" style="13" customWidth="1"/>
    <col min="10758" max="10758" width="14.21875" style="13" customWidth="1"/>
    <col min="10759" max="10763" width="12.44140625" style="13" customWidth="1"/>
    <col min="10764" max="11009" width="8.88671875" style="13"/>
    <col min="11010" max="11012" width="14.21875" style="13" customWidth="1"/>
    <col min="11013" max="11013" width="12.44140625" style="13" customWidth="1"/>
    <col min="11014" max="11014" width="14.21875" style="13" customWidth="1"/>
    <col min="11015" max="11019" width="12.44140625" style="13" customWidth="1"/>
    <col min="11020" max="11265" width="8.88671875" style="13"/>
    <col min="11266" max="11268" width="14.21875" style="13" customWidth="1"/>
    <col min="11269" max="11269" width="12.44140625" style="13" customWidth="1"/>
    <col min="11270" max="11270" width="14.21875" style="13" customWidth="1"/>
    <col min="11271" max="11275" width="12.44140625" style="13" customWidth="1"/>
    <col min="11276" max="11521" width="8.88671875" style="13"/>
    <col min="11522" max="11524" width="14.21875" style="13" customWidth="1"/>
    <col min="11525" max="11525" width="12.44140625" style="13" customWidth="1"/>
    <col min="11526" max="11526" width="14.21875" style="13" customWidth="1"/>
    <col min="11527" max="11531" width="12.44140625" style="13" customWidth="1"/>
    <col min="11532" max="11777" width="8.88671875" style="13"/>
    <col min="11778" max="11780" width="14.21875" style="13" customWidth="1"/>
    <col min="11781" max="11781" width="12.44140625" style="13" customWidth="1"/>
    <col min="11782" max="11782" width="14.21875" style="13" customWidth="1"/>
    <col min="11783" max="11787" width="12.44140625" style="13" customWidth="1"/>
    <col min="11788" max="12033" width="8.88671875" style="13"/>
    <col min="12034" max="12036" width="14.21875" style="13" customWidth="1"/>
    <col min="12037" max="12037" width="12.44140625" style="13" customWidth="1"/>
    <col min="12038" max="12038" width="14.21875" style="13" customWidth="1"/>
    <col min="12039" max="12043" width="12.44140625" style="13" customWidth="1"/>
    <col min="12044" max="12289" width="8.88671875" style="13"/>
    <col min="12290" max="12292" width="14.21875" style="13" customWidth="1"/>
    <col min="12293" max="12293" width="12.44140625" style="13" customWidth="1"/>
    <col min="12294" max="12294" width="14.21875" style="13" customWidth="1"/>
    <col min="12295" max="12299" width="12.44140625" style="13" customWidth="1"/>
    <col min="12300" max="12545" width="8.88671875" style="13"/>
    <col min="12546" max="12548" width="14.21875" style="13" customWidth="1"/>
    <col min="12549" max="12549" width="12.44140625" style="13" customWidth="1"/>
    <col min="12550" max="12550" width="14.21875" style="13" customWidth="1"/>
    <col min="12551" max="12555" width="12.44140625" style="13" customWidth="1"/>
    <col min="12556" max="12801" width="8.88671875" style="13"/>
    <col min="12802" max="12804" width="14.21875" style="13" customWidth="1"/>
    <col min="12805" max="12805" width="12.44140625" style="13" customWidth="1"/>
    <col min="12806" max="12806" width="14.21875" style="13" customWidth="1"/>
    <col min="12807" max="12811" width="12.44140625" style="13" customWidth="1"/>
    <col min="12812" max="13057" width="8.88671875" style="13"/>
    <col min="13058" max="13060" width="14.21875" style="13" customWidth="1"/>
    <col min="13061" max="13061" width="12.44140625" style="13" customWidth="1"/>
    <col min="13062" max="13062" width="14.21875" style="13" customWidth="1"/>
    <col min="13063" max="13067" width="12.44140625" style="13" customWidth="1"/>
    <col min="13068" max="13313" width="8.88671875" style="13"/>
    <col min="13314" max="13316" width="14.21875" style="13" customWidth="1"/>
    <col min="13317" max="13317" width="12.44140625" style="13" customWidth="1"/>
    <col min="13318" max="13318" width="14.21875" style="13" customWidth="1"/>
    <col min="13319" max="13323" width="12.44140625" style="13" customWidth="1"/>
    <col min="13324" max="13569" width="8.88671875" style="13"/>
    <col min="13570" max="13572" width="14.21875" style="13" customWidth="1"/>
    <col min="13573" max="13573" width="12.44140625" style="13" customWidth="1"/>
    <col min="13574" max="13574" width="14.21875" style="13" customWidth="1"/>
    <col min="13575" max="13579" width="12.44140625" style="13" customWidth="1"/>
    <col min="13580" max="13825" width="8.88671875" style="13"/>
    <col min="13826" max="13828" width="14.21875" style="13" customWidth="1"/>
    <col min="13829" max="13829" width="12.44140625" style="13" customWidth="1"/>
    <col min="13830" max="13830" width="14.21875" style="13" customWidth="1"/>
    <col min="13831" max="13835" width="12.44140625" style="13" customWidth="1"/>
    <col min="13836" max="14081" width="8.88671875" style="13"/>
    <col min="14082" max="14084" width="14.21875" style="13" customWidth="1"/>
    <col min="14085" max="14085" width="12.44140625" style="13" customWidth="1"/>
    <col min="14086" max="14086" width="14.21875" style="13" customWidth="1"/>
    <col min="14087" max="14091" width="12.44140625" style="13" customWidth="1"/>
    <col min="14092" max="14337" width="8.88671875" style="13"/>
    <col min="14338" max="14340" width="14.21875" style="13" customWidth="1"/>
    <col min="14341" max="14341" width="12.44140625" style="13" customWidth="1"/>
    <col min="14342" max="14342" width="14.21875" style="13" customWidth="1"/>
    <col min="14343" max="14347" width="12.44140625" style="13" customWidth="1"/>
    <col min="14348" max="14593" width="8.88671875" style="13"/>
    <col min="14594" max="14596" width="14.21875" style="13" customWidth="1"/>
    <col min="14597" max="14597" width="12.44140625" style="13" customWidth="1"/>
    <col min="14598" max="14598" width="14.21875" style="13" customWidth="1"/>
    <col min="14599" max="14603" width="12.44140625" style="13" customWidth="1"/>
    <col min="14604" max="14849" width="8.88671875" style="13"/>
    <col min="14850" max="14852" width="14.21875" style="13" customWidth="1"/>
    <col min="14853" max="14853" width="12.44140625" style="13" customWidth="1"/>
    <col min="14854" max="14854" width="14.21875" style="13" customWidth="1"/>
    <col min="14855" max="14859" width="12.44140625" style="13" customWidth="1"/>
    <col min="14860" max="15105" width="8.88671875" style="13"/>
    <col min="15106" max="15108" width="14.21875" style="13" customWidth="1"/>
    <col min="15109" max="15109" width="12.44140625" style="13" customWidth="1"/>
    <col min="15110" max="15110" width="14.21875" style="13" customWidth="1"/>
    <col min="15111" max="15115" width="12.44140625" style="13" customWidth="1"/>
    <col min="15116" max="15361" width="8.88671875" style="13"/>
    <col min="15362" max="15364" width="14.21875" style="13" customWidth="1"/>
    <col min="15365" max="15365" width="12.44140625" style="13" customWidth="1"/>
    <col min="15366" max="15366" width="14.21875" style="13" customWidth="1"/>
    <col min="15367" max="15371" width="12.44140625" style="13" customWidth="1"/>
    <col min="15372" max="15617" width="8.88671875" style="13"/>
    <col min="15618" max="15620" width="14.21875" style="13" customWidth="1"/>
    <col min="15621" max="15621" width="12.44140625" style="13" customWidth="1"/>
    <col min="15622" max="15622" width="14.21875" style="13" customWidth="1"/>
    <col min="15623" max="15627" width="12.44140625" style="13" customWidth="1"/>
    <col min="15628" max="15873" width="8.88671875" style="13"/>
    <col min="15874" max="15876" width="14.21875" style="13" customWidth="1"/>
    <col min="15877" max="15877" width="12.44140625" style="13" customWidth="1"/>
    <col min="15878" max="15878" width="14.21875" style="13" customWidth="1"/>
    <col min="15879" max="15883" width="12.44140625" style="13" customWidth="1"/>
    <col min="15884" max="16129" width="8.88671875" style="13"/>
    <col min="16130" max="16132" width="14.21875" style="13" customWidth="1"/>
    <col min="16133" max="16133" width="12.44140625" style="13" customWidth="1"/>
    <col min="16134" max="16134" width="14.21875" style="13" customWidth="1"/>
    <col min="16135" max="16139" width="12.44140625" style="13" customWidth="1"/>
    <col min="16140" max="16384" width="8.88671875" style="13"/>
  </cols>
  <sheetData>
    <row r="1" spans="1:13" s="14" customFormat="1" ht="21" x14ac:dyDescent="0.4">
      <c r="A1" s="14" t="s">
        <v>27</v>
      </c>
      <c r="B1" s="13"/>
      <c r="C1" s="13"/>
      <c r="D1" s="13"/>
      <c r="F1" s="13"/>
      <c r="G1" s="15"/>
      <c r="H1" s="16"/>
      <c r="I1" s="16"/>
      <c r="J1" s="16"/>
      <c r="K1" s="16"/>
      <c r="M1" s="7" t="s">
        <v>19</v>
      </c>
    </row>
    <row r="2" spans="1:13" s="19" customFormat="1" ht="15.6" x14ac:dyDescent="0.3">
      <c r="A2" s="13"/>
      <c r="B2" s="13"/>
      <c r="C2" s="13"/>
      <c r="D2" s="13"/>
      <c r="E2" s="17"/>
      <c r="F2" s="13"/>
      <c r="G2" s="1207" t="s">
        <v>352</v>
      </c>
      <c r="H2" s="1207"/>
      <c r="I2" s="1207"/>
      <c r="J2" s="1207"/>
      <c r="K2" s="1207"/>
    </row>
    <row r="3" spans="1:13" s="24" customFormat="1" ht="10.199999999999999" x14ac:dyDescent="0.2">
      <c r="A3" s="20" t="s">
        <v>350</v>
      </c>
      <c r="B3" s="20" t="s">
        <v>29</v>
      </c>
      <c r="C3" s="20" t="s">
        <v>351</v>
      </c>
      <c r="D3" s="20" t="s">
        <v>353</v>
      </c>
      <c r="E3" s="21" t="s">
        <v>354</v>
      </c>
      <c r="F3" s="21" t="s">
        <v>354</v>
      </c>
      <c r="G3" s="22" t="s">
        <v>28</v>
      </c>
      <c r="H3" s="23" t="s">
        <v>28</v>
      </c>
      <c r="I3" s="23" t="s">
        <v>28</v>
      </c>
      <c r="J3" s="23" t="s">
        <v>28</v>
      </c>
      <c r="K3" s="23" t="s">
        <v>28</v>
      </c>
    </row>
    <row r="4" spans="1:13" s="24" customFormat="1" ht="10.199999999999999" x14ac:dyDescent="0.2">
      <c r="A4" s="20"/>
      <c r="B4" s="20"/>
      <c r="C4" s="20" t="s">
        <v>30</v>
      </c>
      <c r="D4" s="20"/>
      <c r="E4" s="21" t="s">
        <v>355</v>
      </c>
      <c r="F4" s="21" t="s">
        <v>356</v>
      </c>
      <c r="G4" s="22">
        <v>1000000</v>
      </c>
      <c r="H4" s="22">
        <v>100000</v>
      </c>
      <c r="I4" s="22">
        <v>10000</v>
      </c>
      <c r="J4" s="23">
        <v>1000</v>
      </c>
      <c r="K4" s="23">
        <v>100</v>
      </c>
    </row>
    <row r="5" spans="1:13" s="24" customFormat="1" ht="10.199999999999999" x14ac:dyDescent="0.2">
      <c r="A5" s="27">
        <f t="shared" ref="A5:A36" si="0">C5-0.5</f>
        <v>1.5</v>
      </c>
      <c r="B5" s="25">
        <f t="shared" ref="B5:B36" si="1">NORMSDIST(F5)</f>
        <v>0.99999660232687526</v>
      </c>
      <c r="C5" s="26">
        <f>E5/3</f>
        <v>2</v>
      </c>
      <c r="D5" s="25">
        <f>NORMSDIST(E5)</f>
        <v>0.9999999990134123</v>
      </c>
      <c r="E5" s="28">
        <v>6</v>
      </c>
      <c r="F5" s="29">
        <f t="shared" ref="F5:F55" si="2">E5-1.5</f>
        <v>4.5</v>
      </c>
      <c r="G5" s="30">
        <f>(1-B5)*1000000</f>
        <v>3.3976731247387093</v>
      </c>
      <c r="H5" s="30">
        <f t="shared" ref="H5:J28" si="3">G5/10</f>
        <v>0.33976731247387093</v>
      </c>
      <c r="I5" s="31">
        <f>H5/10</f>
        <v>3.3976731247387093E-2</v>
      </c>
      <c r="J5" s="32">
        <f>I5/10</f>
        <v>3.3976731247387093E-3</v>
      </c>
      <c r="K5" s="33">
        <f t="shared" ref="K5:K28" si="4">J5/10</f>
        <v>3.3976731247387093E-4</v>
      </c>
    </row>
    <row r="6" spans="1:13" s="24" customFormat="1" ht="10.199999999999999" x14ac:dyDescent="0.2">
      <c r="A6" s="27">
        <f t="shared" si="0"/>
        <v>1.4333333333333333</v>
      </c>
      <c r="B6" s="25">
        <f t="shared" si="1"/>
        <v>0.99999146009452899</v>
      </c>
      <c r="C6" s="26">
        <f t="shared" ref="C6:C55" si="5">E6/3</f>
        <v>1.9333333333333333</v>
      </c>
      <c r="D6" s="25">
        <f t="shared" ref="D6:D69" si="6">NORMSDIST(E6)</f>
        <v>0.99999999668425399</v>
      </c>
      <c r="E6" s="28">
        <v>5.8</v>
      </c>
      <c r="F6" s="29">
        <f t="shared" si="2"/>
        <v>4.3</v>
      </c>
      <c r="G6" s="34">
        <f>(1-B6)*1000000</f>
        <v>8.5399054710055822</v>
      </c>
      <c r="H6" s="30">
        <f t="shared" si="3"/>
        <v>0.85399054710055822</v>
      </c>
      <c r="I6" s="31">
        <f t="shared" si="3"/>
        <v>8.5399054710055822E-2</v>
      </c>
      <c r="J6" s="31">
        <f t="shared" si="3"/>
        <v>8.5399054710055822E-3</v>
      </c>
      <c r="K6" s="32">
        <f t="shared" si="4"/>
        <v>8.5399054710055822E-4</v>
      </c>
    </row>
    <row r="7" spans="1:13" s="24" customFormat="1" ht="10.199999999999999" x14ac:dyDescent="0.2">
      <c r="A7" s="27">
        <f t="shared" si="0"/>
        <v>1.3666666666666665</v>
      </c>
      <c r="B7" s="25">
        <f t="shared" si="1"/>
        <v>0.99997934249308751</v>
      </c>
      <c r="C7" s="26">
        <f t="shared" si="5"/>
        <v>1.8666666666666665</v>
      </c>
      <c r="D7" s="25">
        <f t="shared" si="6"/>
        <v>0.99999998928240974</v>
      </c>
      <c r="E7" s="28">
        <v>5.6</v>
      </c>
      <c r="F7" s="29">
        <f t="shared" si="2"/>
        <v>4.0999999999999996</v>
      </c>
      <c r="G7" s="34">
        <f>(1-B7)*1000000</f>
        <v>20.657506912491463</v>
      </c>
      <c r="H7" s="35">
        <f t="shared" si="3"/>
        <v>2.0657506912491463</v>
      </c>
      <c r="I7" s="31">
        <f t="shared" si="3"/>
        <v>0.20657506912491463</v>
      </c>
      <c r="J7" s="36">
        <f t="shared" si="3"/>
        <v>2.0657506912491463E-2</v>
      </c>
      <c r="K7" s="31">
        <f t="shared" si="4"/>
        <v>2.0657506912491463E-3</v>
      </c>
    </row>
    <row r="8" spans="1:13" s="24" customFormat="1" ht="10.199999999999999" x14ac:dyDescent="0.2">
      <c r="A8" s="27">
        <f t="shared" si="0"/>
        <v>1.3333333333333333</v>
      </c>
      <c r="B8" s="25">
        <f t="shared" si="1"/>
        <v>0.99996832875816688</v>
      </c>
      <c r="C8" s="26">
        <f t="shared" si="5"/>
        <v>1.8333333333333333</v>
      </c>
      <c r="D8" s="25">
        <f t="shared" si="6"/>
        <v>0.99999998101043752</v>
      </c>
      <c r="E8" s="28">
        <v>5.5</v>
      </c>
      <c r="F8" s="29">
        <f t="shared" si="2"/>
        <v>4</v>
      </c>
      <c r="G8" s="34">
        <f>(1-B8)*1000000</f>
        <v>31.671241833119979</v>
      </c>
      <c r="H8" s="35">
        <f t="shared" si="3"/>
        <v>3.1671241833119979</v>
      </c>
      <c r="I8" s="31">
        <f t="shared" si="3"/>
        <v>0.31671241833119979</v>
      </c>
      <c r="J8" s="36">
        <f t="shared" si="3"/>
        <v>3.1671241833119979E-2</v>
      </c>
      <c r="K8" s="31">
        <f t="shared" si="4"/>
        <v>3.1671241833119979E-3</v>
      </c>
    </row>
    <row r="9" spans="1:13" s="24" customFormat="1" ht="10.199999999999999" x14ac:dyDescent="0.2">
      <c r="A9" s="27">
        <f t="shared" si="0"/>
        <v>1.3</v>
      </c>
      <c r="B9" s="25">
        <f t="shared" si="1"/>
        <v>0.99995190365598241</v>
      </c>
      <c r="C9" s="26">
        <f t="shared" si="5"/>
        <v>1.8</v>
      </c>
      <c r="D9" s="25">
        <f t="shared" si="6"/>
        <v>0.99999996667955149</v>
      </c>
      <c r="E9" s="28">
        <v>5.4</v>
      </c>
      <c r="F9" s="29">
        <f t="shared" si="2"/>
        <v>3.9000000000000004</v>
      </c>
      <c r="G9" s="34">
        <f>(1-B9)*1000000</f>
        <v>48.096344017589665</v>
      </c>
      <c r="H9" s="35">
        <f t="shared" si="3"/>
        <v>4.8096344017589665</v>
      </c>
      <c r="I9" s="31">
        <f t="shared" si="3"/>
        <v>0.48096344017589665</v>
      </c>
      <c r="J9" s="36">
        <f t="shared" si="3"/>
        <v>4.8096344017589665E-2</v>
      </c>
      <c r="K9" s="31">
        <f t="shared" si="4"/>
        <v>4.8096344017589665E-3</v>
      </c>
    </row>
    <row r="10" spans="1:13" s="24" customFormat="1" ht="10.199999999999999" x14ac:dyDescent="0.2">
      <c r="A10" s="27">
        <f t="shared" si="0"/>
        <v>1.2333333333333334</v>
      </c>
      <c r="B10" s="25">
        <f t="shared" si="1"/>
        <v>0.99989220026652259</v>
      </c>
      <c r="C10" s="26">
        <f t="shared" si="5"/>
        <v>1.7333333333333334</v>
      </c>
      <c r="D10" s="25">
        <f t="shared" si="6"/>
        <v>0.99999990035573683</v>
      </c>
      <c r="E10" s="28">
        <v>5.2</v>
      </c>
      <c r="F10" s="29">
        <f t="shared" si="2"/>
        <v>3.7</v>
      </c>
      <c r="G10" s="34">
        <f t="shared" ref="G10:G41" si="7">TRUNC((1-B10)*1000000,-1)</f>
        <v>100</v>
      </c>
      <c r="H10" s="35">
        <f t="shared" si="3"/>
        <v>10</v>
      </c>
      <c r="I10" s="35">
        <f t="shared" si="3"/>
        <v>1</v>
      </c>
      <c r="J10" s="36">
        <f t="shared" si="3"/>
        <v>0.1</v>
      </c>
      <c r="K10" s="31">
        <f t="shared" si="4"/>
        <v>0.01</v>
      </c>
    </row>
    <row r="11" spans="1:13" s="24" customFormat="1" ht="10.199999999999999" x14ac:dyDescent="0.2">
      <c r="A11" s="27">
        <f t="shared" si="0"/>
        <v>1.1666666666666667</v>
      </c>
      <c r="B11" s="25">
        <f t="shared" si="1"/>
        <v>0.99976737092096446</v>
      </c>
      <c r="C11" s="26">
        <f t="shared" si="5"/>
        <v>1.6666666666666667</v>
      </c>
      <c r="D11" s="25">
        <f t="shared" si="6"/>
        <v>0.99999971334842808</v>
      </c>
      <c r="E11" s="28">
        <v>5</v>
      </c>
      <c r="F11" s="29">
        <f t="shared" si="2"/>
        <v>3.5</v>
      </c>
      <c r="G11" s="34">
        <f t="shared" si="7"/>
        <v>230</v>
      </c>
      <c r="H11" s="35">
        <f t="shared" si="3"/>
        <v>23</v>
      </c>
      <c r="I11" s="35">
        <f t="shared" si="3"/>
        <v>2.2999999999999998</v>
      </c>
      <c r="J11" s="36">
        <f t="shared" si="3"/>
        <v>0.22999999999999998</v>
      </c>
      <c r="K11" s="31">
        <f t="shared" si="4"/>
        <v>2.3E-2</v>
      </c>
    </row>
    <row r="12" spans="1:13" s="24" customFormat="1" ht="10.199999999999999" x14ac:dyDescent="0.2">
      <c r="A12" s="27">
        <f t="shared" si="0"/>
        <v>1.0999999999999999</v>
      </c>
      <c r="B12" s="25">
        <f t="shared" si="1"/>
        <v>0.99951657585761622</v>
      </c>
      <c r="C12" s="26">
        <f t="shared" si="5"/>
        <v>1.5999999999999999</v>
      </c>
      <c r="D12" s="25">
        <f t="shared" si="6"/>
        <v>0.99999920667184805</v>
      </c>
      <c r="E12" s="28">
        <v>4.8</v>
      </c>
      <c r="F12" s="29">
        <f t="shared" si="2"/>
        <v>3.3</v>
      </c>
      <c r="G12" s="34">
        <f t="shared" si="7"/>
        <v>480</v>
      </c>
      <c r="H12" s="35">
        <f t="shared" si="3"/>
        <v>48</v>
      </c>
      <c r="I12" s="37">
        <f t="shared" si="3"/>
        <v>4.8</v>
      </c>
      <c r="J12" s="36">
        <f t="shared" si="3"/>
        <v>0.48</v>
      </c>
      <c r="K12" s="31">
        <f t="shared" si="4"/>
        <v>4.8000000000000001E-2</v>
      </c>
    </row>
    <row r="13" spans="1:13" s="24" customFormat="1" ht="10.199999999999999" x14ac:dyDescent="0.2">
      <c r="A13" s="27">
        <f t="shared" si="0"/>
        <v>1.033333333333335</v>
      </c>
      <c r="B13" s="25">
        <f t="shared" si="1"/>
        <v>0.99903239678678168</v>
      </c>
      <c r="C13" s="26">
        <f t="shared" si="5"/>
        <v>1.533333333333335</v>
      </c>
      <c r="D13" s="25">
        <f t="shared" si="6"/>
        <v>0.9999978875452975</v>
      </c>
      <c r="E13" s="28">
        <v>4.600000000000005</v>
      </c>
      <c r="F13" s="29">
        <f t="shared" si="2"/>
        <v>3.100000000000005</v>
      </c>
      <c r="G13" s="34">
        <f t="shared" si="7"/>
        <v>960</v>
      </c>
      <c r="H13" s="35">
        <f t="shared" si="3"/>
        <v>96</v>
      </c>
      <c r="I13" s="37">
        <f t="shared" si="3"/>
        <v>9.6</v>
      </c>
      <c r="J13" s="36">
        <f t="shared" si="3"/>
        <v>0.96</v>
      </c>
      <c r="K13" s="31">
        <f t="shared" si="4"/>
        <v>9.6000000000000002E-2</v>
      </c>
    </row>
    <row r="14" spans="1:13" s="24" customFormat="1" ht="10.199999999999999" x14ac:dyDescent="0.2">
      <c r="A14" s="27">
        <f t="shared" si="0"/>
        <v>1.0000000000000018</v>
      </c>
      <c r="B14" s="25">
        <f t="shared" si="1"/>
        <v>0.9986501019683699</v>
      </c>
      <c r="C14" s="26">
        <f t="shared" si="5"/>
        <v>1.5000000000000018</v>
      </c>
      <c r="D14" s="25">
        <f t="shared" si="6"/>
        <v>0.99999660232687526</v>
      </c>
      <c r="E14" s="28">
        <v>4.5000000000000053</v>
      </c>
      <c r="F14" s="29">
        <f t="shared" si="2"/>
        <v>3.0000000000000053</v>
      </c>
      <c r="G14" s="34">
        <f t="shared" si="7"/>
        <v>1340</v>
      </c>
      <c r="H14" s="35">
        <f t="shared" si="3"/>
        <v>134</v>
      </c>
      <c r="I14" s="37">
        <f t="shared" si="3"/>
        <v>13.4</v>
      </c>
      <c r="J14" s="35">
        <f t="shared" si="3"/>
        <v>1.34</v>
      </c>
      <c r="K14" s="31">
        <f t="shared" si="4"/>
        <v>0.13400000000000001</v>
      </c>
    </row>
    <row r="15" spans="1:13" s="24" customFormat="1" ht="10.199999999999999" x14ac:dyDescent="0.2">
      <c r="A15" s="27">
        <f t="shared" si="0"/>
        <v>0.96666666666666856</v>
      </c>
      <c r="B15" s="25">
        <f t="shared" si="1"/>
        <v>0.99813418669961596</v>
      </c>
      <c r="C15" s="26">
        <f t="shared" si="5"/>
        <v>1.4666666666666686</v>
      </c>
      <c r="D15" s="25">
        <f t="shared" si="6"/>
        <v>0.99999458745609227</v>
      </c>
      <c r="E15" s="28">
        <v>4.4000000000000057</v>
      </c>
      <c r="F15" s="29">
        <f t="shared" si="2"/>
        <v>2.9000000000000057</v>
      </c>
      <c r="G15" s="34">
        <f t="shared" si="7"/>
        <v>1860</v>
      </c>
      <c r="H15" s="35">
        <f t="shared" si="3"/>
        <v>186</v>
      </c>
      <c r="I15" s="37">
        <f t="shared" si="3"/>
        <v>18.600000000000001</v>
      </c>
      <c r="J15" s="35">
        <f t="shared" si="3"/>
        <v>1.86</v>
      </c>
      <c r="K15" s="31">
        <f t="shared" si="4"/>
        <v>0.186</v>
      </c>
    </row>
    <row r="16" spans="1:13" s="24" customFormat="1" ht="10.199999999999999" x14ac:dyDescent="0.2">
      <c r="A16" s="27">
        <f t="shared" si="0"/>
        <v>0.90000000000000213</v>
      </c>
      <c r="B16" s="25">
        <f t="shared" si="1"/>
        <v>0.99653302619695938</v>
      </c>
      <c r="C16" s="38">
        <f t="shared" si="5"/>
        <v>1.4000000000000021</v>
      </c>
      <c r="D16" s="25">
        <f t="shared" si="6"/>
        <v>0.9999866542509841</v>
      </c>
      <c r="E16" s="28">
        <v>4.2000000000000064</v>
      </c>
      <c r="F16" s="29">
        <f t="shared" si="2"/>
        <v>2.7000000000000064</v>
      </c>
      <c r="G16" s="34">
        <f t="shared" si="7"/>
        <v>3460</v>
      </c>
      <c r="H16" s="35">
        <f t="shared" si="3"/>
        <v>346</v>
      </c>
      <c r="I16" s="37">
        <f t="shared" si="3"/>
        <v>34.6</v>
      </c>
      <c r="J16" s="35">
        <f t="shared" si="3"/>
        <v>3.46</v>
      </c>
      <c r="K16" s="31">
        <f t="shared" si="4"/>
        <v>0.34599999999999997</v>
      </c>
    </row>
    <row r="17" spans="1:11" s="24" customFormat="1" ht="10.199999999999999" x14ac:dyDescent="0.2">
      <c r="A17" s="27">
        <f t="shared" si="0"/>
        <v>0.8333333333333357</v>
      </c>
      <c r="B17" s="25">
        <f t="shared" si="1"/>
        <v>0.99379033467422395</v>
      </c>
      <c r="C17" s="38">
        <f t="shared" si="5"/>
        <v>1.3333333333333357</v>
      </c>
      <c r="D17" s="25">
        <f t="shared" si="6"/>
        <v>0.99996832875816688</v>
      </c>
      <c r="E17" s="28">
        <v>4.0000000000000071</v>
      </c>
      <c r="F17" s="29">
        <f t="shared" si="2"/>
        <v>2.5000000000000071</v>
      </c>
      <c r="G17" s="34">
        <f t="shared" si="7"/>
        <v>6200</v>
      </c>
      <c r="H17" s="35">
        <f t="shared" si="3"/>
        <v>620</v>
      </c>
      <c r="I17" s="35">
        <f t="shared" si="3"/>
        <v>62</v>
      </c>
      <c r="J17" s="35">
        <f t="shared" si="3"/>
        <v>6.2</v>
      </c>
      <c r="K17" s="31">
        <f t="shared" si="4"/>
        <v>0.62</v>
      </c>
    </row>
    <row r="18" spans="1:11" s="24" customFormat="1" ht="10.199999999999999" x14ac:dyDescent="0.2">
      <c r="A18" s="27">
        <f t="shared" si="0"/>
        <v>0.76666666666666927</v>
      </c>
      <c r="B18" s="25">
        <f t="shared" si="1"/>
        <v>0.98927588997832439</v>
      </c>
      <c r="C18" s="38">
        <f t="shared" si="5"/>
        <v>1.2666666666666693</v>
      </c>
      <c r="D18" s="25">
        <f t="shared" si="6"/>
        <v>0.99992765195607491</v>
      </c>
      <c r="E18" s="28">
        <v>3.8000000000000078</v>
      </c>
      <c r="F18" s="29">
        <f t="shared" si="2"/>
        <v>2.3000000000000078</v>
      </c>
      <c r="G18" s="34">
        <f t="shared" si="7"/>
        <v>10720</v>
      </c>
      <c r="H18" s="35">
        <f t="shared" si="3"/>
        <v>1072</v>
      </c>
      <c r="I18" s="35">
        <f t="shared" si="3"/>
        <v>107.2</v>
      </c>
      <c r="J18" s="35">
        <f t="shared" si="3"/>
        <v>10.72</v>
      </c>
      <c r="K18" s="37">
        <f t="shared" si="4"/>
        <v>1.0720000000000001</v>
      </c>
    </row>
    <row r="19" spans="1:11" s="24" customFormat="1" ht="10.199999999999999" x14ac:dyDescent="0.2">
      <c r="A19" s="27">
        <f t="shared" si="0"/>
        <v>0.73333333333333606</v>
      </c>
      <c r="B19" s="25">
        <f t="shared" si="1"/>
        <v>0.98609655248650163</v>
      </c>
      <c r="C19" s="38">
        <f t="shared" si="5"/>
        <v>1.2333333333333361</v>
      </c>
      <c r="D19" s="25">
        <f t="shared" si="6"/>
        <v>0.99989220026652259</v>
      </c>
      <c r="E19" s="28">
        <v>3.7000000000000082</v>
      </c>
      <c r="F19" s="29">
        <f t="shared" si="2"/>
        <v>2.2000000000000082</v>
      </c>
      <c r="G19" s="34">
        <f t="shared" si="7"/>
        <v>13900</v>
      </c>
      <c r="H19" s="35">
        <f t="shared" si="3"/>
        <v>1390</v>
      </c>
      <c r="I19" s="35">
        <f t="shared" si="3"/>
        <v>139</v>
      </c>
      <c r="J19" s="35">
        <f t="shared" si="3"/>
        <v>13.9</v>
      </c>
      <c r="K19" s="37">
        <f t="shared" si="4"/>
        <v>1.3900000000000001</v>
      </c>
    </row>
    <row r="20" spans="1:11" s="24" customFormat="1" ht="10.199999999999999" x14ac:dyDescent="0.2">
      <c r="A20" s="27">
        <f t="shared" si="0"/>
        <v>0.70000000000000284</v>
      </c>
      <c r="B20" s="25">
        <f t="shared" si="1"/>
        <v>0.98213557943718388</v>
      </c>
      <c r="C20" s="38">
        <f t="shared" si="5"/>
        <v>1.2000000000000028</v>
      </c>
      <c r="D20" s="25">
        <f t="shared" si="6"/>
        <v>0.99984089140984245</v>
      </c>
      <c r="E20" s="28">
        <v>3.6000000000000085</v>
      </c>
      <c r="F20" s="29">
        <f t="shared" si="2"/>
        <v>2.1000000000000085</v>
      </c>
      <c r="G20" s="34">
        <f t="shared" si="7"/>
        <v>17860</v>
      </c>
      <c r="H20" s="35">
        <f t="shared" si="3"/>
        <v>1786</v>
      </c>
      <c r="I20" s="35">
        <f t="shared" si="3"/>
        <v>178.6</v>
      </c>
      <c r="J20" s="35">
        <f t="shared" si="3"/>
        <v>17.86</v>
      </c>
      <c r="K20" s="37">
        <f t="shared" si="4"/>
        <v>1.786</v>
      </c>
    </row>
    <row r="21" spans="1:11" s="24" customFormat="1" ht="10.199999999999999" x14ac:dyDescent="0.2">
      <c r="A21" s="27">
        <f t="shared" si="0"/>
        <v>0.66666666666666963</v>
      </c>
      <c r="B21" s="25">
        <f t="shared" si="1"/>
        <v>0.97724986805182124</v>
      </c>
      <c r="C21" s="38">
        <f t="shared" si="5"/>
        <v>1.1666666666666696</v>
      </c>
      <c r="D21" s="25">
        <f t="shared" si="6"/>
        <v>0.99976737092096446</v>
      </c>
      <c r="E21" s="28">
        <v>3.5000000000000089</v>
      </c>
      <c r="F21" s="29">
        <f t="shared" si="2"/>
        <v>2.0000000000000089</v>
      </c>
      <c r="G21" s="34">
        <f t="shared" si="7"/>
        <v>22750</v>
      </c>
      <c r="H21" s="35">
        <f t="shared" si="3"/>
        <v>2275</v>
      </c>
      <c r="I21" s="35">
        <f t="shared" si="3"/>
        <v>227.5</v>
      </c>
      <c r="J21" s="35">
        <f t="shared" si="3"/>
        <v>22.75</v>
      </c>
      <c r="K21" s="37">
        <f t="shared" si="4"/>
        <v>2.2749999999999999</v>
      </c>
    </row>
    <row r="22" spans="1:11" s="24" customFormat="1" ht="10.199999999999999" x14ac:dyDescent="0.2">
      <c r="A22" s="27">
        <f t="shared" si="0"/>
        <v>0.63333333333333641</v>
      </c>
      <c r="B22" s="25">
        <f t="shared" si="1"/>
        <v>0.97128344018399881</v>
      </c>
      <c r="C22" s="38">
        <f t="shared" si="5"/>
        <v>1.1333333333333364</v>
      </c>
      <c r="D22" s="25">
        <f t="shared" si="6"/>
        <v>0.99966307073432314</v>
      </c>
      <c r="E22" s="28">
        <v>3.4000000000000092</v>
      </c>
      <c r="F22" s="29">
        <f t="shared" si="2"/>
        <v>1.9000000000000092</v>
      </c>
      <c r="G22" s="34">
        <f t="shared" si="7"/>
        <v>28710</v>
      </c>
      <c r="H22" s="35">
        <f t="shared" si="3"/>
        <v>2871</v>
      </c>
      <c r="I22" s="35">
        <f t="shared" si="3"/>
        <v>287.10000000000002</v>
      </c>
      <c r="J22" s="35">
        <f t="shared" si="3"/>
        <v>28.71</v>
      </c>
      <c r="K22" s="37">
        <f t="shared" si="4"/>
        <v>2.871</v>
      </c>
    </row>
    <row r="23" spans="1:11" s="24" customFormat="1" ht="10.199999999999999" x14ac:dyDescent="0.2">
      <c r="A23" s="27">
        <f t="shared" si="0"/>
        <v>0.6000000000000032</v>
      </c>
      <c r="B23" s="25">
        <f t="shared" si="1"/>
        <v>0.96406968088707501</v>
      </c>
      <c r="C23" s="38">
        <f t="shared" si="5"/>
        <v>1.1000000000000032</v>
      </c>
      <c r="D23" s="25">
        <f t="shared" si="6"/>
        <v>0.99951657585761622</v>
      </c>
      <c r="E23" s="28">
        <v>3.3000000000000096</v>
      </c>
      <c r="F23" s="29">
        <f t="shared" si="2"/>
        <v>1.8000000000000096</v>
      </c>
      <c r="G23" s="34">
        <f t="shared" si="7"/>
        <v>35930</v>
      </c>
      <c r="H23" s="35">
        <f t="shared" si="3"/>
        <v>3593</v>
      </c>
      <c r="I23" s="35">
        <f t="shared" si="3"/>
        <v>359.3</v>
      </c>
      <c r="J23" s="35">
        <f t="shared" si="3"/>
        <v>35.93</v>
      </c>
      <c r="K23" s="37">
        <f t="shared" si="4"/>
        <v>3.593</v>
      </c>
    </row>
    <row r="24" spans="1:11" s="24" customFormat="1" ht="10.199999999999999" x14ac:dyDescent="0.2">
      <c r="A24" s="27">
        <f t="shared" si="0"/>
        <v>0.56666666666666998</v>
      </c>
      <c r="B24" s="25">
        <f t="shared" si="1"/>
        <v>0.95543453724145788</v>
      </c>
      <c r="C24" s="38">
        <f t="shared" si="5"/>
        <v>1.06666666666667</v>
      </c>
      <c r="D24" s="25">
        <f t="shared" si="6"/>
        <v>0.99931286206208414</v>
      </c>
      <c r="E24" s="28">
        <v>3.2000000000000099</v>
      </c>
      <c r="F24" s="29">
        <f t="shared" si="2"/>
        <v>1.7000000000000099</v>
      </c>
      <c r="G24" s="34">
        <f t="shared" si="7"/>
        <v>44560</v>
      </c>
      <c r="H24" s="35">
        <f t="shared" si="3"/>
        <v>4456</v>
      </c>
      <c r="I24" s="35">
        <f t="shared" si="3"/>
        <v>445.6</v>
      </c>
      <c r="J24" s="35">
        <f t="shared" si="3"/>
        <v>44.56</v>
      </c>
      <c r="K24" s="37">
        <f t="shared" si="4"/>
        <v>4.4560000000000004</v>
      </c>
    </row>
    <row r="25" spans="1:11" s="24" customFormat="1" ht="10.199999999999999" x14ac:dyDescent="0.2">
      <c r="A25" s="27">
        <f t="shared" si="0"/>
        <v>0.53333333333333677</v>
      </c>
      <c r="B25" s="25">
        <f t="shared" si="1"/>
        <v>0.94520070830044312</v>
      </c>
      <c r="C25" s="38">
        <f t="shared" si="5"/>
        <v>1.0333333333333368</v>
      </c>
      <c r="D25" s="25">
        <f t="shared" si="6"/>
        <v>0.99903239678678168</v>
      </c>
      <c r="E25" s="28">
        <v>3.1000000000000103</v>
      </c>
      <c r="F25" s="29">
        <f t="shared" si="2"/>
        <v>1.6000000000000103</v>
      </c>
      <c r="G25" s="34">
        <f t="shared" si="7"/>
        <v>54790</v>
      </c>
      <c r="H25" s="35">
        <f t="shared" si="3"/>
        <v>5479</v>
      </c>
      <c r="I25" s="35">
        <f t="shared" si="3"/>
        <v>547.9</v>
      </c>
      <c r="J25" s="35">
        <f t="shared" si="3"/>
        <v>54.79</v>
      </c>
      <c r="K25" s="37">
        <f t="shared" si="4"/>
        <v>5.4790000000000001</v>
      </c>
    </row>
    <row r="26" spans="1:11" s="24" customFormat="1" ht="10.199999999999999" x14ac:dyDescent="0.2">
      <c r="A26" s="27">
        <f t="shared" si="0"/>
        <v>0.50000000000000355</v>
      </c>
      <c r="B26" s="25">
        <f t="shared" si="1"/>
        <v>0.93319279873114336</v>
      </c>
      <c r="C26" s="38">
        <f t="shared" si="5"/>
        <v>1.0000000000000036</v>
      </c>
      <c r="D26" s="25">
        <f t="shared" si="6"/>
        <v>0.99865010196837001</v>
      </c>
      <c r="E26" s="28">
        <v>3.0000000000000107</v>
      </c>
      <c r="F26" s="29">
        <f t="shared" si="2"/>
        <v>1.5000000000000107</v>
      </c>
      <c r="G26" s="34">
        <f t="shared" si="7"/>
        <v>66800</v>
      </c>
      <c r="H26" s="35">
        <f t="shared" si="3"/>
        <v>6680</v>
      </c>
      <c r="I26" s="35">
        <f t="shared" si="3"/>
        <v>668</v>
      </c>
      <c r="J26" s="35">
        <f t="shared" si="3"/>
        <v>66.8</v>
      </c>
      <c r="K26" s="37">
        <f t="shared" si="4"/>
        <v>6.68</v>
      </c>
    </row>
    <row r="27" spans="1:11" s="24" customFormat="1" ht="10.199999999999999" x14ac:dyDescent="0.2">
      <c r="A27" s="27">
        <f t="shared" si="0"/>
        <v>0.46666666666667034</v>
      </c>
      <c r="B27" s="25">
        <f t="shared" si="1"/>
        <v>0.9192433407662306</v>
      </c>
      <c r="C27" s="38">
        <f t="shared" si="5"/>
        <v>0.96666666666667034</v>
      </c>
      <c r="D27" s="25">
        <f t="shared" si="6"/>
        <v>0.99813418669961607</v>
      </c>
      <c r="E27" s="28">
        <v>2.900000000000011</v>
      </c>
      <c r="F27" s="29">
        <f t="shared" si="2"/>
        <v>1.400000000000011</v>
      </c>
      <c r="G27" s="34">
        <f t="shared" si="7"/>
        <v>80750</v>
      </c>
      <c r="H27" s="35">
        <f t="shared" si="3"/>
        <v>8075</v>
      </c>
      <c r="I27" s="35">
        <f t="shared" si="3"/>
        <v>807.5</v>
      </c>
      <c r="J27" s="35">
        <f t="shared" si="3"/>
        <v>80.75</v>
      </c>
      <c r="K27" s="37">
        <f t="shared" si="4"/>
        <v>8.0749999999999993</v>
      </c>
    </row>
    <row r="28" spans="1:11" s="24" customFormat="1" ht="10.199999999999999" x14ac:dyDescent="0.2">
      <c r="A28" s="27">
        <f t="shared" si="0"/>
        <v>0.43333333333333712</v>
      </c>
      <c r="B28" s="25">
        <f t="shared" si="1"/>
        <v>0.90319951541439158</v>
      </c>
      <c r="C28" s="38">
        <f t="shared" si="5"/>
        <v>0.93333333333333712</v>
      </c>
      <c r="D28" s="25">
        <f t="shared" si="6"/>
        <v>0.99744486966957213</v>
      </c>
      <c r="E28" s="28">
        <v>2.8000000000000114</v>
      </c>
      <c r="F28" s="29">
        <f t="shared" si="2"/>
        <v>1.3000000000000114</v>
      </c>
      <c r="G28" s="34">
        <f t="shared" si="7"/>
        <v>96800</v>
      </c>
      <c r="H28" s="35">
        <f t="shared" si="3"/>
        <v>9680</v>
      </c>
      <c r="I28" s="35">
        <f t="shared" si="3"/>
        <v>968</v>
      </c>
      <c r="J28" s="35">
        <f t="shared" si="3"/>
        <v>96.8</v>
      </c>
      <c r="K28" s="37">
        <f t="shared" si="4"/>
        <v>9.68</v>
      </c>
    </row>
    <row r="29" spans="1:11" s="24" customFormat="1" ht="10.199999999999999" x14ac:dyDescent="0.2">
      <c r="A29" s="27">
        <f t="shared" si="0"/>
        <v>0.40000000000000391</v>
      </c>
      <c r="B29" s="25">
        <f t="shared" si="1"/>
        <v>0.884930329778294</v>
      </c>
      <c r="C29" s="38">
        <f t="shared" si="5"/>
        <v>0.90000000000000391</v>
      </c>
      <c r="D29" s="25">
        <f t="shared" si="6"/>
        <v>0.99653302619695949</v>
      </c>
      <c r="E29" s="28">
        <v>2.7000000000000117</v>
      </c>
      <c r="F29" s="29">
        <f t="shared" si="2"/>
        <v>1.2000000000000117</v>
      </c>
      <c r="G29" s="34">
        <f t="shared" si="7"/>
        <v>115060</v>
      </c>
      <c r="H29" s="35">
        <f t="shared" ref="H29:K44" si="8">G29/10</f>
        <v>11506</v>
      </c>
      <c r="I29" s="35">
        <f t="shared" si="8"/>
        <v>1150.5999999999999</v>
      </c>
      <c r="J29" s="35">
        <f t="shared" si="8"/>
        <v>115.05999999999999</v>
      </c>
      <c r="K29" s="37">
        <f t="shared" si="8"/>
        <v>11.505999999999998</v>
      </c>
    </row>
    <row r="30" spans="1:11" s="24" customFormat="1" ht="10.199999999999999" x14ac:dyDescent="0.2">
      <c r="A30" s="27">
        <f t="shared" si="0"/>
        <v>0.36666666666667069</v>
      </c>
      <c r="B30" s="25">
        <f t="shared" si="1"/>
        <v>0.86433393905361999</v>
      </c>
      <c r="C30" s="38">
        <f t="shared" si="5"/>
        <v>0.86666666666667069</v>
      </c>
      <c r="D30" s="25">
        <f t="shared" si="6"/>
        <v>0.99533881197628138</v>
      </c>
      <c r="E30" s="28">
        <v>2.6000000000000121</v>
      </c>
      <c r="F30" s="29">
        <f t="shared" si="2"/>
        <v>1.1000000000000121</v>
      </c>
      <c r="G30" s="34">
        <f t="shared" si="7"/>
        <v>135660</v>
      </c>
      <c r="H30" s="35">
        <f t="shared" si="8"/>
        <v>13566</v>
      </c>
      <c r="I30" s="35">
        <f t="shared" si="8"/>
        <v>1356.6</v>
      </c>
      <c r="J30" s="35">
        <f t="shared" si="8"/>
        <v>135.66</v>
      </c>
      <c r="K30" s="37">
        <f t="shared" si="8"/>
        <v>13.565999999999999</v>
      </c>
    </row>
    <row r="31" spans="1:11" s="24" customFormat="1" ht="10.199999999999999" x14ac:dyDescent="0.2">
      <c r="A31" s="27">
        <f t="shared" si="0"/>
        <v>0.33333333333333748</v>
      </c>
      <c r="B31" s="25">
        <f t="shared" si="1"/>
        <v>0.84134474606854592</v>
      </c>
      <c r="C31" s="38">
        <f t="shared" si="5"/>
        <v>0.83333333333333748</v>
      </c>
      <c r="D31" s="25">
        <f t="shared" si="6"/>
        <v>0.99379033467422406</v>
      </c>
      <c r="E31" s="28">
        <v>2.5000000000000124</v>
      </c>
      <c r="F31" s="29">
        <f t="shared" si="2"/>
        <v>1.0000000000000124</v>
      </c>
      <c r="G31" s="34">
        <f t="shared" si="7"/>
        <v>158650</v>
      </c>
      <c r="H31" s="35">
        <f t="shared" si="8"/>
        <v>15865</v>
      </c>
      <c r="I31" s="35">
        <f t="shared" si="8"/>
        <v>1586.5</v>
      </c>
      <c r="J31" s="35">
        <f t="shared" si="8"/>
        <v>158.65</v>
      </c>
      <c r="K31" s="37">
        <f t="shared" si="8"/>
        <v>15.865</v>
      </c>
    </row>
    <row r="32" spans="1:11" s="24" customFormat="1" ht="10.199999999999999" x14ac:dyDescent="0.2">
      <c r="A32" s="27">
        <f t="shared" si="0"/>
        <v>0.30000000000000426</v>
      </c>
      <c r="B32" s="25">
        <f t="shared" si="1"/>
        <v>0.81593987465324391</v>
      </c>
      <c r="C32" s="38">
        <f t="shared" si="5"/>
        <v>0.80000000000000426</v>
      </c>
      <c r="D32" s="25">
        <f t="shared" si="6"/>
        <v>0.99180246407540418</v>
      </c>
      <c r="E32" s="28">
        <v>2.4000000000000128</v>
      </c>
      <c r="F32" s="29">
        <f t="shared" si="2"/>
        <v>0.90000000000001279</v>
      </c>
      <c r="G32" s="34">
        <f t="shared" si="7"/>
        <v>184060</v>
      </c>
      <c r="H32" s="35">
        <f t="shared" si="8"/>
        <v>18406</v>
      </c>
      <c r="I32" s="35">
        <f t="shared" si="8"/>
        <v>1840.6</v>
      </c>
      <c r="J32" s="35">
        <f t="shared" si="8"/>
        <v>184.06</v>
      </c>
      <c r="K32" s="37">
        <f t="shared" si="8"/>
        <v>18.405999999999999</v>
      </c>
    </row>
    <row r="33" spans="1:11" s="24" customFormat="1" ht="10.199999999999999" x14ac:dyDescent="0.2">
      <c r="A33" s="27">
        <f t="shared" si="0"/>
        <v>0.26666666666667105</v>
      </c>
      <c r="B33" s="25">
        <f t="shared" si="1"/>
        <v>0.78814460141660714</v>
      </c>
      <c r="C33" s="38">
        <f t="shared" si="5"/>
        <v>0.76666666666667105</v>
      </c>
      <c r="D33" s="25">
        <f t="shared" si="6"/>
        <v>0.98927588997832461</v>
      </c>
      <c r="E33" s="28">
        <v>2.3000000000000131</v>
      </c>
      <c r="F33" s="29">
        <f t="shared" si="2"/>
        <v>0.80000000000001315</v>
      </c>
      <c r="G33" s="34">
        <f t="shared" si="7"/>
        <v>211850</v>
      </c>
      <c r="H33" s="35">
        <f t="shared" si="8"/>
        <v>21185</v>
      </c>
      <c r="I33" s="35">
        <f t="shared" si="8"/>
        <v>2118.5</v>
      </c>
      <c r="J33" s="35">
        <f t="shared" si="8"/>
        <v>211.85</v>
      </c>
      <c r="K33" s="37">
        <f t="shared" si="8"/>
        <v>21.184999999999999</v>
      </c>
    </row>
    <row r="34" spans="1:11" s="24" customFormat="1" ht="10.199999999999999" x14ac:dyDescent="0.2">
      <c r="A34" s="27">
        <f t="shared" si="0"/>
        <v>0.23333333333333783</v>
      </c>
      <c r="B34" s="25">
        <f t="shared" si="1"/>
        <v>0.75803634777693119</v>
      </c>
      <c r="C34" s="38">
        <f t="shared" si="5"/>
        <v>0.73333333333333783</v>
      </c>
      <c r="D34" s="25">
        <f t="shared" si="6"/>
        <v>0.98609655248650185</v>
      </c>
      <c r="E34" s="28">
        <v>2.2000000000000135</v>
      </c>
      <c r="F34" s="29">
        <f t="shared" si="2"/>
        <v>0.7000000000000135</v>
      </c>
      <c r="G34" s="34">
        <f t="shared" si="7"/>
        <v>241960</v>
      </c>
      <c r="H34" s="35">
        <f t="shared" si="8"/>
        <v>24196</v>
      </c>
      <c r="I34" s="35">
        <f t="shared" si="8"/>
        <v>2419.6</v>
      </c>
      <c r="J34" s="35">
        <f t="shared" si="8"/>
        <v>241.95999999999998</v>
      </c>
      <c r="K34" s="37">
        <f t="shared" si="8"/>
        <v>24.195999999999998</v>
      </c>
    </row>
    <row r="35" spans="1:11" s="24" customFormat="1" ht="10.199999999999999" x14ac:dyDescent="0.2">
      <c r="A35" s="27">
        <f t="shared" si="0"/>
        <v>0.20000000000000462</v>
      </c>
      <c r="B35" s="25">
        <f t="shared" si="1"/>
        <v>0.72574688224993111</v>
      </c>
      <c r="C35" s="38">
        <f t="shared" si="5"/>
        <v>0.70000000000000462</v>
      </c>
      <c r="D35" s="25">
        <f t="shared" si="6"/>
        <v>0.9821355794371841</v>
      </c>
      <c r="E35" s="28">
        <v>2.1000000000000139</v>
      </c>
      <c r="F35" s="29">
        <f t="shared" si="2"/>
        <v>0.60000000000001386</v>
      </c>
      <c r="G35" s="34">
        <f t="shared" si="7"/>
        <v>274250</v>
      </c>
      <c r="H35" s="35">
        <f t="shared" si="8"/>
        <v>27425</v>
      </c>
      <c r="I35" s="35">
        <f t="shared" si="8"/>
        <v>2742.5</v>
      </c>
      <c r="J35" s="35">
        <f t="shared" si="8"/>
        <v>274.25</v>
      </c>
      <c r="K35" s="37">
        <f t="shared" si="8"/>
        <v>27.425000000000001</v>
      </c>
    </row>
    <row r="36" spans="1:11" s="24" customFormat="1" ht="10.199999999999999" x14ac:dyDescent="0.2">
      <c r="A36" s="27">
        <f t="shared" si="0"/>
        <v>0.1666666666666714</v>
      </c>
      <c r="B36" s="25">
        <f t="shared" si="1"/>
        <v>0.69146246127401811</v>
      </c>
      <c r="C36" s="38">
        <f t="shared" si="5"/>
        <v>0.6666666666666714</v>
      </c>
      <c r="D36" s="25">
        <f t="shared" si="6"/>
        <v>0.97724986805182157</v>
      </c>
      <c r="E36" s="28">
        <v>2.0000000000000142</v>
      </c>
      <c r="F36" s="29">
        <f t="shared" si="2"/>
        <v>0.50000000000001421</v>
      </c>
      <c r="G36" s="34">
        <f t="shared" si="7"/>
        <v>308530</v>
      </c>
      <c r="H36" s="35">
        <f t="shared" si="8"/>
        <v>30853</v>
      </c>
      <c r="I36" s="35">
        <f t="shared" si="8"/>
        <v>3085.3</v>
      </c>
      <c r="J36" s="35">
        <f t="shared" si="8"/>
        <v>308.53000000000003</v>
      </c>
      <c r="K36" s="37">
        <f t="shared" si="8"/>
        <v>30.853000000000002</v>
      </c>
    </row>
    <row r="37" spans="1:11" s="24" customFormat="1" ht="10.199999999999999" x14ac:dyDescent="0.2">
      <c r="A37" s="27">
        <f t="shared" ref="A37:A68" si="9">C37-0.5</f>
        <v>0.13333333333333819</v>
      </c>
      <c r="B37" s="25">
        <f t="shared" ref="B37:B68" si="10">NORMSDIST(F37)</f>
        <v>0.65542174161032962</v>
      </c>
      <c r="C37" s="38">
        <f t="shared" si="5"/>
        <v>0.63333333333333819</v>
      </c>
      <c r="D37" s="25">
        <f t="shared" si="6"/>
        <v>0.97128344018399915</v>
      </c>
      <c r="E37" s="28">
        <v>1.9000000000000146</v>
      </c>
      <c r="F37" s="29">
        <f t="shared" si="2"/>
        <v>0.40000000000001457</v>
      </c>
      <c r="G37" s="34">
        <f t="shared" si="7"/>
        <v>344570</v>
      </c>
      <c r="H37" s="35">
        <f t="shared" si="8"/>
        <v>34457</v>
      </c>
      <c r="I37" s="35">
        <f t="shared" si="8"/>
        <v>3445.7</v>
      </c>
      <c r="J37" s="35">
        <f t="shared" si="8"/>
        <v>344.57</v>
      </c>
      <c r="K37" s="37">
        <f t="shared" si="8"/>
        <v>34.457000000000001</v>
      </c>
    </row>
    <row r="38" spans="1:11" s="24" customFormat="1" ht="10.199999999999999" x14ac:dyDescent="0.2">
      <c r="A38" s="27">
        <f t="shared" si="9"/>
        <v>0.10000000000000497</v>
      </c>
      <c r="B38" s="25">
        <f t="shared" si="10"/>
        <v>0.61791142218895834</v>
      </c>
      <c r="C38" s="38">
        <f t="shared" si="5"/>
        <v>0.60000000000000497</v>
      </c>
      <c r="D38" s="25">
        <f t="shared" si="6"/>
        <v>0.96406968088707534</v>
      </c>
      <c r="E38" s="28">
        <v>1.8000000000000149</v>
      </c>
      <c r="F38" s="29">
        <f t="shared" si="2"/>
        <v>0.30000000000001492</v>
      </c>
      <c r="G38" s="34">
        <f t="shared" si="7"/>
        <v>382080</v>
      </c>
      <c r="H38" s="35">
        <f t="shared" si="8"/>
        <v>38208</v>
      </c>
      <c r="I38" s="35">
        <f t="shared" si="8"/>
        <v>3820.8</v>
      </c>
      <c r="J38" s="35">
        <f t="shared" si="8"/>
        <v>382.08000000000004</v>
      </c>
      <c r="K38" s="37">
        <f t="shared" si="8"/>
        <v>38.208000000000006</v>
      </c>
    </row>
    <row r="39" spans="1:11" s="24" customFormat="1" ht="10.199999999999999" x14ac:dyDescent="0.2">
      <c r="A39" s="27">
        <f t="shared" si="9"/>
        <v>6.6666666666671759E-2</v>
      </c>
      <c r="B39" s="25">
        <f t="shared" si="10"/>
        <v>0.57925970943910898</v>
      </c>
      <c r="C39" s="38">
        <f t="shared" si="5"/>
        <v>0.56666666666667176</v>
      </c>
      <c r="D39" s="25">
        <f t="shared" si="6"/>
        <v>0.95543453724145844</v>
      </c>
      <c r="E39" s="28">
        <v>1.7000000000000153</v>
      </c>
      <c r="F39" s="29">
        <f t="shared" si="2"/>
        <v>0.20000000000001528</v>
      </c>
      <c r="G39" s="34">
        <f t="shared" si="7"/>
        <v>420740</v>
      </c>
      <c r="H39" s="35">
        <f t="shared" si="8"/>
        <v>42074</v>
      </c>
      <c r="I39" s="35">
        <f t="shared" si="8"/>
        <v>4207.3999999999996</v>
      </c>
      <c r="J39" s="35">
        <f t="shared" si="8"/>
        <v>420.73999999999995</v>
      </c>
      <c r="K39" s="35">
        <f t="shared" si="8"/>
        <v>42.073999999999998</v>
      </c>
    </row>
    <row r="40" spans="1:11" s="24" customFormat="1" ht="10.199999999999999" x14ac:dyDescent="0.2">
      <c r="A40" s="27">
        <f t="shared" si="9"/>
        <v>3.3333333333338544E-2</v>
      </c>
      <c r="B40" s="25">
        <f t="shared" si="10"/>
        <v>0.53982783727703521</v>
      </c>
      <c r="C40" s="38">
        <f t="shared" si="5"/>
        <v>0.53333333333333854</v>
      </c>
      <c r="D40" s="25">
        <f t="shared" si="6"/>
        <v>0.94520070830044378</v>
      </c>
      <c r="E40" s="28">
        <v>1.6000000000000156</v>
      </c>
      <c r="F40" s="29">
        <f t="shared" si="2"/>
        <v>0.10000000000001563</v>
      </c>
      <c r="G40" s="34">
        <f t="shared" si="7"/>
        <v>460170</v>
      </c>
      <c r="H40" s="35">
        <f t="shared" si="8"/>
        <v>46017</v>
      </c>
      <c r="I40" s="35">
        <f t="shared" si="8"/>
        <v>4601.7</v>
      </c>
      <c r="J40" s="35">
        <f t="shared" si="8"/>
        <v>460.16999999999996</v>
      </c>
      <c r="K40" s="35">
        <f t="shared" si="8"/>
        <v>46.016999999999996</v>
      </c>
    </row>
    <row r="41" spans="1:11" s="24" customFormat="1" ht="10.199999999999999" x14ac:dyDescent="0.2">
      <c r="A41" s="27">
        <f t="shared" si="9"/>
        <v>5.3290705182007514E-15</v>
      </c>
      <c r="B41" s="25">
        <f t="shared" si="10"/>
        <v>0.50000000000000644</v>
      </c>
      <c r="C41" s="38">
        <f t="shared" si="5"/>
        <v>0.50000000000000533</v>
      </c>
      <c r="D41" s="25">
        <f t="shared" si="6"/>
        <v>0.93319279873114402</v>
      </c>
      <c r="E41" s="28">
        <v>1.500000000000016</v>
      </c>
      <c r="F41" s="29">
        <f t="shared" si="2"/>
        <v>1.5987211554602254E-14</v>
      </c>
      <c r="G41" s="34">
        <f t="shared" si="7"/>
        <v>499990</v>
      </c>
      <c r="H41" s="35">
        <f t="shared" si="8"/>
        <v>49999</v>
      </c>
      <c r="I41" s="35">
        <f t="shared" si="8"/>
        <v>4999.8999999999996</v>
      </c>
      <c r="J41" s="35">
        <f t="shared" si="8"/>
        <v>499.98999999999995</v>
      </c>
      <c r="K41" s="35">
        <f t="shared" si="8"/>
        <v>49.998999999999995</v>
      </c>
    </row>
    <row r="42" spans="1:11" s="24" customFormat="1" ht="10.199999999999999" x14ac:dyDescent="0.2">
      <c r="A42" s="27">
        <f t="shared" si="9"/>
        <v>-3.3333333333327886E-2</v>
      </c>
      <c r="B42" s="25">
        <f t="shared" si="10"/>
        <v>0.46017216272297751</v>
      </c>
      <c r="C42" s="38">
        <f t="shared" si="5"/>
        <v>0.46666666666667211</v>
      </c>
      <c r="D42" s="25">
        <f t="shared" si="6"/>
        <v>0.91924334076623138</v>
      </c>
      <c r="E42" s="28">
        <v>1.4000000000000163</v>
      </c>
      <c r="F42" s="29">
        <f t="shared" si="2"/>
        <v>-9.9999999999983658E-2</v>
      </c>
      <c r="G42" s="34">
        <f t="shared" ref="G42:G73" si="11">TRUNC((1-B42)*1000000,-1)</f>
        <v>539820</v>
      </c>
      <c r="H42" s="35">
        <f t="shared" si="8"/>
        <v>53982</v>
      </c>
      <c r="I42" s="35">
        <f t="shared" si="8"/>
        <v>5398.2</v>
      </c>
      <c r="J42" s="35">
        <f t="shared" si="8"/>
        <v>539.81999999999994</v>
      </c>
      <c r="K42" s="35">
        <f t="shared" si="8"/>
        <v>53.981999999999992</v>
      </c>
    </row>
    <row r="43" spans="1:11" s="24" customFormat="1" ht="10.199999999999999" x14ac:dyDescent="0.2">
      <c r="A43" s="27">
        <f t="shared" si="9"/>
        <v>-6.6666666666661101E-2</v>
      </c>
      <c r="B43" s="25">
        <f t="shared" si="10"/>
        <v>0.42074029056090351</v>
      </c>
      <c r="C43" s="38">
        <f t="shared" si="5"/>
        <v>0.4333333333333389</v>
      </c>
      <c r="D43" s="25">
        <f t="shared" si="6"/>
        <v>0.90319951541439258</v>
      </c>
      <c r="E43" s="28">
        <v>1.3000000000000167</v>
      </c>
      <c r="F43" s="29">
        <f t="shared" si="2"/>
        <v>-0.1999999999999833</v>
      </c>
      <c r="G43" s="34">
        <f t="shared" si="11"/>
        <v>579250</v>
      </c>
      <c r="H43" s="35">
        <f t="shared" si="8"/>
        <v>57925</v>
      </c>
      <c r="I43" s="35">
        <f t="shared" si="8"/>
        <v>5792.5</v>
      </c>
      <c r="J43" s="35">
        <f t="shared" si="8"/>
        <v>579.25</v>
      </c>
      <c r="K43" s="35">
        <f t="shared" si="8"/>
        <v>57.924999999999997</v>
      </c>
    </row>
    <row r="44" spans="1:11" s="24" customFormat="1" ht="10.199999999999999" x14ac:dyDescent="0.2">
      <c r="A44" s="27">
        <f t="shared" si="9"/>
        <v>-9.9999999999994316E-2</v>
      </c>
      <c r="B44" s="25">
        <f t="shared" si="10"/>
        <v>0.38208857781105388</v>
      </c>
      <c r="C44" s="38">
        <f t="shared" si="5"/>
        <v>0.40000000000000568</v>
      </c>
      <c r="D44" s="25">
        <f t="shared" si="6"/>
        <v>0.884930329778295</v>
      </c>
      <c r="E44" s="28">
        <v>1.2000000000000171</v>
      </c>
      <c r="F44" s="29">
        <f t="shared" si="2"/>
        <v>-0.29999999999998295</v>
      </c>
      <c r="G44" s="34">
        <f t="shared" si="11"/>
        <v>617910</v>
      </c>
      <c r="H44" s="35">
        <f t="shared" si="8"/>
        <v>61791</v>
      </c>
      <c r="I44" s="35">
        <f t="shared" si="8"/>
        <v>6179.1</v>
      </c>
      <c r="J44" s="35">
        <f t="shared" si="8"/>
        <v>617.91000000000008</v>
      </c>
      <c r="K44" s="35">
        <f t="shared" si="8"/>
        <v>61.791000000000011</v>
      </c>
    </row>
    <row r="45" spans="1:11" s="24" customFormat="1" ht="10.199999999999999" x14ac:dyDescent="0.2">
      <c r="A45" s="27">
        <f t="shared" si="9"/>
        <v>-0.13333333333332753</v>
      </c>
      <c r="B45" s="25">
        <f t="shared" si="10"/>
        <v>0.3445782583896822</v>
      </c>
      <c r="C45" s="38">
        <f t="shared" si="5"/>
        <v>0.36666666666667247</v>
      </c>
      <c r="D45" s="25">
        <f t="shared" si="6"/>
        <v>0.8643339390536211</v>
      </c>
      <c r="E45" s="28">
        <v>1.1000000000000174</v>
      </c>
      <c r="F45" s="29">
        <f t="shared" si="2"/>
        <v>-0.39999999999998259</v>
      </c>
      <c r="G45" s="34">
        <f t="shared" si="11"/>
        <v>655420</v>
      </c>
      <c r="H45" s="35">
        <f t="shared" ref="H45:K55" si="12">G45/10</f>
        <v>65542</v>
      </c>
      <c r="I45" s="35">
        <f t="shared" si="12"/>
        <v>6554.2</v>
      </c>
      <c r="J45" s="35">
        <f t="shared" si="12"/>
        <v>655.42</v>
      </c>
      <c r="K45" s="35">
        <f t="shared" si="12"/>
        <v>65.542000000000002</v>
      </c>
    </row>
    <row r="46" spans="1:11" s="24" customFormat="1" ht="10.199999999999999" x14ac:dyDescent="0.2">
      <c r="A46" s="27">
        <f t="shared" si="9"/>
        <v>-0.16666666666666075</v>
      </c>
      <c r="B46" s="25">
        <f t="shared" si="10"/>
        <v>0.3085375387259931</v>
      </c>
      <c r="C46" s="38">
        <f t="shared" si="5"/>
        <v>0.33333333333333925</v>
      </c>
      <c r="D46" s="25">
        <f t="shared" si="6"/>
        <v>0.84134474606854726</v>
      </c>
      <c r="E46" s="28">
        <v>1.0000000000000178</v>
      </c>
      <c r="F46" s="29">
        <f t="shared" si="2"/>
        <v>-0.49999999999998224</v>
      </c>
      <c r="G46" s="34">
        <f t="shared" si="11"/>
        <v>691460</v>
      </c>
      <c r="H46" s="35">
        <f t="shared" si="12"/>
        <v>69146</v>
      </c>
      <c r="I46" s="35">
        <f t="shared" si="12"/>
        <v>6914.6</v>
      </c>
      <c r="J46" s="35">
        <f t="shared" si="12"/>
        <v>691.46</v>
      </c>
      <c r="K46" s="35">
        <f t="shared" si="12"/>
        <v>69.146000000000001</v>
      </c>
    </row>
    <row r="47" spans="1:11" s="24" customFormat="1" ht="10.199999999999999" x14ac:dyDescent="0.2">
      <c r="A47" s="27">
        <f t="shared" si="9"/>
        <v>-0.19999999999999396</v>
      </c>
      <c r="B47" s="25">
        <f t="shared" si="10"/>
        <v>0.2742531177500796</v>
      </c>
      <c r="C47" s="38">
        <f t="shared" si="5"/>
        <v>0.30000000000000604</v>
      </c>
      <c r="D47" s="25">
        <f t="shared" si="6"/>
        <v>0.81593987465324536</v>
      </c>
      <c r="E47" s="28">
        <v>0.90000000000001812</v>
      </c>
      <c r="F47" s="29">
        <f t="shared" si="2"/>
        <v>-0.59999999999998188</v>
      </c>
      <c r="G47" s="34">
        <f t="shared" si="11"/>
        <v>725740</v>
      </c>
      <c r="H47" s="35">
        <f t="shared" si="12"/>
        <v>72574</v>
      </c>
      <c r="I47" s="35">
        <f t="shared" si="12"/>
        <v>7257.4</v>
      </c>
      <c r="J47" s="35">
        <f t="shared" si="12"/>
        <v>725.74</v>
      </c>
      <c r="K47" s="35">
        <f t="shared" si="12"/>
        <v>72.573999999999998</v>
      </c>
    </row>
    <row r="48" spans="1:11" s="24" customFormat="1" ht="10.199999999999999" x14ac:dyDescent="0.2">
      <c r="A48" s="27">
        <f t="shared" si="9"/>
        <v>-0.23333333333332718</v>
      </c>
      <c r="B48" s="25">
        <f t="shared" si="10"/>
        <v>0.24196365222307875</v>
      </c>
      <c r="C48" s="38">
        <f t="shared" si="5"/>
        <v>0.26666666666667282</v>
      </c>
      <c r="D48" s="25">
        <f t="shared" si="6"/>
        <v>0.78814460141660869</v>
      </c>
      <c r="E48" s="28">
        <v>0.80000000000001847</v>
      </c>
      <c r="F48" s="29">
        <f t="shared" si="2"/>
        <v>-0.69999999999998153</v>
      </c>
      <c r="G48" s="34">
        <f t="shared" si="11"/>
        <v>758030</v>
      </c>
      <c r="H48" s="35">
        <f t="shared" si="12"/>
        <v>75803</v>
      </c>
      <c r="I48" s="35">
        <f t="shared" si="12"/>
        <v>7580.3</v>
      </c>
      <c r="J48" s="35">
        <f t="shared" si="12"/>
        <v>758.03</v>
      </c>
      <c r="K48" s="35">
        <f t="shared" si="12"/>
        <v>75.802999999999997</v>
      </c>
    </row>
    <row r="49" spans="1:11" s="24" customFormat="1" ht="10.199999999999999" x14ac:dyDescent="0.2">
      <c r="A49" s="27">
        <f t="shared" si="9"/>
        <v>-0.26666666666666039</v>
      </c>
      <c r="B49" s="25">
        <f t="shared" si="10"/>
        <v>0.21185539858340216</v>
      </c>
      <c r="C49" s="38">
        <f t="shared" si="5"/>
        <v>0.23333333333333961</v>
      </c>
      <c r="D49" s="25">
        <f t="shared" si="6"/>
        <v>0.75803634777693296</v>
      </c>
      <c r="E49" s="28">
        <v>0.70000000000001883</v>
      </c>
      <c r="F49" s="29">
        <f t="shared" si="2"/>
        <v>-0.79999999999998117</v>
      </c>
      <c r="G49" s="34">
        <f t="shared" si="11"/>
        <v>788140</v>
      </c>
      <c r="H49" s="35">
        <f t="shared" si="12"/>
        <v>78814</v>
      </c>
      <c r="I49" s="35">
        <f t="shared" si="12"/>
        <v>7881.4</v>
      </c>
      <c r="J49" s="35">
        <f t="shared" si="12"/>
        <v>788.14</v>
      </c>
      <c r="K49" s="35">
        <f t="shared" si="12"/>
        <v>78.813999999999993</v>
      </c>
    </row>
    <row r="50" spans="1:11" s="24" customFormat="1" ht="10.199999999999999" x14ac:dyDescent="0.2">
      <c r="A50" s="27">
        <f t="shared" si="9"/>
        <v>-0.29999999999999361</v>
      </c>
      <c r="B50" s="25">
        <f t="shared" si="10"/>
        <v>0.18406012534676452</v>
      </c>
      <c r="C50" s="38">
        <f t="shared" si="5"/>
        <v>0.20000000000000639</v>
      </c>
      <c r="D50" s="25">
        <f t="shared" si="6"/>
        <v>0.72574688224993289</v>
      </c>
      <c r="E50" s="28">
        <v>0.60000000000001918</v>
      </c>
      <c r="F50" s="29">
        <f t="shared" si="2"/>
        <v>-0.89999999999998082</v>
      </c>
      <c r="G50" s="34">
        <f t="shared" si="11"/>
        <v>815930</v>
      </c>
      <c r="H50" s="35">
        <f t="shared" si="12"/>
        <v>81593</v>
      </c>
      <c r="I50" s="35">
        <f t="shared" si="12"/>
        <v>8159.3</v>
      </c>
      <c r="J50" s="35">
        <f t="shared" si="12"/>
        <v>815.93000000000006</v>
      </c>
      <c r="K50" s="35">
        <f t="shared" si="12"/>
        <v>81.593000000000004</v>
      </c>
    </row>
    <row r="51" spans="1:11" s="24" customFormat="1" ht="10.199999999999999" x14ac:dyDescent="0.2">
      <c r="A51" s="27">
        <f t="shared" si="9"/>
        <v>-0.33333333333332682</v>
      </c>
      <c r="B51" s="25">
        <f t="shared" si="10"/>
        <v>0.15865525393146171</v>
      </c>
      <c r="C51" s="38">
        <f t="shared" si="5"/>
        <v>0.16666666666667318</v>
      </c>
      <c r="D51" s="25">
        <f t="shared" si="6"/>
        <v>0.69146246127402</v>
      </c>
      <c r="E51" s="28">
        <v>0.50000000000001954</v>
      </c>
      <c r="F51" s="29">
        <f t="shared" si="2"/>
        <v>-0.99999999999998046</v>
      </c>
      <c r="G51" s="34">
        <f t="shared" si="11"/>
        <v>841340</v>
      </c>
      <c r="H51" s="35">
        <f t="shared" si="12"/>
        <v>84134</v>
      </c>
      <c r="I51" s="35">
        <f t="shared" si="12"/>
        <v>8413.4</v>
      </c>
      <c r="J51" s="35">
        <f t="shared" si="12"/>
        <v>841.33999999999992</v>
      </c>
      <c r="K51" s="35">
        <f t="shared" si="12"/>
        <v>84.133999999999986</v>
      </c>
    </row>
    <row r="52" spans="1:11" s="24" customFormat="1" ht="10.199999999999999" x14ac:dyDescent="0.2">
      <c r="A52" s="27">
        <f t="shared" si="9"/>
        <v>-0.36666666666666003</v>
      </c>
      <c r="B52" s="25">
        <f t="shared" si="10"/>
        <v>0.135666060946387</v>
      </c>
      <c r="C52" s="38">
        <f t="shared" si="5"/>
        <v>0.13333333333333997</v>
      </c>
      <c r="D52" s="25">
        <f t="shared" si="6"/>
        <v>0.65542174161033151</v>
      </c>
      <c r="E52" s="28">
        <v>0.4000000000000199</v>
      </c>
      <c r="F52" s="29">
        <f t="shared" si="2"/>
        <v>-1.0999999999999801</v>
      </c>
      <c r="G52" s="34">
        <f t="shared" si="11"/>
        <v>864330</v>
      </c>
      <c r="H52" s="35">
        <f t="shared" si="12"/>
        <v>86433</v>
      </c>
      <c r="I52" s="35">
        <f t="shared" si="12"/>
        <v>8643.2999999999993</v>
      </c>
      <c r="J52" s="35">
        <f t="shared" si="12"/>
        <v>864.32999999999993</v>
      </c>
      <c r="K52" s="35">
        <f t="shared" si="12"/>
        <v>86.432999999999993</v>
      </c>
    </row>
    <row r="53" spans="1:11" s="24" customFormat="1" ht="10.199999999999999" x14ac:dyDescent="0.2">
      <c r="A53" s="27">
        <f t="shared" si="9"/>
        <v>-0.39999999999999325</v>
      </c>
      <c r="B53" s="25">
        <f t="shared" si="10"/>
        <v>0.11506967022171216</v>
      </c>
      <c r="C53" s="38">
        <f t="shared" si="5"/>
        <v>0.10000000000000675</v>
      </c>
      <c r="D53" s="25">
        <f t="shared" si="6"/>
        <v>0.61791142218896034</v>
      </c>
      <c r="E53" s="28">
        <v>0.30000000000002025</v>
      </c>
      <c r="F53" s="29">
        <f t="shared" si="2"/>
        <v>-1.1999999999999797</v>
      </c>
      <c r="G53" s="34">
        <f t="shared" si="11"/>
        <v>884930</v>
      </c>
      <c r="H53" s="35">
        <f t="shared" si="12"/>
        <v>88493</v>
      </c>
      <c r="I53" s="35">
        <f t="shared" si="12"/>
        <v>8849.2999999999993</v>
      </c>
      <c r="J53" s="35">
        <f t="shared" si="12"/>
        <v>884.93</v>
      </c>
      <c r="K53" s="35">
        <f t="shared" si="12"/>
        <v>88.492999999999995</v>
      </c>
    </row>
    <row r="54" spans="1:11" s="24" customFormat="1" ht="10.199999999999999" x14ac:dyDescent="0.2">
      <c r="A54" s="27">
        <f t="shared" si="9"/>
        <v>-0.43333333333332646</v>
      </c>
      <c r="B54" s="25">
        <f t="shared" si="10"/>
        <v>9.6800484585613841E-2</v>
      </c>
      <c r="C54" s="38">
        <f t="shared" si="5"/>
        <v>6.6666666666673535E-2</v>
      </c>
      <c r="D54" s="25">
        <f t="shared" si="6"/>
        <v>0.57925970943911109</v>
      </c>
      <c r="E54" s="28">
        <v>0.20000000000002061</v>
      </c>
      <c r="F54" s="29">
        <f t="shared" si="2"/>
        <v>-1.2999999999999794</v>
      </c>
      <c r="G54" s="34">
        <f t="shared" si="11"/>
        <v>903190</v>
      </c>
      <c r="H54" s="35">
        <f t="shared" si="12"/>
        <v>90319</v>
      </c>
      <c r="I54" s="35">
        <f t="shared" si="12"/>
        <v>9031.9</v>
      </c>
      <c r="J54" s="35">
        <f t="shared" si="12"/>
        <v>903.18999999999994</v>
      </c>
      <c r="K54" s="35">
        <f t="shared" si="12"/>
        <v>90.318999999999988</v>
      </c>
    </row>
    <row r="55" spans="1:11" s="24" customFormat="1" ht="10.199999999999999" x14ac:dyDescent="0.2">
      <c r="A55" s="27">
        <f t="shared" si="9"/>
        <v>-0.46666666666665968</v>
      </c>
      <c r="B55" s="25">
        <f t="shared" si="10"/>
        <v>8.0756659233774147E-2</v>
      </c>
      <c r="C55" s="38">
        <f t="shared" si="5"/>
        <v>3.333333333334032E-2</v>
      </c>
      <c r="D55" s="25">
        <f t="shared" si="6"/>
        <v>0.53982783727703731</v>
      </c>
      <c r="E55" s="28">
        <v>0.10000000000002096</v>
      </c>
      <c r="F55" s="29">
        <f t="shared" si="2"/>
        <v>-1.399999999999979</v>
      </c>
      <c r="G55" s="34">
        <f t="shared" si="11"/>
        <v>919240</v>
      </c>
      <c r="H55" s="35">
        <f t="shared" si="12"/>
        <v>91924</v>
      </c>
      <c r="I55" s="35">
        <f t="shared" si="12"/>
        <v>9192.4</v>
      </c>
      <c r="J55" s="35">
        <f t="shared" si="12"/>
        <v>919.24</v>
      </c>
      <c r="K55" s="35">
        <f t="shared" si="12"/>
        <v>91.924000000000007</v>
      </c>
    </row>
    <row r="56" spans="1:11" x14ac:dyDescent="0.25">
      <c r="A56" s="27">
        <f t="shared" si="9"/>
        <v>-0.49999999999999284</v>
      </c>
      <c r="B56" s="25">
        <f t="shared" si="10"/>
        <v>6.6807201268860861E-2</v>
      </c>
      <c r="C56" s="38">
        <f t="shared" ref="C56:C75" si="13">E56/3</f>
        <v>7.1794422259093335E-15</v>
      </c>
      <c r="D56" s="25">
        <f t="shared" si="6"/>
        <v>0.50000000000000866</v>
      </c>
      <c r="E56" s="456">
        <v>2.1538326677727999E-14</v>
      </c>
      <c r="F56" s="29">
        <f t="shared" ref="F56:F75" si="14">E56-1.5</f>
        <v>-1.4999999999999785</v>
      </c>
      <c r="G56" s="34">
        <f t="shared" si="11"/>
        <v>933190</v>
      </c>
      <c r="H56" s="35">
        <f t="shared" ref="H56:H75" si="15">G56/10</f>
        <v>93319</v>
      </c>
      <c r="I56" s="35">
        <f t="shared" ref="I56:I75" si="16">H56/10</f>
        <v>9331.9</v>
      </c>
      <c r="J56" s="35">
        <f t="shared" ref="J56:J75" si="17">I56/10</f>
        <v>933.18999999999994</v>
      </c>
      <c r="K56" s="35">
        <f t="shared" ref="K56:K75" si="18">J56/10</f>
        <v>93.318999999999988</v>
      </c>
    </row>
    <row r="57" spans="1:11" x14ac:dyDescent="0.25">
      <c r="A57" s="27">
        <f t="shared" si="9"/>
        <v>-0.53333333333332611</v>
      </c>
      <c r="B57" s="25">
        <f t="shared" si="10"/>
        <v>5.4799291699560396E-2</v>
      </c>
      <c r="C57" s="38">
        <f t="shared" si="13"/>
        <v>-3.333333333332613E-2</v>
      </c>
      <c r="D57" s="25">
        <f t="shared" si="6"/>
        <v>0.46017216272297956</v>
      </c>
      <c r="E57" s="28">
        <v>-9.9999999999978398E-2</v>
      </c>
      <c r="F57" s="29">
        <f t="shared" si="14"/>
        <v>-1.5999999999999783</v>
      </c>
      <c r="G57" s="34">
        <f t="shared" si="11"/>
        <v>945200</v>
      </c>
      <c r="H57" s="35">
        <f t="shared" si="15"/>
        <v>94520</v>
      </c>
      <c r="I57" s="35">
        <f t="shared" si="16"/>
        <v>9452</v>
      </c>
      <c r="J57" s="35">
        <f t="shared" si="17"/>
        <v>945.2</v>
      </c>
      <c r="K57" s="35">
        <f t="shared" si="18"/>
        <v>94.52000000000001</v>
      </c>
    </row>
    <row r="58" spans="1:11" x14ac:dyDescent="0.25">
      <c r="A58" s="27">
        <f t="shared" si="9"/>
        <v>-0.56666666666665932</v>
      </c>
      <c r="B58" s="25">
        <f t="shared" si="10"/>
        <v>4.4565462758545109E-2</v>
      </c>
      <c r="C58" s="38">
        <f t="shared" si="13"/>
        <v>-6.6666666666659338E-2</v>
      </c>
      <c r="D58" s="25">
        <f t="shared" si="6"/>
        <v>0.42074029056090556</v>
      </c>
      <c r="E58" s="28">
        <v>-0.199999999999978</v>
      </c>
      <c r="F58" s="29">
        <f t="shared" si="14"/>
        <v>-1.699999999999978</v>
      </c>
      <c r="G58" s="34">
        <f t="shared" si="11"/>
        <v>955430</v>
      </c>
      <c r="H58" s="35">
        <f t="shared" si="15"/>
        <v>95543</v>
      </c>
      <c r="I58" s="35">
        <f t="shared" si="16"/>
        <v>9554.2999999999993</v>
      </c>
      <c r="J58" s="35">
        <f t="shared" si="17"/>
        <v>955.43</v>
      </c>
      <c r="K58" s="35">
        <f t="shared" si="18"/>
        <v>95.542999999999992</v>
      </c>
    </row>
    <row r="59" spans="1:11" x14ac:dyDescent="0.25">
      <c r="A59" s="27">
        <f t="shared" si="9"/>
        <v>-0.59999999999999265</v>
      </c>
      <c r="B59" s="25">
        <f t="shared" si="10"/>
        <v>3.5930319112927524E-2</v>
      </c>
      <c r="C59" s="38">
        <f t="shared" si="13"/>
        <v>-9.9999999999992664E-2</v>
      </c>
      <c r="D59" s="25">
        <f t="shared" si="6"/>
        <v>0.38208857781105576</v>
      </c>
      <c r="E59" s="28">
        <v>-0.29999999999997801</v>
      </c>
      <c r="F59" s="29">
        <f t="shared" si="14"/>
        <v>-1.7999999999999781</v>
      </c>
      <c r="G59" s="34">
        <f t="shared" si="11"/>
        <v>964060</v>
      </c>
      <c r="H59" s="35">
        <f t="shared" si="15"/>
        <v>96406</v>
      </c>
      <c r="I59" s="35">
        <f t="shared" si="16"/>
        <v>9640.6</v>
      </c>
      <c r="J59" s="35">
        <f t="shared" si="17"/>
        <v>964.06000000000006</v>
      </c>
      <c r="K59" s="35">
        <f t="shared" si="18"/>
        <v>96.406000000000006</v>
      </c>
    </row>
    <row r="60" spans="1:11" x14ac:dyDescent="0.25">
      <c r="A60" s="27">
        <f t="shared" si="9"/>
        <v>-0.63333333333332564</v>
      </c>
      <c r="B60" s="25">
        <f t="shared" si="10"/>
        <v>2.8716559816003306E-2</v>
      </c>
      <c r="C60" s="38">
        <f t="shared" si="13"/>
        <v>-0.13333333333332567</v>
      </c>
      <c r="D60" s="25">
        <f t="shared" si="6"/>
        <v>0.34457825838968431</v>
      </c>
      <c r="E60" s="28">
        <v>-0.39999999999997699</v>
      </c>
      <c r="F60" s="29">
        <f t="shared" si="14"/>
        <v>-1.899999999999977</v>
      </c>
      <c r="G60" s="34">
        <f t="shared" si="11"/>
        <v>971280</v>
      </c>
      <c r="H60" s="35">
        <f t="shared" si="15"/>
        <v>97128</v>
      </c>
      <c r="I60" s="35">
        <f t="shared" si="16"/>
        <v>9712.7999999999993</v>
      </c>
      <c r="J60" s="35">
        <f t="shared" si="17"/>
        <v>971.28</v>
      </c>
      <c r="K60" s="35">
        <f t="shared" si="18"/>
        <v>97.128</v>
      </c>
    </row>
    <row r="61" spans="1:11" x14ac:dyDescent="0.25">
      <c r="A61" s="27">
        <f t="shared" si="9"/>
        <v>-0.66666666666665864</v>
      </c>
      <c r="B61" s="25">
        <f t="shared" si="10"/>
        <v>2.2750131948180492E-2</v>
      </c>
      <c r="C61" s="38">
        <f t="shared" si="13"/>
        <v>-0.16666666666665866</v>
      </c>
      <c r="D61" s="25">
        <f t="shared" si="6"/>
        <v>0.30853753872599526</v>
      </c>
      <c r="E61" s="28">
        <v>-0.49999999999997602</v>
      </c>
      <c r="F61" s="29">
        <f t="shared" si="14"/>
        <v>-1.999999999999976</v>
      </c>
      <c r="G61" s="34">
        <f t="shared" si="11"/>
        <v>977240</v>
      </c>
      <c r="H61" s="35">
        <f t="shared" si="15"/>
        <v>97724</v>
      </c>
      <c r="I61" s="35">
        <f t="shared" si="16"/>
        <v>9772.4</v>
      </c>
      <c r="J61" s="35">
        <f t="shared" si="17"/>
        <v>977.24</v>
      </c>
      <c r="K61" s="35">
        <f t="shared" si="18"/>
        <v>97.724000000000004</v>
      </c>
    </row>
    <row r="62" spans="1:11" x14ac:dyDescent="0.25">
      <c r="A62" s="27">
        <f t="shared" si="9"/>
        <v>-0.69999999999999363</v>
      </c>
      <c r="B62" s="25">
        <f t="shared" si="10"/>
        <v>1.7864420562817396E-2</v>
      </c>
      <c r="C62" s="38">
        <f t="shared" si="13"/>
        <v>-0.19999999999999366</v>
      </c>
      <c r="D62" s="25">
        <f t="shared" si="6"/>
        <v>0.27425311775007988</v>
      </c>
      <c r="E62" s="28">
        <v>-0.59999999999998099</v>
      </c>
      <c r="F62" s="29">
        <f t="shared" si="14"/>
        <v>-2.099999999999981</v>
      </c>
      <c r="G62" s="34">
        <f t="shared" si="11"/>
        <v>982130</v>
      </c>
      <c r="H62" s="35">
        <f t="shared" si="15"/>
        <v>98213</v>
      </c>
      <c r="I62" s="35">
        <f t="shared" si="16"/>
        <v>9821.2999999999993</v>
      </c>
      <c r="J62" s="35">
        <f t="shared" si="17"/>
        <v>982.12999999999988</v>
      </c>
      <c r="K62" s="35">
        <f t="shared" si="18"/>
        <v>98.212999999999994</v>
      </c>
    </row>
    <row r="63" spans="1:11" x14ac:dyDescent="0.25">
      <c r="A63" s="27">
        <f t="shared" si="9"/>
        <v>-0.73333333333332662</v>
      </c>
      <c r="B63" s="25">
        <f t="shared" si="10"/>
        <v>1.3903447513499321E-2</v>
      </c>
      <c r="C63" s="38">
        <f t="shared" si="13"/>
        <v>-0.23333333333332665</v>
      </c>
      <c r="D63" s="25">
        <f t="shared" si="6"/>
        <v>0.24196365222307925</v>
      </c>
      <c r="E63" s="28">
        <v>-0.69999999999997997</v>
      </c>
      <c r="F63" s="29">
        <f t="shared" si="14"/>
        <v>-2.1999999999999797</v>
      </c>
      <c r="G63" s="34">
        <f t="shared" si="11"/>
        <v>986090</v>
      </c>
      <c r="H63" s="35">
        <f t="shared" si="15"/>
        <v>98609</v>
      </c>
      <c r="I63" s="35">
        <f t="shared" si="16"/>
        <v>9860.9</v>
      </c>
      <c r="J63" s="35">
        <f t="shared" si="17"/>
        <v>986.08999999999992</v>
      </c>
      <c r="K63" s="35">
        <f t="shared" si="18"/>
        <v>98.608999999999995</v>
      </c>
    </row>
    <row r="64" spans="1:11" x14ac:dyDescent="0.25">
      <c r="A64" s="27">
        <f t="shared" si="9"/>
        <v>-0.76666666666666039</v>
      </c>
      <c r="B64" s="25">
        <f t="shared" si="10"/>
        <v>1.0724110021676333E-2</v>
      </c>
      <c r="C64" s="38">
        <f t="shared" si="13"/>
        <v>-0.26666666666666033</v>
      </c>
      <c r="D64" s="25">
        <f t="shared" si="6"/>
        <v>0.21185539858340219</v>
      </c>
      <c r="E64" s="28">
        <v>-0.79999999999998095</v>
      </c>
      <c r="F64" s="29">
        <f t="shared" si="14"/>
        <v>-2.2999999999999812</v>
      </c>
      <c r="G64" s="34">
        <f t="shared" si="11"/>
        <v>989270</v>
      </c>
      <c r="H64" s="35">
        <f t="shared" si="15"/>
        <v>98927</v>
      </c>
      <c r="I64" s="35">
        <f t="shared" si="16"/>
        <v>9892.7000000000007</v>
      </c>
      <c r="J64" s="35">
        <f t="shared" si="17"/>
        <v>989.2700000000001</v>
      </c>
      <c r="K64" s="35">
        <f t="shared" si="18"/>
        <v>98.927000000000007</v>
      </c>
    </row>
    <row r="65" spans="1:11" x14ac:dyDescent="0.25">
      <c r="A65" s="27">
        <f t="shared" si="9"/>
        <v>-0.79999999999999338</v>
      </c>
      <c r="B65" s="25">
        <f t="shared" si="10"/>
        <v>8.1975359245965752E-3</v>
      </c>
      <c r="C65" s="38">
        <f t="shared" si="13"/>
        <v>-0.29999999999999333</v>
      </c>
      <c r="D65" s="25">
        <f t="shared" si="6"/>
        <v>0.18406012534676477</v>
      </c>
      <c r="E65" s="28">
        <v>-0.89999999999998004</v>
      </c>
      <c r="F65" s="29">
        <f t="shared" si="14"/>
        <v>-2.3999999999999799</v>
      </c>
      <c r="G65" s="34">
        <f t="shared" si="11"/>
        <v>991800</v>
      </c>
      <c r="H65" s="35">
        <f t="shared" si="15"/>
        <v>99180</v>
      </c>
      <c r="I65" s="35">
        <f t="shared" si="16"/>
        <v>9918</v>
      </c>
      <c r="J65" s="35">
        <f t="shared" si="17"/>
        <v>991.8</v>
      </c>
      <c r="K65" s="35">
        <f t="shared" si="18"/>
        <v>99.179999999999993</v>
      </c>
    </row>
    <row r="66" spans="1:11" x14ac:dyDescent="0.25">
      <c r="A66" s="27">
        <f t="shared" si="9"/>
        <v>-0.83333333333332327</v>
      </c>
      <c r="B66" s="25">
        <f t="shared" si="10"/>
        <v>6.2096653257766622E-3</v>
      </c>
      <c r="C66" s="38">
        <f t="shared" si="13"/>
        <v>-0.33333333333332332</v>
      </c>
      <c r="D66" s="25">
        <f t="shared" si="6"/>
        <v>0.15865525393146429</v>
      </c>
      <c r="E66" s="28">
        <v>-0.99999999999997002</v>
      </c>
      <c r="F66" s="29">
        <f t="shared" si="14"/>
        <v>-2.4999999999999698</v>
      </c>
      <c r="G66" s="34">
        <f t="shared" si="11"/>
        <v>993790</v>
      </c>
      <c r="H66" s="35">
        <f t="shared" si="15"/>
        <v>99379</v>
      </c>
      <c r="I66" s="35">
        <f t="shared" si="16"/>
        <v>9937.9</v>
      </c>
      <c r="J66" s="35">
        <f t="shared" si="17"/>
        <v>993.79</v>
      </c>
      <c r="K66" s="35">
        <f t="shared" si="18"/>
        <v>99.378999999999991</v>
      </c>
    </row>
    <row r="67" spans="1:11" x14ac:dyDescent="0.25">
      <c r="A67" s="27">
        <f t="shared" si="9"/>
        <v>-0.8666666666666567</v>
      </c>
      <c r="B67" s="25">
        <f t="shared" si="10"/>
        <v>4.661188023719157E-3</v>
      </c>
      <c r="C67" s="38">
        <f t="shared" si="13"/>
        <v>-0.36666666666665665</v>
      </c>
      <c r="D67" s="25">
        <f t="shared" si="6"/>
        <v>0.13566606094638917</v>
      </c>
      <c r="E67" s="28">
        <v>-1.0999999999999699</v>
      </c>
      <c r="F67" s="29">
        <f t="shared" si="14"/>
        <v>-2.5999999999999699</v>
      </c>
      <c r="G67" s="34">
        <f t="shared" si="11"/>
        <v>995330</v>
      </c>
      <c r="H67" s="35">
        <f t="shared" si="15"/>
        <v>99533</v>
      </c>
      <c r="I67" s="35">
        <f t="shared" si="16"/>
        <v>9953.2999999999993</v>
      </c>
      <c r="J67" s="35">
        <f t="shared" si="17"/>
        <v>995.32999999999993</v>
      </c>
      <c r="K67" s="35">
        <f t="shared" si="18"/>
        <v>99.532999999999987</v>
      </c>
    </row>
    <row r="68" spans="1:11" x14ac:dyDescent="0.25">
      <c r="A68" s="27">
        <f t="shared" si="9"/>
        <v>-0.89999999999998992</v>
      </c>
      <c r="B68" s="25">
        <f t="shared" si="10"/>
        <v>3.4669738030409783E-3</v>
      </c>
      <c r="C68" s="38">
        <f t="shared" si="13"/>
        <v>-0.39999999999998997</v>
      </c>
      <c r="D68" s="25">
        <f t="shared" si="6"/>
        <v>0.11506967022171406</v>
      </c>
      <c r="E68" s="28">
        <v>-1.19999999999997</v>
      </c>
      <c r="F68" s="29">
        <f t="shared" si="14"/>
        <v>-2.69999999999997</v>
      </c>
      <c r="G68" s="34">
        <f t="shared" si="11"/>
        <v>996530</v>
      </c>
      <c r="H68" s="35">
        <f t="shared" si="15"/>
        <v>99653</v>
      </c>
      <c r="I68" s="35">
        <f t="shared" si="16"/>
        <v>9965.2999999999993</v>
      </c>
      <c r="J68" s="35">
        <f t="shared" si="17"/>
        <v>996.53</v>
      </c>
      <c r="K68" s="35">
        <f t="shared" si="18"/>
        <v>99.652999999999992</v>
      </c>
    </row>
    <row r="69" spans="1:11" x14ac:dyDescent="0.25">
      <c r="A69" s="27">
        <f t="shared" ref="A69:A83" si="19">C69-0.5</f>
        <v>-0.93333333333332336</v>
      </c>
      <c r="B69" s="25">
        <f t="shared" ref="B69:B83" si="20">NORMSDIST(F69)</f>
        <v>2.5551303304281671E-3</v>
      </c>
      <c r="C69" s="38">
        <f t="shared" si="13"/>
        <v>-0.43333333333332336</v>
      </c>
      <c r="D69" s="25">
        <f t="shared" si="6"/>
        <v>9.6800484585615465E-2</v>
      </c>
      <c r="E69" s="28">
        <v>-1.2999999999999701</v>
      </c>
      <c r="F69" s="29">
        <f t="shared" si="14"/>
        <v>-2.7999999999999701</v>
      </c>
      <c r="G69" s="34">
        <f t="shared" si="11"/>
        <v>997440</v>
      </c>
      <c r="H69" s="35">
        <f t="shared" si="15"/>
        <v>99744</v>
      </c>
      <c r="I69" s="35">
        <f t="shared" si="16"/>
        <v>9974.4</v>
      </c>
      <c r="J69" s="35">
        <f t="shared" si="17"/>
        <v>997.43999999999994</v>
      </c>
      <c r="K69" s="35">
        <f t="shared" si="18"/>
        <v>99.744</v>
      </c>
    </row>
    <row r="70" spans="1:11" x14ac:dyDescent="0.25">
      <c r="A70" s="27">
        <f t="shared" si="19"/>
        <v>-0.96666666666665657</v>
      </c>
      <c r="B70" s="25">
        <f t="shared" si="20"/>
        <v>1.8658133003842138E-3</v>
      </c>
      <c r="C70" s="38">
        <f t="shared" si="13"/>
        <v>-0.46666666666665663</v>
      </c>
      <c r="D70" s="25">
        <f t="shared" ref="D70:D83" si="21">NORMSDIST(E70)</f>
        <v>8.0756659233775535E-2</v>
      </c>
      <c r="E70" s="28">
        <v>-1.3999999999999699</v>
      </c>
      <c r="F70" s="29">
        <f t="shared" si="14"/>
        <v>-2.8999999999999702</v>
      </c>
      <c r="G70" s="34">
        <f t="shared" si="11"/>
        <v>998130</v>
      </c>
      <c r="H70" s="35">
        <f t="shared" si="15"/>
        <v>99813</v>
      </c>
      <c r="I70" s="35">
        <f t="shared" si="16"/>
        <v>9981.2999999999993</v>
      </c>
      <c r="J70" s="35">
        <f t="shared" si="17"/>
        <v>998.12999999999988</v>
      </c>
      <c r="K70" s="35">
        <f t="shared" si="18"/>
        <v>99.812999999999988</v>
      </c>
    </row>
    <row r="71" spans="1:11" x14ac:dyDescent="0.25">
      <c r="A71" s="27">
        <f t="shared" si="19"/>
        <v>-0.99999999999999001</v>
      </c>
      <c r="B71" s="25">
        <f t="shared" si="20"/>
        <v>1.3498980316302268E-3</v>
      </c>
      <c r="C71" s="38">
        <f t="shared" si="13"/>
        <v>-0.49999999999999001</v>
      </c>
      <c r="D71" s="25">
        <f t="shared" si="21"/>
        <v>6.6807201268861929E-2</v>
      </c>
      <c r="E71" s="28">
        <v>-1.49999999999997</v>
      </c>
      <c r="F71" s="29">
        <f t="shared" si="14"/>
        <v>-2.9999999999999698</v>
      </c>
      <c r="G71" s="34">
        <f t="shared" si="11"/>
        <v>998650</v>
      </c>
      <c r="H71" s="35">
        <f t="shared" si="15"/>
        <v>99865</v>
      </c>
      <c r="I71" s="35">
        <f t="shared" si="16"/>
        <v>9986.5</v>
      </c>
      <c r="J71" s="35">
        <f t="shared" si="17"/>
        <v>998.65</v>
      </c>
      <c r="K71" s="35">
        <f t="shared" si="18"/>
        <v>99.864999999999995</v>
      </c>
    </row>
    <row r="72" spans="1:11" x14ac:dyDescent="0.25">
      <c r="A72" s="27">
        <f t="shared" si="19"/>
        <v>-1.0333333333333234</v>
      </c>
      <c r="B72" s="25">
        <f t="shared" si="20"/>
        <v>9.6760321321845454E-4</v>
      </c>
      <c r="C72" s="38">
        <f t="shared" si="13"/>
        <v>-0.53333333333332333</v>
      </c>
      <c r="D72" s="25">
        <f t="shared" si="21"/>
        <v>5.4799291699561305E-2</v>
      </c>
      <c r="E72" s="28">
        <v>-1.5999999999999699</v>
      </c>
      <c r="F72" s="29">
        <f t="shared" si="14"/>
        <v>-3.0999999999999699</v>
      </c>
      <c r="G72" s="34">
        <f t="shared" si="11"/>
        <v>999030</v>
      </c>
      <c r="H72" s="35">
        <f t="shared" si="15"/>
        <v>99903</v>
      </c>
      <c r="I72" s="35">
        <f t="shared" si="16"/>
        <v>9990.2999999999993</v>
      </c>
      <c r="J72" s="35">
        <f t="shared" si="17"/>
        <v>999.03</v>
      </c>
      <c r="K72" s="35">
        <f t="shared" si="18"/>
        <v>99.902999999999992</v>
      </c>
    </row>
    <row r="73" spans="1:11" x14ac:dyDescent="0.25">
      <c r="A73" s="27">
        <f t="shared" si="19"/>
        <v>-1.0666666666666567</v>
      </c>
      <c r="B73" s="25">
        <f t="shared" si="20"/>
        <v>6.8713793791591918E-4</v>
      </c>
      <c r="C73" s="38">
        <f t="shared" si="13"/>
        <v>-0.56666666666665666</v>
      </c>
      <c r="D73" s="25">
        <f t="shared" si="21"/>
        <v>4.4565462758545858E-2</v>
      </c>
      <c r="E73" s="28">
        <v>-1.69999999999997</v>
      </c>
      <c r="F73" s="29">
        <f t="shared" si="14"/>
        <v>-3.19999999999997</v>
      </c>
      <c r="G73" s="34">
        <f t="shared" si="11"/>
        <v>999310</v>
      </c>
      <c r="H73" s="35">
        <f t="shared" si="15"/>
        <v>99931</v>
      </c>
      <c r="I73" s="35">
        <f t="shared" si="16"/>
        <v>9993.1</v>
      </c>
      <c r="J73" s="35">
        <f t="shared" si="17"/>
        <v>999.31000000000006</v>
      </c>
      <c r="K73" s="35">
        <f t="shared" si="18"/>
        <v>99.931000000000012</v>
      </c>
    </row>
    <row r="74" spans="1:11" x14ac:dyDescent="0.25">
      <c r="A74" s="27">
        <f t="shared" si="19"/>
        <v>-1.0999999999999899</v>
      </c>
      <c r="B74" s="25">
        <f t="shared" si="20"/>
        <v>4.8342414238382856E-4</v>
      </c>
      <c r="C74" s="38">
        <f t="shared" si="13"/>
        <v>-0.59999999999998999</v>
      </c>
      <c r="D74" s="25">
        <f t="shared" si="21"/>
        <v>3.5930319112928169E-2</v>
      </c>
      <c r="E74" s="28">
        <v>-1.7999999999999701</v>
      </c>
      <c r="F74" s="29">
        <f t="shared" si="14"/>
        <v>-3.2999999999999701</v>
      </c>
      <c r="G74" s="34">
        <f t="shared" ref="G74:G83" si="22">TRUNC((1-B74)*1000000,-1)</f>
        <v>999510</v>
      </c>
      <c r="H74" s="35">
        <f t="shared" si="15"/>
        <v>99951</v>
      </c>
      <c r="I74" s="35">
        <f t="shared" si="16"/>
        <v>9995.1</v>
      </c>
      <c r="J74" s="35">
        <f t="shared" si="17"/>
        <v>999.51</v>
      </c>
      <c r="K74" s="35">
        <f t="shared" si="18"/>
        <v>99.950999999999993</v>
      </c>
    </row>
    <row r="75" spans="1:11" x14ac:dyDescent="0.25">
      <c r="A75" s="27">
        <f t="shared" si="19"/>
        <v>-1.1333333333333233</v>
      </c>
      <c r="B75" s="25">
        <f t="shared" si="20"/>
        <v>3.3692926567691723E-4</v>
      </c>
      <c r="C75" s="38">
        <f t="shared" si="13"/>
        <v>-0.63333333333332331</v>
      </c>
      <c r="D75" s="25">
        <f t="shared" si="21"/>
        <v>2.8716559816003746E-2</v>
      </c>
      <c r="E75" s="28">
        <v>-1.8999999999999699</v>
      </c>
      <c r="F75" s="29">
        <f t="shared" si="14"/>
        <v>-3.3999999999999702</v>
      </c>
      <c r="G75" s="34">
        <f t="shared" si="22"/>
        <v>999660</v>
      </c>
      <c r="H75" s="35">
        <f t="shared" si="15"/>
        <v>99966</v>
      </c>
      <c r="I75" s="35">
        <f t="shared" si="16"/>
        <v>9996.6</v>
      </c>
      <c r="J75" s="35">
        <f t="shared" si="17"/>
        <v>999.66000000000008</v>
      </c>
      <c r="K75" s="35">
        <f t="shared" si="18"/>
        <v>99.966000000000008</v>
      </c>
    </row>
    <row r="76" spans="1:11" x14ac:dyDescent="0.25">
      <c r="A76" s="27">
        <f t="shared" si="19"/>
        <v>-1.1666666666666567</v>
      </c>
      <c r="B76" s="25">
        <f t="shared" si="20"/>
        <v>2.3262907903555144E-4</v>
      </c>
      <c r="C76" s="38">
        <f t="shared" ref="C76:C82" si="23">E76/3</f>
        <v>-0.66666666666665664</v>
      </c>
      <c r="D76" s="25">
        <f t="shared" si="21"/>
        <v>2.2750131948180811E-2</v>
      </c>
      <c r="E76" s="28">
        <v>-1.99999999999997</v>
      </c>
      <c r="F76" s="29">
        <f t="shared" ref="F76:F82" si="24">E76-1.5</f>
        <v>-3.4999999999999698</v>
      </c>
      <c r="G76" s="34">
        <f t="shared" si="22"/>
        <v>999760</v>
      </c>
      <c r="H76" s="35">
        <f t="shared" ref="H76:H82" si="25">G76/10</f>
        <v>99976</v>
      </c>
      <c r="I76" s="35">
        <f t="shared" ref="I76:I82" si="26">H76/10</f>
        <v>9997.6</v>
      </c>
      <c r="J76" s="35">
        <f t="shared" ref="J76:J82" si="27">I76/10</f>
        <v>999.76</v>
      </c>
      <c r="K76" s="35">
        <f t="shared" ref="K76:K82" si="28">J76/10</f>
        <v>99.975999999999999</v>
      </c>
    </row>
    <row r="77" spans="1:11" x14ac:dyDescent="0.25">
      <c r="A77" s="27">
        <f t="shared" si="19"/>
        <v>-1.19999999999999</v>
      </c>
      <c r="B77" s="25">
        <f t="shared" si="20"/>
        <v>1.5910859015755204E-4</v>
      </c>
      <c r="C77" s="38">
        <f t="shared" si="23"/>
        <v>-0.69999999999998996</v>
      </c>
      <c r="D77" s="25">
        <f t="shared" si="21"/>
        <v>1.7864420562817875E-2</v>
      </c>
      <c r="E77" s="28">
        <v>-2.0999999999999699</v>
      </c>
      <c r="F77" s="29">
        <f t="shared" si="24"/>
        <v>-3.5999999999999699</v>
      </c>
      <c r="G77" s="34">
        <f t="shared" si="22"/>
        <v>999840</v>
      </c>
      <c r="H77" s="35">
        <f t="shared" si="25"/>
        <v>99984</v>
      </c>
      <c r="I77" s="35">
        <f t="shared" si="26"/>
        <v>9998.4</v>
      </c>
      <c r="J77" s="35">
        <f t="shared" si="27"/>
        <v>999.83999999999992</v>
      </c>
      <c r="K77" s="35">
        <f t="shared" si="28"/>
        <v>99.983999999999995</v>
      </c>
    </row>
    <row r="78" spans="1:11" x14ac:dyDescent="0.25">
      <c r="A78" s="27">
        <f t="shared" si="19"/>
        <v>-1.2333333333333232</v>
      </c>
      <c r="B78" s="25">
        <f t="shared" si="20"/>
        <v>1.0779973347740102E-4</v>
      </c>
      <c r="C78" s="38">
        <f t="shared" si="23"/>
        <v>-0.73333333333332329</v>
      </c>
      <c r="D78" s="25">
        <f t="shared" si="21"/>
        <v>1.3903447513499664E-2</v>
      </c>
      <c r="E78" s="28">
        <v>-2.19999999999997</v>
      </c>
      <c r="F78" s="29">
        <f t="shared" si="24"/>
        <v>-3.69999999999997</v>
      </c>
      <c r="G78" s="34">
        <f t="shared" si="22"/>
        <v>999890</v>
      </c>
      <c r="H78" s="35">
        <f t="shared" si="25"/>
        <v>99989</v>
      </c>
      <c r="I78" s="35">
        <f t="shared" si="26"/>
        <v>9998.9</v>
      </c>
      <c r="J78" s="35">
        <f t="shared" si="27"/>
        <v>999.89</v>
      </c>
      <c r="K78" s="35">
        <f t="shared" si="28"/>
        <v>99.989000000000004</v>
      </c>
    </row>
    <row r="79" spans="1:11" x14ac:dyDescent="0.25">
      <c r="A79" s="27">
        <f t="shared" si="19"/>
        <v>-1.2666666666666568</v>
      </c>
      <c r="B79" s="25">
        <f t="shared" si="20"/>
        <v>7.2348043925128596E-5</v>
      </c>
      <c r="C79" s="38">
        <f t="shared" si="23"/>
        <v>-0.76666666666665673</v>
      </c>
      <c r="D79" s="25">
        <f t="shared" si="21"/>
        <v>1.0724110021676645E-2</v>
      </c>
      <c r="E79" s="28">
        <v>-2.2999999999999701</v>
      </c>
      <c r="F79" s="29">
        <f t="shared" si="24"/>
        <v>-3.7999999999999701</v>
      </c>
      <c r="G79" s="34">
        <f t="shared" si="22"/>
        <v>999920</v>
      </c>
      <c r="H79" s="35">
        <f t="shared" si="25"/>
        <v>99992</v>
      </c>
      <c r="I79" s="35">
        <f t="shared" si="26"/>
        <v>9999.2000000000007</v>
      </c>
      <c r="J79" s="35">
        <f t="shared" si="27"/>
        <v>999.92000000000007</v>
      </c>
      <c r="K79" s="35">
        <f t="shared" si="28"/>
        <v>99.992000000000004</v>
      </c>
    </row>
    <row r="80" spans="1:11" x14ac:dyDescent="0.25">
      <c r="A80" s="27">
        <f t="shared" si="19"/>
        <v>-1.2999999999999901</v>
      </c>
      <c r="B80" s="25">
        <f t="shared" si="20"/>
        <v>4.8096344017608632E-5</v>
      </c>
      <c r="C80" s="38">
        <f t="shared" si="23"/>
        <v>-0.79999999999999005</v>
      </c>
      <c r="D80" s="25">
        <f t="shared" si="21"/>
        <v>8.1975359245967903E-3</v>
      </c>
      <c r="E80" s="28">
        <v>-2.3999999999999702</v>
      </c>
      <c r="F80" s="29">
        <f t="shared" si="24"/>
        <v>-3.8999999999999702</v>
      </c>
      <c r="G80" s="34">
        <f t="shared" si="22"/>
        <v>999950</v>
      </c>
      <c r="H80" s="35">
        <f t="shared" si="25"/>
        <v>99995</v>
      </c>
      <c r="I80" s="35">
        <f t="shared" si="26"/>
        <v>9999.5</v>
      </c>
      <c r="J80" s="35">
        <f t="shared" si="27"/>
        <v>999.95</v>
      </c>
      <c r="K80" s="35">
        <f t="shared" si="28"/>
        <v>99.995000000000005</v>
      </c>
    </row>
    <row r="81" spans="1:11" x14ac:dyDescent="0.25">
      <c r="A81" s="27">
        <f t="shared" si="19"/>
        <v>-1.3333333333333233</v>
      </c>
      <c r="B81" s="25">
        <f t="shared" si="20"/>
        <v>3.1671241833123929E-5</v>
      </c>
      <c r="C81" s="38">
        <f t="shared" si="23"/>
        <v>-0.83333333333332327</v>
      </c>
      <c r="D81" s="25">
        <f t="shared" si="21"/>
        <v>6.2096653257766622E-3</v>
      </c>
      <c r="E81" s="28">
        <v>-2.4999999999999698</v>
      </c>
      <c r="F81" s="29">
        <f t="shared" si="24"/>
        <v>-3.9999999999999698</v>
      </c>
      <c r="G81" s="34">
        <f t="shared" si="22"/>
        <v>999960</v>
      </c>
      <c r="H81" s="35">
        <f t="shared" si="25"/>
        <v>99996</v>
      </c>
      <c r="I81" s="35">
        <f t="shared" si="26"/>
        <v>9999.6</v>
      </c>
      <c r="J81" s="35">
        <f t="shared" si="27"/>
        <v>999.96</v>
      </c>
      <c r="K81" s="35">
        <f t="shared" si="28"/>
        <v>99.996000000000009</v>
      </c>
    </row>
    <row r="82" spans="1:11" x14ac:dyDescent="0.25">
      <c r="A82" s="27">
        <f t="shared" si="19"/>
        <v>-1.3666666666666565</v>
      </c>
      <c r="B82" s="25">
        <f t="shared" si="20"/>
        <v>2.0657506912549417E-5</v>
      </c>
      <c r="C82" s="38">
        <f t="shared" si="23"/>
        <v>-0.86666666666665659</v>
      </c>
      <c r="D82" s="25">
        <f t="shared" si="21"/>
        <v>4.661188023719157E-3</v>
      </c>
      <c r="E82" s="28">
        <v>-2.5999999999999699</v>
      </c>
      <c r="F82" s="29">
        <f t="shared" si="24"/>
        <v>-4.0999999999999694</v>
      </c>
      <c r="G82" s="34">
        <f t="shared" si="22"/>
        <v>999970</v>
      </c>
      <c r="H82" s="35">
        <f t="shared" si="25"/>
        <v>99997</v>
      </c>
      <c r="I82" s="35">
        <f t="shared" si="26"/>
        <v>9999.7000000000007</v>
      </c>
      <c r="J82" s="35">
        <f t="shared" si="27"/>
        <v>999.97</v>
      </c>
      <c r="K82" s="35">
        <f t="shared" si="28"/>
        <v>99.997</v>
      </c>
    </row>
    <row r="83" spans="1:11" x14ac:dyDescent="0.25">
      <c r="A83" s="27">
        <f t="shared" si="19"/>
        <v>-1.3999999999999901</v>
      </c>
      <c r="B83" s="25">
        <f t="shared" si="20"/>
        <v>1.3345749015908077E-5</v>
      </c>
      <c r="C83" s="38">
        <f>E83/3</f>
        <v>-0.89999999999999003</v>
      </c>
      <c r="D83" s="25">
        <f t="shared" si="21"/>
        <v>3.4669738030409783E-3</v>
      </c>
      <c r="E83" s="28">
        <v>-2.69999999999997</v>
      </c>
      <c r="F83" s="29">
        <f>E83-1.5</f>
        <v>-4.19999999999997</v>
      </c>
      <c r="G83" s="34">
        <f t="shared" si="22"/>
        <v>999980</v>
      </c>
      <c r="H83" s="35">
        <f>G83/10</f>
        <v>99998</v>
      </c>
      <c r="I83" s="35">
        <f>H83/10</f>
        <v>9999.7999999999993</v>
      </c>
      <c r="J83" s="35">
        <f>I83/10</f>
        <v>999.9799999999999</v>
      </c>
      <c r="K83" s="35">
        <f>J83/10</f>
        <v>99.99799999999999</v>
      </c>
    </row>
  </sheetData>
  <mergeCells count="1">
    <mergeCell ref="G2:K2"/>
  </mergeCells>
  <hyperlinks>
    <hyperlink ref="M1" location="Menu!A1" display="Return to menu" xr:uid="{00000000-0004-0000-2A00-000000000000}"/>
  </hyperlinks>
  <pageMargins left="0.75" right="0.75" top="1" bottom="1" header="0.5" footer="0.5"/>
  <pageSetup orientation="portrait" r:id="rId1"/>
  <headerFooter alignWithMargins="0">
    <oddFooter>&amp;CNote: Zst is assumed to be Zlt + 1.5.  Yield is assumed to be long term data.
Subtract 1.5 to get long term Z (Process Sigma).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0"/>
  <dimension ref="B1:AT121"/>
  <sheetViews>
    <sheetView zoomScaleNormal="100" zoomScalePageLayoutView="70" workbookViewId="0">
      <selection activeCell="I2" sqref="I2"/>
    </sheetView>
  </sheetViews>
  <sheetFormatPr defaultColWidth="8.88671875" defaultRowHeight="13.2" x14ac:dyDescent="0.25"/>
  <cols>
    <col min="1" max="1" width="8.88671875" style="47"/>
    <col min="2" max="2" width="32.44140625" style="48" customWidth="1"/>
    <col min="3" max="3" width="8.88671875" style="46"/>
    <col min="4" max="4" width="19" style="47" bestFit="1" customWidth="1"/>
    <col min="5" max="5" width="17.21875" style="47" bestFit="1" customWidth="1"/>
    <col min="6" max="6" width="16" style="47" bestFit="1" customWidth="1"/>
    <col min="7" max="7" width="16.44140625" style="47" bestFit="1" customWidth="1"/>
    <col min="8" max="8" width="4.88671875" style="47" customWidth="1"/>
    <col min="9" max="9" width="22.44140625" style="47" customWidth="1"/>
    <col min="10" max="17" width="8.88671875" style="47"/>
    <col min="18" max="47" width="9" style="47" customWidth="1"/>
    <col min="48" max="16384" width="8.88671875" style="47"/>
  </cols>
  <sheetData>
    <row r="1" spans="2:46" x14ac:dyDescent="0.25">
      <c r="Q1" s="1218" t="s">
        <v>865</v>
      </c>
      <c r="R1" s="1219"/>
      <c r="S1" s="1219"/>
      <c r="T1" s="1219"/>
      <c r="U1" s="1219"/>
      <c r="V1" s="1219"/>
      <c r="W1" s="1219"/>
      <c r="X1" s="1219"/>
      <c r="Y1" s="1219"/>
      <c r="Z1" s="1219"/>
      <c r="AA1" s="1219"/>
      <c r="AB1" s="1219"/>
      <c r="AC1" s="1219"/>
      <c r="AD1" s="1219"/>
      <c r="AE1" s="1219"/>
      <c r="AF1" s="1219"/>
      <c r="AG1" s="1219"/>
      <c r="AH1" s="1219"/>
      <c r="AI1" s="1219"/>
      <c r="AJ1" s="1219"/>
      <c r="AK1" s="1219"/>
      <c r="AL1" s="1219"/>
      <c r="AM1" s="1219"/>
      <c r="AN1" s="1219"/>
      <c r="AO1" s="1219"/>
      <c r="AP1" s="1219"/>
      <c r="AQ1" s="1219"/>
      <c r="AR1" s="1219"/>
      <c r="AS1" s="1219"/>
      <c r="AT1" s="1220"/>
    </row>
    <row r="2" spans="2:46" ht="21.6" thickBot="1" x14ac:dyDescent="0.45">
      <c r="I2" s="750" t="s">
        <v>19</v>
      </c>
      <c r="Q2" s="1221"/>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1222"/>
      <c r="AO2" s="1222"/>
      <c r="AP2" s="1222"/>
      <c r="AQ2" s="1222"/>
      <c r="AR2" s="1222"/>
      <c r="AS2" s="1222"/>
      <c r="AT2" s="1223"/>
    </row>
    <row r="3" spans="2:46" ht="15.75" customHeight="1" x14ac:dyDescent="0.3">
      <c r="B3" s="129" t="s">
        <v>49</v>
      </c>
      <c r="P3" s="558"/>
      <c r="Q3" s="1212" t="s">
        <v>848</v>
      </c>
      <c r="R3" s="1213"/>
      <c r="S3" s="1213"/>
      <c r="T3" s="1213"/>
      <c r="U3" s="1213"/>
      <c r="V3" s="1213"/>
      <c r="W3" s="1213"/>
      <c r="X3" s="1213"/>
      <c r="Y3" s="1213"/>
      <c r="Z3" s="1213"/>
      <c r="AA3" s="1213"/>
      <c r="AB3" s="1214"/>
      <c r="AC3" s="1212" t="s">
        <v>856</v>
      </c>
      <c r="AD3" s="1213"/>
      <c r="AE3" s="1213"/>
      <c r="AF3" s="1213"/>
      <c r="AG3" s="1213"/>
      <c r="AH3" s="1213"/>
      <c r="AI3" s="1213"/>
      <c r="AJ3" s="1213"/>
      <c r="AK3" s="1213"/>
      <c r="AL3" s="1213"/>
      <c r="AM3" s="1213"/>
      <c r="AN3" s="1214"/>
      <c r="AO3" s="1212" t="s">
        <v>862</v>
      </c>
      <c r="AP3" s="1213"/>
      <c r="AQ3" s="1213"/>
      <c r="AR3" s="1213"/>
      <c r="AS3" s="1213"/>
      <c r="AT3" s="1214"/>
    </row>
    <row r="4" spans="2:46" ht="15" customHeight="1" x14ac:dyDescent="0.3">
      <c r="P4" s="558"/>
      <c r="Q4" s="1215"/>
      <c r="R4" s="1216"/>
      <c r="S4" s="1216"/>
      <c r="T4" s="1216"/>
      <c r="U4" s="1216"/>
      <c r="V4" s="1216"/>
      <c r="W4" s="1216"/>
      <c r="X4" s="1216"/>
      <c r="Y4" s="1216"/>
      <c r="Z4" s="1216"/>
      <c r="AA4" s="1216"/>
      <c r="AB4" s="1217"/>
      <c r="AC4" s="1215"/>
      <c r="AD4" s="1216"/>
      <c r="AE4" s="1216"/>
      <c r="AF4" s="1216"/>
      <c r="AG4" s="1216"/>
      <c r="AH4" s="1216"/>
      <c r="AI4" s="1216"/>
      <c r="AJ4" s="1216"/>
      <c r="AK4" s="1216"/>
      <c r="AL4" s="1216"/>
      <c r="AM4" s="1216"/>
      <c r="AN4" s="1217"/>
      <c r="AO4" s="1215"/>
      <c r="AP4" s="1216"/>
      <c r="AQ4" s="1216"/>
      <c r="AR4" s="1216"/>
      <c r="AS4" s="1216"/>
      <c r="AT4" s="1217"/>
    </row>
    <row r="5" spans="2:46" ht="15.6" x14ac:dyDescent="0.3">
      <c r="B5" s="129" t="s">
        <v>100</v>
      </c>
      <c r="P5" s="1252" t="s">
        <v>849</v>
      </c>
      <c r="Q5" s="1243" t="s">
        <v>850</v>
      </c>
      <c r="R5" s="1244"/>
      <c r="S5" s="1245"/>
      <c r="T5" s="1246" t="s">
        <v>157</v>
      </c>
      <c r="U5" s="1244"/>
      <c r="V5" s="1245"/>
      <c r="W5" s="1246" t="s">
        <v>851</v>
      </c>
      <c r="X5" s="1244"/>
      <c r="Y5" s="1245"/>
      <c r="Z5" s="1255" t="s">
        <v>852</v>
      </c>
      <c r="AA5" s="1256"/>
      <c r="AB5" s="1257"/>
      <c r="AC5" s="1243" t="s">
        <v>857</v>
      </c>
      <c r="AD5" s="1244"/>
      <c r="AE5" s="1245"/>
      <c r="AF5" s="1246" t="s">
        <v>858</v>
      </c>
      <c r="AG5" s="1244"/>
      <c r="AH5" s="1245"/>
      <c r="AI5" s="1246" t="s">
        <v>851</v>
      </c>
      <c r="AJ5" s="1244"/>
      <c r="AK5" s="1245"/>
      <c r="AL5" s="1247" t="s">
        <v>157</v>
      </c>
      <c r="AM5" s="1248"/>
      <c r="AN5" s="1249"/>
      <c r="AO5" s="1229" t="s">
        <v>857</v>
      </c>
      <c r="AP5" s="1230"/>
      <c r="AQ5" s="1231"/>
      <c r="AR5" s="1232" t="s">
        <v>858</v>
      </c>
      <c r="AS5" s="1230"/>
      <c r="AT5" s="1233"/>
    </row>
    <row r="6" spans="2:46" ht="14.4" x14ac:dyDescent="0.3">
      <c r="P6" s="1253"/>
      <c r="Q6" s="640"/>
      <c r="R6" s="558"/>
      <c r="S6" s="639"/>
      <c r="T6" s="638"/>
      <c r="U6" s="558"/>
      <c r="V6" s="639"/>
      <c r="W6" s="638"/>
      <c r="X6" s="558"/>
      <c r="Y6" s="639"/>
      <c r="Z6" s="638"/>
      <c r="AA6" s="558"/>
      <c r="AB6" s="641"/>
      <c r="AC6" s="640"/>
      <c r="AD6" s="558"/>
      <c r="AE6" s="639"/>
      <c r="AF6" s="638"/>
      <c r="AG6" s="558"/>
      <c r="AH6" s="639"/>
      <c r="AI6" s="638"/>
      <c r="AJ6" s="558"/>
      <c r="AK6" s="639"/>
      <c r="AL6" s="638"/>
      <c r="AM6" s="558"/>
      <c r="AN6" s="641"/>
      <c r="AO6" s="640"/>
      <c r="AP6" s="558"/>
      <c r="AQ6" s="639"/>
      <c r="AR6" s="638"/>
      <c r="AS6" s="558"/>
      <c r="AT6" s="641"/>
    </row>
    <row r="7" spans="2:46" ht="14.4" x14ac:dyDescent="0.3">
      <c r="P7" s="1253"/>
      <c r="Q7" s="640"/>
      <c r="R7" s="558"/>
      <c r="S7" s="639"/>
      <c r="T7" s="638"/>
      <c r="U7" s="558"/>
      <c r="V7" s="639"/>
      <c r="W7" s="638"/>
      <c r="X7" s="558"/>
      <c r="Y7" s="639"/>
      <c r="Z7" s="638"/>
      <c r="AA7" s="558"/>
      <c r="AB7" s="641"/>
      <c r="AC7" s="640"/>
      <c r="AD7" s="558"/>
      <c r="AE7" s="639"/>
      <c r="AF7" s="638"/>
      <c r="AG7" s="558"/>
      <c r="AH7" s="639"/>
      <c r="AI7" s="638"/>
      <c r="AJ7" s="558"/>
      <c r="AK7" s="639"/>
      <c r="AL7" s="638"/>
      <c r="AM7" s="558"/>
      <c r="AN7" s="641"/>
      <c r="AO7" s="640"/>
      <c r="AP7" s="558"/>
      <c r="AQ7" s="639"/>
      <c r="AR7" s="638"/>
      <c r="AS7" s="558"/>
      <c r="AT7" s="641"/>
    </row>
    <row r="8" spans="2:46" ht="14.4" x14ac:dyDescent="0.3">
      <c r="P8" s="1253"/>
      <c r="Q8" s="640"/>
      <c r="R8" s="558"/>
      <c r="S8" s="639"/>
      <c r="T8" s="638"/>
      <c r="U8" s="558"/>
      <c r="V8" s="639"/>
      <c r="W8" s="638"/>
      <c r="X8" s="558"/>
      <c r="Y8" s="639"/>
      <c r="Z8" s="638"/>
      <c r="AA8" s="558"/>
      <c r="AB8" s="641"/>
      <c r="AC8" s="640"/>
      <c r="AD8" s="558"/>
      <c r="AE8" s="639"/>
      <c r="AF8" s="638"/>
      <c r="AG8" s="558"/>
      <c r="AH8" s="639"/>
      <c r="AI8" s="638"/>
      <c r="AJ8" s="558"/>
      <c r="AK8" s="639"/>
      <c r="AL8" s="638"/>
      <c r="AM8" s="558"/>
      <c r="AN8" s="641"/>
      <c r="AO8" s="640"/>
      <c r="AP8" s="558"/>
      <c r="AQ8" s="639"/>
      <c r="AR8" s="638"/>
      <c r="AS8" s="558"/>
      <c r="AT8" s="641"/>
    </row>
    <row r="9" spans="2:46" ht="14.4" x14ac:dyDescent="0.3">
      <c r="P9" s="1253"/>
      <c r="Q9" s="640"/>
      <c r="R9" s="558"/>
      <c r="S9" s="639"/>
      <c r="T9" s="638"/>
      <c r="U9" s="558"/>
      <c r="V9" s="639"/>
      <c r="W9" s="638"/>
      <c r="X9" s="558"/>
      <c r="Y9" s="639"/>
      <c r="Z9" s="638"/>
      <c r="AA9" s="558"/>
      <c r="AB9" s="641"/>
      <c r="AC9" s="640"/>
      <c r="AD9" s="558"/>
      <c r="AE9" s="639"/>
      <c r="AF9" s="638"/>
      <c r="AG9" s="558"/>
      <c r="AH9" s="639"/>
      <c r="AI9" s="638"/>
      <c r="AJ9" s="558"/>
      <c r="AK9" s="639"/>
      <c r="AL9" s="638"/>
      <c r="AM9" s="558"/>
      <c r="AN9" s="641"/>
      <c r="AO9" s="640"/>
      <c r="AP9" s="558"/>
      <c r="AQ9" s="639"/>
      <c r="AR9" s="638"/>
      <c r="AS9" s="558"/>
      <c r="AT9" s="641"/>
    </row>
    <row r="10" spans="2:46" ht="14.4" x14ac:dyDescent="0.3">
      <c r="P10" s="1253"/>
      <c r="Q10" s="640"/>
      <c r="R10" s="558"/>
      <c r="S10" s="639"/>
      <c r="T10" s="638"/>
      <c r="U10" s="558"/>
      <c r="V10" s="639"/>
      <c r="W10" s="638"/>
      <c r="X10" s="558"/>
      <c r="Y10" s="639"/>
      <c r="Z10" s="638"/>
      <c r="AA10" s="558"/>
      <c r="AB10" s="641"/>
      <c r="AC10" s="640"/>
      <c r="AD10" s="558"/>
      <c r="AE10" s="639"/>
      <c r="AF10" s="638"/>
      <c r="AG10" s="558"/>
      <c r="AH10" s="639"/>
      <c r="AI10" s="638"/>
      <c r="AJ10" s="558"/>
      <c r="AK10" s="639"/>
      <c r="AL10" s="638"/>
      <c r="AM10" s="558"/>
      <c r="AN10" s="641"/>
      <c r="AO10" s="640"/>
      <c r="AP10" s="558"/>
      <c r="AQ10" s="639"/>
      <c r="AR10" s="638"/>
      <c r="AS10" s="558"/>
      <c r="AT10" s="641"/>
    </row>
    <row r="11" spans="2:46" ht="14.4" x14ac:dyDescent="0.3">
      <c r="P11" s="1253"/>
      <c r="Q11" s="640"/>
      <c r="R11" s="558"/>
      <c r="S11" s="639"/>
      <c r="T11" s="638"/>
      <c r="U11" s="558"/>
      <c r="V11" s="639"/>
      <c r="W11" s="638"/>
      <c r="X11" s="558"/>
      <c r="Y11" s="639"/>
      <c r="Z11" s="638"/>
      <c r="AA11" s="558"/>
      <c r="AB11" s="641"/>
      <c r="AC11" s="640"/>
      <c r="AD11" s="558"/>
      <c r="AE11" s="639"/>
      <c r="AF11" s="638"/>
      <c r="AG11" s="558"/>
      <c r="AH11" s="639"/>
      <c r="AI11" s="638"/>
      <c r="AJ11" s="558"/>
      <c r="AK11" s="639"/>
      <c r="AL11" s="638"/>
      <c r="AM11" s="558"/>
      <c r="AN11" s="641"/>
      <c r="AO11" s="640"/>
      <c r="AP11" s="558"/>
      <c r="AQ11" s="639"/>
      <c r="AR11" s="638"/>
      <c r="AS11" s="558"/>
      <c r="AT11" s="641"/>
    </row>
    <row r="12" spans="2:46" ht="15" customHeight="1" x14ac:dyDescent="0.3">
      <c r="P12" s="1254"/>
      <c r="Q12" s="640"/>
      <c r="R12" s="558"/>
      <c r="S12" s="639"/>
      <c r="T12" s="638"/>
      <c r="U12" s="558"/>
      <c r="V12" s="639"/>
      <c r="W12" s="638"/>
      <c r="X12" s="558"/>
      <c r="Y12" s="639"/>
      <c r="Z12" s="638"/>
      <c r="AA12" s="558"/>
      <c r="AB12" s="641"/>
      <c r="AC12" s="640"/>
      <c r="AD12" s="558"/>
      <c r="AE12" s="639"/>
      <c r="AF12" s="638"/>
      <c r="AG12" s="558"/>
      <c r="AH12" s="639"/>
      <c r="AI12" s="638"/>
      <c r="AJ12" s="558"/>
      <c r="AK12" s="639"/>
      <c r="AL12" s="638"/>
      <c r="AM12" s="558"/>
      <c r="AN12" s="641"/>
      <c r="AO12" s="640"/>
      <c r="AP12" s="558"/>
      <c r="AQ12" s="639"/>
      <c r="AR12" s="638"/>
      <c r="AS12" s="558"/>
      <c r="AT12" s="641"/>
    </row>
    <row r="13" spans="2:46" ht="15" customHeight="1" x14ac:dyDescent="0.25">
      <c r="P13" s="1224" t="s">
        <v>847</v>
      </c>
      <c r="Q13" s="1250" t="s">
        <v>853</v>
      </c>
      <c r="R13" s="1208"/>
      <c r="S13" s="1208"/>
      <c r="T13" s="1208" t="s">
        <v>864</v>
      </c>
      <c r="U13" s="1208"/>
      <c r="V13" s="1208"/>
      <c r="W13" s="1208" t="s">
        <v>854</v>
      </c>
      <c r="X13" s="1208"/>
      <c r="Y13" s="1208"/>
      <c r="Z13" s="1208" t="s">
        <v>855</v>
      </c>
      <c r="AA13" s="1208"/>
      <c r="AB13" s="1210"/>
      <c r="AC13" s="1227" t="s">
        <v>867</v>
      </c>
      <c r="AD13" s="1208"/>
      <c r="AE13" s="1208"/>
      <c r="AF13" s="1208" t="s">
        <v>859</v>
      </c>
      <c r="AG13" s="1208"/>
      <c r="AH13" s="1208"/>
      <c r="AI13" s="1208" t="s">
        <v>860</v>
      </c>
      <c r="AJ13" s="1208"/>
      <c r="AK13" s="1208"/>
      <c r="AL13" s="1208" t="s">
        <v>861</v>
      </c>
      <c r="AM13" s="1208"/>
      <c r="AN13" s="1210"/>
      <c r="AO13" s="1234" t="s">
        <v>867</v>
      </c>
      <c r="AP13" s="1235"/>
      <c r="AQ13" s="1236"/>
      <c r="AR13" s="1208" t="s">
        <v>863</v>
      </c>
      <c r="AS13" s="1208"/>
      <c r="AT13" s="1210"/>
    </row>
    <row r="14" spans="2:46" ht="12.75" customHeight="1" x14ac:dyDescent="0.25">
      <c r="P14" s="1225"/>
      <c r="Q14" s="1250"/>
      <c r="R14" s="1208"/>
      <c r="S14" s="1208"/>
      <c r="T14" s="1208"/>
      <c r="U14" s="1208"/>
      <c r="V14" s="1208"/>
      <c r="W14" s="1208"/>
      <c r="X14" s="1208"/>
      <c r="Y14" s="1208"/>
      <c r="Z14" s="1208"/>
      <c r="AA14" s="1208"/>
      <c r="AB14" s="1210"/>
      <c r="AC14" s="1227"/>
      <c r="AD14" s="1208"/>
      <c r="AE14" s="1208"/>
      <c r="AF14" s="1208"/>
      <c r="AG14" s="1208"/>
      <c r="AH14" s="1208"/>
      <c r="AI14" s="1208"/>
      <c r="AJ14" s="1208"/>
      <c r="AK14" s="1208"/>
      <c r="AL14" s="1208"/>
      <c r="AM14" s="1208"/>
      <c r="AN14" s="1210"/>
      <c r="AO14" s="1237"/>
      <c r="AP14" s="1238"/>
      <c r="AQ14" s="1239"/>
      <c r="AR14" s="1208"/>
      <c r="AS14" s="1208"/>
      <c r="AT14" s="1210"/>
    </row>
    <row r="15" spans="2:46" ht="12.75" customHeight="1" x14ac:dyDescent="0.25">
      <c r="P15" s="1225"/>
      <c r="Q15" s="1250"/>
      <c r="R15" s="1208"/>
      <c r="S15" s="1208"/>
      <c r="T15" s="1208"/>
      <c r="U15" s="1208"/>
      <c r="V15" s="1208"/>
      <c r="W15" s="1208"/>
      <c r="X15" s="1208"/>
      <c r="Y15" s="1208"/>
      <c r="Z15" s="1208"/>
      <c r="AA15" s="1208"/>
      <c r="AB15" s="1210"/>
      <c r="AC15" s="1227"/>
      <c r="AD15" s="1208"/>
      <c r="AE15" s="1208"/>
      <c r="AF15" s="1208"/>
      <c r="AG15" s="1208"/>
      <c r="AH15" s="1208"/>
      <c r="AI15" s="1208"/>
      <c r="AJ15" s="1208"/>
      <c r="AK15" s="1208"/>
      <c r="AL15" s="1208"/>
      <c r="AM15" s="1208"/>
      <c r="AN15" s="1210"/>
      <c r="AO15" s="1237"/>
      <c r="AP15" s="1238"/>
      <c r="AQ15" s="1239"/>
      <c r="AR15" s="1208"/>
      <c r="AS15" s="1208"/>
      <c r="AT15" s="1210"/>
    </row>
    <row r="16" spans="2:46" ht="12.75" customHeight="1" x14ac:dyDescent="0.25">
      <c r="P16" s="1225"/>
      <c r="Q16" s="1250"/>
      <c r="R16" s="1208"/>
      <c r="S16" s="1208"/>
      <c r="T16" s="1208"/>
      <c r="U16" s="1208"/>
      <c r="V16" s="1208"/>
      <c r="W16" s="1208"/>
      <c r="X16" s="1208"/>
      <c r="Y16" s="1208"/>
      <c r="Z16" s="1208"/>
      <c r="AA16" s="1208"/>
      <c r="AB16" s="1210"/>
      <c r="AC16" s="1227"/>
      <c r="AD16" s="1208"/>
      <c r="AE16" s="1208"/>
      <c r="AF16" s="1208"/>
      <c r="AG16" s="1208"/>
      <c r="AH16" s="1208"/>
      <c r="AI16" s="1208"/>
      <c r="AJ16" s="1208"/>
      <c r="AK16" s="1208"/>
      <c r="AL16" s="1208"/>
      <c r="AM16" s="1208"/>
      <c r="AN16" s="1210"/>
      <c r="AO16" s="1237"/>
      <c r="AP16" s="1238"/>
      <c r="AQ16" s="1239"/>
      <c r="AR16" s="1208"/>
      <c r="AS16" s="1208"/>
      <c r="AT16" s="1210"/>
    </row>
    <row r="17" spans="16:46" ht="12.75" customHeight="1" x14ac:dyDescent="0.25">
      <c r="P17" s="1225"/>
      <c r="Q17" s="1250"/>
      <c r="R17" s="1208"/>
      <c r="S17" s="1208"/>
      <c r="T17" s="1208"/>
      <c r="U17" s="1208"/>
      <c r="V17" s="1208"/>
      <c r="W17" s="1208"/>
      <c r="X17" s="1208"/>
      <c r="Y17" s="1208"/>
      <c r="Z17" s="1208"/>
      <c r="AA17" s="1208"/>
      <c r="AB17" s="1210"/>
      <c r="AC17" s="1227"/>
      <c r="AD17" s="1208"/>
      <c r="AE17" s="1208"/>
      <c r="AF17" s="1208"/>
      <c r="AG17" s="1208"/>
      <c r="AH17" s="1208"/>
      <c r="AI17" s="1208"/>
      <c r="AJ17" s="1208"/>
      <c r="AK17" s="1208"/>
      <c r="AL17" s="1208"/>
      <c r="AM17" s="1208"/>
      <c r="AN17" s="1210"/>
      <c r="AO17" s="1237"/>
      <c r="AP17" s="1238"/>
      <c r="AQ17" s="1239"/>
      <c r="AR17" s="1208"/>
      <c r="AS17" s="1208"/>
      <c r="AT17" s="1210"/>
    </row>
    <row r="18" spans="16:46" ht="12.75" customHeight="1" x14ac:dyDescent="0.25">
      <c r="P18" s="1225"/>
      <c r="Q18" s="1250"/>
      <c r="R18" s="1208"/>
      <c r="S18" s="1208"/>
      <c r="T18" s="1208"/>
      <c r="U18" s="1208"/>
      <c r="V18" s="1208"/>
      <c r="W18" s="1208"/>
      <c r="X18" s="1208"/>
      <c r="Y18" s="1208"/>
      <c r="Z18" s="1208"/>
      <c r="AA18" s="1208"/>
      <c r="AB18" s="1210"/>
      <c r="AC18" s="1227"/>
      <c r="AD18" s="1208"/>
      <c r="AE18" s="1208"/>
      <c r="AF18" s="1208"/>
      <c r="AG18" s="1208"/>
      <c r="AH18" s="1208"/>
      <c r="AI18" s="1208"/>
      <c r="AJ18" s="1208"/>
      <c r="AK18" s="1208"/>
      <c r="AL18" s="1208"/>
      <c r="AM18" s="1208"/>
      <c r="AN18" s="1210"/>
      <c r="AO18" s="1237"/>
      <c r="AP18" s="1238"/>
      <c r="AQ18" s="1239"/>
      <c r="AR18" s="1208"/>
      <c r="AS18" s="1208"/>
      <c r="AT18" s="1210"/>
    </row>
    <row r="19" spans="16:46" ht="12.75" customHeight="1" x14ac:dyDescent="0.25">
      <c r="P19" s="1225"/>
      <c r="Q19" s="1250"/>
      <c r="R19" s="1208"/>
      <c r="S19" s="1208"/>
      <c r="T19" s="1208"/>
      <c r="U19" s="1208"/>
      <c r="V19" s="1208"/>
      <c r="W19" s="1208"/>
      <c r="X19" s="1208"/>
      <c r="Y19" s="1208"/>
      <c r="Z19" s="1208"/>
      <c r="AA19" s="1208"/>
      <c r="AB19" s="1210"/>
      <c r="AC19" s="1227"/>
      <c r="AD19" s="1208"/>
      <c r="AE19" s="1208"/>
      <c r="AF19" s="1208"/>
      <c r="AG19" s="1208"/>
      <c r="AH19" s="1208"/>
      <c r="AI19" s="1208"/>
      <c r="AJ19" s="1208"/>
      <c r="AK19" s="1208"/>
      <c r="AL19" s="1208"/>
      <c r="AM19" s="1208"/>
      <c r="AN19" s="1210"/>
      <c r="AO19" s="1237"/>
      <c r="AP19" s="1238"/>
      <c r="AQ19" s="1239"/>
      <c r="AR19" s="1208"/>
      <c r="AS19" s="1208"/>
      <c r="AT19" s="1210"/>
    </row>
    <row r="20" spans="16:46" ht="12.75" customHeight="1" x14ac:dyDescent="0.25">
      <c r="P20" s="1225"/>
      <c r="Q20" s="1250"/>
      <c r="R20" s="1208"/>
      <c r="S20" s="1208"/>
      <c r="T20" s="1208"/>
      <c r="U20" s="1208"/>
      <c r="V20" s="1208"/>
      <c r="W20" s="1208"/>
      <c r="X20" s="1208"/>
      <c r="Y20" s="1208"/>
      <c r="Z20" s="1208"/>
      <c r="AA20" s="1208"/>
      <c r="AB20" s="1210"/>
      <c r="AC20" s="1227"/>
      <c r="AD20" s="1208"/>
      <c r="AE20" s="1208"/>
      <c r="AF20" s="1208"/>
      <c r="AG20" s="1208"/>
      <c r="AH20" s="1208"/>
      <c r="AI20" s="1208"/>
      <c r="AJ20" s="1208"/>
      <c r="AK20" s="1208"/>
      <c r="AL20" s="1208"/>
      <c r="AM20" s="1208"/>
      <c r="AN20" s="1210"/>
      <c r="AO20" s="1237"/>
      <c r="AP20" s="1238"/>
      <c r="AQ20" s="1239"/>
      <c r="AR20" s="1208"/>
      <c r="AS20" s="1208"/>
      <c r="AT20" s="1210"/>
    </row>
    <row r="21" spans="16:46" ht="12.75" customHeight="1" x14ac:dyDescent="0.25">
      <c r="P21" s="1225"/>
      <c r="Q21" s="1250"/>
      <c r="R21" s="1208"/>
      <c r="S21" s="1208"/>
      <c r="T21" s="1208"/>
      <c r="U21" s="1208"/>
      <c r="V21" s="1208"/>
      <c r="W21" s="1208"/>
      <c r="X21" s="1208"/>
      <c r="Y21" s="1208"/>
      <c r="Z21" s="1208"/>
      <c r="AA21" s="1208"/>
      <c r="AB21" s="1210"/>
      <c r="AC21" s="1227"/>
      <c r="AD21" s="1208"/>
      <c r="AE21" s="1208"/>
      <c r="AF21" s="1208"/>
      <c r="AG21" s="1208"/>
      <c r="AH21" s="1208"/>
      <c r="AI21" s="1208"/>
      <c r="AJ21" s="1208"/>
      <c r="AK21" s="1208"/>
      <c r="AL21" s="1208"/>
      <c r="AM21" s="1208"/>
      <c r="AN21" s="1210"/>
      <c r="AO21" s="1237"/>
      <c r="AP21" s="1238"/>
      <c r="AQ21" s="1239"/>
      <c r="AR21" s="1208"/>
      <c r="AS21" s="1208"/>
      <c r="AT21" s="1210"/>
    </row>
    <row r="22" spans="16:46" ht="12.75" customHeight="1" x14ac:dyDescent="0.25">
      <c r="P22" s="1225"/>
      <c r="Q22" s="1250"/>
      <c r="R22" s="1208"/>
      <c r="S22" s="1208"/>
      <c r="T22" s="1208"/>
      <c r="U22" s="1208"/>
      <c r="V22" s="1208"/>
      <c r="W22" s="1208"/>
      <c r="X22" s="1208"/>
      <c r="Y22" s="1208"/>
      <c r="Z22" s="1208"/>
      <c r="AA22" s="1208"/>
      <c r="AB22" s="1210"/>
      <c r="AC22" s="1227"/>
      <c r="AD22" s="1208"/>
      <c r="AE22" s="1208"/>
      <c r="AF22" s="1208"/>
      <c r="AG22" s="1208"/>
      <c r="AH22" s="1208"/>
      <c r="AI22" s="1208"/>
      <c r="AJ22" s="1208"/>
      <c r="AK22" s="1208"/>
      <c r="AL22" s="1208"/>
      <c r="AM22" s="1208"/>
      <c r="AN22" s="1210"/>
      <c r="AO22" s="1237"/>
      <c r="AP22" s="1238"/>
      <c r="AQ22" s="1239"/>
      <c r="AR22" s="1208"/>
      <c r="AS22" s="1208"/>
      <c r="AT22" s="1210"/>
    </row>
    <row r="23" spans="16:46" ht="12.75" customHeight="1" x14ac:dyDescent="0.25">
      <c r="P23" s="1225"/>
      <c r="Q23" s="1250"/>
      <c r="R23" s="1208"/>
      <c r="S23" s="1208"/>
      <c r="T23" s="1208"/>
      <c r="U23" s="1208"/>
      <c r="V23" s="1208"/>
      <c r="W23" s="1208"/>
      <c r="X23" s="1208"/>
      <c r="Y23" s="1208"/>
      <c r="Z23" s="1208"/>
      <c r="AA23" s="1208"/>
      <c r="AB23" s="1210"/>
      <c r="AC23" s="1227"/>
      <c r="AD23" s="1208"/>
      <c r="AE23" s="1208"/>
      <c r="AF23" s="1208"/>
      <c r="AG23" s="1208"/>
      <c r="AH23" s="1208"/>
      <c r="AI23" s="1208"/>
      <c r="AJ23" s="1208"/>
      <c r="AK23" s="1208"/>
      <c r="AL23" s="1208"/>
      <c r="AM23" s="1208"/>
      <c r="AN23" s="1210"/>
      <c r="AO23" s="1237"/>
      <c r="AP23" s="1238"/>
      <c r="AQ23" s="1239"/>
      <c r="AR23" s="1208"/>
      <c r="AS23" s="1208"/>
      <c r="AT23" s="1210"/>
    </row>
    <row r="24" spans="16:46" ht="13.5" customHeight="1" x14ac:dyDescent="0.25">
      <c r="P24" s="1225"/>
      <c r="Q24" s="1250"/>
      <c r="R24" s="1208"/>
      <c r="S24" s="1208"/>
      <c r="T24" s="1208"/>
      <c r="U24" s="1208"/>
      <c r="V24" s="1208"/>
      <c r="W24" s="1208"/>
      <c r="X24" s="1208"/>
      <c r="Y24" s="1208"/>
      <c r="Z24" s="1208"/>
      <c r="AA24" s="1208"/>
      <c r="AB24" s="1210"/>
      <c r="AC24" s="1227"/>
      <c r="AD24" s="1208"/>
      <c r="AE24" s="1208"/>
      <c r="AF24" s="1208"/>
      <c r="AG24" s="1208"/>
      <c r="AH24" s="1208"/>
      <c r="AI24" s="1208"/>
      <c r="AJ24" s="1208"/>
      <c r="AK24" s="1208"/>
      <c r="AL24" s="1208"/>
      <c r="AM24" s="1208"/>
      <c r="AN24" s="1210"/>
      <c r="AO24" s="1237"/>
      <c r="AP24" s="1238"/>
      <c r="AQ24" s="1239"/>
      <c r="AR24" s="1208"/>
      <c r="AS24" s="1208"/>
      <c r="AT24" s="1210"/>
    </row>
    <row r="25" spans="16:46" ht="15" customHeight="1" x14ac:dyDescent="0.25">
      <c r="P25" s="1225"/>
      <c r="Q25" s="1250"/>
      <c r="R25" s="1208"/>
      <c r="S25" s="1208"/>
      <c r="T25" s="1208"/>
      <c r="U25" s="1208"/>
      <c r="V25" s="1208"/>
      <c r="W25" s="1208"/>
      <c r="X25" s="1208"/>
      <c r="Y25" s="1208"/>
      <c r="Z25" s="1208"/>
      <c r="AA25" s="1208"/>
      <c r="AB25" s="1210"/>
      <c r="AC25" s="1227"/>
      <c r="AD25" s="1208"/>
      <c r="AE25" s="1208"/>
      <c r="AF25" s="1208"/>
      <c r="AG25" s="1208"/>
      <c r="AH25" s="1208"/>
      <c r="AI25" s="1208"/>
      <c r="AJ25" s="1208"/>
      <c r="AK25" s="1208"/>
      <c r="AL25" s="1208"/>
      <c r="AM25" s="1208"/>
      <c r="AN25" s="1210"/>
      <c r="AO25" s="1237"/>
      <c r="AP25" s="1238"/>
      <c r="AQ25" s="1239"/>
      <c r="AR25" s="1208"/>
      <c r="AS25" s="1208"/>
      <c r="AT25" s="1210"/>
    </row>
    <row r="26" spans="16:46" ht="15" customHeight="1" thickBot="1" x14ac:dyDescent="0.3">
      <c r="P26" s="1226"/>
      <c r="Q26" s="1251"/>
      <c r="R26" s="1209"/>
      <c r="S26" s="1209"/>
      <c r="T26" s="1209"/>
      <c r="U26" s="1209"/>
      <c r="V26" s="1209"/>
      <c r="W26" s="1209"/>
      <c r="X26" s="1209"/>
      <c r="Y26" s="1209"/>
      <c r="Z26" s="1209"/>
      <c r="AA26" s="1209"/>
      <c r="AB26" s="1211"/>
      <c r="AC26" s="1228"/>
      <c r="AD26" s="1209"/>
      <c r="AE26" s="1209"/>
      <c r="AF26" s="1209"/>
      <c r="AG26" s="1209"/>
      <c r="AH26" s="1209"/>
      <c r="AI26" s="1209"/>
      <c r="AJ26" s="1209"/>
      <c r="AK26" s="1209"/>
      <c r="AL26" s="1209"/>
      <c r="AM26" s="1209"/>
      <c r="AN26" s="1211"/>
      <c r="AO26" s="1240"/>
      <c r="AP26" s="1241"/>
      <c r="AQ26" s="1242"/>
      <c r="AR26" s="1209"/>
      <c r="AS26" s="1209"/>
      <c r="AT26" s="1211"/>
    </row>
    <row r="27" spans="16:46" ht="15" customHeight="1" x14ac:dyDescent="0.25">
      <c r="AD27" s="637"/>
    </row>
    <row r="28" spans="16:46" ht="15" customHeight="1" x14ac:dyDescent="0.25">
      <c r="AD28" s="637"/>
    </row>
    <row r="29" spans="16:46" ht="15" customHeight="1" x14ac:dyDescent="0.25">
      <c r="AD29" s="637"/>
    </row>
    <row r="30" spans="16:46" ht="15" customHeight="1" x14ac:dyDescent="0.25"/>
    <row r="54" spans="30:30" x14ac:dyDescent="0.25">
      <c r="AD54" s="637"/>
    </row>
    <row r="55" spans="30:30" x14ac:dyDescent="0.25">
      <c r="AD55" s="637"/>
    </row>
    <row r="56" spans="30:30" x14ac:dyDescent="0.25">
      <c r="AD56" s="637"/>
    </row>
    <row r="57" spans="30:30" x14ac:dyDescent="0.25">
      <c r="AD57" s="637"/>
    </row>
    <row r="58" spans="30:30" x14ac:dyDescent="0.25">
      <c r="AD58" s="637"/>
    </row>
    <row r="59" spans="30:30" x14ac:dyDescent="0.25">
      <c r="AD59" s="637"/>
    </row>
    <row r="60" spans="30:30" x14ac:dyDescent="0.25">
      <c r="AD60" s="637"/>
    </row>
    <row r="61" spans="30:30" x14ac:dyDescent="0.25">
      <c r="AD61" s="637"/>
    </row>
    <row r="62" spans="30:30" x14ac:dyDescent="0.25">
      <c r="AD62" s="637"/>
    </row>
    <row r="63" spans="30:30" x14ac:dyDescent="0.25">
      <c r="AD63" s="637"/>
    </row>
    <row r="64" spans="30:30" x14ac:dyDescent="0.25">
      <c r="AD64" s="637"/>
    </row>
    <row r="65" spans="17:30" x14ac:dyDescent="0.25">
      <c r="AD65" s="637"/>
    </row>
    <row r="66" spans="17:30" x14ac:dyDescent="0.25">
      <c r="AD66" s="637"/>
    </row>
    <row r="67" spans="17:30" x14ac:dyDescent="0.25">
      <c r="AD67" s="637"/>
    </row>
    <row r="68" spans="17:30" x14ac:dyDescent="0.25">
      <c r="AD68" s="637"/>
    </row>
    <row r="69" spans="17:30" x14ac:dyDescent="0.25">
      <c r="Q69" s="637"/>
      <c r="R69" s="637"/>
      <c r="S69" s="637"/>
      <c r="T69" s="637"/>
      <c r="U69" s="637"/>
      <c r="V69" s="637"/>
      <c r="W69" s="637"/>
      <c r="X69" s="637"/>
      <c r="Y69" s="637"/>
      <c r="Z69" s="637"/>
      <c r="AA69" s="637"/>
      <c r="AB69" s="637"/>
      <c r="AC69" s="637"/>
      <c r="AD69" s="637"/>
    </row>
    <row r="70" spans="17:30" x14ac:dyDescent="0.25">
      <c r="Q70" s="637"/>
      <c r="R70" s="637"/>
      <c r="S70" s="637"/>
      <c r="T70" s="637"/>
      <c r="U70" s="637"/>
      <c r="V70" s="637"/>
      <c r="W70" s="637"/>
      <c r="X70" s="637"/>
      <c r="Y70" s="637"/>
      <c r="Z70" s="637"/>
      <c r="AA70" s="637"/>
      <c r="AB70" s="637"/>
      <c r="AC70" s="637"/>
      <c r="AD70" s="637"/>
    </row>
    <row r="71" spans="17:30" x14ac:dyDescent="0.25">
      <c r="Q71" s="637"/>
      <c r="R71" s="637"/>
      <c r="S71" s="637"/>
      <c r="T71" s="637"/>
      <c r="U71" s="637"/>
      <c r="V71" s="637"/>
      <c r="W71" s="637"/>
      <c r="X71" s="637"/>
      <c r="Y71" s="637"/>
      <c r="Z71" s="637"/>
      <c r="AA71" s="637"/>
      <c r="AB71" s="637"/>
      <c r="AC71" s="637"/>
      <c r="AD71" s="637"/>
    </row>
    <row r="72" spans="17:30" x14ac:dyDescent="0.25">
      <c r="Q72" s="637"/>
      <c r="R72" s="637"/>
      <c r="S72" s="637"/>
      <c r="T72" s="637"/>
      <c r="U72" s="637"/>
      <c r="V72" s="637"/>
      <c r="W72" s="637"/>
      <c r="X72" s="637"/>
      <c r="Y72" s="637"/>
      <c r="Z72" s="637"/>
      <c r="AA72" s="637"/>
      <c r="AB72" s="637"/>
      <c r="AC72" s="637"/>
      <c r="AD72" s="637"/>
    </row>
    <row r="73" spans="17:30" x14ac:dyDescent="0.25">
      <c r="Q73" s="637"/>
      <c r="R73" s="637"/>
      <c r="S73" s="637"/>
      <c r="T73" s="637"/>
      <c r="U73" s="637"/>
      <c r="V73" s="637"/>
      <c r="W73" s="637"/>
      <c r="X73" s="637"/>
      <c r="Y73" s="637"/>
      <c r="Z73" s="637"/>
      <c r="AA73" s="637"/>
      <c r="AB73" s="637"/>
      <c r="AC73" s="637"/>
      <c r="AD73" s="637"/>
    </row>
    <row r="74" spans="17:30" x14ac:dyDescent="0.25">
      <c r="Q74" s="637"/>
      <c r="R74" s="637"/>
      <c r="S74" s="637"/>
      <c r="T74" s="637"/>
      <c r="U74" s="637"/>
      <c r="V74" s="637"/>
      <c r="W74" s="637"/>
      <c r="X74" s="637"/>
      <c r="Y74" s="637"/>
      <c r="Z74" s="637"/>
      <c r="AA74" s="637"/>
      <c r="AB74" s="637"/>
      <c r="AC74" s="637"/>
      <c r="AD74" s="637"/>
    </row>
    <row r="75" spans="17:30" x14ac:dyDescent="0.25">
      <c r="Q75" s="637"/>
      <c r="R75" s="637"/>
      <c r="S75" s="637"/>
      <c r="T75" s="637"/>
      <c r="U75" s="637"/>
      <c r="V75" s="637"/>
      <c r="W75" s="637"/>
      <c r="X75" s="637"/>
      <c r="Y75" s="637"/>
      <c r="Z75" s="637"/>
      <c r="AA75" s="637"/>
      <c r="AB75" s="637"/>
      <c r="AC75" s="637"/>
      <c r="AD75" s="637"/>
    </row>
    <row r="76" spans="17:30" x14ac:dyDescent="0.25">
      <c r="Q76" s="637"/>
      <c r="R76" s="637"/>
      <c r="S76" s="637"/>
      <c r="T76" s="637"/>
      <c r="U76" s="637"/>
      <c r="V76" s="637"/>
      <c r="W76" s="637"/>
      <c r="X76" s="637"/>
      <c r="Y76" s="637"/>
      <c r="Z76" s="637"/>
      <c r="AA76" s="637"/>
      <c r="AB76" s="637"/>
      <c r="AC76" s="637"/>
      <c r="AD76" s="637"/>
    </row>
    <row r="77" spans="17:30" x14ac:dyDescent="0.25">
      <c r="Q77" s="637"/>
      <c r="R77" s="637"/>
      <c r="S77" s="637"/>
      <c r="T77" s="637"/>
      <c r="U77" s="637"/>
      <c r="V77" s="637"/>
      <c r="W77" s="637"/>
      <c r="X77" s="637"/>
      <c r="Y77" s="637"/>
      <c r="Z77" s="637"/>
      <c r="AA77" s="637"/>
      <c r="AB77" s="637"/>
      <c r="AC77" s="637"/>
      <c r="AD77" s="637"/>
    </row>
    <row r="78" spans="17:30" x14ac:dyDescent="0.25">
      <c r="Q78" s="637"/>
      <c r="R78" s="637"/>
      <c r="S78" s="637"/>
      <c r="T78" s="637"/>
      <c r="U78" s="637"/>
      <c r="V78" s="637"/>
      <c r="W78" s="637"/>
      <c r="X78" s="637"/>
      <c r="Y78" s="637"/>
      <c r="Z78" s="637"/>
      <c r="AA78" s="637"/>
      <c r="AB78" s="637"/>
      <c r="AC78" s="637"/>
      <c r="AD78" s="637"/>
    </row>
    <row r="79" spans="17:30" x14ac:dyDescent="0.25">
      <c r="Q79" s="637"/>
      <c r="R79" s="637"/>
      <c r="S79" s="637"/>
      <c r="T79" s="637"/>
      <c r="U79" s="637"/>
      <c r="V79" s="637"/>
      <c r="W79" s="637"/>
      <c r="X79" s="637"/>
      <c r="Y79" s="637"/>
      <c r="Z79" s="637"/>
      <c r="AA79" s="637"/>
      <c r="AB79" s="637"/>
      <c r="AC79" s="637"/>
      <c r="AD79" s="637"/>
    </row>
    <row r="80" spans="17:30" x14ac:dyDescent="0.25">
      <c r="Q80" s="637"/>
      <c r="R80" s="637"/>
      <c r="S80" s="637"/>
      <c r="T80" s="637"/>
      <c r="U80" s="637"/>
      <c r="V80" s="637"/>
      <c r="W80" s="637"/>
      <c r="X80" s="637"/>
      <c r="Y80" s="637"/>
      <c r="Z80" s="637"/>
      <c r="AA80" s="637"/>
      <c r="AB80" s="637"/>
      <c r="AC80" s="637"/>
      <c r="AD80" s="637"/>
    </row>
    <row r="81" spans="17:30" x14ac:dyDescent="0.25">
      <c r="Q81" s="637"/>
      <c r="R81" s="637"/>
      <c r="S81" s="637"/>
      <c r="T81" s="637"/>
      <c r="U81" s="637"/>
      <c r="V81" s="637"/>
      <c r="W81" s="637"/>
      <c r="X81" s="637"/>
      <c r="Y81" s="637"/>
      <c r="Z81" s="637"/>
      <c r="AA81" s="637"/>
      <c r="AB81" s="637"/>
      <c r="AC81" s="637"/>
      <c r="AD81" s="637"/>
    </row>
    <row r="82" spans="17:30" x14ac:dyDescent="0.25">
      <c r="Q82" s="637"/>
      <c r="R82" s="637"/>
      <c r="S82" s="637"/>
      <c r="T82" s="637"/>
      <c r="U82" s="637"/>
      <c r="V82" s="637"/>
      <c r="W82" s="637"/>
      <c r="X82" s="637"/>
      <c r="Y82" s="637"/>
      <c r="Z82" s="637"/>
      <c r="AA82" s="637"/>
      <c r="AB82" s="637"/>
      <c r="AC82" s="637"/>
      <c r="AD82" s="637"/>
    </row>
    <row r="83" spans="17:30" x14ac:dyDescent="0.25">
      <c r="Q83" s="637"/>
      <c r="R83" s="637"/>
      <c r="S83" s="637"/>
      <c r="T83" s="637"/>
      <c r="U83" s="637"/>
      <c r="V83" s="637"/>
      <c r="W83" s="637"/>
      <c r="X83" s="637"/>
      <c r="Y83" s="637"/>
      <c r="Z83" s="637"/>
      <c r="AA83" s="637"/>
      <c r="AB83" s="637"/>
      <c r="AC83" s="637"/>
      <c r="AD83" s="637"/>
    </row>
    <row r="84" spans="17:30" x14ac:dyDescent="0.25">
      <c r="Q84" s="637"/>
      <c r="R84" s="637"/>
      <c r="S84" s="637"/>
      <c r="T84" s="637"/>
      <c r="U84" s="637"/>
      <c r="V84" s="637"/>
      <c r="W84" s="637"/>
      <c r="X84" s="637"/>
      <c r="Y84" s="637"/>
      <c r="Z84" s="637"/>
      <c r="AA84" s="637"/>
      <c r="AB84" s="637"/>
      <c r="AC84" s="637"/>
      <c r="AD84" s="637"/>
    </row>
    <row r="85" spans="17:30" x14ac:dyDescent="0.25">
      <c r="Q85" s="637"/>
      <c r="R85" s="637"/>
      <c r="S85" s="637"/>
      <c r="T85" s="637"/>
      <c r="U85" s="637"/>
      <c r="V85" s="637"/>
      <c r="W85" s="637"/>
      <c r="X85" s="637"/>
      <c r="Y85" s="637"/>
      <c r="Z85" s="637"/>
      <c r="AA85" s="637"/>
      <c r="AB85" s="637"/>
      <c r="AC85" s="637"/>
      <c r="AD85" s="637"/>
    </row>
    <row r="86" spans="17:30" x14ac:dyDescent="0.25">
      <c r="Q86" s="637"/>
      <c r="R86" s="637"/>
      <c r="S86" s="637"/>
      <c r="T86" s="637"/>
      <c r="U86" s="637"/>
      <c r="V86" s="637"/>
      <c r="W86" s="637"/>
      <c r="X86" s="637"/>
      <c r="Y86" s="637"/>
      <c r="Z86" s="637"/>
      <c r="AA86" s="637"/>
      <c r="AB86" s="637"/>
      <c r="AC86" s="637"/>
      <c r="AD86" s="637"/>
    </row>
    <row r="87" spans="17:30" x14ac:dyDescent="0.25">
      <c r="Q87" s="637"/>
      <c r="R87" s="637"/>
      <c r="S87" s="637"/>
      <c r="T87" s="637"/>
      <c r="U87" s="637"/>
      <c r="V87" s="637"/>
      <c r="W87" s="637"/>
      <c r="X87" s="637"/>
      <c r="Y87" s="637"/>
      <c r="Z87" s="637"/>
      <c r="AA87" s="637"/>
      <c r="AB87" s="637"/>
      <c r="AC87" s="637"/>
      <c r="AD87" s="637"/>
    </row>
    <row r="88" spans="17:30" x14ac:dyDescent="0.25">
      <c r="Q88" s="637"/>
      <c r="R88" s="637"/>
      <c r="S88" s="637"/>
      <c r="T88" s="637"/>
      <c r="U88" s="637"/>
      <c r="V88" s="637"/>
      <c r="W88" s="637"/>
      <c r="X88" s="637"/>
      <c r="Y88" s="637"/>
      <c r="Z88" s="637"/>
      <c r="AA88" s="637"/>
      <c r="AB88" s="637"/>
      <c r="AC88" s="637"/>
      <c r="AD88" s="637"/>
    </row>
    <row r="89" spans="17:30" x14ac:dyDescent="0.25">
      <c r="Q89" s="637"/>
      <c r="R89" s="637"/>
      <c r="S89" s="637"/>
      <c r="T89" s="637"/>
      <c r="U89" s="637"/>
      <c r="V89" s="637"/>
      <c r="W89" s="637"/>
      <c r="X89" s="637"/>
      <c r="Y89" s="637"/>
      <c r="Z89" s="637"/>
      <c r="AA89" s="637"/>
      <c r="AB89" s="637"/>
      <c r="AC89" s="637"/>
      <c r="AD89" s="637"/>
    </row>
    <row r="90" spans="17:30" x14ac:dyDescent="0.25">
      <c r="Q90" s="637"/>
      <c r="R90" s="637"/>
      <c r="S90" s="637"/>
      <c r="T90" s="637"/>
      <c r="U90" s="637"/>
      <c r="V90" s="637"/>
      <c r="W90" s="637"/>
      <c r="X90" s="637"/>
      <c r="Y90" s="637"/>
      <c r="Z90" s="637"/>
      <c r="AA90" s="637"/>
      <c r="AB90" s="637"/>
      <c r="AC90" s="637"/>
      <c r="AD90" s="637"/>
    </row>
    <row r="91" spans="17:30" x14ac:dyDescent="0.25">
      <c r="Q91" s="637"/>
      <c r="R91" s="637"/>
      <c r="S91" s="637"/>
      <c r="T91" s="637"/>
      <c r="U91" s="637"/>
      <c r="V91" s="637"/>
      <c r="W91" s="637"/>
      <c r="X91" s="637"/>
      <c r="Y91" s="637"/>
      <c r="Z91" s="637"/>
      <c r="AA91" s="637"/>
      <c r="AB91" s="637"/>
      <c r="AC91" s="637"/>
      <c r="AD91" s="637"/>
    </row>
    <row r="92" spans="17:30" x14ac:dyDescent="0.25">
      <c r="Q92" s="637"/>
      <c r="R92" s="637"/>
      <c r="S92" s="637"/>
      <c r="T92" s="637"/>
      <c r="U92" s="637"/>
      <c r="V92" s="637"/>
      <c r="W92" s="637"/>
      <c r="X92" s="637"/>
      <c r="Y92" s="637"/>
      <c r="Z92" s="637"/>
      <c r="AA92" s="637"/>
      <c r="AB92" s="637"/>
      <c r="AC92" s="637"/>
      <c r="AD92" s="637"/>
    </row>
    <row r="93" spans="17:30" x14ac:dyDescent="0.25">
      <c r="Q93" s="637"/>
      <c r="R93" s="637"/>
      <c r="S93" s="637"/>
      <c r="T93" s="637"/>
      <c r="U93" s="637"/>
      <c r="V93" s="637"/>
      <c r="W93" s="637"/>
      <c r="X93" s="637"/>
      <c r="Y93" s="637"/>
      <c r="Z93" s="637"/>
      <c r="AA93" s="637"/>
      <c r="AB93" s="637"/>
      <c r="AC93" s="637"/>
      <c r="AD93" s="637"/>
    </row>
    <row r="94" spans="17:30" x14ac:dyDescent="0.25">
      <c r="Q94" s="637"/>
      <c r="R94" s="637"/>
      <c r="S94" s="637"/>
      <c r="T94" s="637"/>
      <c r="U94" s="637"/>
      <c r="V94" s="637"/>
      <c r="W94" s="637"/>
      <c r="X94" s="637"/>
      <c r="Y94" s="637"/>
      <c r="Z94" s="637"/>
      <c r="AA94" s="637"/>
      <c r="AB94" s="637"/>
      <c r="AC94" s="637"/>
      <c r="AD94" s="637"/>
    </row>
    <row r="95" spans="17:30" x14ac:dyDescent="0.25">
      <c r="Q95" s="637"/>
      <c r="R95" s="637"/>
      <c r="S95" s="637"/>
      <c r="T95" s="637"/>
      <c r="U95" s="637"/>
      <c r="V95" s="637"/>
      <c r="W95" s="637"/>
      <c r="X95" s="637"/>
      <c r="Y95" s="637"/>
      <c r="Z95" s="637"/>
      <c r="AA95" s="637"/>
      <c r="AB95" s="637"/>
      <c r="AC95" s="637"/>
      <c r="AD95" s="637"/>
    </row>
    <row r="96" spans="17:30" x14ac:dyDescent="0.25">
      <c r="Q96" s="637"/>
      <c r="R96" s="637"/>
      <c r="S96" s="637"/>
      <c r="T96" s="637"/>
      <c r="U96" s="637"/>
      <c r="V96" s="637"/>
      <c r="W96" s="637"/>
      <c r="X96" s="637"/>
      <c r="Y96" s="637"/>
      <c r="Z96" s="637"/>
      <c r="AA96" s="637"/>
      <c r="AB96" s="637"/>
      <c r="AC96" s="637"/>
      <c r="AD96" s="637"/>
    </row>
    <row r="97" spans="17:30" x14ac:dyDescent="0.25">
      <c r="Q97" s="637"/>
      <c r="R97" s="637"/>
      <c r="S97" s="637"/>
      <c r="T97" s="637"/>
      <c r="U97" s="637"/>
      <c r="V97" s="637"/>
      <c r="W97" s="637"/>
      <c r="X97" s="637"/>
      <c r="Y97" s="637"/>
      <c r="Z97" s="637"/>
      <c r="AA97" s="637"/>
      <c r="AB97" s="637"/>
      <c r="AC97" s="637"/>
      <c r="AD97" s="637"/>
    </row>
    <row r="98" spans="17:30" x14ac:dyDescent="0.25">
      <c r="Q98" s="637"/>
      <c r="R98" s="637"/>
      <c r="S98" s="637"/>
      <c r="T98" s="637"/>
      <c r="U98" s="637"/>
      <c r="V98" s="637"/>
      <c r="W98" s="637"/>
      <c r="X98" s="637"/>
      <c r="Y98" s="637"/>
      <c r="Z98" s="637"/>
      <c r="AA98" s="637"/>
      <c r="AB98" s="637"/>
      <c r="AC98" s="637"/>
      <c r="AD98" s="637"/>
    </row>
    <row r="99" spans="17:30" x14ac:dyDescent="0.25">
      <c r="Q99" s="637"/>
      <c r="R99" s="637"/>
      <c r="S99" s="637"/>
      <c r="T99" s="637"/>
      <c r="U99" s="637"/>
      <c r="V99" s="637"/>
      <c r="W99" s="637"/>
      <c r="X99" s="637"/>
      <c r="Y99" s="637"/>
      <c r="Z99" s="637"/>
      <c r="AA99" s="637"/>
      <c r="AB99" s="637"/>
      <c r="AC99" s="637"/>
      <c r="AD99" s="637"/>
    </row>
    <row r="100" spans="17:30" x14ac:dyDescent="0.25">
      <c r="Q100" s="637"/>
      <c r="R100" s="637"/>
      <c r="S100" s="637"/>
      <c r="T100" s="637"/>
      <c r="U100" s="637"/>
      <c r="V100" s="637"/>
      <c r="W100" s="637"/>
      <c r="X100" s="637"/>
      <c r="Y100" s="637"/>
      <c r="Z100" s="637"/>
      <c r="AA100" s="637"/>
      <c r="AB100" s="637"/>
      <c r="AC100" s="637"/>
      <c r="AD100" s="637"/>
    </row>
    <row r="101" spans="17:30" x14ac:dyDescent="0.25">
      <c r="Q101" s="637"/>
      <c r="R101" s="637"/>
      <c r="S101" s="637"/>
      <c r="T101" s="637"/>
      <c r="U101" s="637"/>
      <c r="V101" s="637"/>
      <c r="W101" s="637"/>
      <c r="X101" s="637"/>
      <c r="Y101" s="637"/>
      <c r="Z101" s="637"/>
      <c r="AA101" s="637"/>
      <c r="AB101" s="637"/>
      <c r="AC101" s="637"/>
      <c r="AD101" s="637"/>
    </row>
    <row r="102" spans="17:30" x14ac:dyDescent="0.25">
      <c r="Q102" s="637"/>
      <c r="R102" s="637"/>
      <c r="S102" s="637"/>
      <c r="T102" s="637"/>
      <c r="U102" s="637"/>
      <c r="V102" s="637"/>
      <c r="W102" s="637"/>
      <c r="X102" s="637"/>
      <c r="Y102" s="637"/>
      <c r="Z102" s="637"/>
      <c r="AA102" s="637"/>
      <c r="AB102" s="637"/>
      <c r="AC102" s="637"/>
      <c r="AD102" s="637"/>
    </row>
    <row r="103" spans="17:30" x14ac:dyDescent="0.25">
      <c r="Q103" s="637"/>
      <c r="R103" s="637"/>
      <c r="S103" s="637"/>
      <c r="T103" s="637"/>
      <c r="U103" s="637"/>
      <c r="V103" s="637"/>
      <c r="W103" s="637"/>
      <c r="X103" s="637"/>
      <c r="Y103" s="637"/>
      <c r="Z103" s="637"/>
      <c r="AA103" s="637"/>
      <c r="AB103" s="637"/>
      <c r="AC103" s="637"/>
      <c r="AD103" s="637"/>
    </row>
    <row r="104" spans="17:30" x14ac:dyDescent="0.25">
      <c r="Q104" s="637"/>
      <c r="R104" s="637"/>
      <c r="S104" s="637"/>
      <c r="T104" s="637"/>
      <c r="U104" s="637"/>
      <c r="V104" s="637"/>
      <c r="W104" s="637"/>
      <c r="X104" s="637"/>
      <c r="Y104" s="637"/>
      <c r="Z104" s="637"/>
      <c r="AA104" s="637"/>
      <c r="AB104" s="637"/>
      <c r="AC104" s="637"/>
      <c r="AD104" s="637"/>
    </row>
    <row r="105" spans="17:30" x14ac:dyDescent="0.25">
      <c r="Q105" s="637"/>
      <c r="R105" s="637"/>
      <c r="S105" s="637"/>
      <c r="T105" s="637"/>
      <c r="U105" s="637"/>
      <c r="V105" s="637"/>
      <c r="W105" s="637"/>
      <c r="X105" s="637"/>
      <c r="Y105" s="637"/>
      <c r="Z105" s="637"/>
      <c r="AA105" s="637"/>
      <c r="AB105" s="637"/>
      <c r="AC105" s="637"/>
      <c r="AD105" s="637"/>
    </row>
    <row r="106" spans="17:30" x14ac:dyDescent="0.25">
      <c r="Q106" s="637"/>
      <c r="R106" s="637"/>
      <c r="S106" s="637"/>
      <c r="T106" s="637"/>
      <c r="U106" s="637"/>
      <c r="V106" s="637"/>
      <c r="W106" s="637"/>
      <c r="X106" s="637"/>
      <c r="Y106" s="637"/>
      <c r="Z106" s="637"/>
      <c r="AA106" s="637"/>
      <c r="AB106" s="637"/>
      <c r="AC106" s="637"/>
      <c r="AD106" s="637"/>
    </row>
    <row r="107" spans="17:30" x14ac:dyDescent="0.25">
      <c r="Q107" s="637"/>
      <c r="R107" s="637"/>
      <c r="S107" s="637"/>
      <c r="T107" s="637"/>
      <c r="U107" s="637"/>
      <c r="V107" s="637"/>
      <c r="W107" s="637"/>
      <c r="X107" s="637"/>
      <c r="Y107" s="637"/>
      <c r="Z107" s="637"/>
      <c r="AA107" s="637"/>
      <c r="AB107" s="637"/>
      <c r="AC107" s="637"/>
      <c r="AD107" s="637"/>
    </row>
    <row r="108" spans="17:30" x14ac:dyDescent="0.25">
      <c r="Q108" s="637"/>
      <c r="R108" s="637"/>
      <c r="S108" s="637"/>
      <c r="T108" s="637"/>
      <c r="U108" s="637"/>
      <c r="V108" s="637"/>
      <c r="W108" s="637"/>
      <c r="X108" s="637"/>
      <c r="Y108" s="637"/>
      <c r="Z108" s="637"/>
      <c r="AA108" s="637"/>
      <c r="AB108" s="637"/>
      <c r="AC108" s="637"/>
      <c r="AD108" s="637"/>
    </row>
    <row r="109" spans="17:30" x14ac:dyDescent="0.25">
      <c r="Q109" s="637"/>
      <c r="R109" s="637"/>
      <c r="S109" s="637"/>
      <c r="T109" s="637"/>
      <c r="U109" s="637"/>
      <c r="V109" s="637"/>
      <c r="W109" s="637"/>
      <c r="X109" s="637"/>
      <c r="Y109" s="637"/>
      <c r="Z109" s="637"/>
      <c r="AA109" s="637"/>
      <c r="AB109" s="637"/>
      <c r="AC109" s="637"/>
      <c r="AD109" s="637"/>
    </row>
    <row r="110" spans="17:30" x14ac:dyDescent="0.25">
      <c r="Q110" s="637"/>
      <c r="R110" s="637"/>
      <c r="S110" s="637"/>
      <c r="T110" s="637"/>
      <c r="U110" s="637"/>
      <c r="V110" s="637"/>
      <c r="W110" s="637"/>
      <c r="X110" s="637"/>
      <c r="Y110" s="637"/>
      <c r="Z110" s="637"/>
      <c r="AA110" s="637"/>
      <c r="AB110" s="637"/>
      <c r="AC110" s="637"/>
      <c r="AD110" s="637"/>
    </row>
    <row r="111" spans="17:30" x14ac:dyDescent="0.25">
      <c r="Q111" s="637"/>
      <c r="R111" s="637"/>
      <c r="S111" s="637"/>
      <c r="T111" s="637"/>
      <c r="U111" s="637"/>
      <c r="V111" s="637"/>
      <c r="W111" s="637"/>
      <c r="X111" s="637"/>
      <c r="Y111" s="637"/>
      <c r="Z111" s="637"/>
      <c r="AA111" s="637"/>
      <c r="AB111" s="637"/>
      <c r="AC111" s="637"/>
      <c r="AD111" s="637"/>
    </row>
    <row r="112" spans="17:30" x14ac:dyDescent="0.25">
      <c r="Q112" s="637"/>
      <c r="R112" s="637"/>
      <c r="S112" s="637"/>
      <c r="T112" s="637"/>
      <c r="U112" s="637"/>
      <c r="V112" s="637"/>
      <c r="W112" s="637"/>
      <c r="X112" s="637"/>
      <c r="Y112" s="637"/>
      <c r="Z112" s="637"/>
      <c r="AA112" s="637"/>
      <c r="AB112" s="637"/>
      <c r="AC112" s="637"/>
      <c r="AD112" s="637"/>
    </row>
    <row r="113" spans="17:30" x14ac:dyDescent="0.25">
      <c r="Q113" s="637"/>
      <c r="R113" s="637"/>
      <c r="S113" s="637"/>
      <c r="T113" s="637"/>
      <c r="U113" s="637"/>
      <c r="V113" s="637"/>
      <c r="W113" s="637"/>
      <c r="X113" s="637"/>
      <c r="Y113" s="637"/>
      <c r="Z113" s="637"/>
      <c r="AA113" s="637"/>
      <c r="AB113" s="637"/>
      <c r="AC113" s="637"/>
      <c r="AD113" s="637"/>
    </row>
    <row r="114" spans="17:30" x14ac:dyDescent="0.25">
      <c r="Q114" s="637"/>
      <c r="R114" s="637"/>
      <c r="S114" s="637"/>
      <c r="T114" s="637"/>
      <c r="U114" s="637"/>
      <c r="V114" s="637"/>
      <c r="W114" s="637"/>
      <c r="X114" s="637"/>
      <c r="Y114" s="637"/>
      <c r="Z114" s="637"/>
      <c r="AA114" s="637"/>
      <c r="AB114" s="637"/>
      <c r="AC114" s="637"/>
      <c r="AD114" s="637"/>
    </row>
    <row r="115" spans="17:30" x14ac:dyDescent="0.25">
      <c r="Q115" s="637"/>
      <c r="R115" s="637"/>
      <c r="S115" s="637"/>
      <c r="T115" s="637"/>
      <c r="U115" s="637"/>
      <c r="V115" s="637"/>
      <c r="W115" s="637"/>
      <c r="X115" s="637"/>
      <c r="Y115" s="637"/>
      <c r="Z115" s="637"/>
      <c r="AA115" s="637"/>
      <c r="AB115" s="637"/>
      <c r="AC115" s="637"/>
      <c r="AD115" s="637"/>
    </row>
    <row r="116" spans="17:30" x14ac:dyDescent="0.25">
      <c r="Q116" s="637"/>
      <c r="R116" s="637"/>
      <c r="S116" s="637"/>
      <c r="T116" s="637"/>
      <c r="U116" s="637"/>
      <c r="V116" s="637"/>
      <c r="W116" s="637"/>
      <c r="X116" s="637"/>
      <c r="Y116" s="637"/>
      <c r="Z116" s="637"/>
      <c r="AA116" s="637"/>
      <c r="AB116" s="637"/>
      <c r="AC116" s="637"/>
      <c r="AD116" s="637"/>
    </row>
    <row r="117" spans="17:30" x14ac:dyDescent="0.25">
      <c r="Q117" s="637"/>
      <c r="R117" s="637"/>
      <c r="S117" s="637"/>
      <c r="T117" s="637"/>
      <c r="U117" s="637"/>
      <c r="V117" s="637"/>
      <c r="W117" s="637"/>
      <c r="X117" s="637"/>
      <c r="Y117" s="637"/>
      <c r="Z117" s="637"/>
      <c r="AA117" s="637"/>
      <c r="AB117" s="637"/>
      <c r="AC117" s="637"/>
      <c r="AD117" s="637"/>
    </row>
    <row r="118" spans="17:30" x14ac:dyDescent="0.25">
      <c r="Q118" s="637"/>
      <c r="R118" s="637"/>
      <c r="S118" s="637"/>
      <c r="T118" s="637"/>
      <c r="U118" s="637"/>
      <c r="V118" s="637"/>
      <c r="W118" s="637"/>
      <c r="X118" s="637"/>
      <c r="Y118" s="637"/>
      <c r="Z118" s="637"/>
      <c r="AA118" s="637"/>
      <c r="AB118" s="637"/>
      <c r="AC118" s="637"/>
      <c r="AD118" s="637"/>
    </row>
    <row r="119" spans="17:30" x14ac:dyDescent="0.25">
      <c r="Q119" s="637"/>
      <c r="R119" s="637"/>
      <c r="S119" s="637"/>
      <c r="T119" s="637"/>
      <c r="U119" s="637"/>
      <c r="V119" s="637"/>
      <c r="W119" s="637"/>
      <c r="X119" s="637"/>
      <c r="Y119" s="637"/>
      <c r="Z119" s="637"/>
      <c r="AA119" s="637"/>
      <c r="AB119" s="637"/>
      <c r="AC119" s="637"/>
      <c r="AD119" s="637"/>
    </row>
    <row r="120" spans="17:30" x14ac:dyDescent="0.25">
      <c r="Q120" s="637"/>
      <c r="R120" s="637"/>
      <c r="S120" s="637"/>
      <c r="T120" s="637"/>
      <c r="U120" s="637"/>
      <c r="V120" s="637"/>
      <c r="W120" s="637"/>
      <c r="X120" s="637"/>
      <c r="Y120" s="637"/>
      <c r="Z120" s="637"/>
      <c r="AA120" s="637"/>
      <c r="AB120" s="637"/>
      <c r="AC120" s="637"/>
      <c r="AD120" s="637"/>
    </row>
    <row r="121" spans="17:30" x14ac:dyDescent="0.25">
      <c r="Q121" s="637"/>
      <c r="R121" s="637"/>
      <c r="S121" s="637"/>
      <c r="T121" s="637"/>
      <c r="U121" s="637"/>
      <c r="V121" s="637"/>
      <c r="W121" s="637"/>
      <c r="X121" s="637"/>
      <c r="Y121" s="637"/>
      <c r="Z121" s="637"/>
      <c r="AA121" s="637"/>
      <c r="AB121" s="637"/>
      <c r="AC121" s="637"/>
      <c r="AD121" s="637"/>
    </row>
  </sheetData>
  <mergeCells count="26">
    <mergeCell ref="P5:P12"/>
    <mergeCell ref="Q5:S5"/>
    <mergeCell ref="T5:V5"/>
    <mergeCell ref="W5:Y5"/>
    <mergeCell ref="Z5:AB5"/>
    <mergeCell ref="Q1:AT2"/>
    <mergeCell ref="Z13:AB26"/>
    <mergeCell ref="P13:P26"/>
    <mergeCell ref="AC13:AE26"/>
    <mergeCell ref="AO5:AQ5"/>
    <mergeCell ref="AR5:AT5"/>
    <mergeCell ref="AO13:AQ26"/>
    <mergeCell ref="AC5:AE5"/>
    <mergeCell ref="AF5:AH5"/>
    <mergeCell ref="AI5:AK5"/>
    <mergeCell ref="AL5:AN5"/>
    <mergeCell ref="AC3:AN4"/>
    <mergeCell ref="Q13:S26"/>
    <mergeCell ref="T13:V26"/>
    <mergeCell ref="W13:Y26"/>
    <mergeCell ref="Q3:AB4"/>
    <mergeCell ref="AF13:AH26"/>
    <mergeCell ref="AI13:AK26"/>
    <mergeCell ref="AL13:AN26"/>
    <mergeCell ref="AR13:AT26"/>
    <mergeCell ref="AO3:AT4"/>
  </mergeCells>
  <hyperlinks>
    <hyperlink ref="I2" location="Menu!A1" display="Return to menu" xr:uid="{00000000-0004-0000-2B00-000000000000}"/>
  </hyperlinks>
  <pageMargins left="0.75" right="0.75" top="1" bottom="1" header="0.5" footer="0.5"/>
  <pageSetup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1">
    <pageSetUpPr fitToPage="1"/>
  </sheetPr>
  <dimension ref="B1:AG75"/>
  <sheetViews>
    <sheetView showGridLines="0" zoomScale="115" zoomScaleNormal="115" workbookViewId="0">
      <selection activeCell="V1" sqref="V1"/>
    </sheetView>
  </sheetViews>
  <sheetFormatPr defaultColWidth="8.88671875" defaultRowHeight="13.2" x14ac:dyDescent="0.25"/>
  <cols>
    <col min="1" max="1" width="14.44140625" style="13" customWidth="1"/>
    <col min="2" max="2" width="4.21875" style="40" customWidth="1"/>
    <col min="3" max="3" width="20.109375" style="13" bestFit="1" customWidth="1"/>
    <col min="4" max="4" width="4.44140625" style="13" customWidth="1"/>
    <col min="5" max="5" width="5.6640625" style="13" customWidth="1"/>
    <col min="6" max="16" width="4.6640625" style="13" customWidth="1"/>
    <col min="17" max="17" width="3.44140625" style="13" customWidth="1"/>
    <col min="18" max="18" width="3.109375" style="13" customWidth="1"/>
    <col min="19" max="19" width="4" style="13" customWidth="1"/>
    <col min="20" max="20" width="3.88671875" style="13" customWidth="1"/>
    <col min="21" max="21" width="3.44140625" style="13" customWidth="1"/>
    <col min="22" max="22" width="20.6640625" style="13" bestFit="1" customWidth="1"/>
    <col min="23" max="26" width="4.21875" style="13" bestFit="1" customWidth="1"/>
    <col min="27" max="30" width="4.21875" style="13" customWidth="1"/>
    <col min="31" max="31" width="3" style="13" customWidth="1"/>
    <col min="32" max="32" width="15.6640625" style="13" bestFit="1" customWidth="1"/>
    <col min="33" max="256" width="8.88671875" style="13"/>
    <col min="257" max="257" width="14.44140625" style="13" customWidth="1"/>
    <col min="258" max="258" width="4.21875" style="13" customWidth="1"/>
    <col min="259" max="259" width="20.109375" style="13" bestFit="1" customWidth="1"/>
    <col min="260" max="260" width="4.44140625" style="13" customWidth="1"/>
    <col min="261" max="261" width="5.6640625" style="13" customWidth="1"/>
    <col min="262" max="272" width="4.6640625" style="13" customWidth="1"/>
    <col min="273" max="273" width="3.44140625" style="13" customWidth="1"/>
    <col min="274" max="274" width="3.109375" style="13" customWidth="1"/>
    <col min="275" max="275" width="4" style="13" customWidth="1"/>
    <col min="276" max="276" width="3.88671875" style="13" customWidth="1"/>
    <col min="277" max="277" width="3.44140625" style="13" customWidth="1"/>
    <col min="278" max="278" width="24.6640625" style="13" bestFit="1" customWidth="1"/>
    <col min="279" max="282" width="4.21875" style="13" bestFit="1" customWidth="1"/>
    <col min="283" max="286" width="4.21875" style="13" customWidth="1"/>
    <col min="287" max="287" width="3" style="13" customWidth="1"/>
    <col min="288" max="288" width="15.6640625" style="13" bestFit="1" customWidth="1"/>
    <col min="289" max="512" width="8.88671875" style="13"/>
    <col min="513" max="513" width="14.44140625" style="13" customWidth="1"/>
    <col min="514" max="514" width="4.21875" style="13" customWidth="1"/>
    <col min="515" max="515" width="20.109375" style="13" bestFit="1" customWidth="1"/>
    <col min="516" max="516" width="4.44140625" style="13" customWidth="1"/>
    <col min="517" max="517" width="5.6640625" style="13" customWidth="1"/>
    <col min="518" max="528" width="4.6640625" style="13" customWidth="1"/>
    <col min="529" max="529" width="3.44140625" style="13" customWidth="1"/>
    <col min="530" max="530" width="3.109375" style="13" customWidth="1"/>
    <col min="531" max="531" width="4" style="13" customWidth="1"/>
    <col min="532" max="532" width="3.88671875" style="13" customWidth="1"/>
    <col min="533" max="533" width="3.44140625" style="13" customWidth="1"/>
    <col min="534" max="534" width="24.6640625" style="13" bestFit="1" customWidth="1"/>
    <col min="535" max="538" width="4.21875" style="13" bestFit="1" customWidth="1"/>
    <col min="539" max="542" width="4.21875" style="13" customWidth="1"/>
    <col min="543" max="543" width="3" style="13" customWidth="1"/>
    <col min="544" max="544" width="15.6640625" style="13" bestFit="1" customWidth="1"/>
    <col min="545" max="768" width="8.88671875" style="13"/>
    <col min="769" max="769" width="14.44140625" style="13" customWidth="1"/>
    <col min="770" max="770" width="4.21875" style="13" customWidth="1"/>
    <col min="771" max="771" width="20.109375" style="13" bestFit="1" customWidth="1"/>
    <col min="772" max="772" width="4.44140625" style="13" customWidth="1"/>
    <col min="773" max="773" width="5.6640625" style="13" customWidth="1"/>
    <col min="774" max="784" width="4.6640625" style="13" customWidth="1"/>
    <col min="785" max="785" width="3.44140625" style="13" customWidth="1"/>
    <col min="786" max="786" width="3.109375" style="13" customWidth="1"/>
    <col min="787" max="787" width="4" style="13" customWidth="1"/>
    <col min="788" max="788" width="3.88671875" style="13" customWidth="1"/>
    <col min="789" max="789" width="3.44140625" style="13" customWidth="1"/>
    <col min="790" max="790" width="24.6640625" style="13" bestFit="1" customWidth="1"/>
    <col min="791" max="794" width="4.21875" style="13" bestFit="1" customWidth="1"/>
    <col min="795" max="798" width="4.21875" style="13" customWidth="1"/>
    <col min="799" max="799" width="3" style="13" customWidth="1"/>
    <col min="800" max="800" width="15.6640625" style="13" bestFit="1" customWidth="1"/>
    <col min="801" max="1024" width="8.88671875" style="13"/>
    <col min="1025" max="1025" width="14.44140625" style="13" customWidth="1"/>
    <col min="1026" max="1026" width="4.21875" style="13" customWidth="1"/>
    <col min="1027" max="1027" width="20.109375" style="13" bestFit="1" customWidth="1"/>
    <col min="1028" max="1028" width="4.44140625" style="13" customWidth="1"/>
    <col min="1029" max="1029" width="5.6640625" style="13" customWidth="1"/>
    <col min="1030" max="1040" width="4.6640625" style="13" customWidth="1"/>
    <col min="1041" max="1041" width="3.44140625" style="13" customWidth="1"/>
    <col min="1042" max="1042" width="3.109375" style="13" customWidth="1"/>
    <col min="1043" max="1043" width="4" style="13" customWidth="1"/>
    <col min="1044" max="1044" width="3.88671875" style="13" customWidth="1"/>
    <col min="1045" max="1045" width="3.44140625" style="13" customWidth="1"/>
    <col min="1046" max="1046" width="24.6640625" style="13" bestFit="1" customWidth="1"/>
    <col min="1047" max="1050" width="4.21875" style="13" bestFit="1" customWidth="1"/>
    <col min="1051" max="1054" width="4.21875" style="13" customWidth="1"/>
    <col min="1055" max="1055" width="3" style="13" customWidth="1"/>
    <col min="1056" max="1056" width="15.6640625" style="13" bestFit="1" customWidth="1"/>
    <col min="1057" max="1280" width="8.88671875" style="13"/>
    <col min="1281" max="1281" width="14.44140625" style="13" customWidth="1"/>
    <col min="1282" max="1282" width="4.21875" style="13" customWidth="1"/>
    <col min="1283" max="1283" width="20.109375" style="13" bestFit="1" customWidth="1"/>
    <col min="1284" max="1284" width="4.44140625" style="13" customWidth="1"/>
    <col min="1285" max="1285" width="5.6640625" style="13" customWidth="1"/>
    <col min="1286" max="1296" width="4.6640625" style="13" customWidth="1"/>
    <col min="1297" max="1297" width="3.44140625" style="13" customWidth="1"/>
    <col min="1298" max="1298" width="3.109375" style="13" customWidth="1"/>
    <col min="1299" max="1299" width="4" style="13" customWidth="1"/>
    <col min="1300" max="1300" width="3.88671875" style="13" customWidth="1"/>
    <col min="1301" max="1301" width="3.44140625" style="13" customWidth="1"/>
    <col min="1302" max="1302" width="24.6640625" style="13" bestFit="1" customWidth="1"/>
    <col min="1303" max="1306" width="4.21875" style="13" bestFit="1" customWidth="1"/>
    <col min="1307" max="1310" width="4.21875" style="13" customWidth="1"/>
    <col min="1311" max="1311" width="3" style="13" customWidth="1"/>
    <col min="1312" max="1312" width="15.6640625" style="13" bestFit="1" customWidth="1"/>
    <col min="1313" max="1536" width="8.88671875" style="13"/>
    <col min="1537" max="1537" width="14.44140625" style="13" customWidth="1"/>
    <col min="1538" max="1538" width="4.21875" style="13" customWidth="1"/>
    <col min="1539" max="1539" width="20.109375" style="13" bestFit="1" customWidth="1"/>
    <col min="1540" max="1540" width="4.44140625" style="13" customWidth="1"/>
    <col min="1541" max="1541" width="5.6640625" style="13" customWidth="1"/>
    <col min="1542" max="1552" width="4.6640625" style="13" customWidth="1"/>
    <col min="1553" max="1553" width="3.44140625" style="13" customWidth="1"/>
    <col min="1554" max="1554" width="3.109375" style="13" customWidth="1"/>
    <col min="1555" max="1555" width="4" style="13" customWidth="1"/>
    <col min="1556" max="1556" width="3.88671875" style="13" customWidth="1"/>
    <col min="1557" max="1557" width="3.44140625" style="13" customWidth="1"/>
    <col min="1558" max="1558" width="24.6640625" style="13" bestFit="1" customWidth="1"/>
    <col min="1559" max="1562" width="4.21875" style="13" bestFit="1" customWidth="1"/>
    <col min="1563" max="1566" width="4.21875" style="13" customWidth="1"/>
    <col min="1567" max="1567" width="3" style="13" customWidth="1"/>
    <col min="1568" max="1568" width="15.6640625" style="13" bestFit="1" customWidth="1"/>
    <col min="1569" max="1792" width="8.88671875" style="13"/>
    <col min="1793" max="1793" width="14.44140625" style="13" customWidth="1"/>
    <col min="1794" max="1794" width="4.21875" style="13" customWidth="1"/>
    <col min="1795" max="1795" width="20.109375" style="13" bestFit="1" customWidth="1"/>
    <col min="1796" max="1796" width="4.44140625" style="13" customWidth="1"/>
    <col min="1797" max="1797" width="5.6640625" style="13" customWidth="1"/>
    <col min="1798" max="1808" width="4.6640625" style="13" customWidth="1"/>
    <col min="1809" max="1809" width="3.44140625" style="13" customWidth="1"/>
    <col min="1810" max="1810" width="3.109375" style="13" customWidth="1"/>
    <col min="1811" max="1811" width="4" style="13" customWidth="1"/>
    <col min="1812" max="1812" width="3.88671875" style="13" customWidth="1"/>
    <col min="1813" max="1813" width="3.44140625" style="13" customWidth="1"/>
    <col min="1814" max="1814" width="24.6640625" style="13" bestFit="1" customWidth="1"/>
    <col min="1815" max="1818" width="4.21875" style="13" bestFit="1" customWidth="1"/>
    <col min="1819" max="1822" width="4.21875" style="13" customWidth="1"/>
    <col min="1823" max="1823" width="3" style="13" customWidth="1"/>
    <col min="1824" max="1824" width="15.6640625" style="13" bestFit="1" customWidth="1"/>
    <col min="1825" max="2048" width="8.88671875" style="13"/>
    <col min="2049" max="2049" width="14.44140625" style="13" customWidth="1"/>
    <col min="2050" max="2050" width="4.21875" style="13" customWidth="1"/>
    <col min="2051" max="2051" width="20.109375" style="13" bestFit="1" customWidth="1"/>
    <col min="2052" max="2052" width="4.44140625" style="13" customWidth="1"/>
    <col min="2053" max="2053" width="5.6640625" style="13" customWidth="1"/>
    <col min="2054" max="2064" width="4.6640625" style="13" customWidth="1"/>
    <col min="2065" max="2065" width="3.44140625" style="13" customWidth="1"/>
    <col min="2066" max="2066" width="3.109375" style="13" customWidth="1"/>
    <col min="2067" max="2067" width="4" style="13" customWidth="1"/>
    <col min="2068" max="2068" width="3.88671875" style="13" customWidth="1"/>
    <col min="2069" max="2069" width="3.44140625" style="13" customWidth="1"/>
    <col min="2070" max="2070" width="24.6640625" style="13" bestFit="1" customWidth="1"/>
    <col min="2071" max="2074" width="4.21875" style="13" bestFit="1" customWidth="1"/>
    <col min="2075" max="2078" width="4.21875" style="13" customWidth="1"/>
    <col min="2079" max="2079" width="3" style="13" customWidth="1"/>
    <col min="2080" max="2080" width="15.6640625" style="13" bestFit="1" customWidth="1"/>
    <col min="2081" max="2304" width="8.88671875" style="13"/>
    <col min="2305" max="2305" width="14.44140625" style="13" customWidth="1"/>
    <col min="2306" max="2306" width="4.21875" style="13" customWidth="1"/>
    <col min="2307" max="2307" width="20.109375" style="13" bestFit="1" customWidth="1"/>
    <col min="2308" max="2308" width="4.44140625" style="13" customWidth="1"/>
    <col min="2309" max="2309" width="5.6640625" style="13" customWidth="1"/>
    <col min="2310" max="2320" width="4.6640625" style="13" customWidth="1"/>
    <col min="2321" max="2321" width="3.44140625" style="13" customWidth="1"/>
    <col min="2322" max="2322" width="3.109375" style="13" customWidth="1"/>
    <col min="2323" max="2323" width="4" style="13" customWidth="1"/>
    <col min="2324" max="2324" width="3.88671875" style="13" customWidth="1"/>
    <col min="2325" max="2325" width="3.44140625" style="13" customWidth="1"/>
    <col min="2326" max="2326" width="24.6640625" style="13" bestFit="1" customWidth="1"/>
    <col min="2327" max="2330" width="4.21875" style="13" bestFit="1" customWidth="1"/>
    <col min="2331" max="2334" width="4.21875" style="13" customWidth="1"/>
    <col min="2335" max="2335" width="3" style="13" customWidth="1"/>
    <col min="2336" max="2336" width="15.6640625" style="13" bestFit="1" customWidth="1"/>
    <col min="2337" max="2560" width="8.88671875" style="13"/>
    <col min="2561" max="2561" width="14.44140625" style="13" customWidth="1"/>
    <col min="2562" max="2562" width="4.21875" style="13" customWidth="1"/>
    <col min="2563" max="2563" width="20.109375" style="13" bestFit="1" customWidth="1"/>
    <col min="2564" max="2564" width="4.44140625" style="13" customWidth="1"/>
    <col min="2565" max="2565" width="5.6640625" style="13" customWidth="1"/>
    <col min="2566" max="2576" width="4.6640625" style="13" customWidth="1"/>
    <col min="2577" max="2577" width="3.44140625" style="13" customWidth="1"/>
    <col min="2578" max="2578" width="3.109375" style="13" customWidth="1"/>
    <col min="2579" max="2579" width="4" style="13" customWidth="1"/>
    <col min="2580" max="2580" width="3.88671875" style="13" customWidth="1"/>
    <col min="2581" max="2581" width="3.44140625" style="13" customWidth="1"/>
    <col min="2582" max="2582" width="24.6640625" style="13" bestFit="1" customWidth="1"/>
    <col min="2583" max="2586" width="4.21875" style="13" bestFit="1" customWidth="1"/>
    <col min="2587" max="2590" width="4.21875" style="13" customWidth="1"/>
    <col min="2591" max="2591" width="3" style="13" customWidth="1"/>
    <col min="2592" max="2592" width="15.6640625" style="13" bestFit="1" customWidth="1"/>
    <col min="2593" max="2816" width="8.88671875" style="13"/>
    <col min="2817" max="2817" width="14.44140625" style="13" customWidth="1"/>
    <col min="2818" max="2818" width="4.21875" style="13" customWidth="1"/>
    <col min="2819" max="2819" width="20.109375" style="13" bestFit="1" customWidth="1"/>
    <col min="2820" max="2820" width="4.44140625" style="13" customWidth="1"/>
    <col min="2821" max="2821" width="5.6640625" style="13" customWidth="1"/>
    <col min="2822" max="2832" width="4.6640625" style="13" customWidth="1"/>
    <col min="2833" max="2833" width="3.44140625" style="13" customWidth="1"/>
    <col min="2834" max="2834" width="3.109375" style="13" customWidth="1"/>
    <col min="2835" max="2835" width="4" style="13" customWidth="1"/>
    <col min="2836" max="2836" width="3.88671875" style="13" customWidth="1"/>
    <col min="2837" max="2837" width="3.44140625" style="13" customWidth="1"/>
    <col min="2838" max="2838" width="24.6640625" style="13" bestFit="1" customWidth="1"/>
    <col min="2839" max="2842" width="4.21875" style="13" bestFit="1" customWidth="1"/>
    <col min="2843" max="2846" width="4.21875" style="13" customWidth="1"/>
    <col min="2847" max="2847" width="3" style="13" customWidth="1"/>
    <col min="2848" max="2848" width="15.6640625" style="13" bestFit="1" customWidth="1"/>
    <col min="2849" max="3072" width="8.88671875" style="13"/>
    <col min="3073" max="3073" width="14.44140625" style="13" customWidth="1"/>
    <col min="3074" max="3074" width="4.21875" style="13" customWidth="1"/>
    <col min="3075" max="3075" width="20.109375" style="13" bestFit="1" customWidth="1"/>
    <col min="3076" max="3076" width="4.44140625" style="13" customWidth="1"/>
    <col min="3077" max="3077" width="5.6640625" style="13" customWidth="1"/>
    <col min="3078" max="3088" width="4.6640625" style="13" customWidth="1"/>
    <col min="3089" max="3089" width="3.44140625" style="13" customWidth="1"/>
    <col min="3090" max="3090" width="3.109375" style="13" customWidth="1"/>
    <col min="3091" max="3091" width="4" style="13" customWidth="1"/>
    <col min="3092" max="3092" width="3.88671875" style="13" customWidth="1"/>
    <col min="3093" max="3093" width="3.44140625" style="13" customWidth="1"/>
    <col min="3094" max="3094" width="24.6640625" style="13" bestFit="1" customWidth="1"/>
    <col min="3095" max="3098" width="4.21875" style="13" bestFit="1" customWidth="1"/>
    <col min="3099" max="3102" width="4.21875" style="13" customWidth="1"/>
    <col min="3103" max="3103" width="3" style="13" customWidth="1"/>
    <col min="3104" max="3104" width="15.6640625" style="13" bestFit="1" customWidth="1"/>
    <col min="3105" max="3328" width="8.88671875" style="13"/>
    <col min="3329" max="3329" width="14.44140625" style="13" customWidth="1"/>
    <col min="3330" max="3330" width="4.21875" style="13" customWidth="1"/>
    <col min="3331" max="3331" width="20.109375" style="13" bestFit="1" customWidth="1"/>
    <col min="3332" max="3332" width="4.44140625" style="13" customWidth="1"/>
    <col min="3333" max="3333" width="5.6640625" style="13" customWidth="1"/>
    <col min="3334" max="3344" width="4.6640625" style="13" customWidth="1"/>
    <col min="3345" max="3345" width="3.44140625" style="13" customWidth="1"/>
    <col min="3346" max="3346" width="3.109375" style="13" customWidth="1"/>
    <col min="3347" max="3347" width="4" style="13" customWidth="1"/>
    <col min="3348" max="3348" width="3.88671875" style="13" customWidth="1"/>
    <col min="3349" max="3349" width="3.44140625" style="13" customWidth="1"/>
    <col min="3350" max="3350" width="24.6640625" style="13" bestFit="1" customWidth="1"/>
    <col min="3351" max="3354" width="4.21875" style="13" bestFit="1" customWidth="1"/>
    <col min="3355" max="3358" width="4.21875" style="13" customWidth="1"/>
    <col min="3359" max="3359" width="3" style="13" customWidth="1"/>
    <col min="3360" max="3360" width="15.6640625" style="13" bestFit="1" customWidth="1"/>
    <col min="3361" max="3584" width="8.88671875" style="13"/>
    <col min="3585" max="3585" width="14.44140625" style="13" customWidth="1"/>
    <col min="3586" max="3586" width="4.21875" style="13" customWidth="1"/>
    <col min="3587" max="3587" width="20.109375" style="13" bestFit="1" customWidth="1"/>
    <col min="3588" max="3588" width="4.44140625" style="13" customWidth="1"/>
    <col min="3589" max="3589" width="5.6640625" style="13" customWidth="1"/>
    <col min="3590" max="3600" width="4.6640625" style="13" customWidth="1"/>
    <col min="3601" max="3601" width="3.44140625" style="13" customWidth="1"/>
    <col min="3602" max="3602" width="3.109375" style="13" customWidth="1"/>
    <col min="3603" max="3603" width="4" style="13" customWidth="1"/>
    <col min="3604" max="3604" width="3.88671875" style="13" customWidth="1"/>
    <col min="3605" max="3605" width="3.44140625" style="13" customWidth="1"/>
    <col min="3606" max="3606" width="24.6640625" style="13" bestFit="1" customWidth="1"/>
    <col min="3607" max="3610" width="4.21875" style="13" bestFit="1" customWidth="1"/>
    <col min="3611" max="3614" width="4.21875" style="13" customWidth="1"/>
    <col min="3615" max="3615" width="3" style="13" customWidth="1"/>
    <col min="3616" max="3616" width="15.6640625" style="13" bestFit="1" customWidth="1"/>
    <col min="3617" max="3840" width="8.88671875" style="13"/>
    <col min="3841" max="3841" width="14.44140625" style="13" customWidth="1"/>
    <col min="3842" max="3842" width="4.21875" style="13" customWidth="1"/>
    <col min="3843" max="3843" width="20.109375" style="13" bestFit="1" customWidth="1"/>
    <col min="3844" max="3844" width="4.44140625" style="13" customWidth="1"/>
    <col min="3845" max="3845" width="5.6640625" style="13" customWidth="1"/>
    <col min="3846" max="3856" width="4.6640625" style="13" customWidth="1"/>
    <col min="3857" max="3857" width="3.44140625" style="13" customWidth="1"/>
    <col min="3858" max="3858" width="3.109375" style="13" customWidth="1"/>
    <col min="3859" max="3859" width="4" style="13" customWidth="1"/>
    <col min="3860" max="3860" width="3.88671875" style="13" customWidth="1"/>
    <col min="3861" max="3861" width="3.44140625" style="13" customWidth="1"/>
    <col min="3862" max="3862" width="24.6640625" style="13" bestFit="1" customWidth="1"/>
    <col min="3863" max="3866" width="4.21875" style="13" bestFit="1" customWidth="1"/>
    <col min="3867" max="3870" width="4.21875" style="13" customWidth="1"/>
    <col min="3871" max="3871" width="3" style="13" customWidth="1"/>
    <col min="3872" max="3872" width="15.6640625" style="13" bestFit="1" customWidth="1"/>
    <col min="3873" max="4096" width="8.88671875" style="13"/>
    <col min="4097" max="4097" width="14.44140625" style="13" customWidth="1"/>
    <col min="4098" max="4098" width="4.21875" style="13" customWidth="1"/>
    <col min="4099" max="4099" width="20.109375" style="13" bestFit="1" customWidth="1"/>
    <col min="4100" max="4100" width="4.44140625" style="13" customWidth="1"/>
    <col min="4101" max="4101" width="5.6640625" style="13" customWidth="1"/>
    <col min="4102" max="4112" width="4.6640625" style="13" customWidth="1"/>
    <col min="4113" max="4113" width="3.44140625" style="13" customWidth="1"/>
    <col min="4114" max="4114" width="3.109375" style="13" customWidth="1"/>
    <col min="4115" max="4115" width="4" style="13" customWidth="1"/>
    <col min="4116" max="4116" width="3.88671875" style="13" customWidth="1"/>
    <col min="4117" max="4117" width="3.44140625" style="13" customWidth="1"/>
    <col min="4118" max="4118" width="24.6640625" style="13" bestFit="1" customWidth="1"/>
    <col min="4119" max="4122" width="4.21875" style="13" bestFit="1" customWidth="1"/>
    <col min="4123" max="4126" width="4.21875" style="13" customWidth="1"/>
    <col min="4127" max="4127" width="3" style="13" customWidth="1"/>
    <col min="4128" max="4128" width="15.6640625" style="13" bestFit="1" customWidth="1"/>
    <col min="4129" max="4352" width="8.88671875" style="13"/>
    <col min="4353" max="4353" width="14.44140625" style="13" customWidth="1"/>
    <col min="4354" max="4354" width="4.21875" style="13" customWidth="1"/>
    <col min="4355" max="4355" width="20.109375" style="13" bestFit="1" customWidth="1"/>
    <col min="4356" max="4356" width="4.44140625" style="13" customWidth="1"/>
    <col min="4357" max="4357" width="5.6640625" style="13" customWidth="1"/>
    <col min="4358" max="4368" width="4.6640625" style="13" customWidth="1"/>
    <col min="4369" max="4369" width="3.44140625" style="13" customWidth="1"/>
    <col min="4370" max="4370" width="3.109375" style="13" customWidth="1"/>
    <col min="4371" max="4371" width="4" style="13" customWidth="1"/>
    <col min="4372" max="4372" width="3.88671875" style="13" customWidth="1"/>
    <col min="4373" max="4373" width="3.44140625" style="13" customWidth="1"/>
    <col min="4374" max="4374" width="24.6640625" style="13" bestFit="1" customWidth="1"/>
    <col min="4375" max="4378" width="4.21875" style="13" bestFit="1" customWidth="1"/>
    <col min="4379" max="4382" width="4.21875" style="13" customWidth="1"/>
    <col min="4383" max="4383" width="3" style="13" customWidth="1"/>
    <col min="4384" max="4384" width="15.6640625" style="13" bestFit="1" customWidth="1"/>
    <col min="4385" max="4608" width="8.88671875" style="13"/>
    <col min="4609" max="4609" width="14.44140625" style="13" customWidth="1"/>
    <col min="4610" max="4610" width="4.21875" style="13" customWidth="1"/>
    <col min="4611" max="4611" width="20.109375" style="13" bestFit="1" customWidth="1"/>
    <col min="4612" max="4612" width="4.44140625" style="13" customWidth="1"/>
    <col min="4613" max="4613" width="5.6640625" style="13" customWidth="1"/>
    <col min="4614" max="4624" width="4.6640625" style="13" customWidth="1"/>
    <col min="4625" max="4625" width="3.44140625" style="13" customWidth="1"/>
    <col min="4626" max="4626" width="3.109375" style="13" customWidth="1"/>
    <col min="4627" max="4627" width="4" style="13" customWidth="1"/>
    <col min="4628" max="4628" width="3.88671875" style="13" customWidth="1"/>
    <col min="4629" max="4629" width="3.44140625" style="13" customWidth="1"/>
    <col min="4630" max="4630" width="24.6640625" style="13" bestFit="1" customWidth="1"/>
    <col min="4631" max="4634" width="4.21875" style="13" bestFit="1" customWidth="1"/>
    <col min="4635" max="4638" width="4.21875" style="13" customWidth="1"/>
    <col min="4639" max="4639" width="3" style="13" customWidth="1"/>
    <col min="4640" max="4640" width="15.6640625" style="13" bestFit="1" customWidth="1"/>
    <col min="4641" max="4864" width="8.88671875" style="13"/>
    <col min="4865" max="4865" width="14.44140625" style="13" customWidth="1"/>
    <col min="4866" max="4866" width="4.21875" style="13" customWidth="1"/>
    <col min="4867" max="4867" width="20.109375" style="13" bestFit="1" customWidth="1"/>
    <col min="4868" max="4868" width="4.44140625" style="13" customWidth="1"/>
    <col min="4869" max="4869" width="5.6640625" style="13" customWidth="1"/>
    <col min="4870" max="4880" width="4.6640625" style="13" customWidth="1"/>
    <col min="4881" max="4881" width="3.44140625" style="13" customWidth="1"/>
    <col min="4882" max="4882" width="3.109375" style="13" customWidth="1"/>
    <col min="4883" max="4883" width="4" style="13" customWidth="1"/>
    <col min="4884" max="4884" width="3.88671875" style="13" customWidth="1"/>
    <col min="4885" max="4885" width="3.44140625" style="13" customWidth="1"/>
    <col min="4886" max="4886" width="24.6640625" style="13" bestFit="1" customWidth="1"/>
    <col min="4887" max="4890" width="4.21875" style="13" bestFit="1" customWidth="1"/>
    <col min="4891" max="4894" width="4.21875" style="13" customWidth="1"/>
    <col min="4895" max="4895" width="3" style="13" customWidth="1"/>
    <col min="4896" max="4896" width="15.6640625" style="13" bestFit="1" customWidth="1"/>
    <col min="4897" max="5120" width="8.88671875" style="13"/>
    <col min="5121" max="5121" width="14.44140625" style="13" customWidth="1"/>
    <col min="5122" max="5122" width="4.21875" style="13" customWidth="1"/>
    <col min="5123" max="5123" width="20.109375" style="13" bestFit="1" customWidth="1"/>
    <col min="5124" max="5124" width="4.44140625" style="13" customWidth="1"/>
    <col min="5125" max="5125" width="5.6640625" style="13" customWidth="1"/>
    <col min="5126" max="5136" width="4.6640625" style="13" customWidth="1"/>
    <col min="5137" max="5137" width="3.44140625" style="13" customWidth="1"/>
    <col min="5138" max="5138" width="3.109375" style="13" customWidth="1"/>
    <col min="5139" max="5139" width="4" style="13" customWidth="1"/>
    <col min="5140" max="5140" width="3.88671875" style="13" customWidth="1"/>
    <col min="5141" max="5141" width="3.44140625" style="13" customWidth="1"/>
    <col min="5142" max="5142" width="24.6640625" style="13" bestFit="1" customWidth="1"/>
    <col min="5143" max="5146" width="4.21875" style="13" bestFit="1" customWidth="1"/>
    <col min="5147" max="5150" width="4.21875" style="13" customWidth="1"/>
    <col min="5151" max="5151" width="3" style="13" customWidth="1"/>
    <col min="5152" max="5152" width="15.6640625" style="13" bestFit="1" customWidth="1"/>
    <col min="5153" max="5376" width="8.88671875" style="13"/>
    <col min="5377" max="5377" width="14.44140625" style="13" customWidth="1"/>
    <col min="5378" max="5378" width="4.21875" style="13" customWidth="1"/>
    <col min="5379" max="5379" width="20.109375" style="13" bestFit="1" customWidth="1"/>
    <col min="5380" max="5380" width="4.44140625" style="13" customWidth="1"/>
    <col min="5381" max="5381" width="5.6640625" style="13" customWidth="1"/>
    <col min="5382" max="5392" width="4.6640625" style="13" customWidth="1"/>
    <col min="5393" max="5393" width="3.44140625" style="13" customWidth="1"/>
    <col min="5394" max="5394" width="3.109375" style="13" customWidth="1"/>
    <col min="5395" max="5395" width="4" style="13" customWidth="1"/>
    <col min="5396" max="5396" width="3.88671875" style="13" customWidth="1"/>
    <col min="5397" max="5397" width="3.44140625" style="13" customWidth="1"/>
    <col min="5398" max="5398" width="24.6640625" style="13" bestFit="1" customWidth="1"/>
    <col min="5399" max="5402" width="4.21875" style="13" bestFit="1" customWidth="1"/>
    <col min="5403" max="5406" width="4.21875" style="13" customWidth="1"/>
    <col min="5407" max="5407" width="3" style="13" customWidth="1"/>
    <col min="5408" max="5408" width="15.6640625" style="13" bestFit="1" customWidth="1"/>
    <col min="5409" max="5632" width="8.88671875" style="13"/>
    <col min="5633" max="5633" width="14.44140625" style="13" customWidth="1"/>
    <col min="5634" max="5634" width="4.21875" style="13" customWidth="1"/>
    <col min="5635" max="5635" width="20.109375" style="13" bestFit="1" customWidth="1"/>
    <col min="5636" max="5636" width="4.44140625" style="13" customWidth="1"/>
    <col min="5637" max="5637" width="5.6640625" style="13" customWidth="1"/>
    <col min="5638" max="5648" width="4.6640625" style="13" customWidth="1"/>
    <col min="5649" max="5649" width="3.44140625" style="13" customWidth="1"/>
    <col min="5650" max="5650" width="3.109375" style="13" customWidth="1"/>
    <col min="5651" max="5651" width="4" style="13" customWidth="1"/>
    <col min="5652" max="5652" width="3.88671875" style="13" customWidth="1"/>
    <col min="5653" max="5653" width="3.44140625" style="13" customWidth="1"/>
    <col min="5654" max="5654" width="24.6640625" style="13" bestFit="1" customWidth="1"/>
    <col min="5655" max="5658" width="4.21875" style="13" bestFit="1" customWidth="1"/>
    <col min="5659" max="5662" width="4.21875" style="13" customWidth="1"/>
    <col min="5663" max="5663" width="3" style="13" customWidth="1"/>
    <col min="5664" max="5664" width="15.6640625" style="13" bestFit="1" customWidth="1"/>
    <col min="5665" max="5888" width="8.88671875" style="13"/>
    <col min="5889" max="5889" width="14.44140625" style="13" customWidth="1"/>
    <col min="5890" max="5890" width="4.21875" style="13" customWidth="1"/>
    <col min="5891" max="5891" width="20.109375" style="13" bestFit="1" customWidth="1"/>
    <col min="5892" max="5892" width="4.44140625" style="13" customWidth="1"/>
    <col min="5893" max="5893" width="5.6640625" style="13" customWidth="1"/>
    <col min="5894" max="5904" width="4.6640625" style="13" customWidth="1"/>
    <col min="5905" max="5905" width="3.44140625" style="13" customWidth="1"/>
    <col min="5906" max="5906" width="3.109375" style="13" customWidth="1"/>
    <col min="5907" max="5907" width="4" style="13" customWidth="1"/>
    <col min="5908" max="5908" width="3.88671875" style="13" customWidth="1"/>
    <col min="5909" max="5909" width="3.44140625" style="13" customWidth="1"/>
    <col min="5910" max="5910" width="24.6640625" style="13" bestFit="1" customWidth="1"/>
    <col min="5911" max="5914" width="4.21875" style="13" bestFit="1" customWidth="1"/>
    <col min="5915" max="5918" width="4.21875" style="13" customWidth="1"/>
    <col min="5919" max="5919" width="3" style="13" customWidth="1"/>
    <col min="5920" max="5920" width="15.6640625" style="13" bestFit="1" customWidth="1"/>
    <col min="5921" max="6144" width="8.88671875" style="13"/>
    <col min="6145" max="6145" width="14.44140625" style="13" customWidth="1"/>
    <col min="6146" max="6146" width="4.21875" style="13" customWidth="1"/>
    <col min="6147" max="6147" width="20.109375" style="13" bestFit="1" customWidth="1"/>
    <col min="6148" max="6148" width="4.44140625" style="13" customWidth="1"/>
    <col min="6149" max="6149" width="5.6640625" style="13" customWidth="1"/>
    <col min="6150" max="6160" width="4.6640625" style="13" customWidth="1"/>
    <col min="6161" max="6161" width="3.44140625" style="13" customWidth="1"/>
    <col min="6162" max="6162" width="3.109375" style="13" customWidth="1"/>
    <col min="6163" max="6163" width="4" style="13" customWidth="1"/>
    <col min="6164" max="6164" width="3.88671875" style="13" customWidth="1"/>
    <col min="6165" max="6165" width="3.44140625" style="13" customWidth="1"/>
    <col min="6166" max="6166" width="24.6640625" style="13" bestFit="1" customWidth="1"/>
    <col min="6167" max="6170" width="4.21875" style="13" bestFit="1" customWidth="1"/>
    <col min="6171" max="6174" width="4.21875" style="13" customWidth="1"/>
    <col min="6175" max="6175" width="3" style="13" customWidth="1"/>
    <col min="6176" max="6176" width="15.6640625" style="13" bestFit="1" customWidth="1"/>
    <col min="6177" max="6400" width="8.88671875" style="13"/>
    <col min="6401" max="6401" width="14.44140625" style="13" customWidth="1"/>
    <col min="6402" max="6402" width="4.21875" style="13" customWidth="1"/>
    <col min="6403" max="6403" width="20.109375" style="13" bestFit="1" customWidth="1"/>
    <col min="6404" max="6404" width="4.44140625" style="13" customWidth="1"/>
    <col min="6405" max="6405" width="5.6640625" style="13" customWidth="1"/>
    <col min="6406" max="6416" width="4.6640625" style="13" customWidth="1"/>
    <col min="6417" max="6417" width="3.44140625" style="13" customWidth="1"/>
    <col min="6418" max="6418" width="3.109375" style="13" customWidth="1"/>
    <col min="6419" max="6419" width="4" style="13" customWidth="1"/>
    <col min="6420" max="6420" width="3.88671875" style="13" customWidth="1"/>
    <col min="6421" max="6421" width="3.44140625" style="13" customWidth="1"/>
    <col min="6422" max="6422" width="24.6640625" style="13" bestFit="1" customWidth="1"/>
    <col min="6423" max="6426" width="4.21875" style="13" bestFit="1" customWidth="1"/>
    <col min="6427" max="6430" width="4.21875" style="13" customWidth="1"/>
    <col min="6431" max="6431" width="3" style="13" customWidth="1"/>
    <col min="6432" max="6432" width="15.6640625" style="13" bestFit="1" customWidth="1"/>
    <col min="6433" max="6656" width="8.88671875" style="13"/>
    <col min="6657" max="6657" width="14.44140625" style="13" customWidth="1"/>
    <col min="6658" max="6658" width="4.21875" style="13" customWidth="1"/>
    <col min="6659" max="6659" width="20.109375" style="13" bestFit="1" customWidth="1"/>
    <col min="6660" max="6660" width="4.44140625" style="13" customWidth="1"/>
    <col min="6661" max="6661" width="5.6640625" style="13" customWidth="1"/>
    <col min="6662" max="6672" width="4.6640625" style="13" customWidth="1"/>
    <col min="6673" max="6673" width="3.44140625" style="13" customWidth="1"/>
    <col min="6674" max="6674" width="3.109375" style="13" customWidth="1"/>
    <col min="6675" max="6675" width="4" style="13" customWidth="1"/>
    <col min="6676" max="6676" width="3.88671875" style="13" customWidth="1"/>
    <col min="6677" max="6677" width="3.44140625" style="13" customWidth="1"/>
    <col min="6678" max="6678" width="24.6640625" style="13" bestFit="1" customWidth="1"/>
    <col min="6679" max="6682" width="4.21875" style="13" bestFit="1" customWidth="1"/>
    <col min="6683" max="6686" width="4.21875" style="13" customWidth="1"/>
    <col min="6687" max="6687" width="3" style="13" customWidth="1"/>
    <col min="6688" max="6688" width="15.6640625" style="13" bestFit="1" customWidth="1"/>
    <col min="6689" max="6912" width="8.88671875" style="13"/>
    <col min="6913" max="6913" width="14.44140625" style="13" customWidth="1"/>
    <col min="6914" max="6914" width="4.21875" style="13" customWidth="1"/>
    <col min="6915" max="6915" width="20.109375" style="13" bestFit="1" customWidth="1"/>
    <col min="6916" max="6916" width="4.44140625" style="13" customWidth="1"/>
    <col min="6917" max="6917" width="5.6640625" style="13" customWidth="1"/>
    <col min="6918" max="6928" width="4.6640625" style="13" customWidth="1"/>
    <col min="6929" max="6929" width="3.44140625" style="13" customWidth="1"/>
    <col min="6930" max="6930" width="3.109375" style="13" customWidth="1"/>
    <col min="6931" max="6931" width="4" style="13" customWidth="1"/>
    <col min="6932" max="6932" width="3.88671875" style="13" customWidth="1"/>
    <col min="6933" max="6933" width="3.44140625" style="13" customWidth="1"/>
    <col min="6934" max="6934" width="24.6640625" style="13" bestFit="1" customWidth="1"/>
    <col min="6935" max="6938" width="4.21875" style="13" bestFit="1" customWidth="1"/>
    <col min="6939" max="6942" width="4.21875" style="13" customWidth="1"/>
    <col min="6943" max="6943" width="3" style="13" customWidth="1"/>
    <col min="6944" max="6944" width="15.6640625" style="13" bestFit="1" customWidth="1"/>
    <col min="6945" max="7168" width="8.88671875" style="13"/>
    <col min="7169" max="7169" width="14.44140625" style="13" customWidth="1"/>
    <col min="7170" max="7170" width="4.21875" style="13" customWidth="1"/>
    <col min="7171" max="7171" width="20.109375" style="13" bestFit="1" customWidth="1"/>
    <col min="7172" max="7172" width="4.44140625" style="13" customWidth="1"/>
    <col min="7173" max="7173" width="5.6640625" style="13" customWidth="1"/>
    <col min="7174" max="7184" width="4.6640625" style="13" customWidth="1"/>
    <col min="7185" max="7185" width="3.44140625" style="13" customWidth="1"/>
    <col min="7186" max="7186" width="3.109375" style="13" customWidth="1"/>
    <col min="7187" max="7187" width="4" style="13" customWidth="1"/>
    <col min="7188" max="7188" width="3.88671875" style="13" customWidth="1"/>
    <col min="7189" max="7189" width="3.44140625" style="13" customWidth="1"/>
    <col min="7190" max="7190" width="24.6640625" style="13" bestFit="1" customWidth="1"/>
    <col min="7191" max="7194" width="4.21875" style="13" bestFit="1" customWidth="1"/>
    <col min="7195" max="7198" width="4.21875" style="13" customWidth="1"/>
    <col min="7199" max="7199" width="3" style="13" customWidth="1"/>
    <col min="7200" max="7200" width="15.6640625" style="13" bestFit="1" customWidth="1"/>
    <col min="7201" max="7424" width="8.88671875" style="13"/>
    <col min="7425" max="7425" width="14.44140625" style="13" customWidth="1"/>
    <col min="7426" max="7426" width="4.21875" style="13" customWidth="1"/>
    <col min="7427" max="7427" width="20.109375" style="13" bestFit="1" customWidth="1"/>
    <col min="7428" max="7428" width="4.44140625" style="13" customWidth="1"/>
    <col min="7429" max="7429" width="5.6640625" style="13" customWidth="1"/>
    <col min="7430" max="7440" width="4.6640625" style="13" customWidth="1"/>
    <col min="7441" max="7441" width="3.44140625" style="13" customWidth="1"/>
    <col min="7442" max="7442" width="3.109375" style="13" customWidth="1"/>
    <col min="7443" max="7443" width="4" style="13" customWidth="1"/>
    <col min="7444" max="7444" width="3.88671875" style="13" customWidth="1"/>
    <col min="7445" max="7445" width="3.44140625" style="13" customWidth="1"/>
    <col min="7446" max="7446" width="24.6640625" style="13" bestFit="1" customWidth="1"/>
    <col min="7447" max="7450" width="4.21875" style="13" bestFit="1" customWidth="1"/>
    <col min="7451" max="7454" width="4.21875" style="13" customWidth="1"/>
    <col min="7455" max="7455" width="3" style="13" customWidth="1"/>
    <col min="7456" max="7456" width="15.6640625" style="13" bestFit="1" customWidth="1"/>
    <col min="7457" max="7680" width="8.88671875" style="13"/>
    <col min="7681" max="7681" width="14.44140625" style="13" customWidth="1"/>
    <col min="7682" max="7682" width="4.21875" style="13" customWidth="1"/>
    <col min="7683" max="7683" width="20.109375" style="13" bestFit="1" customWidth="1"/>
    <col min="7684" max="7684" width="4.44140625" style="13" customWidth="1"/>
    <col min="7685" max="7685" width="5.6640625" style="13" customWidth="1"/>
    <col min="7686" max="7696" width="4.6640625" style="13" customWidth="1"/>
    <col min="7697" max="7697" width="3.44140625" style="13" customWidth="1"/>
    <col min="7698" max="7698" width="3.109375" style="13" customWidth="1"/>
    <col min="7699" max="7699" width="4" style="13" customWidth="1"/>
    <col min="7700" max="7700" width="3.88671875" style="13" customWidth="1"/>
    <col min="7701" max="7701" width="3.44140625" style="13" customWidth="1"/>
    <col min="7702" max="7702" width="24.6640625" style="13" bestFit="1" customWidth="1"/>
    <col min="7703" max="7706" width="4.21875" style="13" bestFit="1" customWidth="1"/>
    <col min="7707" max="7710" width="4.21875" style="13" customWidth="1"/>
    <col min="7711" max="7711" width="3" style="13" customWidth="1"/>
    <col min="7712" max="7712" width="15.6640625" style="13" bestFit="1" customWidth="1"/>
    <col min="7713" max="7936" width="8.88671875" style="13"/>
    <col min="7937" max="7937" width="14.44140625" style="13" customWidth="1"/>
    <col min="7938" max="7938" width="4.21875" style="13" customWidth="1"/>
    <col min="7939" max="7939" width="20.109375" style="13" bestFit="1" customWidth="1"/>
    <col min="7940" max="7940" width="4.44140625" style="13" customWidth="1"/>
    <col min="7941" max="7941" width="5.6640625" style="13" customWidth="1"/>
    <col min="7942" max="7952" width="4.6640625" style="13" customWidth="1"/>
    <col min="7953" max="7953" width="3.44140625" style="13" customWidth="1"/>
    <col min="7954" max="7954" width="3.109375" style="13" customWidth="1"/>
    <col min="7955" max="7955" width="4" style="13" customWidth="1"/>
    <col min="7956" max="7956" width="3.88671875" style="13" customWidth="1"/>
    <col min="7957" max="7957" width="3.44140625" style="13" customWidth="1"/>
    <col min="7958" max="7958" width="24.6640625" style="13" bestFit="1" customWidth="1"/>
    <col min="7959" max="7962" width="4.21875" style="13" bestFit="1" customWidth="1"/>
    <col min="7963" max="7966" width="4.21875" style="13" customWidth="1"/>
    <col min="7967" max="7967" width="3" style="13" customWidth="1"/>
    <col min="7968" max="7968" width="15.6640625" style="13" bestFit="1" customWidth="1"/>
    <col min="7969" max="8192" width="8.88671875" style="13"/>
    <col min="8193" max="8193" width="14.44140625" style="13" customWidth="1"/>
    <col min="8194" max="8194" width="4.21875" style="13" customWidth="1"/>
    <col min="8195" max="8195" width="20.109375" style="13" bestFit="1" customWidth="1"/>
    <col min="8196" max="8196" width="4.44140625" style="13" customWidth="1"/>
    <col min="8197" max="8197" width="5.6640625" style="13" customWidth="1"/>
    <col min="8198" max="8208" width="4.6640625" style="13" customWidth="1"/>
    <col min="8209" max="8209" width="3.44140625" style="13" customWidth="1"/>
    <col min="8210" max="8210" width="3.109375" style="13" customWidth="1"/>
    <col min="8211" max="8211" width="4" style="13" customWidth="1"/>
    <col min="8212" max="8212" width="3.88671875" style="13" customWidth="1"/>
    <col min="8213" max="8213" width="3.44140625" style="13" customWidth="1"/>
    <col min="8214" max="8214" width="24.6640625" style="13" bestFit="1" customWidth="1"/>
    <col min="8215" max="8218" width="4.21875" style="13" bestFit="1" customWidth="1"/>
    <col min="8219" max="8222" width="4.21875" style="13" customWidth="1"/>
    <col min="8223" max="8223" width="3" style="13" customWidth="1"/>
    <col min="8224" max="8224" width="15.6640625" style="13" bestFit="1" customWidth="1"/>
    <col min="8225" max="8448" width="8.88671875" style="13"/>
    <col min="8449" max="8449" width="14.44140625" style="13" customWidth="1"/>
    <col min="8450" max="8450" width="4.21875" style="13" customWidth="1"/>
    <col min="8451" max="8451" width="20.109375" style="13" bestFit="1" customWidth="1"/>
    <col min="8452" max="8452" width="4.44140625" style="13" customWidth="1"/>
    <col min="8453" max="8453" width="5.6640625" style="13" customWidth="1"/>
    <col min="8454" max="8464" width="4.6640625" style="13" customWidth="1"/>
    <col min="8465" max="8465" width="3.44140625" style="13" customWidth="1"/>
    <col min="8466" max="8466" width="3.109375" style="13" customWidth="1"/>
    <col min="8467" max="8467" width="4" style="13" customWidth="1"/>
    <col min="8468" max="8468" width="3.88671875" style="13" customWidth="1"/>
    <col min="8469" max="8469" width="3.44140625" style="13" customWidth="1"/>
    <col min="8470" max="8470" width="24.6640625" style="13" bestFit="1" customWidth="1"/>
    <col min="8471" max="8474" width="4.21875" style="13" bestFit="1" customWidth="1"/>
    <col min="8475" max="8478" width="4.21875" style="13" customWidth="1"/>
    <col min="8479" max="8479" width="3" style="13" customWidth="1"/>
    <col min="8480" max="8480" width="15.6640625" style="13" bestFit="1" customWidth="1"/>
    <col min="8481" max="8704" width="8.88671875" style="13"/>
    <col min="8705" max="8705" width="14.44140625" style="13" customWidth="1"/>
    <col min="8706" max="8706" width="4.21875" style="13" customWidth="1"/>
    <col min="8707" max="8707" width="20.109375" style="13" bestFit="1" customWidth="1"/>
    <col min="8708" max="8708" width="4.44140625" style="13" customWidth="1"/>
    <col min="8709" max="8709" width="5.6640625" style="13" customWidth="1"/>
    <col min="8710" max="8720" width="4.6640625" style="13" customWidth="1"/>
    <col min="8721" max="8721" width="3.44140625" style="13" customWidth="1"/>
    <col min="8722" max="8722" width="3.109375" style="13" customWidth="1"/>
    <col min="8723" max="8723" width="4" style="13" customWidth="1"/>
    <col min="8724" max="8724" width="3.88671875" style="13" customWidth="1"/>
    <col min="8725" max="8725" width="3.44140625" style="13" customWidth="1"/>
    <col min="8726" max="8726" width="24.6640625" style="13" bestFit="1" customWidth="1"/>
    <col min="8727" max="8730" width="4.21875" style="13" bestFit="1" customWidth="1"/>
    <col min="8731" max="8734" width="4.21875" style="13" customWidth="1"/>
    <col min="8735" max="8735" width="3" style="13" customWidth="1"/>
    <col min="8736" max="8736" width="15.6640625" style="13" bestFit="1" customWidth="1"/>
    <col min="8737" max="8960" width="8.88671875" style="13"/>
    <col min="8961" max="8961" width="14.44140625" style="13" customWidth="1"/>
    <col min="8962" max="8962" width="4.21875" style="13" customWidth="1"/>
    <col min="8963" max="8963" width="20.109375" style="13" bestFit="1" customWidth="1"/>
    <col min="8964" max="8964" width="4.44140625" style="13" customWidth="1"/>
    <col min="8965" max="8965" width="5.6640625" style="13" customWidth="1"/>
    <col min="8966" max="8976" width="4.6640625" style="13" customWidth="1"/>
    <col min="8977" max="8977" width="3.44140625" style="13" customWidth="1"/>
    <col min="8978" max="8978" width="3.109375" style="13" customWidth="1"/>
    <col min="8979" max="8979" width="4" style="13" customWidth="1"/>
    <col min="8980" max="8980" width="3.88671875" style="13" customWidth="1"/>
    <col min="8981" max="8981" width="3.44140625" style="13" customWidth="1"/>
    <col min="8982" max="8982" width="24.6640625" style="13" bestFit="1" customWidth="1"/>
    <col min="8983" max="8986" width="4.21875" style="13" bestFit="1" customWidth="1"/>
    <col min="8987" max="8990" width="4.21875" style="13" customWidth="1"/>
    <col min="8991" max="8991" width="3" style="13" customWidth="1"/>
    <col min="8992" max="8992" width="15.6640625" style="13" bestFit="1" customWidth="1"/>
    <col min="8993" max="9216" width="8.88671875" style="13"/>
    <col min="9217" max="9217" width="14.44140625" style="13" customWidth="1"/>
    <col min="9218" max="9218" width="4.21875" style="13" customWidth="1"/>
    <col min="9219" max="9219" width="20.109375" style="13" bestFit="1" customWidth="1"/>
    <col min="9220" max="9220" width="4.44140625" style="13" customWidth="1"/>
    <col min="9221" max="9221" width="5.6640625" style="13" customWidth="1"/>
    <col min="9222" max="9232" width="4.6640625" style="13" customWidth="1"/>
    <col min="9233" max="9233" width="3.44140625" style="13" customWidth="1"/>
    <col min="9234" max="9234" width="3.109375" style="13" customWidth="1"/>
    <col min="9235" max="9235" width="4" style="13" customWidth="1"/>
    <col min="9236" max="9236" width="3.88671875" style="13" customWidth="1"/>
    <col min="9237" max="9237" width="3.44140625" style="13" customWidth="1"/>
    <col min="9238" max="9238" width="24.6640625" style="13" bestFit="1" customWidth="1"/>
    <col min="9239" max="9242" width="4.21875" style="13" bestFit="1" customWidth="1"/>
    <col min="9243" max="9246" width="4.21875" style="13" customWidth="1"/>
    <col min="9247" max="9247" width="3" style="13" customWidth="1"/>
    <col min="9248" max="9248" width="15.6640625" style="13" bestFit="1" customWidth="1"/>
    <col min="9249" max="9472" width="8.88671875" style="13"/>
    <col min="9473" max="9473" width="14.44140625" style="13" customWidth="1"/>
    <col min="9474" max="9474" width="4.21875" style="13" customWidth="1"/>
    <col min="9475" max="9475" width="20.109375" style="13" bestFit="1" customWidth="1"/>
    <col min="9476" max="9476" width="4.44140625" style="13" customWidth="1"/>
    <col min="9477" max="9477" width="5.6640625" style="13" customWidth="1"/>
    <col min="9478" max="9488" width="4.6640625" style="13" customWidth="1"/>
    <col min="9489" max="9489" width="3.44140625" style="13" customWidth="1"/>
    <col min="9490" max="9490" width="3.109375" style="13" customWidth="1"/>
    <col min="9491" max="9491" width="4" style="13" customWidth="1"/>
    <col min="9492" max="9492" width="3.88671875" style="13" customWidth="1"/>
    <col min="9493" max="9493" width="3.44140625" style="13" customWidth="1"/>
    <col min="9494" max="9494" width="24.6640625" style="13" bestFit="1" customWidth="1"/>
    <col min="9495" max="9498" width="4.21875" style="13" bestFit="1" customWidth="1"/>
    <col min="9499" max="9502" width="4.21875" style="13" customWidth="1"/>
    <col min="9503" max="9503" width="3" style="13" customWidth="1"/>
    <col min="9504" max="9504" width="15.6640625" style="13" bestFit="1" customWidth="1"/>
    <col min="9505" max="9728" width="8.88671875" style="13"/>
    <col min="9729" max="9729" width="14.44140625" style="13" customWidth="1"/>
    <col min="9730" max="9730" width="4.21875" style="13" customWidth="1"/>
    <col min="9731" max="9731" width="20.109375" style="13" bestFit="1" customWidth="1"/>
    <col min="9732" max="9732" width="4.44140625" style="13" customWidth="1"/>
    <col min="9733" max="9733" width="5.6640625" style="13" customWidth="1"/>
    <col min="9734" max="9744" width="4.6640625" style="13" customWidth="1"/>
    <col min="9745" max="9745" width="3.44140625" style="13" customWidth="1"/>
    <col min="9746" max="9746" width="3.109375" style="13" customWidth="1"/>
    <col min="9747" max="9747" width="4" style="13" customWidth="1"/>
    <col min="9748" max="9748" width="3.88671875" style="13" customWidth="1"/>
    <col min="9749" max="9749" width="3.44140625" style="13" customWidth="1"/>
    <col min="9750" max="9750" width="24.6640625" style="13" bestFit="1" customWidth="1"/>
    <col min="9751" max="9754" width="4.21875" style="13" bestFit="1" customWidth="1"/>
    <col min="9755" max="9758" width="4.21875" style="13" customWidth="1"/>
    <col min="9759" max="9759" width="3" style="13" customWidth="1"/>
    <col min="9760" max="9760" width="15.6640625" style="13" bestFit="1" customWidth="1"/>
    <col min="9761" max="9984" width="8.88671875" style="13"/>
    <col min="9985" max="9985" width="14.44140625" style="13" customWidth="1"/>
    <col min="9986" max="9986" width="4.21875" style="13" customWidth="1"/>
    <col min="9987" max="9987" width="20.109375" style="13" bestFit="1" customWidth="1"/>
    <col min="9988" max="9988" width="4.44140625" style="13" customWidth="1"/>
    <col min="9989" max="9989" width="5.6640625" style="13" customWidth="1"/>
    <col min="9990" max="10000" width="4.6640625" style="13" customWidth="1"/>
    <col min="10001" max="10001" width="3.44140625" style="13" customWidth="1"/>
    <col min="10002" max="10002" width="3.109375" style="13" customWidth="1"/>
    <col min="10003" max="10003" width="4" style="13" customWidth="1"/>
    <col min="10004" max="10004" width="3.88671875" style="13" customWidth="1"/>
    <col min="10005" max="10005" width="3.44140625" style="13" customWidth="1"/>
    <col min="10006" max="10006" width="24.6640625" style="13" bestFit="1" customWidth="1"/>
    <col min="10007" max="10010" width="4.21875" style="13" bestFit="1" customWidth="1"/>
    <col min="10011" max="10014" width="4.21875" style="13" customWidth="1"/>
    <col min="10015" max="10015" width="3" style="13" customWidth="1"/>
    <col min="10016" max="10016" width="15.6640625" style="13" bestFit="1" customWidth="1"/>
    <col min="10017" max="10240" width="8.88671875" style="13"/>
    <col min="10241" max="10241" width="14.44140625" style="13" customWidth="1"/>
    <col min="10242" max="10242" width="4.21875" style="13" customWidth="1"/>
    <col min="10243" max="10243" width="20.109375" style="13" bestFit="1" customWidth="1"/>
    <col min="10244" max="10244" width="4.44140625" style="13" customWidth="1"/>
    <col min="10245" max="10245" width="5.6640625" style="13" customWidth="1"/>
    <col min="10246" max="10256" width="4.6640625" style="13" customWidth="1"/>
    <col min="10257" max="10257" width="3.44140625" style="13" customWidth="1"/>
    <col min="10258" max="10258" width="3.109375" style="13" customWidth="1"/>
    <col min="10259" max="10259" width="4" style="13" customWidth="1"/>
    <col min="10260" max="10260" width="3.88671875" style="13" customWidth="1"/>
    <col min="10261" max="10261" width="3.44140625" style="13" customWidth="1"/>
    <col min="10262" max="10262" width="24.6640625" style="13" bestFit="1" customWidth="1"/>
    <col min="10263" max="10266" width="4.21875" style="13" bestFit="1" customWidth="1"/>
    <col min="10267" max="10270" width="4.21875" style="13" customWidth="1"/>
    <col min="10271" max="10271" width="3" style="13" customWidth="1"/>
    <col min="10272" max="10272" width="15.6640625" style="13" bestFit="1" customWidth="1"/>
    <col min="10273" max="10496" width="8.88671875" style="13"/>
    <col min="10497" max="10497" width="14.44140625" style="13" customWidth="1"/>
    <col min="10498" max="10498" width="4.21875" style="13" customWidth="1"/>
    <col min="10499" max="10499" width="20.109375" style="13" bestFit="1" customWidth="1"/>
    <col min="10500" max="10500" width="4.44140625" style="13" customWidth="1"/>
    <col min="10501" max="10501" width="5.6640625" style="13" customWidth="1"/>
    <col min="10502" max="10512" width="4.6640625" style="13" customWidth="1"/>
    <col min="10513" max="10513" width="3.44140625" style="13" customWidth="1"/>
    <col min="10514" max="10514" width="3.109375" style="13" customWidth="1"/>
    <col min="10515" max="10515" width="4" style="13" customWidth="1"/>
    <col min="10516" max="10516" width="3.88671875" style="13" customWidth="1"/>
    <col min="10517" max="10517" width="3.44140625" style="13" customWidth="1"/>
    <col min="10518" max="10518" width="24.6640625" style="13" bestFit="1" customWidth="1"/>
    <col min="10519" max="10522" width="4.21875" style="13" bestFit="1" customWidth="1"/>
    <col min="10523" max="10526" width="4.21875" style="13" customWidth="1"/>
    <col min="10527" max="10527" width="3" style="13" customWidth="1"/>
    <col min="10528" max="10528" width="15.6640625" style="13" bestFit="1" customWidth="1"/>
    <col min="10529" max="10752" width="8.88671875" style="13"/>
    <col min="10753" max="10753" width="14.44140625" style="13" customWidth="1"/>
    <col min="10754" max="10754" width="4.21875" style="13" customWidth="1"/>
    <col min="10755" max="10755" width="20.109375" style="13" bestFit="1" customWidth="1"/>
    <col min="10756" max="10756" width="4.44140625" style="13" customWidth="1"/>
    <col min="10757" max="10757" width="5.6640625" style="13" customWidth="1"/>
    <col min="10758" max="10768" width="4.6640625" style="13" customWidth="1"/>
    <col min="10769" max="10769" width="3.44140625" style="13" customWidth="1"/>
    <col min="10770" max="10770" width="3.109375" style="13" customWidth="1"/>
    <col min="10771" max="10771" width="4" style="13" customWidth="1"/>
    <col min="10772" max="10772" width="3.88671875" style="13" customWidth="1"/>
    <col min="10773" max="10773" width="3.44140625" style="13" customWidth="1"/>
    <col min="10774" max="10774" width="24.6640625" style="13" bestFit="1" customWidth="1"/>
    <col min="10775" max="10778" width="4.21875" style="13" bestFit="1" customWidth="1"/>
    <col min="10779" max="10782" width="4.21875" style="13" customWidth="1"/>
    <col min="10783" max="10783" width="3" style="13" customWidth="1"/>
    <col min="10784" max="10784" width="15.6640625" style="13" bestFit="1" customWidth="1"/>
    <col min="10785" max="11008" width="8.88671875" style="13"/>
    <col min="11009" max="11009" width="14.44140625" style="13" customWidth="1"/>
    <col min="11010" max="11010" width="4.21875" style="13" customWidth="1"/>
    <col min="11011" max="11011" width="20.109375" style="13" bestFit="1" customWidth="1"/>
    <col min="11012" max="11012" width="4.44140625" style="13" customWidth="1"/>
    <col min="11013" max="11013" width="5.6640625" style="13" customWidth="1"/>
    <col min="11014" max="11024" width="4.6640625" style="13" customWidth="1"/>
    <col min="11025" max="11025" width="3.44140625" style="13" customWidth="1"/>
    <col min="11026" max="11026" width="3.109375" style="13" customWidth="1"/>
    <col min="11027" max="11027" width="4" style="13" customWidth="1"/>
    <col min="11028" max="11028" width="3.88671875" style="13" customWidth="1"/>
    <col min="11029" max="11029" width="3.44140625" style="13" customWidth="1"/>
    <col min="11030" max="11030" width="24.6640625" style="13" bestFit="1" customWidth="1"/>
    <col min="11031" max="11034" width="4.21875" style="13" bestFit="1" customWidth="1"/>
    <col min="11035" max="11038" width="4.21875" style="13" customWidth="1"/>
    <col min="11039" max="11039" width="3" style="13" customWidth="1"/>
    <col min="11040" max="11040" width="15.6640625" style="13" bestFit="1" customWidth="1"/>
    <col min="11041" max="11264" width="8.88671875" style="13"/>
    <col min="11265" max="11265" width="14.44140625" style="13" customWidth="1"/>
    <col min="11266" max="11266" width="4.21875" style="13" customWidth="1"/>
    <col min="11267" max="11267" width="20.109375" style="13" bestFit="1" customWidth="1"/>
    <col min="11268" max="11268" width="4.44140625" style="13" customWidth="1"/>
    <col min="11269" max="11269" width="5.6640625" style="13" customWidth="1"/>
    <col min="11270" max="11280" width="4.6640625" style="13" customWidth="1"/>
    <col min="11281" max="11281" width="3.44140625" style="13" customWidth="1"/>
    <col min="11282" max="11282" width="3.109375" style="13" customWidth="1"/>
    <col min="11283" max="11283" width="4" style="13" customWidth="1"/>
    <col min="11284" max="11284" width="3.88671875" style="13" customWidth="1"/>
    <col min="11285" max="11285" width="3.44140625" style="13" customWidth="1"/>
    <col min="11286" max="11286" width="24.6640625" style="13" bestFit="1" customWidth="1"/>
    <col min="11287" max="11290" width="4.21875" style="13" bestFit="1" customWidth="1"/>
    <col min="11291" max="11294" width="4.21875" style="13" customWidth="1"/>
    <col min="11295" max="11295" width="3" style="13" customWidth="1"/>
    <col min="11296" max="11296" width="15.6640625" style="13" bestFit="1" customWidth="1"/>
    <col min="11297" max="11520" width="8.88671875" style="13"/>
    <col min="11521" max="11521" width="14.44140625" style="13" customWidth="1"/>
    <col min="11522" max="11522" width="4.21875" style="13" customWidth="1"/>
    <col min="11523" max="11523" width="20.109375" style="13" bestFit="1" customWidth="1"/>
    <col min="11524" max="11524" width="4.44140625" style="13" customWidth="1"/>
    <col min="11525" max="11525" width="5.6640625" style="13" customWidth="1"/>
    <col min="11526" max="11536" width="4.6640625" style="13" customWidth="1"/>
    <col min="11537" max="11537" width="3.44140625" style="13" customWidth="1"/>
    <col min="11538" max="11538" width="3.109375" style="13" customWidth="1"/>
    <col min="11539" max="11539" width="4" style="13" customWidth="1"/>
    <col min="11540" max="11540" width="3.88671875" style="13" customWidth="1"/>
    <col min="11541" max="11541" width="3.44140625" style="13" customWidth="1"/>
    <col min="11542" max="11542" width="24.6640625" style="13" bestFit="1" customWidth="1"/>
    <col min="11543" max="11546" width="4.21875" style="13" bestFit="1" customWidth="1"/>
    <col min="11547" max="11550" width="4.21875" style="13" customWidth="1"/>
    <col min="11551" max="11551" width="3" style="13" customWidth="1"/>
    <col min="11552" max="11552" width="15.6640625" style="13" bestFit="1" customWidth="1"/>
    <col min="11553" max="11776" width="8.88671875" style="13"/>
    <col min="11777" max="11777" width="14.44140625" style="13" customWidth="1"/>
    <col min="11778" max="11778" width="4.21875" style="13" customWidth="1"/>
    <col min="11779" max="11779" width="20.109375" style="13" bestFit="1" customWidth="1"/>
    <col min="11780" max="11780" width="4.44140625" style="13" customWidth="1"/>
    <col min="11781" max="11781" width="5.6640625" style="13" customWidth="1"/>
    <col min="11782" max="11792" width="4.6640625" style="13" customWidth="1"/>
    <col min="11793" max="11793" width="3.44140625" style="13" customWidth="1"/>
    <col min="11794" max="11794" width="3.109375" style="13" customWidth="1"/>
    <col min="11795" max="11795" width="4" style="13" customWidth="1"/>
    <col min="11796" max="11796" width="3.88671875" style="13" customWidth="1"/>
    <col min="11797" max="11797" width="3.44140625" style="13" customWidth="1"/>
    <col min="11798" max="11798" width="24.6640625" style="13" bestFit="1" customWidth="1"/>
    <col min="11799" max="11802" width="4.21875" style="13" bestFit="1" customWidth="1"/>
    <col min="11803" max="11806" width="4.21875" style="13" customWidth="1"/>
    <col min="11807" max="11807" width="3" style="13" customWidth="1"/>
    <col min="11808" max="11808" width="15.6640625" style="13" bestFit="1" customWidth="1"/>
    <col min="11809" max="12032" width="8.88671875" style="13"/>
    <col min="12033" max="12033" width="14.44140625" style="13" customWidth="1"/>
    <col min="12034" max="12034" width="4.21875" style="13" customWidth="1"/>
    <col min="12035" max="12035" width="20.109375" style="13" bestFit="1" customWidth="1"/>
    <col min="12036" max="12036" width="4.44140625" style="13" customWidth="1"/>
    <col min="12037" max="12037" width="5.6640625" style="13" customWidth="1"/>
    <col min="12038" max="12048" width="4.6640625" style="13" customWidth="1"/>
    <col min="12049" max="12049" width="3.44140625" style="13" customWidth="1"/>
    <col min="12050" max="12050" width="3.109375" style="13" customWidth="1"/>
    <col min="12051" max="12051" width="4" style="13" customWidth="1"/>
    <col min="12052" max="12052" width="3.88671875" style="13" customWidth="1"/>
    <col min="12053" max="12053" width="3.44140625" style="13" customWidth="1"/>
    <col min="12054" max="12054" width="24.6640625" style="13" bestFit="1" customWidth="1"/>
    <col min="12055" max="12058" width="4.21875" style="13" bestFit="1" customWidth="1"/>
    <col min="12059" max="12062" width="4.21875" style="13" customWidth="1"/>
    <col min="12063" max="12063" width="3" style="13" customWidth="1"/>
    <col min="12064" max="12064" width="15.6640625" style="13" bestFit="1" customWidth="1"/>
    <col min="12065" max="12288" width="8.88671875" style="13"/>
    <col min="12289" max="12289" width="14.44140625" style="13" customWidth="1"/>
    <col min="12290" max="12290" width="4.21875" style="13" customWidth="1"/>
    <col min="12291" max="12291" width="20.109375" style="13" bestFit="1" customWidth="1"/>
    <col min="12292" max="12292" width="4.44140625" style="13" customWidth="1"/>
    <col min="12293" max="12293" width="5.6640625" style="13" customWidth="1"/>
    <col min="12294" max="12304" width="4.6640625" style="13" customWidth="1"/>
    <col min="12305" max="12305" width="3.44140625" style="13" customWidth="1"/>
    <col min="12306" max="12306" width="3.109375" style="13" customWidth="1"/>
    <col min="12307" max="12307" width="4" style="13" customWidth="1"/>
    <col min="12308" max="12308" width="3.88671875" style="13" customWidth="1"/>
    <col min="12309" max="12309" width="3.44140625" style="13" customWidth="1"/>
    <col min="12310" max="12310" width="24.6640625" style="13" bestFit="1" customWidth="1"/>
    <col min="12311" max="12314" width="4.21875" style="13" bestFit="1" customWidth="1"/>
    <col min="12315" max="12318" width="4.21875" style="13" customWidth="1"/>
    <col min="12319" max="12319" width="3" style="13" customWidth="1"/>
    <col min="12320" max="12320" width="15.6640625" style="13" bestFit="1" customWidth="1"/>
    <col min="12321" max="12544" width="8.88671875" style="13"/>
    <col min="12545" max="12545" width="14.44140625" style="13" customWidth="1"/>
    <col min="12546" max="12546" width="4.21875" style="13" customWidth="1"/>
    <col min="12547" max="12547" width="20.109375" style="13" bestFit="1" customWidth="1"/>
    <col min="12548" max="12548" width="4.44140625" style="13" customWidth="1"/>
    <col min="12549" max="12549" width="5.6640625" style="13" customWidth="1"/>
    <col min="12550" max="12560" width="4.6640625" style="13" customWidth="1"/>
    <col min="12561" max="12561" width="3.44140625" style="13" customWidth="1"/>
    <col min="12562" max="12562" width="3.109375" style="13" customWidth="1"/>
    <col min="12563" max="12563" width="4" style="13" customWidth="1"/>
    <col min="12564" max="12564" width="3.88671875" style="13" customWidth="1"/>
    <col min="12565" max="12565" width="3.44140625" style="13" customWidth="1"/>
    <col min="12566" max="12566" width="24.6640625" style="13" bestFit="1" customWidth="1"/>
    <col min="12567" max="12570" width="4.21875" style="13" bestFit="1" customWidth="1"/>
    <col min="12571" max="12574" width="4.21875" style="13" customWidth="1"/>
    <col min="12575" max="12575" width="3" style="13" customWidth="1"/>
    <col min="12576" max="12576" width="15.6640625" style="13" bestFit="1" customWidth="1"/>
    <col min="12577" max="12800" width="8.88671875" style="13"/>
    <col min="12801" max="12801" width="14.44140625" style="13" customWidth="1"/>
    <col min="12802" max="12802" width="4.21875" style="13" customWidth="1"/>
    <col min="12803" max="12803" width="20.109375" style="13" bestFit="1" customWidth="1"/>
    <col min="12804" max="12804" width="4.44140625" style="13" customWidth="1"/>
    <col min="12805" max="12805" width="5.6640625" style="13" customWidth="1"/>
    <col min="12806" max="12816" width="4.6640625" style="13" customWidth="1"/>
    <col min="12817" max="12817" width="3.44140625" style="13" customWidth="1"/>
    <col min="12818" max="12818" width="3.109375" style="13" customWidth="1"/>
    <col min="12819" max="12819" width="4" style="13" customWidth="1"/>
    <col min="12820" max="12820" width="3.88671875" style="13" customWidth="1"/>
    <col min="12821" max="12821" width="3.44140625" style="13" customWidth="1"/>
    <col min="12822" max="12822" width="24.6640625" style="13" bestFit="1" customWidth="1"/>
    <col min="12823" max="12826" width="4.21875" style="13" bestFit="1" customWidth="1"/>
    <col min="12827" max="12830" width="4.21875" style="13" customWidth="1"/>
    <col min="12831" max="12831" width="3" style="13" customWidth="1"/>
    <col min="12832" max="12832" width="15.6640625" style="13" bestFit="1" customWidth="1"/>
    <col min="12833" max="13056" width="8.88671875" style="13"/>
    <col min="13057" max="13057" width="14.44140625" style="13" customWidth="1"/>
    <col min="13058" max="13058" width="4.21875" style="13" customWidth="1"/>
    <col min="13059" max="13059" width="20.109375" style="13" bestFit="1" customWidth="1"/>
    <col min="13060" max="13060" width="4.44140625" style="13" customWidth="1"/>
    <col min="13061" max="13061" width="5.6640625" style="13" customWidth="1"/>
    <col min="13062" max="13072" width="4.6640625" style="13" customWidth="1"/>
    <col min="13073" max="13073" width="3.44140625" style="13" customWidth="1"/>
    <col min="13074" max="13074" width="3.109375" style="13" customWidth="1"/>
    <col min="13075" max="13075" width="4" style="13" customWidth="1"/>
    <col min="13076" max="13076" width="3.88671875" style="13" customWidth="1"/>
    <col min="13077" max="13077" width="3.44140625" style="13" customWidth="1"/>
    <col min="13078" max="13078" width="24.6640625" style="13" bestFit="1" customWidth="1"/>
    <col min="13079" max="13082" width="4.21875" style="13" bestFit="1" customWidth="1"/>
    <col min="13083" max="13086" width="4.21875" style="13" customWidth="1"/>
    <col min="13087" max="13087" width="3" style="13" customWidth="1"/>
    <col min="13088" max="13088" width="15.6640625" style="13" bestFit="1" customWidth="1"/>
    <col min="13089" max="13312" width="8.88671875" style="13"/>
    <col min="13313" max="13313" width="14.44140625" style="13" customWidth="1"/>
    <col min="13314" max="13314" width="4.21875" style="13" customWidth="1"/>
    <col min="13315" max="13315" width="20.109375" style="13" bestFit="1" customWidth="1"/>
    <col min="13316" max="13316" width="4.44140625" style="13" customWidth="1"/>
    <col min="13317" max="13317" width="5.6640625" style="13" customWidth="1"/>
    <col min="13318" max="13328" width="4.6640625" style="13" customWidth="1"/>
    <col min="13329" max="13329" width="3.44140625" style="13" customWidth="1"/>
    <col min="13330" max="13330" width="3.109375" style="13" customWidth="1"/>
    <col min="13331" max="13331" width="4" style="13" customWidth="1"/>
    <col min="13332" max="13332" width="3.88671875" style="13" customWidth="1"/>
    <col min="13333" max="13333" width="3.44140625" style="13" customWidth="1"/>
    <col min="13334" max="13334" width="24.6640625" style="13" bestFit="1" customWidth="1"/>
    <col min="13335" max="13338" width="4.21875" style="13" bestFit="1" customWidth="1"/>
    <col min="13339" max="13342" width="4.21875" style="13" customWidth="1"/>
    <col min="13343" max="13343" width="3" style="13" customWidth="1"/>
    <col min="13344" max="13344" width="15.6640625" style="13" bestFit="1" customWidth="1"/>
    <col min="13345" max="13568" width="8.88671875" style="13"/>
    <col min="13569" max="13569" width="14.44140625" style="13" customWidth="1"/>
    <col min="13570" max="13570" width="4.21875" style="13" customWidth="1"/>
    <col min="13571" max="13571" width="20.109375" style="13" bestFit="1" customWidth="1"/>
    <col min="13572" max="13572" width="4.44140625" style="13" customWidth="1"/>
    <col min="13573" max="13573" width="5.6640625" style="13" customWidth="1"/>
    <col min="13574" max="13584" width="4.6640625" style="13" customWidth="1"/>
    <col min="13585" max="13585" width="3.44140625" style="13" customWidth="1"/>
    <col min="13586" max="13586" width="3.109375" style="13" customWidth="1"/>
    <col min="13587" max="13587" width="4" style="13" customWidth="1"/>
    <col min="13588" max="13588" width="3.88671875" style="13" customWidth="1"/>
    <col min="13589" max="13589" width="3.44140625" style="13" customWidth="1"/>
    <col min="13590" max="13590" width="24.6640625" style="13" bestFit="1" customWidth="1"/>
    <col min="13591" max="13594" width="4.21875" style="13" bestFit="1" customWidth="1"/>
    <col min="13595" max="13598" width="4.21875" style="13" customWidth="1"/>
    <col min="13599" max="13599" width="3" style="13" customWidth="1"/>
    <col min="13600" max="13600" width="15.6640625" style="13" bestFit="1" customWidth="1"/>
    <col min="13601" max="13824" width="8.88671875" style="13"/>
    <col min="13825" max="13825" width="14.44140625" style="13" customWidth="1"/>
    <col min="13826" max="13826" width="4.21875" style="13" customWidth="1"/>
    <col min="13827" max="13827" width="20.109375" style="13" bestFit="1" customWidth="1"/>
    <col min="13828" max="13828" width="4.44140625" style="13" customWidth="1"/>
    <col min="13829" max="13829" width="5.6640625" style="13" customWidth="1"/>
    <col min="13830" max="13840" width="4.6640625" style="13" customWidth="1"/>
    <col min="13841" max="13841" width="3.44140625" style="13" customWidth="1"/>
    <col min="13842" max="13842" width="3.109375" style="13" customWidth="1"/>
    <col min="13843" max="13843" width="4" style="13" customWidth="1"/>
    <col min="13844" max="13844" width="3.88671875" style="13" customWidth="1"/>
    <col min="13845" max="13845" width="3.44140625" style="13" customWidth="1"/>
    <col min="13846" max="13846" width="24.6640625" style="13" bestFit="1" customWidth="1"/>
    <col min="13847" max="13850" width="4.21875" style="13" bestFit="1" customWidth="1"/>
    <col min="13851" max="13854" width="4.21875" style="13" customWidth="1"/>
    <col min="13855" max="13855" width="3" style="13" customWidth="1"/>
    <col min="13856" max="13856" width="15.6640625" style="13" bestFit="1" customWidth="1"/>
    <col min="13857" max="14080" width="8.88671875" style="13"/>
    <col min="14081" max="14081" width="14.44140625" style="13" customWidth="1"/>
    <col min="14082" max="14082" width="4.21875" style="13" customWidth="1"/>
    <col min="14083" max="14083" width="20.109375" style="13" bestFit="1" customWidth="1"/>
    <col min="14084" max="14084" width="4.44140625" style="13" customWidth="1"/>
    <col min="14085" max="14085" width="5.6640625" style="13" customWidth="1"/>
    <col min="14086" max="14096" width="4.6640625" style="13" customWidth="1"/>
    <col min="14097" max="14097" width="3.44140625" style="13" customWidth="1"/>
    <col min="14098" max="14098" width="3.109375" style="13" customWidth="1"/>
    <col min="14099" max="14099" width="4" style="13" customWidth="1"/>
    <col min="14100" max="14100" width="3.88671875" style="13" customWidth="1"/>
    <col min="14101" max="14101" width="3.44140625" style="13" customWidth="1"/>
    <col min="14102" max="14102" width="24.6640625" style="13" bestFit="1" customWidth="1"/>
    <col min="14103" max="14106" width="4.21875" style="13" bestFit="1" customWidth="1"/>
    <col min="14107" max="14110" width="4.21875" style="13" customWidth="1"/>
    <col min="14111" max="14111" width="3" style="13" customWidth="1"/>
    <col min="14112" max="14112" width="15.6640625" style="13" bestFit="1" customWidth="1"/>
    <col min="14113" max="14336" width="8.88671875" style="13"/>
    <col min="14337" max="14337" width="14.44140625" style="13" customWidth="1"/>
    <col min="14338" max="14338" width="4.21875" style="13" customWidth="1"/>
    <col min="14339" max="14339" width="20.109375" style="13" bestFit="1" customWidth="1"/>
    <col min="14340" max="14340" width="4.44140625" style="13" customWidth="1"/>
    <col min="14341" max="14341" width="5.6640625" style="13" customWidth="1"/>
    <col min="14342" max="14352" width="4.6640625" style="13" customWidth="1"/>
    <col min="14353" max="14353" width="3.44140625" style="13" customWidth="1"/>
    <col min="14354" max="14354" width="3.109375" style="13" customWidth="1"/>
    <col min="14355" max="14355" width="4" style="13" customWidth="1"/>
    <col min="14356" max="14356" width="3.88671875" style="13" customWidth="1"/>
    <col min="14357" max="14357" width="3.44140625" style="13" customWidth="1"/>
    <col min="14358" max="14358" width="24.6640625" style="13" bestFit="1" customWidth="1"/>
    <col min="14359" max="14362" width="4.21875" style="13" bestFit="1" customWidth="1"/>
    <col min="14363" max="14366" width="4.21875" style="13" customWidth="1"/>
    <col min="14367" max="14367" width="3" style="13" customWidth="1"/>
    <col min="14368" max="14368" width="15.6640625" style="13" bestFit="1" customWidth="1"/>
    <col min="14369" max="14592" width="8.88671875" style="13"/>
    <col min="14593" max="14593" width="14.44140625" style="13" customWidth="1"/>
    <col min="14594" max="14594" width="4.21875" style="13" customWidth="1"/>
    <col min="14595" max="14595" width="20.109375" style="13" bestFit="1" customWidth="1"/>
    <col min="14596" max="14596" width="4.44140625" style="13" customWidth="1"/>
    <col min="14597" max="14597" width="5.6640625" style="13" customWidth="1"/>
    <col min="14598" max="14608" width="4.6640625" style="13" customWidth="1"/>
    <col min="14609" max="14609" width="3.44140625" style="13" customWidth="1"/>
    <col min="14610" max="14610" width="3.109375" style="13" customWidth="1"/>
    <col min="14611" max="14611" width="4" style="13" customWidth="1"/>
    <col min="14612" max="14612" width="3.88671875" style="13" customWidth="1"/>
    <col min="14613" max="14613" width="3.44140625" style="13" customWidth="1"/>
    <col min="14614" max="14614" width="24.6640625" style="13" bestFit="1" customWidth="1"/>
    <col min="14615" max="14618" width="4.21875" style="13" bestFit="1" customWidth="1"/>
    <col min="14619" max="14622" width="4.21875" style="13" customWidth="1"/>
    <col min="14623" max="14623" width="3" style="13" customWidth="1"/>
    <col min="14624" max="14624" width="15.6640625" style="13" bestFit="1" customWidth="1"/>
    <col min="14625" max="14848" width="8.88671875" style="13"/>
    <col min="14849" max="14849" width="14.44140625" style="13" customWidth="1"/>
    <col min="14850" max="14850" width="4.21875" style="13" customWidth="1"/>
    <col min="14851" max="14851" width="20.109375" style="13" bestFit="1" customWidth="1"/>
    <col min="14852" max="14852" width="4.44140625" style="13" customWidth="1"/>
    <col min="14853" max="14853" width="5.6640625" style="13" customWidth="1"/>
    <col min="14854" max="14864" width="4.6640625" style="13" customWidth="1"/>
    <col min="14865" max="14865" width="3.44140625" style="13" customWidth="1"/>
    <col min="14866" max="14866" width="3.109375" style="13" customWidth="1"/>
    <col min="14867" max="14867" width="4" style="13" customWidth="1"/>
    <col min="14868" max="14868" width="3.88671875" style="13" customWidth="1"/>
    <col min="14869" max="14869" width="3.44140625" style="13" customWidth="1"/>
    <col min="14870" max="14870" width="24.6640625" style="13" bestFit="1" customWidth="1"/>
    <col min="14871" max="14874" width="4.21875" style="13" bestFit="1" customWidth="1"/>
    <col min="14875" max="14878" width="4.21875" style="13" customWidth="1"/>
    <col min="14879" max="14879" width="3" style="13" customWidth="1"/>
    <col min="14880" max="14880" width="15.6640625" style="13" bestFit="1" customWidth="1"/>
    <col min="14881" max="15104" width="8.88671875" style="13"/>
    <col min="15105" max="15105" width="14.44140625" style="13" customWidth="1"/>
    <col min="15106" max="15106" width="4.21875" style="13" customWidth="1"/>
    <col min="15107" max="15107" width="20.109375" style="13" bestFit="1" customWidth="1"/>
    <col min="15108" max="15108" width="4.44140625" style="13" customWidth="1"/>
    <col min="15109" max="15109" width="5.6640625" style="13" customWidth="1"/>
    <col min="15110" max="15120" width="4.6640625" style="13" customWidth="1"/>
    <col min="15121" max="15121" width="3.44140625" style="13" customWidth="1"/>
    <col min="15122" max="15122" width="3.109375" style="13" customWidth="1"/>
    <col min="15123" max="15123" width="4" style="13" customWidth="1"/>
    <col min="15124" max="15124" width="3.88671875" style="13" customWidth="1"/>
    <col min="15125" max="15125" width="3.44140625" style="13" customWidth="1"/>
    <col min="15126" max="15126" width="24.6640625" style="13" bestFit="1" customWidth="1"/>
    <col min="15127" max="15130" width="4.21875" style="13" bestFit="1" customWidth="1"/>
    <col min="15131" max="15134" width="4.21875" style="13" customWidth="1"/>
    <col min="15135" max="15135" width="3" style="13" customWidth="1"/>
    <col min="15136" max="15136" width="15.6640625" style="13" bestFit="1" customWidth="1"/>
    <col min="15137" max="15360" width="8.88671875" style="13"/>
    <col min="15361" max="15361" width="14.44140625" style="13" customWidth="1"/>
    <col min="15362" max="15362" width="4.21875" style="13" customWidth="1"/>
    <col min="15363" max="15363" width="20.109375" style="13" bestFit="1" customWidth="1"/>
    <col min="15364" max="15364" width="4.44140625" style="13" customWidth="1"/>
    <col min="15365" max="15365" width="5.6640625" style="13" customWidth="1"/>
    <col min="15366" max="15376" width="4.6640625" style="13" customWidth="1"/>
    <col min="15377" max="15377" width="3.44140625" style="13" customWidth="1"/>
    <col min="15378" max="15378" width="3.109375" style="13" customWidth="1"/>
    <col min="15379" max="15379" width="4" style="13" customWidth="1"/>
    <col min="15380" max="15380" width="3.88671875" style="13" customWidth="1"/>
    <col min="15381" max="15381" width="3.44140625" style="13" customWidth="1"/>
    <col min="15382" max="15382" width="24.6640625" style="13" bestFit="1" customWidth="1"/>
    <col min="15383" max="15386" width="4.21875" style="13" bestFit="1" customWidth="1"/>
    <col min="15387" max="15390" width="4.21875" style="13" customWidth="1"/>
    <col min="15391" max="15391" width="3" style="13" customWidth="1"/>
    <col min="15392" max="15392" width="15.6640625" style="13" bestFit="1" customWidth="1"/>
    <col min="15393" max="15616" width="8.88671875" style="13"/>
    <col min="15617" max="15617" width="14.44140625" style="13" customWidth="1"/>
    <col min="15618" max="15618" width="4.21875" style="13" customWidth="1"/>
    <col min="15619" max="15619" width="20.109375" style="13" bestFit="1" customWidth="1"/>
    <col min="15620" max="15620" width="4.44140625" style="13" customWidth="1"/>
    <col min="15621" max="15621" width="5.6640625" style="13" customWidth="1"/>
    <col min="15622" max="15632" width="4.6640625" style="13" customWidth="1"/>
    <col min="15633" max="15633" width="3.44140625" style="13" customWidth="1"/>
    <col min="15634" max="15634" width="3.109375" style="13" customWidth="1"/>
    <col min="15635" max="15635" width="4" style="13" customWidth="1"/>
    <col min="15636" max="15636" width="3.88671875" style="13" customWidth="1"/>
    <col min="15637" max="15637" width="3.44140625" style="13" customWidth="1"/>
    <col min="15638" max="15638" width="24.6640625" style="13" bestFit="1" customWidth="1"/>
    <col min="15639" max="15642" width="4.21875" style="13" bestFit="1" customWidth="1"/>
    <col min="15643" max="15646" width="4.21875" style="13" customWidth="1"/>
    <col min="15647" max="15647" width="3" style="13" customWidth="1"/>
    <col min="15648" max="15648" width="15.6640625" style="13" bestFit="1" customWidth="1"/>
    <col min="15649" max="15872" width="8.88671875" style="13"/>
    <col min="15873" max="15873" width="14.44140625" style="13" customWidth="1"/>
    <col min="15874" max="15874" width="4.21875" style="13" customWidth="1"/>
    <col min="15875" max="15875" width="20.109375" style="13" bestFit="1" customWidth="1"/>
    <col min="15876" max="15876" width="4.44140625" style="13" customWidth="1"/>
    <col min="15877" max="15877" width="5.6640625" style="13" customWidth="1"/>
    <col min="15878" max="15888" width="4.6640625" style="13" customWidth="1"/>
    <col min="15889" max="15889" width="3.44140625" style="13" customWidth="1"/>
    <col min="15890" max="15890" width="3.109375" style="13" customWidth="1"/>
    <col min="15891" max="15891" width="4" style="13" customWidth="1"/>
    <col min="15892" max="15892" width="3.88671875" style="13" customWidth="1"/>
    <col min="15893" max="15893" width="3.44140625" style="13" customWidth="1"/>
    <col min="15894" max="15894" width="24.6640625" style="13" bestFit="1" customWidth="1"/>
    <col min="15895" max="15898" width="4.21875" style="13" bestFit="1" customWidth="1"/>
    <col min="15899" max="15902" width="4.21875" style="13" customWidth="1"/>
    <col min="15903" max="15903" width="3" style="13" customWidth="1"/>
    <col min="15904" max="15904" width="15.6640625" style="13" bestFit="1" customWidth="1"/>
    <col min="15905" max="16128" width="8.88671875" style="13"/>
    <col min="16129" max="16129" width="14.44140625" style="13" customWidth="1"/>
    <col min="16130" max="16130" width="4.21875" style="13" customWidth="1"/>
    <col min="16131" max="16131" width="20.109375" style="13" bestFit="1" customWidth="1"/>
    <col min="16132" max="16132" width="4.44140625" style="13" customWidth="1"/>
    <col min="16133" max="16133" width="5.6640625" style="13" customWidth="1"/>
    <col min="16134" max="16144" width="4.6640625" style="13" customWidth="1"/>
    <col min="16145" max="16145" width="3.44140625" style="13" customWidth="1"/>
    <col min="16146" max="16146" width="3.109375" style="13" customWidth="1"/>
    <col min="16147" max="16147" width="4" style="13" customWidth="1"/>
    <col min="16148" max="16148" width="3.88671875" style="13" customWidth="1"/>
    <col min="16149" max="16149" width="3.44140625" style="13" customWidth="1"/>
    <col min="16150" max="16150" width="24.6640625" style="13" bestFit="1" customWidth="1"/>
    <col min="16151" max="16154" width="4.21875" style="13" bestFit="1" customWidth="1"/>
    <col min="16155" max="16158" width="4.21875" style="13" customWidth="1"/>
    <col min="16159" max="16159" width="3" style="13" customWidth="1"/>
    <col min="16160" max="16160" width="15.6640625" style="13" bestFit="1" customWidth="1"/>
    <col min="16161" max="16384" width="8.88671875" style="13"/>
  </cols>
  <sheetData>
    <row r="1" spans="2:32" ht="21" x14ac:dyDescent="0.4">
      <c r="C1" s="200" t="s">
        <v>161</v>
      </c>
      <c r="D1" s="201"/>
      <c r="E1" s="202"/>
      <c r="F1" s="201"/>
      <c r="G1" s="201"/>
      <c r="H1" s="201"/>
      <c r="I1" s="201"/>
      <c r="K1" s="201"/>
      <c r="V1" s="750" t="s">
        <v>19</v>
      </c>
      <c r="W1" s="203"/>
      <c r="X1" s="204"/>
      <c r="Y1" s="204"/>
      <c r="Z1" s="204"/>
      <c r="AA1" s="204"/>
      <c r="AB1" s="204"/>
      <c r="AC1" s="204"/>
      <c r="AD1" s="204"/>
      <c r="AE1" s="204"/>
      <c r="AF1" s="204"/>
    </row>
    <row r="2" spans="2:32" x14ac:dyDescent="0.25">
      <c r="C2" s="200" t="s">
        <v>162</v>
      </c>
      <c r="D2" s="201"/>
      <c r="E2" s="202"/>
      <c r="F2" s="201"/>
      <c r="G2" s="201"/>
      <c r="H2" s="201"/>
      <c r="I2" s="201"/>
      <c r="K2" s="201"/>
      <c r="W2" s="205"/>
      <c r="X2" s="206"/>
      <c r="Y2" s="206"/>
      <c r="Z2" s="206"/>
      <c r="AA2" s="206"/>
      <c r="AB2" s="206"/>
      <c r="AC2" s="206"/>
      <c r="AD2" s="206"/>
    </row>
    <row r="3" spans="2:32" x14ac:dyDescent="0.25">
      <c r="C3" s="207" t="s">
        <v>163</v>
      </c>
      <c r="D3" s="201"/>
      <c r="E3" s="202"/>
      <c r="F3" s="201"/>
      <c r="G3" s="201"/>
      <c r="H3" s="201"/>
      <c r="I3" s="201"/>
      <c r="K3" s="201"/>
      <c r="W3" s="205"/>
      <c r="X3" s="206"/>
      <c r="Y3" s="206"/>
      <c r="Z3" s="206"/>
      <c r="AA3" s="206"/>
      <c r="AB3" s="206"/>
      <c r="AC3" s="206"/>
      <c r="AD3" s="206"/>
    </row>
    <row r="4" spans="2:32" ht="13.8" thickBot="1" x14ac:dyDescent="0.3"/>
    <row r="5" spans="2:32" ht="95.4" thickTop="1" thickBot="1" x14ac:dyDescent="0.35">
      <c r="C5" s="208" t="s">
        <v>61</v>
      </c>
      <c r="D5" s="209" t="s">
        <v>60</v>
      </c>
      <c r="E5" s="210" t="s">
        <v>164</v>
      </c>
      <c r="F5" s="903"/>
      <c r="G5" s="903"/>
      <c r="H5" s="903"/>
      <c r="I5" s="903"/>
      <c r="J5" s="903"/>
      <c r="K5" s="903"/>
      <c r="L5" s="903"/>
      <c r="M5" s="903"/>
      <c r="N5" s="903"/>
      <c r="O5" s="903"/>
      <c r="P5" s="904"/>
      <c r="Q5" s="211"/>
      <c r="R5" s="211"/>
      <c r="S5" s="211"/>
      <c r="T5" s="211"/>
      <c r="U5" s="211"/>
      <c r="V5" s="212"/>
      <c r="W5" s="213"/>
      <c r="X5" s="211"/>
      <c r="Y5" s="211"/>
      <c r="Z5" s="211"/>
      <c r="AA5" s="211"/>
      <c r="AB5" s="211"/>
      <c r="AC5" s="211"/>
      <c r="AD5" s="211"/>
      <c r="AE5" s="211"/>
      <c r="AF5" s="204"/>
    </row>
    <row r="6" spans="2:32" s="201" customFormat="1" ht="13.8" thickTop="1" x14ac:dyDescent="0.25">
      <c r="B6" s="214">
        <v>1</v>
      </c>
      <c r="C6" s="923"/>
      <c r="D6" s="924">
        <v>5</v>
      </c>
      <c r="E6" s="215"/>
      <c r="F6" s="905" t="s">
        <v>165</v>
      </c>
      <c r="G6" s="905"/>
      <c r="H6" s="905"/>
      <c r="I6" s="905"/>
      <c r="J6" s="905"/>
      <c r="K6" s="906"/>
      <c r="L6" s="907"/>
      <c r="M6" s="907"/>
      <c r="N6" s="908"/>
      <c r="O6" s="907"/>
      <c r="P6" s="909"/>
      <c r="W6" s="216"/>
      <c r="X6" s="217"/>
      <c r="Y6" s="217"/>
      <c r="Z6" s="217"/>
      <c r="AA6" s="217"/>
      <c r="AB6" s="217"/>
      <c r="AC6" s="217"/>
      <c r="AD6" s="217"/>
    </row>
    <row r="7" spans="2:32" s="201" customFormat="1" x14ac:dyDescent="0.25">
      <c r="B7" s="218">
        <f>B6+1</f>
        <v>2</v>
      </c>
      <c r="C7" s="923"/>
      <c r="D7" s="924">
        <v>6</v>
      </c>
      <c r="E7" s="219"/>
      <c r="F7" s="910"/>
      <c r="G7" s="910" t="s">
        <v>166</v>
      </c>
      <c r="H7" s="910"/>
      <c r="I7" s="910"/>
      <c r="J7" s="910"/>
      <c r="K7" s="910"/>
      <c r="L7" s="911"/>
      <c r="M7" s="911"/>
      <c r="N7" s="912"/>
      <c r="O7" s="911"/>
      <c r="P7" s="913"/>
      <c r="W7" s="216"/>
      <c r="X7" s="217"/>
      <c r="Y7" s="217"/>
      <c r="Z7" s="217"/>
      <c r="AA7" s="217"/>
      <c r="AB7" s="217"/>
      <c r="AC7" s="217"/>
      <c r="AD7" s="217"/>
    </row>
    <row r="8" spans="2:32" s="201" customFormat="1" x14ac:dyDescent="0.25">
      <c r="B8" s="218">
        <f t="shared" ref="B8:B35" si="0">B7+1</f>
        <v>3</v>
      </c>
      <c r="C8" s="923"/>
      <c r="D8" s="924"/>
      <c r="E8" s="215"/>
      <c r="F8" s="910"/>
      <c r="G8" s="910"/>
      <c r="H8" s="910"/>
      <c r="I8" s="910"/>
      <c r="J8" s="910"/>
      <c r="K8" s="910"/>
      <c r="L8" s="911"/>
      <c r="M8" s="911"/>
      <c r="N8" s="912"/>
      <c r="O8" s="911"/>
      <c r="P8" s="913"/>
      <c r="W8" s="216"/>
      <c r="X8" s="217"/>
      <c r="Y8" s="217"/>
      <c r="Z8" s="217"/>
      <c r="AA8" s="217"/>
      <c r="AB8" s="217"/>
      <c r="AC8" s="217"/>
      <c r="AD8" s="217"/>
    </row>
    <row r="9" spans="2:32" s="201" customFormat="1" x14ac:dyDescent="0.25">
      <c r="B9" s="218">
        <f t="shared" si="0"/>
        <v>4</v>
      </c>
      <c r="C9" s="923"/>
      <c r="D9" s="924"/>
      <c r="E9" s="215"/>
      <c r="F9" s="910"/>
      <c r="G9" s="910"/>
      <c r="H9" s="910"/>
      <c r="I9" s="910"/>
      <c r="J9" s="910"/>
      <c r="K9" s="910"/>
      <c r="L9" s="914"/>
      <c r="M9" s="914"/>
      <c r="N9" s="915"/>
      <c r="O9" s="914"/>
      <c r="P9" s="916"/>
      <c r="W9" s="216"/>
      <c r="X9" s="217"/>
      <c r="Y9" s="217"/>
      <c r="Z9" s="217"/>
      <c r="AA9" s="217"/>
      <c r="AB9" s="217"/>
      <c r="AC9" s="217"/>
      <c r="AD9" s="217"/>
    </row>
    <row r="10" spans="2:32" s="201" customFormat="1" x14ac:dyDescent="0.25">
      <c r="B10" s="218">
        <f t="shared" si="0"/>
        <v>5</v>
      </c>
      <c r="C10" s="923"/>
      <c r="D10" s="924"/>
      <c r="E10" s="215"/>
      <c r="F10" s="910"/>
      <c r="G10" s="910"/>
      <c r="H10" s="910"/>
      <c r="I10" s="910"/>
      <c r="J10" s="910"/>
      <c r="K10" s="910"/>
      <c r="L10" s="914"/>
      <c r="M10" s="914"/>
      <c r="N10" s="915"/>
      <c r="O10" s="914"/>
      <c r="P10" s="917"/>
      <c r="W10" s="216"/>
      <c r="X10" s="217"/>
      <c r="Y10" s="217"/>
      <c r="Z10" s="217"/>
      <c r="AA10" s="217"/>
      <c r="AB10" s="217"/>
      <c r="AC10" s="217"/>
      <c r="AD10" s="217"/>
    </row>
    <row r="11" spans="2:32" s="201" customFormat="1" x14ac:dyDescent="0.25">
      <c r="B11" s="218">
        <f t="shared" si="0"/>
        <v>6</v>
      </c>
      <c r="C11" s="923"/>
      <c r="D11" s="924"/>
      <c r="E11" s="215"/>
      <c r="F11" s="910"/>
      <c r="G11" s="910"/>
      <c r="H11" s="910"/>
      <c r="I11" s="910"/>
      <c r="J11" s="910"/>
      <c r="K11" s="910"/>
      <c r="L11" s="911"/>
      <c r="M11" s="911"/>
      <c r="N11" s="912"/>
      <c r="O11" s="911"/>
      <c r="P11" s="913"/>
      <c r="W11" s="216"/>
      <c r="X11" s="217"/>
      <c r="Y11" s="217"/>
      <c r="Z11" s="217"/>
      <c r="AA11" s="217"/>
      <c r="AB11" s="217"/>
      <c r="AC11" s="217"/>
      <c r="AD11" s="217"/>
    </row>
    <row r="12" spans="2:32" s="201" customFormat="1" x14ac:dyDescent="0.25">
      <c r="B12" s="218">
        <f t="shared" si="0"/>
        <v>7</v>
      </c>
      <c r="C12" s="923"/>
      <c r="D12" s="924"/>
      <c r="E12" s="215"/>
      <c r="F12" s="910"/>
      <c r="G12" s="910"/>
      <c r="H12" s="910"/>
      <c r="I12" s="910"/>
      <c r="J12" s="910"/>
      <c r="K12" s="910"/>
      <c r="L12" s="911"/>
      <c r="M12" s="911"/>
      <c r="N12" s="912"/>
      <c r="O12" s="911"/>
      <c r="P12" s="913"/>
      <c r="W12" s="216"/>
      <c r="X12" s="217"/>
      <c r="Y12" s="217"/>
      <c r="Z12" s="217"/>
      <c r="AA12" s="217"/>
      <c r="AB12" s="217"/>
      <c r="AC12" s="217"/>
      <c r="AD12" s="217"/>
    </row>
    <row r="13" spans="2:32" s="201" customFormat="1" x14ac:dyDescent="0.25">
      <c r="B13" s="218">
        <f t="shared" si="0"/>
        <v>8</v>
      </c>
      <c r="C13" s="923"/>
      <c r="D13" s="924"/>
      <c r="E13" s="215"/>
      <c r="F13" s="910"/>
      <c r="G13" s="910"/>
      <c r="H13" s="910"/>
      <c r="I13" s="910"/>
      <c r="J13" s="910"/>
      <c r="K13" s="910"/>
      <c r="L13" s="911"/>
      <c r="M13" s="911"/>
      <c r="N13" s="912"/>
      <c r="O13" s="911"/>
      <c r="P13" s="913"/>
      <c r="W13" s="216"/>
      <c r="X13" s="217"/>
      <c r="Y13" s="217"/>
      <c r="Z13" s="217"/>
      <c r="AA13" s="217"/>
      <c r="AB13" s="217"/>
      <c r="AC13" s="217"/>
      <c r="AD13" s="217"/>
    </row>
    <row r="14" spans="2:32" s="201" customFormat="1" x14ac:dyDescent="0.25">
      <c r="B14" s="218">
        <f t="shared" si="0"/>
        <v>9</v>
      </c>
      <c r="C14" s="923"/>
      <c r="D14" s="924"/>
      <c r="E14" s="215"/>
      <c r="F14" s="910"/>
      <c r="G14" s="910"/>
      <c r="H14" s="910"/>
      <c r="I14" s="910"/>
      <c r="J14" s="910"/>
      <c r="K14" s="910"/>
      <c r="L14" s="911"/>
      <c r="M14" s="911"/>
      <c r="N14" s="912"/>
      <c r="O14" s="911"/>
      <c r="P14" s="913"/>
      <c r="W14" s="216"/>
      <c r="X14" s="217"/>
      <c r="Y14" s="217"/>
      <c r="Z14" s="217"/>
      <c r="AA14" s="217"/>
      <c r="AB14" s="217"/>
      <c r="AC14" s="217"/>
      <c r="AD14" s="217"/>
    </row>
    <row r="15" spans="2:32" s="201" customFormat="1" x14ac:dyDescent="0.25">
      <c r="B15" s="218">
        <f t="shared" si="0"/>
        <v>10</v>
      </c>
      <c r="C15" s="923"/>
      <c r="D15" s="924"/>
      <c r="E15" s="215"/>
      <c r="F15" s="910"/>
      <c r="G15" s="910"/>
      <c r="H15" s="910"/>
      <c r="I15" s="910"/>
      <c r="J15" s="910"/>
      <c r="K15" s="910"/>
      <c r="L15" s="911"/>
      <c r="M15" s="911"/>
      <c r="N15" s="912"/>
      <c r="O15" s="911"/>
      <c r="P15" s="913"/>
      <c r="W15" s="216"/>
      <c r="X15" s="217"/>
      <c r="Y15" s="217"/>
      <c r="Z15" s="217"/>
      <c r="AA15" s="217"/>
      <c r="AB15" s="217"/>
      <c r="AC15" s="217"/>
      <c r="AD15" s="217"/>
    </row>
    <row r="16" spans="2:32" s="201" customFormat="1" x14ac:dyDescent="0.25">
      <c r="B16" s="218">
        <f t="shared" si="0"/>
        <v>11</v>
      </c>
      <c r="C16" s="923"/>
      <c r="D16" s="924"/>
      <c r="E16" s="215"/>
      <c r="F16" s="910"/>
      <c r="G16" s="910"/>
      <c r="H16" s="910"/>
      <c r="I16" s="910"/>
      <c r="J16" s="910"/>
      <c r="K16" s="910"/>
      <c r="L16" s="911"/>
      <c r="M16" s="911"/>
      <c r="N16" s="912"/>
      <c r="O16" s="911"/>
      <c r="P16" s="913"/>
      <c r="W16" s="216"/>
      <c r="X16" s="217"/>
      <c r="Y16" s="217"/>
      <c r="Z16" s="217"/>
      <c r="AA16" s="217"/>
      <c r="AB16" s="217"/>
      <c r="AC16" s="217"/>
      <c r="AD16" s="217"/>
    </row>
    <row r="17" spans="2:30" s="201" customFormat="1" x14ac:dyDescent="0.25">
      <c r="B17" s="218">
        <f t="shared" si="0"/>
        <v>12</v>
      </c>
      <c r="C17" s="923"/>
      <c r="D17" s="924"/>
      <c r="E17" s="215"/>
      <c r="F17" s="910"/>
      <c r="G17" s="910"/>
      <c r="H17" s="910"/>
      <c r="I17" s="910"/>
      <c r="J17" s="910"/>
      <c r="K17" s="910"/>
      <c r="L17" s="911"/>
      <c r="M17" s="911"/>
      <c r="N17" s="912"/>
      <c r="O17" s="911"/>
      <c r="P17" s="913"/>
      <c r="W17" s="216"/>
      <c r="X17" s="217"/>
      <c r="Y17" s="217"/>
      <c r="Z17" s="217"/>
      <c r="AA17" s="217"/>
      <c r="AB17" s="217"/>
      <c r="AC17" s="217"/>
      <c r="AD17" s="217"/>
    </row>
    <row r="18" spans="2:30" s="201" customFormat="1" x14ac:dyDescent="0.25">
      <c r="B18" s="218">
        <f t="shared" si="0"/>
        <v>13</v>
      </c>
      <c r="C18" s="923"/>
      <c r="D18" s="924"/>
      <c r="E18" s="215"/>
      <c r="F18" s="910"/>
      <c r="G18" s="910"/>
      <c r="H18" s="910"/>
      <c r="I18" s="910"/>
      <c r="J18" s="910"/>
      <c r="K18" s="910"/>
      <c r="L18" s="911"/>
      <c r="M18" s="911"/>
      <c r="N18" s="912"/>
      <c r="O18" s="911"/>
      <c r="P18" s="913"/>
      <c r="W18" s="216"/>
      <c r="X18" s="217"/>
      <c r="Y18" s="217"/>
      <c r="Z18" s="217"/>
      <c r="AA18" s="217"/>
      <c r="AB18" s="217"/>
      <c r="AC18" s="217"/>
      <c r="AD18" s="217"/>
    </row>
    <row r="19" spans="2:30" s="201" customFormat="1" x14ac:dyDescent="0.25">
      <c r="B19" s="218">
        <f t="shared" si="0"/>
        <v>14</v>
      </c>
      <c r="C19" s="923"/>
      <c r="D19" s="924"/>
      <c r="E19" s="215"/>
      <c r="F19" s="910"/>
      <c r="G19" s="910"/>
      <c r="H19" s="910"/>
      <c r="I19" s="910"/>
      <c r="J19" s="910"/>
      <c r="K19" s="910"/>
      <c r="L19" s="911"/>
      <c r="M19" s="911"/>
      <c r="N19" s="912"/>
      <c r="O19" s="911"/>
      <c r="P19" s="913"/>
      <c r="W19" s="216"/>
      <c r="X19" s="217"/>
      <c r="Y19" s="217"/>
      <c r="Z19" s="217"/>
      <c r="AA19" s="217"/>
      <c r="AB19" s="217"/>
      <c r="AC19" s="217"/>
      <c r="AD19" s="217"/>
    </row>
    <row r="20" spans="2:30" s="201" customFormat="1" x14ac:dyDescent="0.25">
      <c r="B20" s="218">
        <f t="shared" si="0"/>
        <v>15</v>
      </c>
      <c r="C20" s="923"/>
      <c r="D20" s="924"/>
      <c r="E20" s="215"/>
      <c r="F20" s="910"/>
      <c r="G20" s="910"/>
      <c r="H20" s="910"/>
      <c r="I20" s="910"/>
      <c r="J20" s="910"/>
      <c r="K20" s="910"/>
      <c r="L20" s="911"/>
      <c r="M20" s="911"/>
      <c r="N20" s="912"/>
      <c r="O20" s="911"/>
      <c r="P20" s="913"/>
      <c r="W20" s="216"/>
      <c r="X20" s="217"/>
      <c r="Y20" s="217"/>
      <c r="Z20" s="217"/>
      <c r="AA20" s="217"/>
      <c r="AB20" s="217"/>
      <c r="AC20" s="217"/>
      <c r="AD20" s="217"/>
    </row>
    <row r="21" spans="2:30" s="201" customFormat="1" x14ac:dyDescent="0.25">
      <c r="B21" s="218">
        <f t="shared" si="0"/>
        <v>16</v>
      </c>
      <c r="C21" s="923"/>
      <c r="D21" s="924"/>
      <c r="E21" s="215"/>
      <c r="F21" s="910"/>
      <c r="G21" s="910"/>
      <c r="H21" s="910"/>
      <c r="I21" s="910"/>
      <c r="J21" s="910"/>
      <c r="K21" s="910"/>
      <c r="L21" s="911"/>
      <c r="M21" s="911"/>
      <c r="N21" s="912"/>
      <c r="O21" s="911"/>
      <c r="P21" s="913"/>
      <c r="W21" s="216"/>
      <c r="X21" s="217"/>
      <c r="Y21" s="217"/>
      <c r="Z21" s="217"/>
      <c r="AA21" s="217"/>
      <c r="AB21" s="217"/>
      <c r="AC21" s="217"/>
      <c r="AD21" s="217"/>
    </row>
    <row r="22" spans="2:30" s="201" customFormat="1" x14ac:dyDescent="0.25">
      <c r="B22" s="218">
        <f t="shared" si="0"/>
        <v>17</v>
      </c>
      <c r="C22" s="923"/>
      <c r="D22" s="924"/>
      <c r="E22" s="215"/>
      <c r="F22" s="910"/>
      <c r="G22" s="910"/>
      <c r="H22" s="910"/>
      <c r="I22" s="910"/>
      <c r="J22" s="910"/>
      <c r="K22" s="910"/>
      <c r="L22" s="911"/>
      <c r="M22" s="911"/>
      <c r="N22" s="912"/>
      <c r="O22" s="911"/>
      <c r="P22" s="913"/>
      <c r="W22" s="216"/>
      <c r="X22" s="217"/>
      <c r="Y22" s="217"/>
      <c r="Z22" s="217"/>
      <c r="AA22" s="217"/>
      <c r="AB22" s="217"/>
      <c r="AC22" s="217"/>
      <c r="AD22" s="217"/>
    </row>
    <row r="23" spans="2:30" s="201" customFormat="1" x14ac:dyDescent="0.25">
      <c r="B23" s="218">
        <f t="shared" si="0"/>
        <v>18</v>
      </c>
      <c r="C23" s="923"/>
      <c r="D23" s="924"/>
      <c r="E23" s="215"/>
      <c r="F23" s="910"/>
      <c r="G23" s="910"/>
      <c r="H23" s="910"/>
      <c r="I23" s="910"/>
      <c r="J23" s="910"/>
      <c r="K23" s="910"/>
      <c r="L23" s="911"/>
      <c r="M23" s="911"/>
      <c r="N23" s="912"/>
      <c r="O23" s="911"/>
      <c r="P23" s="913"/>
      <c r="W23" s="216"/>
      <c r="X23" s="217"/>
      <c r="Y23" s="217"/>
      <c r="Z23" s="217"/>
      <c r="AA23" s="217"/>
      <c r="AB23" s="217"/>
      <c r="AC23" s="217"/>
      <c r="AD23" s="217"/>
    </row>
    <row r="24" spans="2:30" s="201" customFormat="1" x14ac:dyDescent="0.25">
      <c r="B24" s="218">
        <f t="shared" si="0"/>
        <v>19</v>
      </c>
      <c r="C24" s="923"/>
      <c r="D24" s="924"/>
      <c r="E24" s="215"/>
      <c r="F24" s="910"/>
      <c r="G24" s="910"/>
      <c r="H24" s="910"/>
      <c r="I24" s="910"/>
      <c r="J24" s="910"/>
      <c r="K24" s="910"/>
      <c r="L24" s="911"/>
      <c r="M24" s="911"/>
      <c r="N24" s="912"/>
      <c r="O24" s="911"/>
      <c r="P24" s="913"/>
      <c r="W24" s="216"/>
      <c r="X24" s="217"/>
      <c r="Y24" s="217"/>
      <c r="Z24" s="217"/>
      <c r="AA24" s="217"/>
      <c r="AB24" s="217"/>
      <c r="AC24" s="217"/>
      <c r="AD24" s="217"/>
    </row>
    <row r="25" spans="2:30" s="201" customFormat="1" x14ac:dyDescent="0.25">
      <c r="B25" s="218">
        <f t="shared" si="0"/>
        <v>20</v>
      </c>
      <c r="C25" s="923"/>
      <c r="D25" s="924"/>
      <c r="E25" s="215"/>
      <c r="F25" s="910"/>
      <c r="G25" s="910"/>
      <c r="H25" s="910"/>
      <c r="I25" s="910"/>
      <c r="J25" s="910"/>
      <c r="K25" s="910"/>
      <c r="L25" s="911"/>
      <c r="M25" s="911"/>
      <c r="N25" s="912"/>
      <c r="O25" s="911"/>
      <c r="P25" s="913"/>
      <c r="W25" s="216"/>
      <c r="X25" s="217"/>
      <c r="Y25" s="217"/>
      <c r="Z25" s="217"/>
      <c r="AA25" s="217"/>
      <c r="AB25" s="217"/>
      <c r="AC25" s="217"/>
      <c r="AD25" s="217"/>
    </row>
    <row r="26" spans="2:30" s="201" customFormat="1" x14ac:dyDescent="0.25">
      <c r="B26" s="218">
        <f t="shared" si="0"/>
        <v>21</v>
      </c>
      <c r="C26" s="923"/>
      <c r="D26" s="924"/>
      <c r="E26" s="215"/>
      <c r="F26" s="910"/>
      <c r="G26" s="910"/>
      <c r="H26" s="910"/>
      <c r="I26" s="910"/>
      <c r="J26" s="910"/>
      <c r="K26" s="910"/>
      <c r="L26" s="911"/>
      <c r="M26" s="911"/>
      <c r="N26" s="912"/>
      <c r="O26" s="911"/>
      <c r="P26" s="913"/>
      <c r="W26" s="216"/>
      <c r="X26" s="217"/>
      <c r="Y26" s="217"/>
      <c r="Z26" s="217"/>
      <c r="AA26" s="217"/>
      <c r="AB26" s="217"/>
      <c r="AC26" s="217"/>
      <c r="AD26" s="217"/>
    </row>
    <row r="27" spans="2:30" s="201" customFormat="1" x14ac:dyDescent="0.25">
      <c r="B27" s="218">
        <f t="shared" si="0"/>
        <v>22</v>
      </c>
      <c r="C27" s="923"/>
      <c r="D27" s="924"/>
      <c r="E27" s="215"/>
      <c r="F27" s="910"/>
      <c r="G27" s="910"/>
      <c r="H27" s="910"/>
      <c r="I27" s="910"/>
      <c r="J27" s="910"/>
      <c r="K27" s="910"/>
      <c r="L27" s="911"/>
      <c r="M27" s="911"/>
      <c r="N27" s="912"/>
      <c r="O27" s="911"/>
      <c r="P27" s="913"/>
      <c r="W27" s="216"/>
      <c r="X27" s="217"/>
      <c r="Y27" s="217"/>
      <c r="Z27" s="217"/>
      <c r="AA27" s="217"/>
      <c r="AB27" s="217"/>
      <c r="AC27" s="217"/>
      <c r="AD27" s="217"/>
    </row>
    <row r="28" spans="2:30" s="201" customFormat="1" x14ac:dyDescent="0.25">
      <c r="B28" s="218">
        <f t="shared" si="0"/>
        <v>23</v>
      </c>
      <c r="C28" s="923"/>
      <c r="D28" s="924"/>
      <c r="E28" s="215"/>
      <c r="F28" s="910"/>
      <c r="G28" s="910"/>
      <c r="H28" s="910"/>
      <c r="I28" s="910"/>
      <c r="J28" s="910"/>
      <c r="K28" s="910"/>
      <c r="L28" s="911"/>
      <c r="M28" s="911"/>
      <c r="N28" s="912"/>
      <c r="O28" s="911"/>
      <c r="P28" s="913"/>
      <c r="W28" s="216"/>
      <c r="X28" s="217"/>
      <c r="Y28" s="217"/>
      <c r="Z28" s="217"/>
      <c r="AA28" s="217"/>
      <c r="AB28" s="217"/>
      <c r="AC28" s="217"/>
      <c r="AD28" s="217"/>
    </row>
    <row r="29" spans="2:30" s="201" customFormat="1" x14ac:dyDescent="0.25">
      <c r="B29" s="218">
        <f t="shared" si="0"/>
        <v>24</v>
      </c>
      <c r="C29" s="923"/>
      <c r="D29" s="924"/>
      <c r="E29" s="215"/>
      <c r="F29" s="910"/>
      <c r="G29" s="910"/>
      <c r="H29" s="910"/>
      <c r="I29" s="910"/>
      <c r="J29" s="910"/>
      <c r="K29" s="910"/>
      <c r="L29" s="911"/>
      <c r="M29" s="911"/>
      <c r="N29" s="912"/>
      <c r="O29" s="911"/>
      <c r="P29" s="913"/>
      <c r="W29" s="216"/>
      <c r="X29" s="217"/>
      <c r="Y29" s="217"/>
      <c r="Z29" s="217"/>
      <c r="AA29" s="217"/>
      <c r="AB29" s="217"/>
      <c r="AC29" s="217"/>
      <c r="AD29" s="217"/>
    </row>
    <row r="30" spans="2:30" s="201" customFormat="1" x14ac:dyDescent="0.25">
      <c r="B30" s="218">
        <f t="shared" si="0"/>
        <v>25</v>
      </c>
      <c r="C30" s="923"/>
      <c r="D30" s="924"/>
      <c r="E30" s="215"/>
      <c r="F30" s="910"/>
      <c r="G30" s="910"/>
      <c r="H30" s="910"/>
      <c r="I30" s="910"/>
      <c r="J30" s="910"/>
      <c r="K30" s="910"/>
      <c r="L30" s="911"/>
      <c r="M30" s="911"/>
      <c r="N30" s="912"/>
      <c r="O30" s="911"/>
      <c r="P30" s="913"/>
      <c r="W30" s="216"/>
      <c r="X30" s="217"/>
      <c r="Y30" s="217"/>
      <c r="Z30" s="217"/>
      <c r="AA30" s="217"/>
      <c r="AB30" s="217"/>
      <c r="AC30" s="217"/>
      <c r="AD30" s="217"/>
    </row>
    <row r="31" spans="2:30" s="201" customFormat="1" x14ac:dyDescent="0.25">
      <c r="B31" s="218">
        <f t="shared" si="0"/>
        <v>26</v>
      </c>
      <c r="C31" s="923"/>
      <c r="D31" s="924"/>
      <c r="E31" s="215"/>
      <c r="F31" s="910"/>
      <c r="G31" s="910"/>
      <c r="H31" s="910"/>
      <c r="I31" s="910"/>
      <c r="J31" s="910"/>
      <c r="K31" s="910"/>
      <c r="L31" s="911"/>
      <c r="M31" s="911"/>
      <c r="N31" s="912"/>
      <c r="O31" s="911"/>
      <c r="P31" s="913"/>
      <c r="W31" s="216"/>
      <c r="X31" s="217"/>
      <c r="Y31" s="217"/>
      <c r="Z31" s="217"/>
      <c r="AA31" s="217"/>
      <c r="AB31" s="217"/>
      <c r="AC31" s="217"/>
      <c r="AD31" s="217"/>
    </row>
    <row r="32" spans="2:30" s="201" customFormat="1" x14ac:dyDescent="0.25">
      <c r="B32" s="218">
        <f t="shared" si="0"/>
        <v>27</v>
      </c>
      <c r="C32" s="923"/>
      <c r="D32" s="924">
        <v>5</v>
      </c>
      <c r="E32" s="215"/>
      <c r="F32" s="910"/>
      <c r="G32" s="910"/>
      <c r="H32" s="910"/>
      <c r="I32" s="910"/>
      <c r="J32" s="910"/>
      <c r="K32" s="910"/>
      <c r="L32" s="911"/>
      <c r="M32" s="911"/>
      <c r="N32" s="912"/>
      <c r="O32" s="911"/>
      <c r="P32" s="913"/>
      <c r="W32" s="216"/>
      <c r="X32" s="217"/>
      <c r="Y32" s="217"/>
      <c r="Z32" s="217"/>
      <c r="AA32" s="217"/>
      <c r="AB32" s="217"/>
      <c r="AC32" s="217"/>
      <c r="AD32" s="217"/>
    </row>
    <row r="33" spans="2:33" s="201" customFormat="1" x14ac:dyDescent="0.25">
      <c r="B33" s="218">
        <f t="shared" si="0"/>
        <v>28</v>
      </c>
      <c r="C33" s="923"/>
      <c r="D33" s="924">
        <v>10</v>
      </c>
      <c r="E33" s="215"/>
      <c r="F33" s="910"/>
      <c r="G33" s="910"/>
      <c r="H33" s="910"/>
      <c r="I33" s="910"/>
      <c r="J33" s="910"/>
      <c r="K33" s="910"/>
      <c r="L33" s="911"/>
      <c r="M33" s="911"/>
      <c r="N33" s="912"/>
      <c r="O33" s="911"/>
      <c r="P33" s="913"/>
      <c r="W33" s="216"/>
      <c r="X33" s="217"/>
      <c r="Y33" s="217"/>
      <c r="Z33" s="217"/>
      <c r="AA33" s="217"/>
      <c r="AB33" s="217"/>
      <c r="AC33" s="217"/>
      <c r="AD33" s="217"/>
    </row>
    <row r="34" spans="2:33" s="201" customFormat="1" x14ac:dyDescent="0.25">
      <c r="B34" s="218">
        <f t="shared" si="0"/>
        <v>29</v>
      </c>
      <c r="C34" s="923"/>
      <c r="D34" s="924"/>
      <c r="E34" s="215"/>
      <c r="F34" s="918"/>
      <c r="G34" s="918"/>
      <c r="H34" s="918"/>
      <c r="I34" s="918"/>
      <c r="J34" s="918"/>
      <c r="K34" s="918"/>
      <c r="L34" s="911"/>
      <c r="M34" s="911"/>
      <c r="N34" s="912"/>
      <c r="O34" s="911"/>
      <c r="P34" s="913"/>
      <c r="W34" s="216"/>
      <c r="X34" s="217"/>
      <c r="Y34" s="217"/>
      <c r="Z34" s="217"/>
      <c r="AA34" s="217"/>
      <c r="AB34" s="217"/>
      <c r="AC34" s="217"/>
      <c r="AD34" s="217"/>
    </row>
    <row r="35" spans="2:33" s="201" customFormat="1" ht="13.8" thickBot="1" x14ac:dyDescent="0.3">
      <c r="B35" s="220">
        <f t="shared" si="0"/>
        <v>30</v>
      </c>
      <c r="C35" s="923"/>
      <c r="D35" s="925"/>
      <c r="E35" s="215"/>
      <c r="F35" s="918"/>
      <c r="G35" s="918"/>
      <c r="H35" s="918"/>
      <c r="I35" s="918"/>
      <c r="J35" s="918"/>
      <c r="K35" s="919"/>
      <c r="L35" s="920"/>
      <c r="M35" s="921"/>
      <c r="N35" s="920"/>
      <c r="O35" s="921"/>
      <c r="P35" s="922"/>
      <c r="W35" s="216"/>
      <c r="X35" s="217"/>
      <c r="Y35" s="217"/>
      <c r="Z35" s="217"/>
      <c r="AA35" s="217"/>
      <c r="AB35" s="217"/>
      <c r="AC35" s="217"/>
      <c r="AD35" s="217"/>
    </row>
    <row r="36" spans="2:33" ht="13.8" thickTop="1" x14ac:dyDescent="0.25">
      <c r="C36" s="221" t="s">
        <v>167</v>
      </c>
      <c r="D36" s="222"/>
      <c r="E36" s="223"/>
      <c r="F36" s="224">
        <f t="shared" ref="F36:P36" si="1">COUNTIF(F$6:F$35," +")</f>
        <v>1</v>
      </c>
      <c r="G36" s="224">
        <f t="shared" si="1"/>
        <v>0</v>
      </c>
      <c r="H36" s="224">
        <f t="shared" si="1"/>
        <v>0</v>
      </c>
      <c r="I36" s="224">
        <f t="shared" si="1"/>
        <v>0</v>
      </c>
      <c r="J36" s="224">
        <f t="shared" si="1"/>
        <v>0</v>
      </c>
      <c r="K36" s="224">
        <f t="shared" si="1"/>
        <v>0</v>
      </c>
      <c r="L36" s="225">
        <f t="shared" si="1"/>
        <v>0</v>
      </c>
      <c r="M36" s="224">
        <f t="shared" si="1"/>
        <v>0</v>
      </c>
      <c r="N36" s="224">
        <f t="shared" si="1"/>
        <v>0</v>
      </c>
      <c r="O36" s="224">
        <f t="shared" si="1"/>
        <v>0</v>
      </c>
      <c r="P36" s="226">
        <f t="shared" si="1"/>
        <v>0</v>
      </c>
      <c r="Q36" s="201"/>
      <c r="R36" s="201"/>
      <c r="S36" s="201"/>
      <c r="T36" s="201"/>
      <c r="U36" s="201"/>
      <c r="V36" s="227"/>
      <c r="W36" s="227"/>
      <c r="X36" s="228"/>
      <c r="Y36" s="228"/>
      <c r="Z36" s="228"/>
      <c r="AA36" s="228"/>
      <c r="AB36" s="228"/>
      <c r="AC36" s="228"/>
      <c r="AD36" s="228"/>
      <c r="AE36" s="201"/>
      <c r="AF36" s="201"/>
      <c r="AG36" s="201"/>
    </row>
    <row r="37" spans="2:33" x14ac:dyDescent="0.25">
      <c r="C37" s="229" t="s">
        <v>168</v>
      </c>
      <c r="D37" s="230"/>
      <c r="E37" s="231"/>
      <c r="F37" s="232">
        <f t="shared" ref="F37:P37" si="2">COUNTIF(F$6:F$35," -")</f>
        <v>0</v>
      </c>
      <c r="G37" s="232">
        <f t="shared" si="2"/>
        <v>1</v>
      </c>
      <c r="H37" s="232">
        <f t="shared" si="2"/>
        <v>0</v>
      </c>
      <c r="I37" s="232">
        <f t="shared" si="2"/>
        <v>0</v>
      </c>
      <c r="J37" s="232">
        <f t="shared" si="2"/>
        <v>0</v>
      </c>
      <c r="K37" s="232">
        <f t="shared" si="2"/>
        <v>0</v>
      </c>
      <c r="L37" s="233">
        <f t="shared" si="2"/>
        <v>0</v>
      </c>
      <c r="M37" s="232">
        <f t="shared" si="2"/>
        <v>0</v>
      </c>
      <c r="N37" s="232">
        <f t="shared" si="2"/>
        <v>0</v>
      </c>
      <c r="O37" s="232">
        <f t="shared" si="2"/>
        <v>0</v>
      </c>
      <c r="P37" s="234">
        <f t="shared" si="2"/>
        <v>0</v>
      </c>
      <c r="Q37" s="201"/>
      <c r="R37" s="201"/>
      <c r="S37" s="201"/>
      <c r="T37" s="201"/>
      <c r="U37" s="201"/>
      <c r="V37" s="227"/>
      <c r="W37" s="227"/>
      <c r="X37" s="228"/>
      <c r="Y37" s="228"/>
      <c r="Z37" s="228"/>
      <c r="AA37" s="228"/>
      <c r="AB37" s="228"/>
      <c r="AC37" s="228"/>
      <c r="AD37" s="228"/>
      <c r="AE37" s="201"/>
      <c r="AF37" s="201"/>
      <c r="AG37" s="201"/>
    </row>
    <row r="38" spans="2:33" ht="13.8" thickBot="1" x14ac:dyDescent="0.3">
      <c r="C38" s="235" t="s">
        <v>169</v>
      </c>
      <c r="D38" s="236"/>
      <c r="E38" s="237"/>
      <c r="F38" s="238">
        <f t="shared" ref="F38:P38" si="3">COUNTIF(F$6:F$35,"s")</f>
        <v>0</v>
      </c>
      <c r="G38" s="238">
        <f t="shared" si="3"/>
        <v>0</v>
      </c>
      <c r="H38" s="238">
        <f t="shared" si="3"/>
        <v>0</v>
      </c>
      <c r="I38" s="238">
        <f t="shared" si="3"/>
        <v>0</v>
      </c>
      <c r="J38" s="238">
        <f t="shared" si="3"/>
        <v>0</v>
      </c>
      <c r="K38" s="238">
        <f t="shared" si="3"/>
        <v>0</v>
      </c>
      <c r="L38" s="239">
        <f t="shared" si="3"/>
        <v>0</v>
      </c>
      <c r="M38" s="238">
        <f t="shared" si="3"/>
        <v>0</v>
      </c>
      <c r="N38" s="238">
        <f t="shared" si="3"/>
        <v>0</v>
      </c>
      <c r="O38" s="238">
        <f t="shared" si="3"/>
        <v>0</v>
      </c>
      <c r="P38" s="240">
        <f t="shared" si="3"/>
        <v>0</v>
      </c>
      <c r="Q38" s="201"/>
      <c r="R38" s="201"/>
      <c r="S38" s="201"/>
      <c r="T38" s="201"/>
      <c r="U38" s="201"/>
      <c r="V38" s="227"/>
      <c r="W38" s="227"/>
      <c r="X38" s="228"/>
      <c r="Y38" s="228"/>
      <c r="Z38" s="228"/>
      <c r="AA38" s="228"/>
      <c r="AB38" s="228"/>
      <c r="AC38" s="228"/>
      <c r="AD38" s="228"/>
      <c r="AE38" s="201"/>
      <c r="AF38" s="201"/>
      <c r="AG38" s="201"/>
    </row>
    <row r="39" spans="2:33" ht="13.8" thickTop="1" x14ac:dyDescent="0.25">
      <c r="C39" s="221" t="s">
        <v>170</v>
      </c>
      <c r="D39" s="222"/>
      <c r="E39" s="223"/>
      <c r="F39" s="224">
        <f t="shared" ref="F39:P39" si="4">SUMIF(F6:F35," +",$D$6:$D$35)</f>
        <v>5</v>
      </c>
      <c r="G39" s="224">
        <f t="shared" si="4"/>
        <v>0</v>
      </c>
      <c r="H39" s="224">
        <f t="shared" si="4"/>
        <v>0</v>
      </c>
      <c r="I39" s="224">
        <f t="shared" si="4"/>
        <v>0</v>
      </c>
      <c r="J39" s="224">
        <f t="shared" si="4"/>
        <v>0</v>
      </c>
      <c r="K39" s="224">
        <f t="shared" si="4"/>
        <v>0</v>
      </c>
      <c r="L39" s="224">
        <f t="shared" si="4"/>
        <v>0</v>
      </c>
      <c r="M39" s="224">
        <f t="shared" si="4"/>
        <v>0</v>
      </c>
      <c r="N39" s="224">
        <f t="shared" si="4"/>
        <v>0</v>
      </c>
      <c r="O39" s="224">
        <f t="shared" si="4"/>
        <v>0</v>
      </c>
      <c r="P39" s="226">
        <f t="shared" si="4"/>
        <v>0</v>
      </c>
      <c r="Q39" s="201"/>
      <c r="R39" s="201"/>
      <c r="S39" s="201"/>
      <c r="T39" s="201"/>
      <c r="U39" s="201"/>
      <c r="V39" s="227"/>
      <c r="W39" s="227"/>
      <c r="X39" s="228"/>
      <c r="Y39" s="241"/>
      <c r="Z39" s="241"/>
      <c r="AA39" s="241"/>
      <c r="AB39" s="241"/>
      <c r="AC39" s="241"/>
      <c r="AD39" s="241"/>
      <c r="AE39" s="201"/>
      <c r="AF39" s="201"/>
      <c r="AG39" s="201"/>
    </row>
    <row r="40" spans="2:33" ht="13.8" thickBot="1" x14ac:dyDescent="0.3">
      <c r="C40" s="242" t="s">
        <v>171</v>
      </c>
      <c r="D40" s="236"/>
      <c r="E40" s="237"/>
      <c r="F40" s="243">
        <f t="shared" ref="F40:P40" si="5">SUMIF(F6:F35," -",$D$6:$D$35)</f>
        <v>0</v>
      </c>
      <c r="G40" s="243">
        <f t="shared" si="5"/>
        <v>6</v>
      </c>
      <c r="H40" s="243">
        <f t="shared" si="5"/>
        <v>0</v>
      </c>
      <c r="I40" s="243">
        <f t="shared" si="5"/>
        <v>0</v>
      </c>
      <c r="J40" s="243">
        <f t="shared" si="5"/>
        <v>0</v>
      </c>
      <c r="K40" s="243">
        <f t="shared" si="5"/>
        <v>0</v>
      </c>
      <c r="L40" s="243">
        <f t="shared" si="5"/>
        <v>0</v>
      </c>
      <c r="M40" s="243">
        <f t="shared" si="5"/>
        <v>0</v>
      </c>
      <c r="N40" s="243">
        <f t="shared" si="5"/>
        <v>0</v>
      </c>
      <c r="O40" s="243">
        <f t="shared" si="5"/>
        <v>0</v>
      </c>
      <c r="P40" s="244">
        <f t="shared" si="5"/>
        <v>0</v>
      </c>
      <c r="Q40" s="201"/>
      <c r="R40" s="201"/>
      <c r="S40" s="201"/>
      <c r="T40" s="201"/>
      <c r="U40" s="201"/>
      <c r="V40" s="227"/>
      <c r="W40" s="227"/>
      <c r="X40" s="228"/>
      <c r="Y40" s="241"/>
      <c r="Z40" s="241"/>
      <c r="AA40" s="241"/>
      <c r="AB40" s="241"/>
      <c r="AC40" s="241"/>
      <c r="AD40" s="241"/>
      <c r="AE40" s="201"/>
      <c r="AF40" s="201"/>
      <c r="AG40" s="201"/>
    </row>
    <row r="41" spans="2:33" ht="16.2" thickTop="1" thickBot="1" x14ac:dyDescent="0.3">
      <c r="C41" s="245" t="s">
        <v>172</v>
      </c>
      <c r="D41" s="246"/>
      <c r="E41" s="247"/>
      <c r="F41" s="248">
        <f>SUM(F39-F40)</f>
        <v>5</v>
      </c>
      <c r="G41" s="248">
        <f t="shared" ref="G41:P41" si="6">SUM(G39-G40)</f>
        <v>-6</v>
      </c>
      <c r="H41" s="248">
        <f t="shared" si="6"/>
        <v>0</v>
      </c>
      <c r="I41" s="248">
        <f t="shared" si="6"/>
        <v>0</v>
      </c>
      <c r="J41" s="248">
        <f t="shared" si="6"/>
        <v>0</v>
      </c>
      <c r="K41" s="248">
        <f t="shared" si="6"/>
        <v>0</v>
      </c>
      <c r="L41" s="248">
        <f t="shared" si="6"/>
        <v>0</v>
      </c>
      <c r="M41" s="248">
        <f t="shared" si="6"/>
        <v>0</v>
      </c>
      <c r="N41" s="248">
        <f t="shared" si="6"/>
        <v>0</v>
      </c>
      <c r="O41" s="248">
        <f t="shared" si="6"/>
        <v>0</v>
      </c>
      <c r="P41" s="249">
        <f t="shared" si="6"/>
        <v>0</v>
      </c>
      <c r="V41" s="250"/>
      <c r="W41" s="251"/>
      <c r="X41" s="252"/>
      <c r="Y41" s="252"/>
      <c r="Z41" s="252"/>
      <c r="AA41" s="252"/>
      <c r="AB41" s="252"/>
      <c r="AC41" s="252"/>
      <c r="AD41" s="252"/>
    </row>
    <row r="42" spans="2:33" ht="18" thickTop="1" x14ac:dyDescent="0.3">
      <c r="C42" s="201"/>
      <c r="D42" s="201"/>
      <c r="E42" s="201"/>
      <c r="F42" s="201"/>
      <c r="G42" s="201"/>
      <c r="H42" s="201"/>
      <c r="I42" s="201"/>
      <c r="J42" s="201"/>
      <c r="K42" s="201"/>
      <c r="W42" s="253"/>
      <c r="X42" s="253"/>
      <c r="Y42" s="253"/>
      <c r="Z42" s="253"/>
      <c r="AA42" s="253"/>
      <c r="AB42" s="253"/>
      <c r="AC42" s="253"/>
      <c r="AD42" s="253"/>
    </row>
    <row r="43" spans="2:33" x14ac:dyDescent="0.25">
      <c r="C43" s="201"/>
      <c r="D43" s="201"/>
      <c r="E43" s="202"/>
      <c r="F43" s="201"/>
      <c r="G43" s="201"/>
      <c r="H43" s="201"/>
      <c r="I43" s="201"/>
      <c r="K43" s="201"/>
      <c r="W43" s="205"/>
      <c r="X43" s="206"/>
      <c r="Y43" s="206"/>
      <c r="Z43" s="206"/>
      <c r="AA43" s="206"/>
      <c r="AB43" s="206"/>
      <c r="AC43" s="206"/>
      <c r="AD43" s="206"/>
    </row>
    <row r="44" spans="2:33" x14ac:dyDescent="0.25">
      <c r="C44" s="201"/>
      <c r="D44" s="201"/>
      <c r="E44" s="202"/>
      <c r="F44" s="201"/>
      <c r="G44" s="201"/>
      <c r="H44" s="201"/>
      <c r="I44" s="201"/>
      <c r="K44" s="201"/>
      <c r="W44" s="205"/>
      <c r="X44" s="206"/>
      <c r="Y44" s="206"/>
      <c r="Z44" s="206"/>
      <c r="AA44" s="206"/>
      <c r="AB44" s="206"/>
      <c r="AC44" s="206"/>
      <c r="AD44" s="206"/>
    </row>
    <row r="45" spans="2:33" x14ac:dyDescent="0.25">
      <c r="C45" s="201"/>
      <c r="D45" s="201"/>
      <c r="E45" s="202"/>
      <c r="F45" s="201"/>
      <c r="G45" s="201"/>
      <c r="H45" s="201"/>
      <c r="I45" s="201"/>
      <c r="K45" s="201"/>
      <c r="W45" s="205"/>
      <c r="X45" s="206"/>
      <c r="Y45" s="206"/>
      <c r="Z45" s="206"/>
      <c r="AA45" s="206"/>
      <c r="AB45" s="206"/>
      <c r="AC45" s="206"/>
      <c r="AD45" s="206"/>
    </row>
    <row r="46" spans="2:33" x14ac:dyDescent="0.25">
      <c r="C46" s="201"/>
      <c r="D46" s="201"/>
      <c r="E46" s="202"/>
      <c r="F46" s="201"/>
      <c r="G46" s="201"/>
      <c r="H46" s="201"/>
      <c r="I46" s="201"/>
      <c r="K46" s="201"/>
      <c r="W46" s="205"/>
      <c r="X46" s="206"/>
      <c r="Y46" s="206"/>
      <c r="Z46" s="206"/>
      <c r="AA46" s="206"/>
      <c r="AB46" s="206"/>
      <c r="AC46" s="206"/>
      <c r="AD46" s="206"/>
    </row>
    <row r="47" spans="2:33" x14ac:dyDescent="0.25">
      <c r="C47" s="201"/>
      <c r="D47" s="201"/>
      <c r="E47" s="202"/>
      <c r="F47" s="201"/>
      <c r="G47" s="201"/>
      <c r="H47" s="201"/>
      <c r="I47" s="201"/>
      <c r="K47" s="201"/>
      <c r="W47" s="205"/>
      <c r="X47" s="206"/>
      <c r="Y47" s="206"/>
      <c r="Z47" s="206"/>
      <c r="AA47" s="206"/>
      <c r="AB47" s="206"/>
      <c r="AC47" s="206"/>
      <c r="AD47" s="206"/>
    </row>
    <row r="48" spans="2:33" x14ac:dyDescent="0.25">
      <c r="C48" s="201"/>
      <c r="D48" s="201"/>
      <c r="E48" s="202"/>
      <c r="F48" s="201"/>
      <c r="G48" s="201"/>
      <c r="H48" s="201"/>
      <c r="I48" s="201"/>
      <c r="K48" s="201"/>
      <c r="W48" s="205"/>
      <c r="X48" s="206"/>
      <c r="Y48" s="206"/>
      <c r="Z48" s="206"/>
      <c r="AA48" s="206"/>
      <c r="AB48" s="206"/>
      <c r="AC48" s="206"/>
      <c r="AD48" s="206"/>
    </row>
    <row r="49" spans="3:30" x14ac:dyDescent="0.25">
      <c r="C49" s="201"/>
      <c r="D49" s="201"/>
      <c r="E49" s="202"/>
      <c r="F49" s="201"/>
      <c r="G49" s="201"/>
      <c r="H49" s="201"/>
      <c r="I49" s="201"/>
      <c r="K49" s="201"/>
      <c r="W49" s="205"/>
      <c r="X49" s="206"/>
      <c r="Y49" s="206"/>
      <c r="Z49" s="206"/>
      <c r="AA49" s="206"/>
      <c r="AB49" s="206"/>
      <c r="AC49" s="206"/>
      <c r="AD49" s="206"/>
    </row>
    <row r="50" spans="3:30" x14ac:dyDescent="0.25">
      <c r="C50" s="201"/>
      <c r="D50" s="201"/>
      <c r="E50" s="202"/>
      <c r="F50" s="201"/>
      <c r="G50" s="201"/>
      <c r="H50" s="201"/>
      <c r="I50" s="201"/>
      <c r="K50" s="201"/>
      <c r="W50" s="205"/>
      <c r="X50" s="206"/>
      <c r="Y50" s="206"/>
      <c r="Z50" s="206"/>
      <c r="AA50" s="206"/>
      <c r="AB50" s="206"/>
      <c r="AC50" s="206"/>
      <c r="AD50" s="206"/>
    </row>
    <row r="51" spans="3:30" x14ac:dyDescent="0.25">
      <c r="C51" s="201"/>
      <c r="D51" s="201"/>
      <c r="E51" s="202"/>
      <c r="F51" s="201"/>
      <c r="G51" s="201"/>
      <c r="H51" s="201"/>
      <c r="I51" s="201"/>
      <c r="K51" s="201"/>
      <c r="W51" s="205"/>
      <c r="X51" s="206"/>
      <c r="Y51" s="206"/>
      <c r="Z51" s="206"/>
      <c r="AA51" s="206"/>
      <c r="AB51" s="206"/>
      <c r="AC51" s="206"/>
      <c r="AD51" s="206"/>
    </row>
    <row r="52" spans="3:30" x14ac:dyDescent="0.25">
      <c r="C52" s="201"/>
      <c r="D52" s="201"/>
      <c r="E52" s="202"/>
      <c r="F52" s="201"/>
      <c r="G52" s="201"/>
      <c r="H52" s="201"/>
      <c r="I52" s="201"/>
      <c r="K52" s="201"/>
      <c r="W52" s="205"/>
      <c r="X52" s="206"/>
      <c r="Y52" s="206"/>
      <c r="Z52" s="206"/>
      <c r="AA52" s="206"/>
      <c r="AB52" s="206"/>
      <c r="AC52" s="206"/>
      <c r="AD52" s="206"/>
    </row>
    <row r="53" spans="3:30" x14ac:dyDescent="0.25">
      <c r="C53" s="201"/>
      <c r="D53" s="201"/>
      <c r="E53" s="202"/>
      <c r="F53" s="201"/>
      <c r="G53" s="201"/>
      <c r="H53" s="201"/>
      <c r="I53" s="201"/>
      <c r="K53" s="201"/>
      <c r="W53" s="205"/>
      <c r="X53" s="206"/>
      <c r="Y53" s="206"/>
      <c r="Z53" s="206"/>
      <c r="AA53" s="206"/>
      <c r="AB53" s="206"/>
      <c r="AC53" s="206"/>
      <c r="AD53" s="206"/>
    </row>
    <row r="54" spans="3:30" x14ac:dyDescent="0.25">
      <c r="C54" s="201"/>
      <c r="D54" s="201"/>
      <c r="E54" s="202"/>
      <c r="F54" s="201"/>
      <c r="G54" s="201"/>
      <c r="H54" s="201"/>
      <c r="I54" s="201"/>
      <c r="K54" s="201"/>
      <c r="W54" s="205"/>
      <c r="X54" s="206"/>
      <c r="Y54" s="206"/>
      <c r="Z54" s="206"/>
      <c r="AA54" s="206"/>
      <c r="AB54" s="206"/>
      <c r="AC54" s="206"/>
      <c r="AD54" s="206"/>
    </row>
    <row r="55" spans="3:30" x14ac:dyDescent="0.25">
      <c r="C55" s="201"/>
      <c r="D55" s="201"/>
      <c r="E55" s="202"/>
      <c r="F55" s="201"/>
      <c r="G55" s="201"/>
      <c r="H55" s="201"/>
      <c r="I55" s="201"/>
      <c r="K55" s="201"/>
      <c r="W55" s="205"/>
      <c r="X55" s="206"/>
      <c r="Y55" s="206"/>
      <c r="Z55" s="206"/>
      <c r="AA55" s="206"/>
      <c r="AB55" s="206"/>
      <c r="AC55" s="206"/>
      <c r="AD55" s="206"/>
    </row>
    <row r="56" spans="3:30" x14ac:dyDescent="0.25">
      <c r="C56" s="201"/>
      <c r="D56" s="201"/>
      <c r="E56" s="202"/>
      <c r="F56" s="201"/>
      <c r="G56" s="201"/>
      <c r="H56" s="201"/>
      <c r="I56" s="201"/>
      <c r="K56" s="201"/>
      <c r="W56" s="205"/>
      <c r="X56" s="206"/>
      <c r="Y56" s="206"/>
      <c r="Z56" s="206"/>
      <c r="AA56" s="206"/>
      <c r="AB56" s="206"/>
      <c r="AC56" s="206"/>
      <c r="AD56" s="206"/>
    </row>
    <row r="57" spans="3:30" x14ac:dyDescent="0.25">
      <c r="C57" s="201"/>
      <c r="D57" s="201"/>
      <c r="E57" s="202"/>
      <c r="F57" s="201"/>
      <c r="G57" s="201"/>
      <c r="H57" s="201"/>
      <c r="I57" s="201"/>
      <c r="K57" s="201"/>
      <c r="W57" s="205"/>
      <c r="X57" s="206"/>
      <c r="Y57" s="206"/>
      <c r="Z57" s="206"/>
      <c r="AA57" s="206"/>
      <c r="AB57" s="206"/>
      <c r="AC57" s="206"/>
      <c r="AD57" s="206"/>
    </row>
    <row r="58" spans="3:30" x14ac:dyDescent="0.25">
      <c r="C58" s="201"/>
      <c r="D58" s="201"/>
      <c r="E58" s="201"/>
      <c r="F58" s="201"/>
      <c r="G58" s="201"/>
      <c r="H58" s="201"/>
      <c r="I58" s="201"/>
      <c r="K58" s="201"/>
      <c r="V58" s="254"/>
      <c r="W58" s="254"/>
      <c r="X58" s="40"/>
      <c r="Y58" s="255"/>
      <c r="Z58" s="255"/>
      <c r="AA58" s="255"/>
      <c r="AB58" s="255"/>
      <c r="AC58" s="255"/>
      <c r="AD58" s="255"/>
    </row>
    <row r="59" spans="3:30" x14ac:dyDescent="0.25">
      <c r="C59" s="201"/>
      <c r="D59" s="201"/>
      <c r="E59" s="201"/>
      <c r="F59" s="201"/>
      <c r="G59" s="201"/>
      <c r="H59" s="201"/>
      <c r="I59" s="201"/>
      <c r="K59" s="201"/>
      <c r="V59" s="254"/>
      <c r="W59" s="254"/>
      <c r="X59" s="40"/>
      <c r="Y59" s="255"/>
      <c r="Z59" s="255"/>
      <c r="AA59" s="255"/>
      <c r="AB59" s="255"/>
      <c r="AC59" s="255"/>
      <c r="AD59" s="255"/>
    </row>
    <row r="60" spans="3:30" x14ac:dyDescent="0.25">
      <c r="C60" s="201"/>
      <c r="D60" s="201"/>
      <c r="E60" s="201"/>
      <c r="F60" s="201"/>
      <c r="G60" s="201"/>
      <c r="H60" s="201"/>
      <c r="I60" s="201"/>
      <c r="K60" s="201"/>
    </row>
    <row r="61" spans="3:30" x14ac:dyDescent="0.25">
      <c r="C61" s="201"/>
      <c r="D61" s="201"/>
      <c r="E61" s="201"/>
      <c r="F61" s="201"/>
      <c r="G61" s="201"/>
      <c r="H61" s="201"/>
      <c r="I61" s="201"/>
      <c r="K61" s="201"/>
    </row>
    <row r="62" spans="3:30" x14ac:dyDescent="0.25">
      <c r="C62" s="201"/>
      <c r="D62" s="201"/>
      <c r="E62" s="201"/>
      <c r="F62" s="201"/>
      <c r="G62" s="201"/>
      <c r="H62" s="201"/>
      <c r="I62" s="201"/>
      <c r="K62" s="201"/>
    </row>
    <row r="63" spans="3:30" x14ac:dyDescent="0.25">
      <c r="C63" s="201"/>
      <c r="D63" s="201"/>
      <c r="E63" s="201"/>
      <c r="F63" s="201"/>
      <c r="G63" s="201"/>
      <c r="H63" s="201"/>
      <c r="I63" s="201"/>
      <c r="K63" s="201"/>
    </row>
    <row r="64" spans="3:30" x14ac:dyDescent="0.25">
      <c r="C64" s="201"/>
      <c r="D64" s="201"/>
      <c r="E64" s="201"/>
      <c r="F64" s="201"/>
      <c r="G64" s="201"/>
      <c r="H64" s="201"/>
      <c r="I64" s="201"/>
      <c r="K64" s="201"/>
    </row>
    <row r="65" spans="3:11" x14ac:dyDescent="0.25">
      <c r="C65" s="201"/>
      <c r="D65" s="201"/>
      <c r="E65" s="201"/>
      <c r="F65" s="201"/>
      <c r="G65" s="201"/>
      <c r="H65" s="201"/>
      <c r="I65" s="201"/>
      <c r="K65" s="201"/>
    </row>
    <row r="66" spans="3:11" x14ac:dyDescent="0.25">
      <c r="C66" s="201"/>
      <c r="D66" s="201"/>
      <c r="E66" s="201"/>
      <c r="F66" s="201"/>
      <c r="G66" s="201"/>
      <c r="H66" s="201"/>
      <c r="I66" s="201"/>
      <c r="K66" s="201"/>
    </row>
    <row r="67" spans="3:11" x14ac:dyDescent="0.25">
      <c r="C67" s="201"/>
      <c r="D67" s="201"/>
      <c r="E67" s="201"/>
      <c r="F67" s="201"/>
      <c r="G67" s="201"/>
      <c r="H67" s="201"/>
      <c r="I67" s="201"/>
      <c r="K67" s="201"/>
    </row>
    <row r="68" spans="3:11" x14ac:dyDescent="0.25">
      <c r="C68" s="201"/>
      <c r="D68" s="201"/>
      <c r="E68" s="201"/>
      <c r="F68" s="201"/>
      <c r="G68" s="201"/>
      <c r="H68" s="201"/>
      <c r="I68" s="201"/>
      <c r="K68" s="201"/>
    </row>
    <row r="69" spans="3:11" x14ac:dyDescent="0.25">
      <c r="C69" s="201"/>
      <c r="D69" s="201"/>
      <c r="E69" s="201"/>
      <c r="F69" s="201"/>
      <c r="G69" s="201"/>
      <c r="H69" s="201"/>
      <c r="I69" s="201"/>
      <c r="K69" s="201"/>
    </row>
    <row r="70" spans="3:11" x14ac:dyDescent="0.25">
      <c r="C70" s="201"/>
      <c r="D70" s="201"/>
      <c r="E70" s="201"/>
      <c r="F70" s="201"/>
      <c r="G70" s="201"/>
      <c r="H70" s="201"/>
      <c r="I70" s="201"/>
      <c r="K70" s="201"/>
    </row>
    <row r="71" spans="3:11" x14ac:dyDescent="0.25">
      <c r="C71" s="201"/>
      <c r="D71" s="201"/>
      <c r="E71" s="201"/>
      <c r="F71" s="201"/>
      <c r="G71" s="201"/>
      <c r="H71" s="201"/>
      <c r="I71" s="201"/>
      <c r="K71" s="201"/>
    </row>
    <row r="72" spans="3:11" x14ac:dyDescent="0.25">
      <c r="C72" s="201"/>
      <c r="D72" s="201"/>
      <c r="E72" s="201"/>
      <c r="F72" s="201"/>
      <c r="G72" s="201"/>
      <c r="H72" s="201"/>
      <c r="I72" s="201"/>
      <c r="K72" s="201"/>
    </row>
    <row r="73" spans="3:11" x14ac:dyDescent="0.25">
      <c r="C73" s="201"/>
      <c r="D73" s="201"/>
      <c r="E73" s="201"/>
      <c r="F73" s="201"/>
      <c r="G73" s="201"/>
      <c r="H73" s="201"/>
      <c r="I73" s="201"/>
      <c r="K73" s="201"/>
    </row>
    <row r="74" spans="3:11" x14ac:dyDescent="0.25">
      <c r="C74" s="201"/>
      <c r="D74" s="201"/>
      <c r="E74" s="201"/>
      <c r="F74" s="201"/>
      <c r="G74" s="201"/>
      <c r="H74" s="201"/>
      <c r="I74" s="201"/>
      <c r="K74" s="201"/>
    </row>
    <row r="75" spans="3:11" x14ac:dyDescent="0.25">
      <c r="C75" s="201"/>
      <c r="D75" s="201"/>
      <c r="E75" s="201"/>
      <c r="F75" s="201"/>
      <c r="G75" s="201"/>
      <c r="H75" s="201"/>
      <c r="I75" s="201"/>
      <c r="K75" s="201"/>
    </row>
  </sheetData>
  <conditionalFormatting sqref="E6:E35">
    <cfRule type="cellIs" dxfId="7" priority="1" stopIfTrue="1" operator="equal">
      <formula>" +"</formula>
    </cfRule>
    <cfRule type="cellIs" dxfId="6" priority="2" stopIfTrue="1" operator="equal">
      <formula>" -"</formula>
    </cfRule>
  </conditionalFormatting>
  <conditionalFormatting sqref="F6:P35">
    <cfRule type="cellIs" dxfId="5" priority="3" stopIfTrue="1" operator="equal">
      <formula>" +"</formula>
    </cfRule>
    <cfRule type="cellIs" dxfId="4" priority="4" stopIfTrue="1" operator="equal">
      <formula>" -"</formula>
    </cfRule>
    <cfRule type="cellIs" dxfId="3" priority="5" stopIfTrue="1" operator="equal">
      <formula>"S"</formula>
    </cfRule>
  </conditionalFormatting>
  <hyperlinks>
    <hyperlink ref="V1" location="Menu!A1" display="Return to menu" xr:uid="{00000000-0004-0000-2C00-000000000000}"/>
  </hyperlinks>
  <pageMargins left="0.38" right="0.49" top="1" bottom="1" header="0.48" footer="0.5"/>
  <pageSetup scale="96" orientation="portrait" r:id="rId1"/>
  <headerFooter alignWithMargins="0">
    <oddHeader>&amp;C&amp;"Arial,Bold"&amp;14Pugh Matrix</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4">
    <pageSetUpPr fitToPage="1"/>
  </sheetPr>
  <dimension ref="A1:G41"/>
  <sheetViews>
    <sheetView showGridLines="0" zoomScale="55" zoomScaleNormal="55" zoomScaleSheetLayoutView="75" zoomScalePageLayoutView="90" workbookViewId="0">
      <selection activeCell="G1" sqref="G1"/>
    </sheetView>
  </sheetViews>
  <sheetFormatPr defaultColWidth="24.21875" defaultRowHeight="15" x14ac:dyDescent="0.25"/>
  <cols>
    <col min="1" max="2" width="35.6640625" style="185" customWidth="1"/>
    <col min="3" max="3" width="35.6640625" style="194" customWidth="1"/>
    <col min="4" max="5" width="35.6640625" style="185" customWidth="1"/>
    <col min="6" max="256" width="24.21875" style="19"/>
    <col min="257" max="261" width="35.6640625" style="19" customWidth="1"/>
    <col min="262" max="512" width="24.21875" style="19"/>
    <col min="513" max="517" width="35.6640625" style="19" customWidth="1"/>
    <col min="518" max="768" width="24.21875" style="19"/>
    <col min="769" max="773" width="35.6640625" style="19" customWidth="1"/>
    <col min="774" max="1024" width="24.21875" style="19"/>
    <col min="1025" max="1029" width="35.6640625" style="19" customWidth="1"/>
    <col min="1030" max="1280" width="24.21875" style="19"/>
    <col min="1281" max="1285" width="35.6640625" style="19" customWidth="1"/>
    <col min="1286" max="1536" width="24.21875" style="19"/>
    <col min="1537" max="1541" width="35.6640625" style="19" customWidth="1"/>
    <col min="1542" max="1792" width="24.21875" style="19"/>
    <col min="1793" max="1797" width="35.6640625" style="19" customWidth="1"/>
    <col min="1798" max="2048" width="24.21875" style="19"/>
    <col min="2049" max="2053" width="35.6640625" style="19" customWidth="1"/>
    <col min="2054" max="2304" width="24.21875" style="19"/>
    <col min="2305" max="2309" width="35.6640625" style="19" customWidth="1"/>
    <col min="2310" max="2560" width="24.21875" style="19"/>
    <col min="2561" max="2565" width="35.6640625" style="19" customWidth="1"/>
    <col min="2566" max="2816" width="24.21875" style="19"/>
    <col min="2817" max="2821" width="35.6640625" style="19" customWidth="1"/>
    <col min="2822" max="3072" width="24.21875" style="19"/>
    <col min="3073" max="3077" width="35.6640625" style="19" customWidth="1"/>
    <col min="3078" max="3328" width="24.21875" style="19"/>
    <col min="3329" max="3333" width="35.6640625" style="19" customWidth="1"/>
    <col min="3334" max="3584" width="24.21875" style="19"/>
    <col min="3585" max="3589" width="35.6640625" style="19" customWidth="1"/>
    <col min="3590" max="3840" width="24.21875" style="19"/>
    <col min="3841" max="3845" width="35.6640625" style="19" customWidth="1"/>
    <col min="3846" max="4096" width="24.21875" style="19"/>
    <col min="4097" max="4101" width="35.6640625" style="19" customWidth="1"/>
    <col min="4102" max="4352" width="24.21875" style="19"/>
    <col min="4353" max="4357" width="35.6640625" style="19" customWidth="1"/>
    <col min="4358" max="4608" width="24.21875" style="19"/>
    <col min="4609" max="4613" width="35.6640625" style="19" customWidth="1"/>
    <col min="4614" max="4864" width="24.21875" style="19"/>
    <col min="4865" max="4869" width="35.6640625" style="19" customWidth="1"/>
    <col min="4870" max="5120" width="24.21875" style="19"/>
    <col min="5121" max="5125" width="35.6640625" style="19" customWidth="1"/>
    <col min="5126" max="5376" width="24.21875" style="19"/>
    <col min="5377" max="5381" width="35.6640625" style="19" customWidth="1"/>
    <col min="5382" max="5632" width="24.21875" style="19"/>
    <col min="5633" max="5637" width="35.6640625" style="19" customWidth="1"/>
    <col min="5638" max="5888" width="24.21875" style="19"/>
    <col min="5889" max="5893" width="35.6640625" style="19" customWidth="1"/>
    <col min="5894" max="6144" width="24.21875" style="19"/>
    <col min="6145" max="6149" width="35.6640625" style="19" customWidth="1"/>
    <col min="6150" max="6400" width="24.21875" style="19"/>
    <col min="6401" max="6405" width="35.6640625" style="19" customWidth="1"/>
    <col min="6406" max="6656" width="24.21875" style="19"/>
    <col min="6657" max="6661" width="35.6640625" style="19" customWidth="1"/>
    <col min="6662" max="6912" width="24.21875" style="19"/>
    <col min="6913" max="6917" width="35.6640625" style="19" customWidth="1"/>
    <col min="6918" max="7168" width="24.21875" style="19"/>
    <col min="7169" max="7173" width="35.6640625" style="19" customWidth="1"/>
    <col min="7174" max="7424" width="24.21875" style="19"/>
    <col min="7425" max="7429" width="35.6640625" style="19" customWidth="1"/>
    <col min="7430" max="7680" width="24.21875" style="19"/>
    <col min="7681" max="7685" width="35.6640625" style="19" customWidth="1"/>
    <col min="7686" max="7936" width="24.21875" style="19"/>
    <col min="7937" max="7941" width="35.6640625" style="19" customWidth="1"/>
    <col min="7942" max="8192" width="24.21875" style="19"/>
    <col min="8193" max="8197" width="35.6640625" style="19" customWidth="1"/>
    <col min="8198" max="8448" width="24.21875" style="19"/>
    <col min="8449" max="8453" width="35.6640625" style="19" customWidth="1"/>
    <col min="8454" max="8704" width="24.21875" style="19"/>
    <col min="8705" max="8709" width="35.6640625" style="19" customWidth="1"/>
    <col min="8710" max="8960" width="24.21875" style="19"/>
    <col min="8961" max="8965" width="35.6640625" style="19" customWidth="1"/>
    <col min="8966" max="9216" width="24.21875" style="19"/>
    <col min="9217" max="9221" width="35.6640625" style="19" customWidth="1"/>
    <col min="9222" max="9472" width="24.21875" style="19"/>
    <col min="9473" max="9477" width="35.6640625" style="19" customWidth="1"/>
    <col min="9478" max="9728" width="24.21875" style="19"/>
    <col min="9729" max="9733" width="35.6640625" style="19" customWidth="1"/>
    <col min="9734" max="9984" width="24.21875" style="19"/>
    <col min="9985" max="9989" width="35.6640625" style="19" customWidth="1"/>
    <col min="9990" max="10240" width="24.21875" style="19"/>
    <col min="10241" max="10245" width="35.6640625" style="19" customWidth="1"/>
    <col min="10246" max="10496" width="24.21875" style="19"/>
    <col min="10497" max="10501" width="35.6640625" style="19" customWidth="1"/>
    <col min="10502" max="10752" width="24.21875" style="19"/>
    <col min="10753" max="10757" width="35.6640625" style="19" customWidth="1"/>
    <col min="10758" max="11008" width="24.21875" style="19"/>
    <col min="11009" max="11013" width="35.6640625" style="19" customWidth="1"/>
    <col min="11014" max="11264" width="24.21875" style="19"/>
    <col min="11265" max="11269" width="35.6640625" style="19" customWidth="1"/>
    <col min="11270" max="11520" width="24.21875" style="19"/>
    <col min="11521" max="11525" width="35.6640625" style="19" customWidth="1"/>
    <col min="11526" max="11776" width="24.21875" style="19"/>
    <col min="11777" max="11781" width="35.6640625" style="19" customWidth="1"/>
    <col min="11782" max="12032" width="24.21875" style="19"/>
    <col min="12033" max="12037" width="35.6640625" style="19" customWidth="1"/>
    <col min="12038" max="12288" width="24.21875" style="19"/>
    <col min="12289" max="12293" width="35.6640625" style="19" customWidth="1"/>
    <col min="12294" max="12544" width="24.21875" style="19"/>
    <col min="12545" max="12549" width="35.6640625" style="19" customWidth="1"/>
    <col min="12550" max="12800" width="24.21875" style="19"/>
    <col min="12801" max="12805" width="35.6640625" style="19" customWidth="1"/>
    <col min="12806" max="13056" width="24.21875" style="19"/>
    <col min="13057" max="13061" width="35.6640625" style="19" customWidth="1"/>
    <col min="13062" max="13312" width="24.21875" style="19"/>
    <col min="13313" max="13317" width="35.6640625" style="19" customWidth="1"/>
    <col min="13318" max="13568" width="24.21875" style="19"/>
    <col min="13569" max="13573" width="35.6640625" style="19" customWidth="1"/>
    <col min="13574" max="13824" width="24.21875" style="19"/>
    <col min="13825" max="13829" width="35.6640625" style="19" customWidth="1"/>
    <col min="13830" max="14080" width="24.21875" style="19"/>
    <col min="14081" max="14085" width="35.6640625" style="19" customWidth="1"/>
    <col min="14086" max="14336" width="24.21875" style="19"/>
    <col min="14337" max="14341" width="35.6640625" style="19" customWidth="1"/>
    <col min="14342" max="14592" width="24.21875" style="19"/>
    <col min="14593" max="14597" width="35.6640625" style="19" customWidth="1"/>
    <col min="14598" max="14848" width="24.21875" style="19"/>
    <col min="14849" max="14853" width="35.6640625" style="19" customWidth="1"/>
    <col min="14854" max="15104" width="24.21875" style="19"/>
    <col min="15105" max="15109" width="35.6640625" style="19" customWidth="1"/>
    <col min="15110" max="15360" width="24.21875" style="19"/>
    <col min="15361" max="15365" width="35.6640625" style="19" customWidth="1"/>
    <col min="15366" max="15616" width="24.21875" style="19"/>
    <col min="15617" max="15621" width="35.6640625" style="19" customWidth="1"/>
    <col min="15622" max="15872" width="24.21875" style="19"/>
    <col min="15873" max="15877" width="35.6640625" style="19" customWidth="1"/>
    <col min="15878" max="16128" width="24.21875" style="19"/>
    <col min="16129" max="16133" width="35.6640625" style="19" customWidth="1"/>
    <col min="16134" max="16384" width="24.21875" style="19"/>
  </cols>
  <sheetData>
    <row r="1" spans="1:7" ht="21" x14ac:dyDescent="0.4">
      <c r="A1" s="198" t="s">
        <v>156</v>
      </c>
      <c r="G1" s="7" t="s">
        <v>19</v>
      </c>
    </row>
    <row r="3" spans="1:7" ht="15.6" thickBot="1" x14ac:dyDescent="0.3"/>
    <row r="4" spans="1:7" ht="21.6" thickBot="1" x14ac:dyDescent="0.45">
      <c r="A4" s="630" t="s">
        <v>742</v>
      </c>
      <c r="B4" s="627"/>
      <c r="C4" s="628"/>
      <c r="D4" s="627"/>
      <c r="E4" s="629"/>
    </row>
    <row r="5" spans="1:7" s="177" customFormat="1" ht="18" thickBot="1" x14ac:dyDescent="0.35">
      <c r="A5" s="174" t="s">
        <v>151</v>
      </c>
      <c r="B5" s="175" t="s">
        <v>152</v>
      </c>
      <c r="C5" s="175" t="s">
        <v>153</v>
      </c>
      <c r="D5" s="175" t="s">
        <v>154</v>
      </c>
      <c r="E5" s="176" t="s">
        <v>155</v>
      </c>
    </row>
    <row r="6" spans="1:7" ht="18.75" customHeight="1" x14ac:dyDescent="0.25">
      <c r="A6" s="178" t="s">
        <v>738</v>
      </c>
      <c r="B6" s="179" t="s">
        <v>743</v>
      </c>
      <c r="C6" s="1262" t="s">
        <v>752</v>
      </c>
      <c r="D6" s="179" t="s">
        <v>741</v>
      </c>
      <c r="E6" s="184" t="s">
        <v>746</v>
      </c>
    </row>
    <row r="7" spans="1:7" ht="15" customHeight="1" x14ac:dyDescent="0.25">
      <c r="A7" s="178"/>
      <c r="B7" s="179"/>
      <c r="C7" s="1263" t="s">
        <v>753</v>
      </c>
      <c r="D7" s="179"/>
      <c r="E7" s="184"/>
    </row>
    <row r="8" spans="1:7" ht="15" customHeight="1" x14ac:dyDescent="0.25">
      <c r="A8" s="178"/>
      <c r="B8" s="179"/>
      <c r="C8" s="1263"/>
      <c r="D8" s="179"/>
      <c r="E8" s="184"/>
    </row>
    <row r="9" spans="1:7" x14ac:dyDescent="0.25">
      <c r="A9" s="181"/>
      <c r="B9" s="182"/>
      <c r="C9" s="183"/>
      <c r="D9" s="179"/>
      <c r="E9" s="184"/>
    </row>
    <row r="10" spans="1:7" ht="15" customHeight="1" x14ac:dyDescent="0.25">
      <c r="A10" s="178" t="s">
        <v>739</v>
      </c>
      <c r="B10" s="179" t="s">
        <v>750</v>
      </c>
      <c r="C10" s="1262" t="s">
        <v>754</v>
      </c>
      <c r="D10" s="179" t="s">
        <v>740</v>
      </c>
      <c r="E10" s="184" t="s">
        <v>151</v>
      </c>
    </row>
    <row r="11" spans="1:7" ht="15" customHeight="1" x14ac:dyDescent="0.25">
      <c r="A11" s="178"/>
      <c r="B11" s="179"/>
      <c r="C11" s="1263"/>
      <c r="D11" s="179"/>
      <c r="E11" s="180" t="s">
        <v>749</v>
      </c>
    </row>
    <row r="12" spans="1:7" ht="15" customHeight="1" x14ac:dyDescent="0.25">
      <c r="A12" s="187"/>
      <c r="B12" s="188"/>
      <c r="C12" s="1263"/>
      <c r="D12" s="188"/>
      <c r="E12" s="189" t="s">
        <v>748</v>
      </c>
    </row>
    <row r="13" spans="1:7" x14ac:dyDescent="0.25">
      <c r="A13" s="181"/>
      <c r="B13" s="182"/>
      <c r="C13" s="183"/>
      <c r="D13" s="182"/>
      <c r="E13" s="184"/>
    </row>
    <row r="14" spans="1:7" ht="30" x14ac:dyDescent="0.25">
      <c r="A14" s="195" t="s">
        <v>751</v>
      </c>
      <c r="B14" s="196" t="s">
        <v>744</v>
      </c>
      <c r="C14" s="1262" t="s">
        <v>755</v>
      </c>
      <c r="D14" s="196" t="s">
        <v>745</v>
      </c>
      <c r="E14" s="197" t="s">
        <v>747</v>
      </c>
    </row>
    <row r="15" spans="1:7" ht="15" customHeight="1" x14ac:dyDescent="0.25">
      <c r="A15" s="195"/>
      <c r="B15" s="196"/>
      <c r="C15" s="1263"/>
      <c r="D15" s="196"/>
      <c r="E15" s="197" t="s">
        <v>748</v>
      </c>
    </row>
    <row r="16" spans="1:7" ht="15" customHeight="1" x14ac:dyDescent="0.25">
      <c r="A16" s="178"/>
      <c r="B16" s="179"/>
      <c r="C16" s="1263"/>
      <c r="D16" s="179"/>
      <c r="E16" s="180"/>
    </row>
    <row r="17" spans="1:5" x14ac:dyDescent="0.25">
      <c r="A17" s="181"/>
      <c r="B17" s="182"/>
      <c r="C17" s="183"/>
      <c r="D17" s="182"/>
      <c r="E17" s="184"/>
    </row>
    <row r="18" spans="1:5" ht="15" customHeight="1" x14ac:dyDescent="0.25">
      <c r="A18" s="178"/>
      <c r="B18" s="179"/>
      <c r="C18" s="1262" t="s">
        <v>756</v>
      </c>
      <c r="D18" s="179" t="s">
        <v>760</v>
      </c>
      <c r="E18" s="197" t="s">
        <v>747</v>
      </c>
    </row>
    <row r="19" spans="1:5" ht="15" customHeight="1" x14ac:dyDescent="0.25">
      <c r="A19" s="178"/>
      <c r="B19" s="179"/>
      <c r="C19" s="1263"/>
      <c r="D19" s="179"/>
      <c r="E19" s="197" t="s">
        <v>748</v>
      </c>
    </row>
    <row r="20" spans="1:5" ht="15" customHeight="1" x14ac:dyDescent="0.25">
      <c r="A20" s="178"/>
      <c r="C20" s="1263"/>
      <c r="D20" s="179"/>
      <c r="E20" s="180"/>
    </row>
    <row r="21" spans="1:5" x14ac:dyDescent="0.25">
      <c r="A21" s="181"/>
      <c r="B21" s="186"/>
      <c r="C21" s="183"/>
      <c r="D21" s="182"/>
      <c r="E21" s="184"/>
    </row>
    <row r="22" spans="1:5" ht="15" customHeight="1" x14ac:dyDescent="0.25">
      <c r="A22" s="178"/>
      <c r="B22" s="179"/>
      <c r="C22" s="1262" t="s">
        <v>757</v>
      </c>
      <c r="D22" s="179"/>
      <c r="E22" s="180"/>
    </row>
    <row r="23" spans="1:5" ht="15" customHeight="1" x14ac:dyDescent="0.25">
      <c r="A23" s="178"/>
      <c r="B23" s="179"/>
      <c r="C23" s="1263"/>
      <c r="D23" s="179"/>
      <c r="E23" s="180"/>
    </row>
    <row r="24" spans="1:5" ht="15" customHeight="1" x14ac:dyDescent="0.25">
      <c r="A24" s="178"/>
      <c r="B24" s="179"/>
      <c r="C24" s="1263"/>
      <c r="D24" s="179"/>
      <c r="E24" s="180"/>
    </row>
    <row r="25" spans="1:5" x14ac:dyDescent="0.25">
      <c r="A25" s="181"/>
      <c r="B25" s="182"/>
      <c r="C25" s="183"/>
      <c r="D25" s="182"/>
      <c r="E25" s="184"/>
    </row>
    <row r="26" spans="1:5" ht="15" customHeight="1" x14ac:dyDescent="0.25">
      <c r="A26" s="178"/>
      <c r="B26" s="179"/>
      <c r="C26" s="1262" t="s">
        <v>758</v>
      </c>
      <c r="D26" s="179"/>
      <c r="E26" s="180"/>
    </row>
    <row r="27" spans="1:5" ht="15" customHeight="1" x14ac:dyDescent="0.25">
      <c r="A27" s="178"/>
      <c r="B27" s="179"/>
      <c r="C27" s="1263"/>
      <c r="D27" s="179"/>
      <c r="E27" s="180"/>
    </row>
    <row r="28" spans="1:5" ht="15" customHeight="1" x14ac:dyDescent="0.25">
      <c r="A28" s="178"/>
      <c r="B28" s="179"/>
      <c r="C28" s="1263"/>
      <c r="D28" s="179"/>
      <c r="E28" s="180"/>
    </row>
    <row r="29" spans="1:5" x14ac:dyDescent="0.25">
      <c r="A29" s="181"/>
      <c r="B29" s="182"/>
      <c r="C29" s="183"/>
      <c r="D29" s="182"/>
      <c r="E29" s="184"/>
    </row>
    <row r="30" spans="1:5" ht="15" customHeight="1" x14ac:dyDescent="0.25">
      <c r="A30" s="178"/>
      <c r="B30" s="179"/>
      <c r="C30" s="1262" t="s">
        <v>759</v>
      </c>
      <c r="D30" s="179"/>
      <c r="E30" s="180"/>
    </row>
    <row r="31" spans="1:5" ht="15" customHeight="1" x14ac:dyDescent="0.25">
      <c r="A31" s="178"/>
      <c r="B31" s="179"/>
      <c r="C31" s="1263"/>
      <c r="D31" s="179"/>
      <c r="E31" s="180"/>
    </row>
    <row r="32" spans="1:5" ht="15" customHeight="1" x14ac:dyDescent="0.25">
      <c r="A32" s="187"/>
      <c r="B32" s="188"/>
      <c r="C32" s="1263"/>
      <c r="D32" s="188"/>
      <c r="E32" s="189"/>
    </row>
    <row r="33" spans="1:5" x14ac:dyDescent="0.25">
      <c r="A33" s="181"/>
      <c r="B33" s="182"/>
      <c r="C33" s="183"/>
      <c r="D33" s="182"/>
      <c r="E33" s="190"/>
    </row>
    <row r="34" spans="1:5" ht="15" customHeight="1" x14ac:dyDescent="0.25">
      <c r="A34" s="187"/>
      <c r="B34" s="188"/>
      <c r="C34" s="1262"/>
      <c r="D34" s="188"/>
      <c r="E34" s="189"/>
    </row>
    <row r="35" spans="1:5" ht="15" customHeight="1" x14ac:dyDescent="0.25">
      <c r="A35" s="187"/>
      <c r="B35" s="188"/>
      <c r="C35" s="1263"/>
      <c r="D35" s="188"/>
      <c r="E35" s="189"/>
    </row>
    <row r="36" spans="1:5" ht="15.75" customHeight="1" thickBot="1" x14ac:dyDescent="0.3">
      <c r="A36" s="191"/>
      <c r="B36" s="192"/>
      <c r="C36" s="1263"/>
      <c r="D36" s="192"/>
      <c r="E36" s="193"/>
    </row>
    <row r="37" spans="1:5" ht="28.8" customHeight="1" thickBot="1" x14ac:dyDescent="0.35">
      <c r="A37" s="1258" t="s">
        <v>691</v>
      </c>
      <c r="B37" s="1259"/>
      <c r="C37" s="1264" t="s">
        <v>761</v>
      </c>
      <c r="D37" s="1265"/>
      <c r="E37" s="1266"/>
    </row>
    <row r="38" spans="1:5" ht="28.8" customHeight="1" thickBot="1" x14ac:dyDescent="0.35">
      <c r="A38" s="1258" t="s">
        <v>696</v>
      </c>
      <c r="B38" s="1259"/>
      <c r="C38" s="1264" t="s">
        <v>762</v>
      </c>
      <c r="D38" s="1265"/>
      <c r="E38" s="1266"/>
    </row>
    <row r="39" spans="1:5" ht="28.8" customHeight="1" thickBot="1" x14ac:dyDescent="0.35">
      <c r="A39" s="1258" t="s">
        <v>692</v>
      </c>
      <c r="B39" s="1259"/>
      <c r="C39" s="1270" t="s">
        <v>763</v>
      </c>
      <c r="D39" s="1271"/>
      <c r="E39" s="1272"/>
    </row>
    <row r="40" spans="1:5" ht="28.8" customHeight="1" thickBot="1" x14ac:dyDescent="0.35">
      <c r="A40" s="1260" t="s">
        <v>693</v>
      </c>
      <c r="B40" s="1261"/>
      <c r="C40" s="1267" t="s">
        <v>764</v>
      </c>
      <c r="D40" s="1268"/>
      <c r="E40" s="1269"/>
    </row>
    <row r="41" spans="1:5" ht="28.5" customHeight="1" x14ac:dyDescent="0.25"/>
  </sheetData>
  <mergeCells count="16">
    <mergeCell ref="A37:B37"/>
    <mergeCell ref="A38:B38"/>
    <mergeCell ref="A39:B39"/>
    <mergeCell ref="A40:B40"/>
    <mergeCell ref="C6:C8"/>
    <mergeCell ref="C38:E38"/>
    <mergeCell ref="C37:E37"/>
    <mergeCell ref="C40:E40"/>
    <mergeCell ref="C39:E39"/>
    <mergeCell ref="C30:C32"/>
    <mergeCell ref="C34:C36"/>
    <mergeCell ref="C10:C12"/>
    <mergeCell ref="C14:C16"/>
    <mergeCell ref="C18:C20"/>
    <mergeCell ref="C22:C24"/>
    <mergeCell ref="C26:C28"/>
  </mergeCells>
  <phoneticPr fontId="124" type="noConversion"/>
  <hyperlinks>
    <hyperlink ref="G1" location="Menu!A1" display="Return to menu" xr:uid="{00000000-0004-0000-2F00-000000000000}"/>
  </hyperlinks>
  <pageMargins left="0.56999999999999995" right="0.35" top="0.91" bottom="0.98" header="0.36" footer="0.5"/>
  <pageSetup scale="72" orientation="landscape" r:id="rId1"/>
  <headerFooter alignWithMargins="0">
    <oddHeader>&amp;C&amp;"Arial,Bold"&amp;36S             I          P          O          C</oddHeader>
    <oddFooter>&amp;L&amp;"Arial,Bold"Project Name : 
&amp;R&amp;"Arial,Bold"Rev :_______
October 2002</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R111"/>
  <sheetViews>
    <sheetView showGridLines="0" zoomScaleNormal="100" workbookViewId="0">
      <selection activeCell="R2" sqref="R2"/>
    </sheetView>
  </sheetViews>
  <sheetFormatPr defaultColWidth="8.88671875" defaultRowHeight="13.2" x14ac:dyDescent="0.3"/>
  <cols>
    <col min="1" max="1" width="2.6640625" style="67" customWidth="1"/>
    <col min="2" max="2" width="4.44140625" style="67" customWidth="1"/>
    <col min="3" max="3" width="35.6640625" style="67" customWidth="1"/>
    <col min="4" max="4" width="2.44140625" style="67" customWidth="1"/>
    <col min="5" max="5" width="6.21875" style="67" customWidth="1"/>
    <col min="6" max="6" width="35.6640625" style="67" customWidth="1"/>
    <col min="7" max="7" width="1.6640625" style="68" customWidth="1"/>
    <col min="8" max="8" width="5.44140625" style="68" customWidth="1"/>
    <col min="9" max="9" width="35.6640625" style="68" customWidth="1"/>
    <col min="10" max="10" width="3.109375" style="67" customWidth="1"/>
    <col min="11" max="11" width="4.21875" style="67" customWidth="1"/>
    <col min="12" max="12" width="35.6640625" style="67" customWidth="1"/>
    <col min="13" max="13" width="2.88671875" style="69" customWidth="1"/>
    <col min="14" max="14" width="4.21875" style="67" customWidth="1"/>
    <col min="15" max="15" width="35.6640625" style="68" customWidth="1"/>
    <col min="16" max="16" width="3.21875" style="67" customWidth="1"/>
    <col min="17" max="17" width="8.88671875" style="67"/>
    <col min="18" max="18" width="20.6640625" style="67" bestFit="1" customWidth="1"/>
    <col min="19" max="256" width="8.88671875" style="67"/>
    <col min="257" max="257" width="2.6640625" style="67" customWidth="1"/>
    <col min="258" max="258" width="4.44140625" style="67" customWidth="1"/>
    <col min="259" max="259" width="35.6640625" style="67" customWidth="1"/>
    <col min="260" max="260" width="2.44140625" style="67" customWidth="1"/>
    <col min="261" max="261" width="6.21875" style="67" customWidth="1"/>
    <col min="262" max="262" width="35.6640625" style="67" customWidth="1"/>
    <col min="263" max="263" width="1.6640625" style="67" customWidth="1"/>
    <col min="264" max="264" width="5.44140625" style="67" customWidth="1"/>
    <col min="265" max="265" width="35.6640625" style="67" customWidth="1"/>
    <col min="266" max="266" width="3.109375" style="67" customWidth="1"/>
    <col min="267" max="267" width="4.21875" style="67" customWidth="1"/>
    <col min="268" max="268" width="35.6640625" style="67" customWidth="1"/>
    <col min="269" max="269" width="2.88671875" style="67" customWidth="1"/>
    <col min="270" max="270" width="4.21875" style="67" customWidth="1"/>
    <col min="271" max="271" width="35.6640625" style="67" customWidth="1"/>
    <col min="272" max="272" width="3.21875" style="67" customWidth="1"/>
    <col min="273" max="512" width="8.88671875" style="67"/>
    <col min="513" max="513" width="2.6640625" style="67" customWidth="1"/>
    <col min="514" max="514" width="4.44140625" style="67" customWidth="1"/>
    <col min="515" max="515" width="35.6640625" style="67" customWidth="1"/>
    <col min="516" max="516" width="2.44140625" style="67" customWidth="1"/>
    <col min="517" max="517" width="6.21875" style="67" customWidth="1"/>
    <col min="518" max="518" width="35.6640625" style="67" customWidth="1"/>
    <col min="519" max="519" width="1.6640625" style="67" customWidth="1"/>
    <col min="520" max="520" width="5.44140625" style="67" customWidth="1"/>
    <col min="521" max="521" width="35.6640625" style="67" customWidth="1"/>
    <col min="522" max="522" width="3.109375" style="67" customWidth="1"/>
    <col min="523" max="523" width="4.21875" style="67" customWidth="1"/>
    <col min="524" max="524" width="35.6640625" style="67" customWidth="1"/>
    <col min="525" max="525" width="2.88671875" style="67" customWidth="1"/>
    <col min="526" max="526" width="4.21875" style="67" customWidth="1"/>
    <col min="527" max="527" width="35.6640625" style="67" customWidth="1"/>
    <col min="528" max="528" width="3.21875" style="67" customWidth="1"/>
    <col min="529" max="768" width="8.88671875" style="67"/>
    <col min="769" max="769" width="2.6640625" style="67" customWidth="1"/>
    <col min="770" max="770" width="4.44140625" style="67" customWidth="1"/>
    <col min="771" max="771" width="35.6640625" style="67" customWidth="1"/>
    <col min="772" max="772" width="2.44140625" style="67" customWidth="1"/>
    <col min="773" max="773" width="6.21875" style="67" customWidth="1"/>
    <col min="774" max="774" width="35.6640625" style="67" customWidth="1"/>
    <col min="775" max="775" width="1.6640625" style="67" customWidth="1"/>
    <col min="776" max="776" width="5.44140625" style="67" customWidth="1"/>
    <col min="777" max="777" width="35.6640625" style="67" customWidth="1"/>
    <col min="778" max="778" width="3.109375" style="67" customWidth="1"/>
    <col min="779" max="779" width="4.21875" style="67" customWidth="1"/>
    <col min="780" max="780" width="35.6640625" style="67" customWidth="1"/>
    <col min="781" max="781" width="2.88671875" style="67" customWidth="1"/>
    <col min="782" max="782" width="4.21875" style="67" customWidth="1"/>
    <col min="783" max="783" width="35.6640625" style="67" customWidth="1"/>
    <col min="784" max="784" width="3.21875" style="67" customWidth="1"/>
    <col min="785" max="1024" width="8.88671875" style="67"/>
    <col min="1025" max="1025" width="2.6640625" style="67" customWidth="1"/>
    <col min="1026" max="1026" width="4.44140625" style="67" customWidth="1"/>
    <col min="1027" max="1027" width="35.6640625" style="67" customWidth="1"/>
    <col min="1028" max="1028" width="2.44140625" style="67" customWidth="1"/>
    <col min="1029" max="1029" width="6.21875" style="67" customWidth="1"/>
    <col min="1030" max="1030" width="35.6640625" style="67" customWidth="1"/>
    <col min="1031" max="1031" width="1.6640625" style="67" customWidth="1"/>
    <col min="1032" max="1032" width="5.44140625" style="67" customWidth="1"/>
    <col min="1033" max="1033" width="35.6640625" style="67" customWidth="1"/>
    <col min="1034" max="1034" width="3.109375" style="67" customWidth="1"/>
    <col min="1035" max="1035" width="4.21875" style="67" customWidth="1"/>
    <col min="1036" max="1036" width="35.6640625" style="67" customWidth="1"/>
    <col min="1037" max="1037" width="2.88671875" style="67" customWidth="1"/>
    <col min="1038" max="1038" width="4.21875" style="67" customWidth="1"/>
    <col min="1039" max="1039" width="35.6640625" style="67" customWidth="1"/>
    <col min="1040" max="1040" width="3.21875" style="67" customWidth="1"/>
    <col min="1041" max="1280" width="8.88671875" style="67"/>
    <col min="1281" max="1281" width="2.6640625" style="67" customWidth="1"/>
    <col min="1282" max="1282" width="4.44140625" style="67" customWidth="1"/>
    <col min="1283" max="1283" width="35.6640625" style="67" customWidth="1"/>
    <col min="1284" max="1284" width="2.44140625" style="67" customWidth="1"/>
    <col min="1285" max="1285" width="6.21875" style="67" customWidth="1"/>
    <col min="1286" max="1286" width="35.6640625" style="67" customWidth="1"/>
    <col min="1287" max="1287" width="1.6640625" style="67" customWidth="1"/>
    <col min="1288" max="1288" width="5.44140625" style="67" customWidth="1"/>
    <col min="1289" max="1289" width="35.6640625" style="67" customWidth="1"/>
    <col min="1290" max="1290" width="3.109375" style="67" customWidth="1"/>
    <col min="1291" max="1291" width="4.21875" style="67" customWidth="1"/>
    <col min="1292" max="1292" width="35.6640625" style="67" customWidth="1"/>
    <col min="1293" max="1293" width="2.88671875" style="67" customWidth="1"/>
    <col min="1294" max="1294" width="4.21875" style="67" customWidth="1"/>
    <col min="1295" max="1295" width="35.6640625" style="67" customWidth="1"/>
    <col min="1296" max="1296" width="3.21875" style="67" customWidth="1"/>
    <col min="1297" max="1536" width="8.88671875" style="67"/>
    <col min="1537" max="1537" width="2.6640625" style="67" customWidth="1"/>
    <col min="1538" max="1538" width="4.44140625" style="67" customWidth="1"/>
    <col min="1539" max="1539" width="35.6640625" style="67" customWidth="1"/>
    <col min="1540" max="1540" width="2.44140625" style="67" customWidth="1"/>
    <col min="1541" max="1541" width="6.21875" style="67" customWidth="1"/>
    <col min="1542" max="1542" width="35.6640625" style="67" customWidth="1"/>
    <col min="1543" max="1543" width="1.6640625" style="67" customWidth="1"/>
    <col min="1544" max="1544" width="5.44140625" style="67" customWidth="1"/>
    <col min="1545" max="1545" width="35.6640625" style="67" customWidth="1"/>
    <col min="1546" max="1546" width="3.109375" style="67" customWidth="1"/>
    <col min="1547" max="1547" width="4.21875" style="67" customWidth="1"/>
    <col min="1548" max="1548" width="35.6640625" style="67" customWidth="1"/>
    <col min="1549" max="1549" width="2.88671875" style="67" customWidth="1"/>
    <col min="1550" max="1550" width="4.21875" style="67" customWidth="1"/>
    <col min="1551" max="1551" width="35.6640625" style="67" customWidth="1"/>
    <col min="1552" max="1552" width="3.21875" style="67" customWidth="1"/>
    <col min="1553" max="1792" width="8.88671875" style="67"/>
    <col min="1793" max="1793" width="2.6640625" style="67" customWidth="1"/>
    <col min="1794" max="1794" width="4.44140625" style="67" customWidth="1"/>
    <col min="1795" max="1795" width="35.6640625" style="67" customWidth="1"/>
    <col min="1796" max="1796" width="2.44140625" style="67" customWidth="1"/>
    <col min="1797" max="1797" width="6.21875" style="67" customWidth="1"/>
    <col min="1798" max="1798" width="35.6640625" style="67" customWidth="1"/>
    <col min="1799" max="1799" width="1.6640625" style="67" customWidth="1"/>
    <col min="1800" max="1800" width="5.44140625" style="67" customWidth="1"/>
    <col min="1801" max="1801" width="35.6640625" style="67" customWidth="1"/>
    <col min="1802" max="1802" width="3.109375" style="67" customWidth="1"/>
    <col min="1803" max="1803" width="4.21875" style="67" customWidth="1"/>
    <col min="1804" max="1804" width="35.6640625" style="67" customWidth="1"/>
    <col min="1805" max="1805" width="2.88671875" style="67" customWidth="1"/>
    <col min="1806" max="1806" width="4.21875" style="67" customWidth="1"/>
    <col min="1807" max="1807" width="35.6640625" style="67" customWidth="1"/>
    <col min="1808" max="1808" width="3.21875" style="67" customWidth="1"/>
    <col min="1809" max="2048" width="8.88671875" style="67"/>
    <col min="2049" max="2049" width="2.6640625" style="67" customWidth="1"/>
    <col min="2050" max="2050" width="4.44140625" style="67" customWidth="1"/>
    <col min="2051" max="2051" width="35.6640625" style="67" customWidth="1"/>
    <col min="2052" max="2052" width="2.44140625" style="67" customWidth="1"/>
    <col min="2053" max="2053" width="6.21875" style="67" customWidth="1"/>
    <col min="2054" max="2054" width="35.6640625" style="67" customWidth="1"/>
    <col min="2055" max="2055" width="1.6640625" style="67" customWidth="1"/>
    <col min="2056" max="2056" width="5.44140625" style="67" customWidth="1"/>
    <col min="2057" max="2057" width="35.6640625" style="67" customWidth="1"/>
    <col min="2058" max="2058" width="3.109375" style="67" customWidth="1"/>
    <col min="2059" max="2059" width="4.21875" style="67" customWidth="1"/>
    <col min="2060" max="2060" width="35.6640625" style="67" customWidth="1"/>
    <col min="2061" max="2061" width="2.88671875" style="67" customWidth="1"/>
    <col min="2062" max="2062" width="4.21875" style="67" customWidth="1"/>
    <col min="2063" max="2063" width="35.6640625" style="67" customWidth="1"/>
    <col min="2064" max="2064" width="3.21875" style="67" customWidth="1"/>
    <col min="2065" max="2304" width="8.88671875" style="67"/>
    <col min="2305" max="2305" width="2.6640625" style="67" customWidth="1"/>
    <col min="2306" max="2306" width="4.44140625" style="67" customWidth="1"/>
    <col min="2307" max="2307" width="35.6640625" style="67" customWidth="1"/>
    <col min="2308" max="2308" width="2.44140625" style="67" customWidth="1"/>
    <col min="2309" max="2309" width="6.21875" style="67" customWidth="1"/>
    <col min="2310" max="2310" width="35.6640625" style="67" customWidth="1"/>
    <col min="2311" max="2311" width="1.6640625" style="67" customWidth="1"/>
    <col min="2312" max="2312" width="5.44140625" style="67" customWidth="1"/>
    <col min="2313" max="2313" width="35.6640625" style="67" customWidth="1"/>
    <col min="2314" max="2314" width="3.109375" style="67" customWidth="1"/>
    <col min="2315" max="2315" width="4.21875" style="67" customWidth="1"/>
    <col min="2316" max="2316" width="35.6640625" style="67" customWidth="1"/>
    <col min="2317" max="2317" width="2.88671875" style="67" customWidth="1"/>
    <col min="2318" max="2318" width="4.21875" style="67" customWidth="1"/>
    <col min="2319" max="2319" width="35.6640625" style="67" customWidth="1"/>
    <col min="2320" max="2320" width="3.21875" style="67" customWidth="1"/>
    <col min="2321" max="2560" width="8.88671875" style="67"/>
    <col min="2561" max="2561" width="2.6640625" style="67" customWidth="1"/>
    <col min="2562" max="2562" width="4.44140625" style="67" customWidth="1"/>
    <col min="2563" max="2563" width="35.6640625" style="67" customWidth="1"/>
    <col min="2564" max="2564" width="2.44140625" style="67" customWidth="1"/>
    <col min="2565" max="2565" width="6.21875" style="67" customWidth="1"/>
    <col min="2566" max="2566" width="35.6640625" style="67" customWidth="1"/>
    <col min="2567" max="2567" width="1.6640625" style="67" customWidth="1"/>
    <col min="2568" max="2568" width="5.44140625" style="67" customWidth="1"/>
    <col min="2569" max="2569" width="35.6640625" style="67" customWidth="1"/>
    <col min="2570" max="2570" width="3.109375" style="67" customWidth="1"/>
    <col min="2571" max="2571" width="4.21875" style="67" customWidth="1"/>
    <col min="2572" max="2572" width="35.6640625" style="67" customWidth="1"/>
    <col min="2573" max="2573" width="2.88671875" style="67" customWidth="1"/>
    <col min="2574" max="2574" width="4.21875" style="67" customWidth="1"/>
    <col min="2575" max="2575" width="35.6640625" style="67" customWidth="1"/>
    <col min="2576" max="2576" width="3.21875" style="67" customWidth="1"/>
    <col min="2577" max="2816" width="8.88671875" style="67"/>
    <col min="2817" max="2817" width="2.6640625" style="67" customWidth="1"/>
    <col min="2818" max="2818" width="4.44140625" style="67" customWidth="1"/>
    <col min="2819" max="2819" width="35.6640625" style="67" customWidth="1"/>
    <col min="2820" max="2820" width="2.44140625" style="67" customWidth="1"/>
    <col min="2821" max="2821" width="6.21875" style="67" customWidth="1"/>
    <col min="2822" max="2822" width="35.6640625" style="67" customWidth="1"/>
    <col min="2823" max="2823" width="1.6640625" style="67" customWidth="1"/>
    <col min="2824" max="2824" width="5.44140625" style="67" customWidth="1"/>
    <col min="2825" max="2825" width="35.6640625" style="67" customWidth="1"/>
    <col min="2826" max="2826" width="3.109375" style="67" customWidth="1"/>
    <col min="2827" max="2827" width="4.21875" style="67" customWidth="1"/>
    <col min="2828" max="2828" width="35.6640625" style="67" customWidth="1"/>
    <col min="2829" max="2829" width="2.88671875" style="67" customWidth="1"/>
    <col min="2830" max="2830" width="4.21875" style="67" customWidth="1"/>
    <col min="2831" max="2831" width="35.6640625" style="67" customWidth="1"/>
    <col min="2832" max="2832" width="3.21875" style="67" customWidth="1"/>
    <col min="2833" max="3072" width="8.88671875" style="67"/>
    <col min="3073" max="3073" width="2.6640625" style="67" customWidth="1"/>
    <col min="3074" max="3074" width="4.44140625" style="67" customWidth="1"/>
    <col min="3075" max="3075" width="35.6640625" style="67" customWidth="1"/>
    <col min="3076" max="3076" width="2.44140625" style="67" customWidth="1"/>
    <col min="3077" max="3077" width="6.21875" style="67" customWidth="1"/>
    <col min="3078" max="3078" width="35.6640625" style="67" customWidth="1"/>
    <col min="3079" max="3079" width="1.6640625" style="67" customWidth="1"/>
    <col min="3080" max="3080" width="5.44140625" style="67" customWidth="1"/>
    <col min="3081" max="3081" width="35.6640625" style="67" customWidth="1"/>
    <col min="3082" max="3082" width="3.109375" style="67" customWidth="1"/>
    <col min="3083" max="3083" width="4.21875" style="67" customWidth="1"/>
    <col min="3084" max="3084" width="35.6640625" style="67" customWidth="1"/>
    <col min="3085" max="3085" width="2.88671875" style="67" customWidth="1"/>
    <col min="3086" max="3086" width="4.21875" style="67" customWidth="1"/>
    <col min="3087" max="3087" width="35.6640625" style="67" customWidth="1"/>
    <col min="3088" max="3088" width="3.21875" style="67" customWidth="1"/>
    <col min="3089" max="3328" width="8.88671875" style="67"/>
    <col min="3329" max="3329" width="2.6640625" style="67" customWidth="1"/>
    <col min="3330" max="3330" width="4.44140625" style="67" customWidth="1"/>
    <col min="3331" max="3331" width="35.6640625" style="67" customWidth="1"/>
    <col min="3332" max="3332" width="2.44140625" style="67" customWidth="1"/>
    <col min="3333" max="3333" width="6.21875" style="67" customWidth="1"/>
    <col min="3334" max="3334" width="35.6640625" style="67" customWidth="1"/>
    <col min="3335" max="3335" width="1.6640625" style="67" customWidth="1"/>
    <col min="3336" max="3336" width="5.44140625" style="67" customWidth="1"/>
    <col min="3337" max="3337" width="35.6640625" style="67" customWidth="1"/>
    <col min="3338" max="3338" width="3.109375" style="67" customWidth="1"/>
    <col min="3339" max="3339" width="4.21875" style="67" customWidth="1"/>
    <col min="3340" max="3340" width="35.6640625" style="67" customWidth="1"/>
    <col min="3341" max="3341" width="2.88671875" style="67" customWidth="1"/>
    <col min="3342" max="3342" width="4.21875" style="67" customWidth="1"/>
    <col min="3343" max="3343" width="35.6640625" style="67" customWidth="1"/>
    <col min="3344" max="3344" width="3.21875" style="67" customWidth="1"/>
    <col min="3345" max="3584" width="8.88671875" style="67"/>
    <col min="3585" max="3585" width="2.6640625" style="67" customWidth="1"/>
    <col min="3586" max="3586" width="4.44140625" style="67" customWidth="1"/>
    <col min="3587" max="3587" width="35.6640625" style="67" customWidth="1"/>
    <col min="3588" max="3588" width="2.44140625" style="67" customWidth="1"/>
    <col min="3589" max="3589" width="6.21875" style="67" customWidth="1"/>
    <col min="3590" max="3590" width="35.6640625" style="67" customWidth="1"/>
    <col min="3591" max="3591" width="1.6640625" style="67" customWidth="1"/>
    <col min="3592" max="3592" width="5.44140625" style="67" customWidth="1"/>
    <col min="3593" max="3593" width="35.6640625" style="67" customWidth="1"/>
    <col min="3594" max="3594" width="3.109375" style="67" customWidth="1"/>
    <col min="3595" max="3595" width="4.21875" style="67" customWidth="1"/>
    <col min="3596" max="3596" width="35.6640625" style="67" customWidth="1"/>
    <col min="3597" max="3597" width="2.88671875" style="67" customWidth="1"/>
    <col min="3598" max="3598" width="4.21875" style="67" customWidth="1"/>
    <col min="3599" max="3599" width="35.6640625" style="67" customWidth="1"/>
    <col min="3600" max="3600" width="3.21875" style="67" customWidth="1"/>
    <col min="3601" max="3840" width="8.88671875" style="67"/>
    <col min="3841" max="3841" width="2.6640625" style="67" customWidth="1"/>
    <col min="3842" max="3842" width="4.44140625" style="67" customWidth="1"/>
    <col min="3843" max="3843" width="35.6640625" style="67" customWidth="1"/>
    <col min="3844" max="3844" width="2.44140625" style="67" customWidth="1"/>
    <col min="3845" max="3845" width="6.21875" style="67" customWidth="1"/>
    <col min="3846" max="3846" width="35.6640625" style="67" customWidth="1"/>
    <col min="3847" max="3847" width="1.6640625" style="67" customWidth="1"/>
    <col min="3848" max="3848" width="5.44140625" style="67" customWidth="1"/>
    <col min="3849" max="3849" width="35.6640625" style="67" customWidth="1"/>
    <col min="3850" max="3850" width="3.109375" style="67" customWidth="1"/>
    <col min="3851" max="3851" width="4.21875" style="67" customWidth="1"/>
    <col min="3852" max="3852" width="35.6640625" style="67" customWidth="1"/>
    <col min="3853" max="3853" width="2.88671875" style="67" customWidth="1"/>
    <col min="3854" max="3854" width="4.21875" style="67" customWidth="1"/>
    <col min="3855" max="3855" width="35.6640625" style="67" customWidth="1"/>
    <col min="3856" max="3856" width="3.21875" style="67" customWidth="1"/>
    <col min="3857" max="4096" width="8.88671875" style="67"/>
    <col min="4097" max="4097" width="2.6640625" style="67" customWidth="1"/>
    <col min="4098" max="4098" width="4.44140625" style="67" customWidth="1"/>
    <col min="4099" max="4099" width="35.6640625" style="67" customWidth="1"/>
    <col min="4100" max="4100" width="2.44140625" style="67" customWidth="1"/>
    <col min="4101" max="4101" width="6.21875" style="67" customWidth="1"/>
    <col min="4102" max="4102" width="35.6640625" style="67" customWidth="1"/>
    <col min="4103" max="4103" width="1.6640625" style="67" customWidth="1"/>
    <col min="4104" max="4104" width="5.44140625" style="67" customWidth="1"/>
    <col min="4105" max="4105" width="35.6640625" style="67" customWidth="1"/>
    <col min="4106" max="4106" width="3.109375" style="67" customWidth="1"/>
    <col min="4107" max="4107" width="4.21875" style="67" customWidth="1"/>
    <col min="4108" max="4108" width="35.6640625" style="67" customWidth="1"/>
    <col min="4109" max="4109" width="2.88671875" style="67" customWidth="1"/>
    <col min="4110" max="4110" width="4.21875" style="67" customWidth="1"/>
    <col min="4111" max="4111" width="35.6640625" style="67" customWidth="1"/>
    <col min="4112" max="4112" width="3.21875" style="67" customWidth="1"/>
    <col min="4113" max="4352" width="8.88671875" style="67"/>
    <col min="4353" max="4353" width="2.6640625" style="67" customWidth="1"/>
    <col min="4354" max="4354" width="4.44140625" style="67" customWidth="1"/>
    <col min="4355" max="4355" width="35.6640625" style="67" customWidth="1"/>
    <col min="4356" max="4356" width="2.44140625" style="67" customWidth="1"/>
    <col min="4357" max="4357" width="6.21875" style="67" customWidth="1"/>
    <col min="4358" max="4358" width="35.6640625" style="67" customWidth="1"/>
    <col min="4359" max="4359" width="1.6640625" style="67" customWidth="1"/>
    <col min="4360" max="4360" width="5.44140625" style="67" customWidth="1"/>
    <col min="4361" max="4361" width="35.6640625" style="67" customWidth="1"/>
    <col min="4362" max="4362" width="3.109375" style="67" customWidth="1"/>
    <col min="4363" max="4363" width="4.21875" style="67" customWidth="1"/>
    <col min="4364" max="4364" width="35.6640625" style="67" customWidth="1"/>
    <col min="4365" max="4365" width="2.88671875" style="67" customWidth="1"/>
    <col min="4366" max="4366" width="4.21875" style="67" customWidth="1"/>
    <col min="4367" max="4367" width="35.6640625" style="67" customWidth="1"/>
    <col min="4368" max="4368" width="3.21875" style="67" customWidth="1"/>
    <col min="4369" max="4608" width="8.88671875" style="67"/>
    <col min="4609" max="4609" width="2.6640625" style="67" customWidth="1"/>
    <col min="4610" max="4610" width="4.44140625" style="67" customWidth="1"/>
    <col min="4611" max="4611" width="35.6640625" style="67" customWidth="1"/>
    <col min="4612" max="4612" width="2.44140625" style="67" customWidth="1"/>
    <col min="4613" max="4613" width="6.21875" style="67" customWidth="1"/>
    <col min="4614" max="4614" width="35.6640625" style="67" customWidth="1"/>
    <col min="4615" max="4615" width="1.6640625" style="67" customWidth="1"/>
    <col min="4616" max="4616" width="5.44140625" style="67" customWidth="1"/>
    <col min="4617" max="4617" width="35.6640625" style="67" customWidth="1"/>
    <col min="4618" max="4618" width="3.109375" style="67" customWidth="1"/>
    <col min="4619" max="4619" width="4.21875" style="67" customWidth="1"/>
    <col min="4620" max="4620" width="35.6640625" style="67" customWidth="1"/>
    <col min="4621" max="4621" width="2.88671875" style="67" customWidth="1"/>
    <col min="4622" max="4622" width="4.21875" style="67" customWidth="1"/>
    <col min="4623" max="4623" width="35.6640625" style="67" customWidth="1"/>
    <col min="4624" max="4624" width="3.21875" style="67" customWidth="1"/>
    <col min="4625" max="4864" width="8.88671875" style="67"/>
    <col min="4865" max="4865" width="2.6640625" style="67" customWidth="1"/>
    <col min="4866" max="4866" width="4.44140625" style="67" customWidth="1"/>
    <col min="4867" max="4867" width="35.6640625" style="67" customWidth="1"/>
    <col min="4868" max="4868" width="2.44140625" style="67" customWidth="1"/>
    <col min="4869" max="4869" width="6.21875" style="67" customWidth="1"/>
    <col min="4870" max="4870" width="35.6640625" style="67" customWidth="1"/>
    <col min="4871" max="4871" width="1.6640625" style="67" customWidth="1"/>
    <col min="4872" max="4872" width="5.44140625" style="67" customWidth="1"/>
    <col min="4873" max="4873" width="35.6640625" style="67" customWidth="1"/>
    <col min="4874" max="4874" width="3.109375" style="67" customWidth="1"/>
    <col min="4875" max="4875" width="4.21875" style="67" customWidth="1"/>
    <col min="4876" max="4876" width="35.6640625" style="67" customWidth="1"/>
    <col min="4877" max="4877" width="2.88671875" style="67" customWidth="1"/>
    <col min="4878" max="4878" width="4.21875" style="67" customWidth="1"/>
    <col min="4879" max="4879" width="35.6640625" style="67" customWidth="1"/>
    <col min="4880" max="4880" width="3.21875" style="67" customWidth="1"/>
    <col min="4881" max="5120" width="8.88671875" style="67"/>
    <col min="5121" max="5121" width="2.6640625" style="67" customWidth="1"/>
    <col min="5122" max="5122" width="4.44140625" style="67" customWidth="1"/>
    <col min="5123" max="5123" width="35.6640625" style="67" customWidth="1"/>
    <col min="5124" max="5124" width="2.44140625" style="67" customWidth="1"/>
    <col min="5125" max="5125" width="6.21875" style="67" customWidth="1"/>
    <col min="5126" max="5126" width="35.6640625" style="67" customWidth="1"/>
    <col min="5127" max="5127" width="1.6640625" style="67" customWidth="1"/>
    <col min="5128" max="5128" width="5.44140625" style="67" customWidth="1"/>
    <col min="5129" max="5129" width="35.6640625" style="67" customWidth="1"/>
    <col min="5130" max="5130" width="3.109375" style="67" customWidth="1"/>
    <col min="5131" max="5131" width="4.21875" style="67" customWidth="1"/>
    <col min="5132" max="5132" width="35.6640625" style="67" customWidth="1"/>
    <col min="5133" max="5133" width="2.88671875" style="67" customWidth="1"/>
    <col min="5134" max="5134" width="4.21875" style="67" customWidth="1"/>
    <col min="5135" max="5135" width="35.6640625" style="67" customWidth="1"/>
    <col min="5136" max="5136" width="3.21875" style="67" customWidth="1"/>
    <col min="5137" max="5376" width="8.88671875" style="67"/>
    <col min="5377" max="5377" width="2.6640625" style="67" customWidth="1"/>
    <col min="5378" max="5378" width="4.44140625" style="67" customWidth="1"/>
    <col min="5379" max="5379" width="35.6640625" style="67" customWidth="1"/>
    <col min="5380" max="5380" width="2.44140625" style="67" customWidth="1"/>
    <col min="5381" max="5381" width="6.21875" style="67" customWidth="1"/>
    <col min="5382" max="5382" width="35.6640625" style="67" customWidth="1"/>
    <col min="5383" max="5383" width="1.6640625" style="67" customWidth="1"/>
    <col min="5384" max="5384" width="5.44140625" style="67" customWidth="1"/>
    <col min="5385" max="5385" width="35.6640625" style="67" customWidth="1"/>
    <col min="5386" max="5386" width="3.109375" style="67" customWidth="1"/>
    <col min="5387" max="5387" width="4.21875" style="67" customWidth="1"/>
    <col min="5388" max="5388" width="35.6640625" style="67" customWidth="1"/>
    <col min="5389" max="5389" width="2.88671875" style="67" customWidth="1"/>
    <col min="5390" max="5390" width="4.21875" style="67" customWidth="1"/>
    <col min="5391" max="5391" width="35.6640625" style="67" customWidth="1"/>
    <col min="5392" max="5392" width="3.21875" style="67" customWidth="1"/>
    <col min="5393" max="5632" width="8.88671875" style="67"/>
    <col min="5633" max="5633" width="2.6640625" style="67" customWidth="1"/>
    <col min="5634" max="5634" width="4.44140625" style="67" customWidth="1"/>
    <col min="5635" max="5635" width="35.6640625" style="67" customWidth="1"/>
    <col min="5636" max="5636" width="2.44140625" style="67" customWidth="1"/>
    <col min="5637" max="5637" width="6.21875" style="67" customWidth="1"/>
    <col min="5638" max="5638" width="35.6640625" style="67" customWidth="1"/>
    <col min="5639" max="5639" width="1.6640625" style="67" customWidth="1"/>
    <col min="5640" max="5640" width="5.44140625" style="67" customWidth="1"/>
    <col min="5641" max="5641" width="35.6640625" style="67" customWidth="1"/>
    <col min="5642" max="5642" width="3.109375" style="67" customWidth="1"/>
    <col min="5643" max="5643" width="4.21875" style="67" customWidth="1"/>
    <col min="5644" max="5644" width="35.6640625" style="67" customWidth="1"/>
    <col min="5645" max="5645" width="2.88671875" style="67" customWidth="1"/>
    <col min="5646" max="5646" width="4.21875" style="67" customWidth="1"/>
    <col min="5647" max="5647" width="35.6640625" style="67" customWidth="1"/>
    <col min="5648" max="5648" width="3.21875" style="67" customWidth="1"/>
    <col min="5649" max="5888" width="8.88671875" style="67"/>
    <col min="5889" max="5889" width="2.6640625" style="67" customWidth="1"/>
    <col min="5890" max="5890" width="4.44140625" style="67" customWidth="1"/>
    <col min="5891" max="5891" width="35.6640625" style="67" customWidth="1"/>
    <col min="5892" max="5892" width="2.44140625" style="67" customWidth="1"/>
    <col min="5893" max="5893" width="6.21875" style="67" customWidth="1"/>
    <col min="5894" max="5894" width="35.6640625" style="67" customWidth="1"/>
    <col min="5895" max="5895" width="1.6640625" style="67" customWidth="1"/>
    <col min="5896" max="5896" width="5.44140625" style="67" customWidth="1"/>
    <col min="5897" max="5897" width="35.6640625" style="67" customWidth="1"/>
    <col min="5898" max="5898" width="3.109375" style="67" customWidth="1"/>
    <col min="5899" max="5899" width="4.21875" style="67" customWidth="1"/>
    <col min="5900" max="5900" width="35.6640625" style="67" customWidth="1"/>
    <col min="5901" max="5901" width="2.88671875" style="67" customWidth="1"/>
    <col min="5902" max="5902" width="4.21875" style="67" customWidth="1"/>
    <col min="5903" max="5903" width="35.6640625" style="67" customWidth="1"/>
    <col min="5904" max="5904" width="3.21875" style="67" customWidth="1"/>
    <col min="5905" max="6144" width="8.88671875" style="67"/>
    <col min="6145" max="6145" width="2.6640625" style="67" customWidth="1"/>
    <col min="6146" max="6146" width="4.44140625" style="67" customWidth="1"/>
    <col min="6147" max="6147" width="35.6640625" style="67" customWidth="1"/>
    <col min="6148" max="6148" width="2.44140625" style="67" customWidth="1"/>
    <col min="6149" max="6149" width="6.21875" style="67" customWidth="1"/>
    <col min="6150" max="6150" width="35.6640625" style="67" customWidth="1"/>
    <col min="6151" max="6151" width="1.6640625" style="67" customWidth="1"/>
    <col min="6152" max="6152" width="5.44140625" style="67" customWidth="1"/>
    <col min="6153" max="6153" width="35.6640625" style="67" customWidth="1"/>
    <col min="6154" max="6154" width="3.109375" style="67" customWidth="1"/>
    <col min="6155" max="6155" width="4.21875" style="67" customWidth="1"/>
    <col min="6156" max="6156" width="35.6640625" style="67" customWidth="1"/>
    <col min="6157" max="6157" width="2.88671875" style="67" customWidth="1"/>
    <col min="6158" max="6158" width="4.21875" style="67" customWidth="1"/>
    <col min="6159" max="6159" width="35.6640625" style="67" customWidth="1"/>
    <col min="6160" max="6160" width="3.21875" style="67" customWidth="1"/>
    <col min="6161" max="6400" width="8.88671875" style="67"/>
    <col min="6401" max="6401" width="2.6640625" style="67" customWidth="1"/>
    <col min="6402" max="6402" width="4.44140625" style="67" customWidth="1"/>
    <col min="6403" max="6403" width="35.6640625" style="67" customWidth="1"/>
    <col min="6404" max="6404" width="2.44140625" style="67" customWidth="1"/>
    <col min="6405" max="6405" width="6.21875" style="67" customWidth="1"/>
    <col min="6406" max="6406" width="35.6640625" style="67" customWidth="1"/>
    <col min="6407" max="6407" width="1.6640625" style="67" customWidth="1"/>
    <col min="6408" max="6408" width="5.44140625" style="67" customWidth="1"/>
    <col min="6409" max="6409" width="35.6640625" style="67" customWidth="1"/>
    <col min="6410" max="6410" width="3.109375" style="67" customWidth="1"/>
    <col min="6411" max="6411" width="4.21875" style="67" customWidth="1"/>
    <col min="6412" max="6412" width="35.6640625" style="67" customWidth="1"/>
    <col min="6413" max="6413" width="2.88671875" style="67" customWidth="1"/>
    <col min="6414" max="6414" width="4.21875" style="67" customWidth="1"/>
    <col min="6415" max="6415" width="35.6640625" style="67" customWidth="1"/>
    <col min="6416" max="6416" width="3.21875" style="67" customWidth="1"/>
    <col min="6417" max="6656" width="8.88671875" style="67"/>
    <col min="6657" max="6657" width="2.6640625" style="67" customWidth="1"/>
    <col min="6658" max="6658" width="4.44140625" style="67" customWidth="1"/>
    <col min="6659" max="6659" width="35.6640625" style="67" customWidth="1"/>
    <col min="6660" max="6660" width="2.44140625" style="67" customWidth="1"/>
    <col min="6661" max="6661" width="6.21875" style="67" customWidth="1"/>
    <col min="6662" max="6662" width="35.6640625" style="67" customWidth="1"/>
    <col min="6663" max="6663" width="1.6640625" style="67" customWidth="1"/>
    <col min="6664" max="6664" width="5.44140625" style="67" customWidth="1"/>
    <col min="6665" max="6665" width="35.6640625" style="67" customWidth="1"/>
    <col min="6666" max="6666" width="3.109375" style="67" customWidth="1"/>
    <col min="6667" max="6667" width="4.21875" style="67" customWidth="1"/>
    <col min="6668" max="6668" width="35.6640625" style="67" customWidth="1"/>
    <col min="6669" max="6669" width="2.88671875" style="67" customWidth="1"/>
    <col min="6670" max="6670" width="4.21875" style="67" customWidth="1"/>
    <col min="6671" max="6671" width="35.6640625" style="67" customWidth="1"/>
    <col min="6672" max="6672" width="3.21875" style="67" customWidth="1"/>
    <col min="6673" max="6912" width="8.88671875" style="67"/>
    <col min="6913" max="6913" width="2.6640625" style="67" customWidth="1"/>
    <col min="6914" max="6914" width="4.44140625" style="67" customWidth="1"/>
    <col min="6915" max="6915" width="35.6640625" style="67" customWidth="1"/>
    <col min="6916" max="6916" width="2.44140625" style="67" customWidth="1"/>
    <col min="6917" max="6917" width="6.21875" style="67" customWidth="1"/>
    <col min="6918" max="6918" width="35.6640625" style="67" customWidth="1"/>
    <col min="6919" max="6919" width="1.6640625" style="67" customWidth="1"/>
    <col min="6920" max="6920" width="5.44140625" style="67" customWidth="1"/>
    <col min="6921" max="6921" width="35.6640625" style="67" customWidth="1"/>
    <col min="6922" max="6922" width="3.109375" style="67" customWidth="1"/>
    <col min="6923" max="6923" width="4.21875" style="67" customWidth="1"/>
    <col min="6924" max="6924" width="35.6640625" style="67" customWidth="1"/>
    <col min="6925" max="6925" width="2.88671875" style="67" customWidth="1"/>
    <col min="6926" max="6926" width="4.21875" style="67" customWidth="1"/>
    <col min="6927" max="6927" width="35.6640625" style="67" customWidth="1"/>
    <col min="6928" max="6928" width="3.21875" style="67" customWidth="1"/>
    <col min="6929" max="7168" width="8.88671875" style="67"/>
    <col min="7169" max="7169" width="2.6640625" style="67" customWidth="1"/>
    <col min="7170" max="7170" width="4.44140625" style="67" customWidth="1"/>
    <col min="7171" max="7171" width="35.6640625" style="67" customWidth="1"/>
    <col min="7172" max="7172" width="2.44140625" style="67" customWidth="1"/>
    <col min="7173" max="7173" width="6.21875" style="67" customWidth="1"/>
    <col min="7174" max="7174" width="35.6640625" style="67" customWidth="1"/>
    <col min="7175" max="7175" width="1.6640625" style="67" customWidth="1"/>
    <col min="7176" max="7176" width="5.44140625" style="67" customWidth="1"/>
    <col min="7177" max="7177" width="35.6640625" style="67" customWidth="1"/>
    <col min="7178" max="7178" width="3.109375" style="67" customWidth="1"/>
    <col min="7179" max="7179" width="4.21875" style="67" customWidth="1"/>
    <col min="7180" max="7180" width="35.6640625" style="67" customWidth="1"/>
    <col min="7181" max="7181" width="2.88671875" style="67" customWidth="1"/>
    <col min="7182" max="7182" width="4.21875" style="67" customWidth="1"/>
    <col min="7183" max="7183" width="35.6640625" style="67" customWidth="1"/>
    <col min="7184" max="7184" width="3.21875" style="67" customWidth="1"/>
    <col min="7185" max="7424" width="8.88671875" style="67"/>
    <col min="7425" max="7425" width="2.6640625" style="67" customWidth="1"/>
    <col min="7426" max="7426" width="4.44140625" style="67" customWidth="1"/>
    <col min="7427" max="7427" width="35.6640625" style="67" customWidth="1"/>
    <col min="7428" max="7428" width="2.44140625" style="67" customWidth="1"/>
    <col min="7429" max="7429" width="6.21875" style="67" customWidth="1"/>
    <col min="7430" max="7430" width="35.6640625" style="67" customWidth="1"/>
    <col min="7431" max="7431" width="1.6640625" style="67" customWidth="1"/>
    <col min="7432" max="7432" width="5.44140625" style="67" customWidth="1"/>
    <col min="7433" max="7433" width="35.6640625" style="67" customWidth="1"/>
    <col min="7434" max="7434" width="3.109375" style="67" customWidth="1"/>
    <col min="7435" max="7435" width="4.21875" style="67" customWidth="1"/>
    <col min="7436" max="7436" width="35.6640625" style="67" customWidth="1"/>
    <col min="7437" max="7437" width="2.88671875" style="67" customWidth="1"/>
    <col min="7438" max="7438" width="4.21875" style="67" customWidth="1"/>
    <col min="7439" max="7439" width="35.6640625" style="67" customWidth="1"/>
    <col min="7440" max="7440" width="3.21875" style="67" customWidth="1"/>
    <col min="7441" max="7680" width="8.88671875" style="67"/>
    <col min="7681" max="7681" width="2.6640625" style="67" customWidth="1"/>
    <col min="7682" max="7682" width="4.44140625" style="67" customWidth="1"/>
    <col min="7683" max="7683" width="35.6640625" style="67" customWidth="1"/>
    <col min="7684" max="7684" width="2.44140625" style="67" customWidth="1"/>
    <col min="7685" max="7685" width="6.21875" style="67" customWidth="1"/>
    <col min="7686" max="7686" width="35.6640625" style="67" customWidth="1"/>
    <col min="7687" max="7687" width="1.6640625" style="67" customWidth="1"/>
    <col min="7688" max="7688" width="5.44140625" style="67" customWidth="1"/>
    <col min="7689" max="7689" width="35.6640625" style="67" customWidth="1"/>
    <col min="7690" max="7690" width="3.109375" style="67" customWidth="1"/>
    <col min="7691" max="7691" width="4.21875" style="67" customWidth="1"/>
    <col min="7692" max="7692" width="35.6640625" style="67" customWidth="1"/>
    <col min="7693" max="7693" width="2.88671875" style="67" customWidth="1"/>
    <col min="7694" max="7694" width="4.21875" style="67" customWidth="1"/>
    <col min="7695" max="7695" width="35.6640625" style="67" customWidth="1"/>
    <col min="7696" max="7696" width="3.21875" style="67" customWidth="1"/>
    <col min="7697" max="7936" width="8.88671875" style="67"/>
    <col min="7937" max="7937" width="2.6640625" style="67" customWidth="1"/>
    <col min="7938" max="7938" width="4.44140625" style="67" customWidth="1"/>
    <col min="7939" max="7939" width="35.6640625" style="67" customWidth="1"/>
    <col min="7940" max="7940" width="2.44140625" style="67" customWidth="1"/>
    <col min="7941" max="7941" width="6.21875" style="67" customWidth="1"/>
    <col min="7942" max="7942" width="35.6640625" style="67" customWidth="1"/>
    <col min="7943" max="7943" width="1.6640625" style="67" customWidth="1"/>
    <col min="7944" max="7944" width="5.44140625" style="67" customWidth="1"/>
    <col min="7945" max="7945" width="35.6640625" style="67" customWidth="1"/>
    <col min="7946" max="7946" width="3.109375" style="67" customWidth="1"/>
    <col min="7947" max="7947" width="4.21875" style="67" customWidth="1"/>
    <col min="7948" max="7948" width="35.6640625" style="67" customWidth="1"/>
    <col min="7949" max="7949" width="2.88671875" style="67" customWidth="1"/>
    <col min="7950" max="7950" width="4.21875" style="67" customWidth="1"/>
    <col min="7951" max="7951" width="35.6640625" style="67" customWidth="1"/>
    <col min="7952" max="7952" width="3.21875" style="67" customWidth="1"/>
    <col min="7953" max="8192" width="8.88671875" style="67"/>
    <col min="8193" max="8193" width="2.6640625" style="67" customWidth="1"/>
    <col min="8194" max="8194" width="4.44140625" style="67" customWidth="1"/>
    <col min="8195" max="8195" width="35.6640625" style="67" customWidth="1"/>
    <col min="8196" max="8196" width="2.44140625" style="67" customWidth="1"/>
    <col min="8197" max="8197" width="6.21875" style="67" customWidth="1"/>
    <col min="8198" max="8198" width="35.6640625" style="67" customWidth="1"/>
    <col min="8199" max="8199" width="1.6640625" style="67" customWidth="1"/>
    <col min="8200" max="8200" width="5.44140625" style="67" customWidth="1"/>
    <col min="8201" max="8201" width="35.6640625" style="67" customWidth="1"/>
    <col min="8202" max="8202" width="3.109375" style="67" customWidth="1"/>
    <col min="8203" max="8203" width="4.21875" style="67" customWidth="1"/>
    <col min="8204" max="8204" width="35.6640625" style="67" customWidth="1"/>
    <col min="8205" max="8205" width="2.88671875" style="67" customWidth="1"/>
    <col min="8206" max="8206" width="4.21875" style="67" customWidth="1"/>
    <col min="8207" max="8207" width="35.6640625" style="67" customWidth="1"/>
    <col min="8208" max="8208" width="3.21875" style="67" customWidth="1"/>
    <col min="8209" max="8448" width="8.88671875" style="67"/>
    <col min="8449" max="8449" width="2.6640625" style="67" customWidth="1"/>
    <col min="8450" max="8450" width="4.44140625" style="67" customWidth="1"/>
    <col min="8451" max="8451" width="35.6640625" style="67" customWidth="1"/>
    <col min="8452" max="8452" width="2.44140625" style="67" customWidth="1"/>
    <col min="8453" max="8453" width="6.21875" style="67" customWidth="1"/>
    <col min="8454" max="8454" width="35.6640625" style="67" customWidth="1"/>
    <col min="8455" max="8455" width="1.6640625" style="67" customWidth="1"/>
    <col min="8456" max="8456" width="5.44140625" style="67" customWidth="1"/>
    <col min="8457" max="8457" width="35.6640625" style="67" customWidth="1"/>
    <col min="8458" max="8458" width="3.109375" style="67" customWidth="1"/>
    <col min="8459" max="8459" width="4.21875" style="67" customWidth="1"/>
    <col min="8460" max="8460" width="35.6640625" style="67" customWidth="1"/>
    <col min="8461" max="8461" width="2.88671875" style="67" customWidth="1"/>
    <col min="8462" max="8462" width="4.21875" style="67" customWidth="1"/>
    <col min="8463" max="8463" width="35.6640625" style="67" customWidth="1"/>
    <col min="8464" max="8464" width="3.21875" style="67" customWidth="1"/>
    <col min="8465" max="8704" width="8.88671875" style="67"/>
    <col min="8705" max="8705" width="2.6640625" style="67" customWidth="1"/>
    <col min="8706" max="8706" width="4.44140625" style="67" customWidth="1"/>
    <col min="8707" max="8707" width="35.6640625" style="67" customWidth="1"/>
    <col min="8708" max="8708" width="2.44140625" style="67" customWidth="1"/>
    <col min="8709" max="8709" width="6.21875" style="67" customWidth="1"/>
    <col min="8710" max="8710" width="35.6640625" style="67" customWidth="1"/>
    <col min="8711" max="8711" width="1.6640625" style="67" customWidth="1"/>
    <col min="8712" max="8712" width="5.44140625" style="67" customWidth="1"/>
    <col min="8713" max="8713" width="35.6640625" style="67" customWidth="1"/>
    <col min="8714" max="8714" width="3.109375" style="67" customWidth="1"/>
    <col min="8715" max="8715" width="4.21875" style="67" customWidth="1"/>
    <col min="8716" max="8716" width="35.6640625" style="67" customWidth="1"/>
    <col min="8717" max="8717" width="2.88671875" style="67" customWidth="1"/>
    <col min="8718" max="8718" width="4.21875" style="67" customWidth="1"/>
    <col min="8719" max="8719" width="35.6640625" style="67" customWidth="1"/>
    <col min="8720" max="8720" width="3.21875" style="67" customWidth="1"/>
    <col min="8721" max="8960" width="8.88671875" style="67"/>
    <col min="8961" max="8961" width="2.6640625" style="67" customWidth="1"/>
    <col min="8962" max="8962" width="4.44140625" style="67" customWidth="1"/>
    <col min="8963" max="8963" width="35.6640625" style="67" customWidth="1"/>
    <col min="8964" max="8964" width="2.44140625" style="67" customWidth="1"/>
    <col min="8965" max="8965" width="6.21875" style="67" customWidth="1"/>
    <col min="8966" max="8966" width="35.6640625" style="67" customWidth="1"/>
    <col min="8967" max="8967" width="1.6640625" style="67" customWidth="1"/>
    <col min="8968" max="8968" width="5.44140625" style="67" customWidth="1"/>
    <col min="8969" max="8969" width="35.6640625" style="67" customWidth="1"/>
    <col min="8970" max="8970" width="3.109375" style="67" customWidth="1"/>
    <col min="8971" max="8971" width="4.21875" style="67" customWidth="1"/>
    <col min="8972" max="8972" width="35.6640625" style="67" customWidth="1"/>
    <col min="8973" max="8973" width="2.88671875" style="67" customWidth="1"/>
    <col min="8974" max="8974" width="4.21875" style="67" customWidth="1"/>
    <col min="8975" max="8975" width="35.6640625" style="67" customWidth="1"/>
    <col min="8976" max="8976" width="3.21875" style="67" customWidth="1"/>
    <col min="8977" max="9216" width="8.88671875" style="67"/>
    <col min="9217" max="9217" width="2.6640625" style="67" customWidth="1"/>
    <col min="9218" max="9218" width="4.44140625" style="67" customWidth="1"/>
    <col min="9219" max="9219" width="35.6640625" style="67" customWidth="1"/>
    <col min="9220" max="9220" width="2.44140625" style="67" customWidth="1"/>
    <col min="9221" max="9221" width="6.21875" style="67" customWidth="1"/>
    <col min="9222" max="9222" width="35.6640625" style="67" customWidth="1"/>
    <col min="9223" max="9223" width="1.6640625" style="67" customWidth="1"/>
    <col min="9224" max="9224" width="5.44140625" style="67" customWidth="1"/>
    <col min="9225" max="9225" width="35.6640625" style="67" customWidth="1"/>
    <col min="9226" max="9226" width="3.109375" style="67" customWidth="1"/>
    <col min="9227" max="9227" width="4.21875" style="67" customWidth="1"/>
    <col min="9228" max="9228" width="35.6640625" style="67" customWidth="1"/>
    <col min="9229" max="9229" width="2.88671875" style="67" customWidth="1"/>
    <col min="9230" max="9230" width="4.21875" style="67" customWidth="1"/>
    <col min="9231" max="9231" width="35.6640625" style="67" customWidth="1"/>
    <col min="9232" max="9232" width="3.21875" style="67" customWidth="1"/>
    <col min="9233" max="9472" width="8.88671875" style="67"/>
    <col min="9473" max="9473" width="2.6640625" style="67" customWidth="1"/>
    <col min="9474" max="9474" width="4.44140625" style="67" customWidth="1"/>
    <col min="9475" max="9475" width="35.6640625" style="67" customWidth="1"/>
    <col min="9476" max="9476" width="2.44140625" style="67" customWidth="1"/>
    <col min="9477" max="9477" width="6.21875" style="67" customWidth="1"/>
    <col min="9478" max="9478" width="35.6640625" style="67" customWidth="1"/>
    <col min="9479" max="9479" width="1.6640625" style="67" customWidth="1"/>
    <col min="9480" max="9480" width="5.44140625" style="67" customWidth="1"/>
    <col min="9481" max="9481" width="35.6640625" style="67" customWidth="1"/>
    <col min="9482" max="9482" width="3.109375" style="67" customWidth="1"/>
    <col min="9483" max="9483" width="4.21875" style="67" customWidth="1"/>
    <col min="9484" max="9484" width="35.6640625" style="67" customWidth="1"/>
    <col min="9485" max="9485" width="2.88671875" style="67" customWidth="1"/>
    <col min="9486" max="9486" width="4.21875" style="67" customWidth="1"/>
    <col min="9487" max="9487" width="35.6640625" style="67" customWidth="1"/>
    <col min="9488" max="9488" width="3.21875" style="67" customWidth="1"/>
    <col min="9489" max="9728" width="8.88671875" style="67"/>
    <col min="9729" max="9729" width="2.6640625" style="67" customWidth="1"/>
    <col min="9730" max="9730" width="4.44140625" style="67" customWidth="1"/>
    <col min="9731" max="9731" width="35.6640625" style="67" customWidth="1"/>
    <col min="9732" max="9732" width="2.44140625" style="67" customWidth="1"/>
    <col min="9733" max="9733" width="6.21875" style="67" customWidth="1"/>
    <col min="9734" max="9734" width="35.6640625" style="67" customWidth="1"/>
    <col min="9735" max="9735" width="1.6640625" style="67" customWidth="1"/>
    <col min="9736" max="9736" width="5.44140625" style="67" customWidth="1"/>
    <col min="9737" max="9737" width="35.6640625" style="67" customWidth="1"/>
    <col min="9738" max="9738" width="3.109375" style="67" customWidth="1"/>
    <col min="9739" max="9739" width="4.21875" style="67" customWidth="1"/>
    <col min="9740" max="9740" width="35.6640625" style="67" customWidth="1"/>
    <col min="9741" max="9741" width="2.88671875" style="67" customWidth="1"/>
    <col min="9742" max="9742" width="4.21875" style="67" customWidth="1"/>
    <col min="9743" max="9743" width="35.6640625" style="67" customWidth="1"/>
    <col min="9744" max="9744" width="3.21875" style="67" customWidth="1"/>
    <col min="9745" max="9984" width="8.88671875" style="67"/>
    <col min="9985" max="9985" width="2.6640625" style="67" customWidth="1"/>
    <col min="9986" max="9986" width="4.44140625" style="67" customWidth="1"/>
    <col min="9987" max="9987" width="35.6640625" style="67" customWidth="1"/>
    <col min="9988" max="9988" width="2.44140625" style="67" customWidth="1"/>
    <col min="9989" max="9989" width="6.21875" style="67" customWidth="1"/>
    <col min="9990" max="9990" width="35.6640625" style="67" customWidth="1"/>
    <col min="9991" max="9991" width="1.6640625" style="67" customWidth="1"/>
    <col min="9992" max="9992" width="5.44140625" style="67" customWidth="1"/>
    <col min="9993" max="9993" width="35.6640625" style="67" customWidth="1"/>
    <col min="9994" max="9994" width="3.109375" style="67" customWidth="1"/>
    <col min="9995" max="9995" width="4.21875" style="67" customWidth="1"/>
    <col min="9996" max="9996" width="35.6640625" style="67" customWidth="1"/>
    <col min="9997" max="9997" width="2.88671875" style="67" customWidth="1"/>
    <col min="9998" max="9998" width="4.21875" style="67" customWidth="1"/>
    <col min="9999" max="9999" width="35.6640625" style="67" customWidth="1"/>
    <col min="10000" max="10000" width="3.21875" style="67" customWidth="1"/>
    <col min="10001" max="10240" width="8.88671875" style="67"/>
    <col min="10241" max="10241" width="2.6640625" style="67" customWidth="1"/>
    <col min="10242" max="10242" width="4.44140625" style="67" customWidth="1"/>
    <col min="10243" max="10243" width="35.6640625" style="67" customWidth="1"/>
    <col min="10244" max="10244" width="2.44140625" style="67" customWidth="1"/>
    <col min="10245" max="10245" width="6.21875" style="67" customWidth="1"/>
    <col min="10246" max="10246" width="35.6640625" style="67" customWidth="1"/>
    <col min="10247" max="10247" width="1.6640625" style="67" customWidth="1"/>
    <col min="10248" max="10248" width="5.44140625" style="67" customWidth="1"/>
    <col min="10249" max="10249" width="35.6640625" style="67" customWidth="1"/>
    <col min="10250" max="10250" width="3.109375" style="67" customWidth="1"/>
    <col min="10251" max="10251" width="4.21875" style="67" customWidth="1"/>
    <col min="10252" max="10252" width="35.6640625" style="67" customWidth="1"/>
    <col min="10253" max="10253" width="2.88671875" style="67" customWidth="1"/>
    <col min="10254" max="10254" width="4.21875" style="67" customWidth="1"/>
    <col min="10255" max="10255" width="35.6640625" style="67" customWidth="1"/>
    <col min="10256" max="10256" width="3.21875" style="67" customWidth="1"/>
    <col min="10257" max="10496" width="8.88671875" style="67"/>
    <col min="10497" max="10497" width="2.6640625" style="67" customWidth="1"/>
    <col min="10498" max="10498" width="4.44140625" style="67" customWidth="1"/>
    <col min="10499" max="10499" width="35.6640625" style="67" customWidth="1"/>
    <col min="10500" max="10500" width="2.44140625" style="67" customWidth="1"/>
    <col min="10501" max="10501" width="6.21875" style="67" customWidth="1"/>
    <col min="10502" max="10502" width="35.6640625" style="67" customWidth="1"/>
    <col min="10503" max="10503" width="1.6640625" style="67" customWidth="1"/>
    <col min="10504" max="10504" width="5.44140625" style="67" customWidth="1"/>
    <col min="10505" max="10505" width="35.6640625" style="67" customWidth="1"/>
    <col min="10506" max="10506" width="3.109375" style="67" customWidth="1"/>
    <col min="10507" max="10507" width="4.21875" style="67" customWidth="1"/>
    <col min="10508" max="10508" width="35.6640625" style="67" customWidth="1"/>
    <col min="10509" max="10509" width="2.88671875" style="67" customWidth="1"/>
    <col min="10510" max="10510" width="4.21875" style="67" customWidth="1"/>
    <col min="10511" max="10511" width="35.6640625" style="67" customWidth="1"/>
    <col min="10512" max="10512" width="3.21875" style="67" customWidth="1"/>
    <col min="10513" max="10752" width="8.88671875" style="67"/>
    <col min="10753" max="10753" width="2.6640625" style="67" customWidth="1"/>
    <col min="10754" max="10754" width="4.44140625" style="67" customWidth="1"/>
    <col min="10755" max="10755" width="35.6640625" style="67" customWidth="1"/>
    <col min="10756" max="10756" width="2.44140625" style="67" customWidth="1"/>
    <col min="10757" max="10757" width="6.21875" style="67" customWidth="1"/>
    <col min="10758" max="10758" width="35.6640625" style="67" customWidth="1"/>
    <col min="10759" max="10759" width="1.6640625" style="67" customWidth="1"/>
    <col min="10760" max="10760" width="5.44140625" style="67" customWidth="1"/>
    <col min="10761" max="10761" width="35.6640625" style="67" customWidth="1"/>
    <col min="10762" max="10762" width="3.109375" style="67" customWidth="1"/>
    <col min="10763" max="10763" width="4.21875" style="67" customWidth="1"/>
    <col min="10764" max="10764" width="35.6640625" style="67" customWidth="1"/>
    <col min="10765" max="10765" width="2.88671875" style="67" customWidth="1"/>
    <col min="10766" max="10766" width="4.21875" style="67" customWidth="1"/>
    <col min="10767" max="10767" width="35.6640625" style="67" customWidth="1"/>
    <col min="10768" max="10768" width="3.21875" style="67" customWidth="1"/>
    <col min="10769" max="11008" width="8.88671875" style="67"/>
    <col min="11009" max="11009" width="2.6640625" style="67" customWidth="1"/>
    <col min="11010" max="11010" width="4.44140625" style="67" customWidth="1"/>
    <col min="11011" max="11011" width="35.6640625" style="67" customWidth="1"/>
    <col min="11012" max="11012" width="2.44140625" style="67" customWidth="1"/>
    <col min="11013" max="11013" width="6.21875" style="67" customWidth="1"/>
    <col min="11014" max="11014" width="35.6640625" style="67" customWidth="1"/>
    <col min="11015" max="11015" width="1.6640625" style="67" customWidth="1"/>
    <col min="11016" max="11016" width="5.44140625" style="67" customWidth="1"/>
    <col min="11017" max="11017" width="35.6640625" style="67" customWidth="1"/>
    <col min="11018" max="11018" width="3.109375" style="67" customWidth="1"/>
    <col min="11019" max="11019" width="4.21875" style="67" customWidth="1"/>
    <col min="11020" max="11020" width="35.6640625" style="67" customWidth="1"/>
    <col min="11021" max="11021" width="2.88671875" style="67" customWidth="1"/>
    <col min="11022" max="11022" width="4.21875" style="67" customWidth="1"/>
    <col min="11023" max="11023" width="35.6640625" style="67" customWidth="1"/>
    <col min="11024" max="11024" width="3.21875" style="67" customWidth="1"/>
    <col min="11025" max="11264" width="8.88671875" style="67"/>
    <col min="11265" max="11265" width="2.6640625" style="67" customWidth="1"/>
    <col min="11266" max="11266" width="4.44140625" style="67" customWidth="1"/>
    <col min="11267" max="11267" width="35.6640625" style="67" customWidth="1"/>
    <col min="11268" max="11268" width="2.44140625" style="67" customWidth="1"/>
    <col min="11269" max="11269" width="6.21875" style="67" customWidth="1"/>
    <col min="11270" max="11270" width="35.6640625" style="67" customWidth="1"/>
    <col min="11271" max="11271" width="1.6640625" style="67" customWidth="1"/>
    <col min="11272" max="11272" width="5.44140625" style="67" customWidth="1"/>
    <col min="11273" max="11273" width="35.6640625" style="67" customWidth="1"/>
    <col min="11274" max="11274" width="3.109375" style="67" customWidth="1"/>
    <col min="11275" max="11275" width="4.21875" style="67" customWidth="1"/>
    <col min="11276" max="11276" width="35.6640625" style="67" customWidth="1"/>
    <col min="11277" max="11277" width="2.88671875" style="67" customWidth="1"/>
    <col min="11278" max="11278" width="4.21875" style="67" customWidth="1"/>
    <col min="11279" max="11279" width="35.6640625" style="67" customWidth="1"/>
    <col min="11280" max="11280" width="3.21875" style="67" customWidth="1"/>
    <col min="11281" max="11520" width="8.88671875" style="67"/>
    <col min="11521" max="11521" width="2.6640625" style="67" customWidth="1"/>
    <col min="11522" max="11522" width="4.44140625" style="67" customWidth="1"/>
    <col min="11523" max="11523" width="35.6640625" style="67" customWidth="1"/>
    <col min="11524" max="11524" width="2.44140625" style="67" customWidth="1"/>
    <col min="11525" max="11525" width="6.21875" style="67" customWidth="1"/>
    <col min="11526" max="11526" width="35.6640625" style="67" customWidth="1"/>
    <col min="11527" max="11527" width="1.6640625" style="67" customWidth="1"/>
    <col min="11528" max="11528" width="5.44140625" style="67" customWidth="1"/>
    <col min="11529" max="11529" width="35.6640625" style="67" customWidth="1"/>
    <col min="11530" max="11530" width="3.109375" style="67" customWidth="1"/>
    <col min="11531" max="11531" width="4.21875" style="67" customWidth="1"/>
    <col min="11532" max="11532" width="35.6640625" style="67" customWidth="1"/>
    <col min="11533" max="11533" width="2.88671875" style="67" customWidth="1"/>
    <col min="11534" max="11534" width="4.21875" style="67" customWidth="1"/>
    <col min="11535" max="11535" width="35.6640625" style="67" customWidth="1"/>
    <col min="11536" max="11536" width="3.21875" style="67" customWidth="1"/>
    <col min="11537" max="11776" width="8.88671875" style="67"/>
    <col min="11777" max="11777" width="2.6640625" style="67" customWidth="1"/>
    <col min="11778" max="11778" width="4.44140625" style="67" customWidth="1"/>
    <col min="11779" max="11779" width="35.6640625" style="67" customWidth="1"/>
    <col min="11780" max="11780" width="2.44140625" style="67" customWidth="1"/>
    <col min="11781" max="11781" width="6.21875" style="67" customWidth="1"/>
    <col min="11782" max="11782" width="35.6640625" style="67" customWidth="1"/>
    <col min="11783" max="11783" width="1.6640625" style="67" customWidth="1"/>
    <col min="11784" max="11784" width="5.44140625" style="67" customWidth="1"/>
    <col min="11785" max="11785" width="35.6640625" style="67" customWidth="1"/>
    <col min="11786" max="11786" width="3.109375" style="67" customWidth="1"/>
    <col min="11787" max="11787" width="4.21875" style="67" customWidth="1"/>
    <col min="11788" max="11788" width="35.6640625" style="67" customWidth="1"/>
    <col min="11789" max="11789" width="2.88671875" style="67" customWidth="1"/>
    <col min="11790" max="11790" width="4.21875" style="67" customWidth="1"/>
    <col min="11791" max="11791" width="35.6640625" style="67" customWidth="1"/>
    <col min="11792" max="11792" width="3.21875" style="67" customWidth="1"/>
    <col min="11793" max="12032" width="8.88671875" style="67"/>
    <col min="12033" max="12033" width="2.6640625" style="67" customWidth="1"/>
    <col min="12034" max="12034" width="4.44140625" style="67" customWidth="1"/>
    <col min="12035" max="12035" width="35.6640625" style="67" customWidth="1"/>
    <col min="12036" max="12036" width="2.44140625" style="67" customWidth="1"/>
    <col min="12037" max="12037" width="6.21875" style="67" customWidth="1"/>
    <col min="12038" max="12038" width="35.6640625" style="67" customWidth="1"/>
    <col min="12039" max="12039" width="1.6640625" style="67" customWidth="1"/>
    <col min="12040" max="12040" width="5.44140625" style="67" customWidth="1"/>
    <col min="12041" max="12041" width="35.6640625" style="67" customWidth="1"/>
    <col min="12042" max="12042" width="3.109375" style="67" customWidth="1"/>
    <col min="12043" max="12043" width="4.21875" style="67" customWidth="1"/>
    <col min="12044" max="12044" width="35.6640625" style="67" customWidth="1"/>
    <col min="12045" max="12045" width="2.88671875" style="67" customWidth="1"/>
    <col min="12046" max="12046" width="4.21875" style="67" customWidth="1"/>
    <col min="12047" max="12047" width="35.6640625" style="67" customWidth="1"/>
    <col min="12048" max="12048" width="3.21875" style="67" customWidth="1"/>
    <col min="12049" max="12288" width="8.88671875" style="67"/>
    <col min="12289" max="12289" width="2.6640625" style="67" customWidth="1"/>
    <col min="12290" max="12290" width="4.44140625" style="67" customWidth="1"/>
    <col min="12291" max="12291" width="35.6640625" style="67" customWidth="1"/>
    <col min="12292" max="12292" width="2.44140625" style="67" customWidth="1"/>
    <col min="12293" max="12293" width="6.21875" style="67" customWidth="1"/>
    <col min="12294" max="12294" width="35.6640625" style="67" customWidth="1"/>
    <col min="12295" max="12295" width="1.6640625" style="67" customWidth="1"/>
    <col min="12296" max="12296" width="5.44140625" style="67" customWidth="1"/>
    <col min="12297" max="12297" width="35.6640625" style="67" customWidth="1"/>
    <col min="12298" max="12298" width="3.109375" style="67" customWidth="1"/>
    <col min="12299" max="12299" width="4.21875" style="67" customWidth="1"/>
    <col min="12300" max="12300" width="35.6640625" style="67" customWidth="1"/>
    <col min="12301" max="12301" width="2.88671875" style="67" customWidth="1"/>
    <col min="12302" max="12302" width="4.21875" style="67" customWidth="1"/>
    <col min="12303" max="12303" width="35.6640625" style="67" customWidth="1"/>
    <col min="12304" max="12304" width="3.21875" style="67" customWidth="1"/>
    <col min="12305" max="12544" width="8.88671875" style="67"/>
    <col min="12545" max="12545" width="2.6640625" style="67" customWidth="1"/>
    <col min="12546" max="12546" width="4.44140625" style="67" customWidth="1"/>
    <col min="12547" max="12547" width="35.6640625" style="67" customWidth="1"/>
    <col min="12548" max="12548" width="2.44140625" style="67" customWidth="1"/>
    <col min="12549" max="12549" width="6.21875" style="67" customWidth="1"/>
    <col min="12550" max="12550" width="35.6640625" style="67" customWidth="1"/>
    <col min="12551" max="12551" width="1.6640625" style="67" customWidth="1"/>
    <col min="12552" max="12552" width="5.44140625" style="67" customWidth="1"/>
    <col min="12553" max="12553" width="35.6640625" style="67" customWidth="1"/>
    <col min="12554" max="12554" width="3.109375" style="67" customWidth="1"/>
    <col min="12555" max="12555" width="4.21875" style="67" customWidth="1"/>
    <col min="12556" max="12556" width="35.6640625" style="67" customWidth="1"/>
    <col min="12557" max="12557" width="2.88671875" style="67" customWidth="1"/>
    <col min="12558" max="12558" width="4.21875" style="67" customWidth="1"/>
    <col min="12559" max="12559" width="35.6640625" style="67" customWidth="1"/>
    <col min="12560" max="12560" width="3.21875" style="67" customWidth="1"/>
    <col min="12561" max="12800" width="8.88671875" style="67"/>
    <col min="12801" max="12801" width="2.6640625" style="67" customWidth="1"/>
    <col min="12802" max="12802" width="4.44140625" style="67" customWidth="1"/>
    <col min="12803" max="12803" width="35.6640625" style="67" customWidth="1"/>
    <col min="12804" max="12804" width="2.44140625" style="67" customWidth="1"/>
    <col min="12805" max="12805" width="6.21875" style="67" customWidth="1"/>
    <col min="12806" max="12806" width="35.6640625" style="67" customWidth="1"/>
    <col min="12807" max="12807" width="1.6640625" style="67" customWidth="1"/>
    <col min="12808" max="12808" width="5.44140625" style="67" customWidth="1"/>
    <col min="12809" max="12809" width="35.6640625" style="67" customWidth="1"/>
    <col min="12810" max="12810" width="3.109375" style="67" customWidth="1"/>
    <col min="12811" max="12811" width="4.21875" style="67" customWidth="1"/>
    <col min="12812" max="12812" width="35.6640625" style="67" customWidth="1"/>
    <col min="12813" max="12813" width="2.88671875" style="67" customWidth="1"/>
    <col min="12814" max="12814" width="4.21875" style="67" customWidth="1"/>
    <col min="12815" max="12815" width="35.6640625" style="67" customWidth="1"/>
    <col min="12816" max="12816" width="3.21875" style="67" customWidth="1"/>
    <col min="12817" max="13056" width="8.88671875" style="67"/>
    <col min="13057" max="13057" width="2.6640625" style="67" customWidth="1"/>
    <col min="13058" max="13058" width="4.44140625" style="67" customWidth="1"/>
    <col min="13059" max="13059" width="35.6640625" style="67" customWidth="1"/>
    <col min="13060" max="13060" width="2.44140625" style="67" customWidth="1"/>
    <col min="13061" max="13061" width="6.21875" style="67" customWidth="1"/>
    <col min="13062" max="13062" width="35.6640625" style="67" customWidth="1"/>
    <col min="13063" max="13063" width="1.6640625" style="67" customWidth="1"/>
    <col min="13064" max="13064" width="5.44140625" style="67" customWidth="1"/>
    <col min="13065" max="13065" width="35.6640625" style="67" customWidth="1"/>
    <col min="13066" max="13066" width="3.109375" style="67" customWidth="1"/>
    <col min="13067" max="13067" width="4.21875" style="67" customWidth="1"/>
    <col min="13068" max="13068" width="35.6640625" style="67" customWidth="1"/>
    <col min="13069" max="13069" width="2.88671875" style="67" customWidth="1"/>
    <col min="13070" max="13070" width="4.21875" style="67" customWidth="1"/>
    <col min="13071" max="13071" width="35.6640625" style="67" customWidth="1"/>
    <col min="13072" max="13072" width="3.21875" style="67" customWidth="1"/>
    <col min="13073" max="13312" width="8.88671875" style="67"/>
    <col min="13313" max="13313" width="2.6640625" style="67" customWidth="1"/>
    <col min="13314" max="13314" width="4.44140625" style="67" customWidth="1"/>
    <col min="13315" max="13315" width="35.6640625" style="67" customWidth="1"/>
    <col min="13316" max="13316" width="2.44140625" style="67" customWidth="1"/>
    <col min="13317" max="13317" width="6.21875" style="67" customWidth="1"/>
    <col min="13318" max="13318" width="35.6640625" style="67" customWidth="1"/>
    <col min="13319" max="13319" width="1.6640625" style="67" customWidth="1"/>
    <col min="13320" max="13320" width="5.44140625" style="67" customWidth="1"/>
    <col min="13321" max="13321" width="35.6640625" style="67" customWidth="1"/>
    <col min="13322" max="13322" width="3.109375" style="67" customWidth="1"/>
    <col min="13323" max="13323" width="4.21875" style="67" customWidth="1"/>
    <col min="13324" max="13324" width="35.6640625" style="67" customWidth="1"/>
    <col min="13325" max="13325" width="2.88671875" style="67" customWidth="1"/>
    <col min="13326" max="13326" width="4.21875" style="67" customWidth="1"/>
    <col min="13327" max="13327" width="35.6640625" style="67" customWidth="1"/>
    <col min="13328" max="13328" width="3.21875" style="67" customWidth="1"/>
    <col min="13329" max="13568" width="8.88671875" style="67"/>
    <col min="13569" max="13569" width="2.6640625" style="67" customWidth="1"/>
    <col min="13570" max="13570" width="4.44140625" style="67" customWidth="1"/>
    <col min="13571" max="13571" width="35.6640625" style="67" customWidth="1"/>
    <col min="13572" max="13572" width="2.44140625" style="67" customWidth="1"/>
    <col min="13573" max="13573" width="6.21875" style="67" customWidth="1"/>
    <col min="13574" max="13574" width="35.6640625" style="67" customWidth="1"/>
    <col min="13575" max="13575" width="1.6640625" style="67" customWidth="1"/>
    <col min="13576" max="13576" width="5.44140625" style="67" customWidth="1"/>
    <col min="13577" max="13577" width="35.6640625" style="67" customWidth="1"/>
    <col min="13578" max="13578" width="3.109375" style="67" customWidth="1"/>
    <col min="13579" max="13579" width="4.21875" style="67" customWidth="1"/>
    <col min="13580" max="13580" width="35.6640625" style="67" customWidth="1"/>
    <col min="13581" max="13581" width="2.88671875" style="67" customWidth="1"/>
    <col min="13582" max="13582" width="4.21875" style="67" customWidth="1"/>
    <col min="13583" max="13583" width="35.6640625" style="67" customWidth="1"/>
    <col min="13584" max="13584" width="3.21875" style="67" customWidth="1"/>
    <col min="13585" max="13824" width="8.88671875" style="67"/>
    <col min="13825" max="13825" width="2.6640625" style="67" customWidth="1"/>
    <col min="13826" max="13826" width="4.44140625" style="67" customWidth="1"/>
    <col min="13827" max="13827" width="35.6640625" style="67" customWidth="1"/>
    <col min="13828" max="13828" width="2.44140625" style="67" customWidth="1"/>
    <col min="13829" max="13829" width="6.21875" style="67" customWidth="1"/>
    <col min="13830" max="13830" width="35.6640625" style="67" customWidth="1"/>
    <col min="13831" max="13831" width="1.6640625" style="67" customWidth="1"/>
    <col min="13832" max="13832" width="5.44140625" style="67" customWidth="1"/>
    <col min="13833" max="13833" width="35.6640625" style="67" customWidth="1"/>
    <col min="13834" max="13834" width="3.109375" style="67" customWidth="1"/>
    <col min="13835" max="13835" width="4.21875" style="67" customWidth="1"/>
    <col min="13836" max="13836" width="35.6640625" style="67" customWidth="1"/>
    <col min="13837" max="13837" width="2.88671875" style="67" customWidth="1"/>
    <col min="13838" max="13838" width="4.21875" style="67" customWidth="1"/>
    <col min="13839" max="13839" width="35.6640625" style="67" customWidth="1"/>
    <col min="13840" max="13840" width="3.21875" style="67" customWidth="1"/>
    <col min="13841" max="14080" width="8.88671875" style="67"/>
    <col min="14081" max="14081" width="2.6640625" style="67" customWidth="1"/>
    <col min="14082" max="14082" width="4.44140625" style="67" customWidth="1"/>
    <col min="14083" max="14083" width="35.6640625" style="67" customWidth="1"/>
    <col min="14084" max="14084" width="2.44140625" style="67" customWidth="1"/>
    <col min="14085" max="14085" width="6.21875" style="67" customWidth="1"/>
    <col min="14086" max="14086" width="35.6640625" style="67" customWidth="1"/>
    <col min="14087" max="14087" width="1.6640625" style="67" customWidth="1"/>
    <col min="14088" max="14088" width="5.44140625" style="67" customWidth="1"/>
    <col min="14089" max="14089" width="35.6640625" style="67" customWidth="1"/>
    <col min="14090" max="14090" width="3.109375" style="67" customWidth="1"/>
    <col min="14091" max="14091" width="4.21875" style="67" customWidth="1"/>
    <col min="14092" max="14092" width="35.6640625" style="67" customWidth="1"/>
    <col min="14093" max="14093" width="2.88671875" style="67" customWidth="1"/>
    <col min="14094" max="14094" width="4.21875" style="67" customWidth="1"/>
    <col min="14095" max="14095" width="35.6640625" style="67" customWidth="1"/>
    <col min="14096" max="14096" width="3.21875" style="67" customWidth="1"/>
    <col min="14097" max="14336" width="8.88671875" style="67"/>
    <col min="14337" max="14337" width="2.6640625" style="67" customWidth="1"/>
    <col min="14338" max="14338" width="4.44140625" style="67" customWidth="1"/>
    <col min="14339" max="14339" width="35.6640625" style="67" customWidth="1"/>
    <col min="14340" max="14340" width="2.44140625" style="67" customWidth="1"/>
    <col min="14341" max="14341" width="6.21875" style="67" customWidth="1"/>
    <col min="14342" max="14342" width="35.6640625" style="67" customWidth="1"/>
    <col min="14343" max="14343" width="1.6640625" style="67" customWidth="1"/>
    <col min="14344" max="14344" width="5.44140625" style="67" customWidth="1"/>
    <col min="14345" max="14345" width="35.6640625" style="67" customWidth="1"/>
    <col min="14346" max="14346" width="3.109375" style="67" customWidth="1"/>
    <col min="14347" max="14347" width="4.21875" style="67" customWidth="1"/>
    <col min="14348" max="14348" width="35.6640625" style="67" customWidth="1"/>
    <col min="14349" max="14349" width="2.88671875" style="67" customWidth="1"/>
    <col min="14350" max="14350" width="4.21875" style="67" customWidth="1"/>
    <col min="14351" max="14351" width="35.6640625" style="67" customWidth="1"/>
    <col min="14352" max="14352" width="3.21875" style="67" customWidth="1"/>
    <col min="14353" max="14592" width="8.88671875" style="67"/>
    <col min="14593" max="14593" width="2.6640625" style="67" customWidth="1"/>
    <col min="14594" max="14594" width="4.44140625" style="67" customWidth="1"/>
    <col min="14595" max="14595" width="35.6640625" style="67" customWidth="1"/>
    <col min="14596" max="14596" width="2.44140625" style="67" customWidth="1"/>
    <col min="14597" max="14597" width="6.21875" style="67" customWidth="1"/>
    <col min="14598" max="14598" width="35.6640625" style="67" customWidth="1"/>
    <col min="14599" max="14599" width="1.6640625" style="67" customWidth="1"/>
    <col min="14600" max="14600" width="5.44140625" style="67" customWidth="1"/>
    <col min="14601" max="14601" width="35.6640625" style="67" customWidth="1"/>
    <col min="14602" max="14602" width="3.109375" style="67" customWidth="1"/>
    <col min="14603" max="14603" width="4.21875" style="67" customWidth="1"/>
    <col min="14604" max="14604" width="35.6640625" style="67" customWidth="1"/>
    <col min="14605" max="14605" width="2.88671875" style="67" customWidth="1"/>
    <col min="14606" max="14606" width="4.21875" style="67" customWidth="1"/>
    <col min="14607" max="14607" width="35.6640625" style="67" customWidth="1"/>
    <col min="14608" max="14608" width="3.21875" style="67" customWidth="1"/>
    <col min="14609" max="14848" width="8.88671875" style="67"/>
    <col min="14849" max="14849" width="2.6640625" style="67" customWidth="1"/>
    <col min="14850" max="14850" width="4.44140625" style="67" customWidth="1"/>
    <col min="14851" max="14851" width="35.6640625" style="67" customWidth="1"/>
    <col min="14852" max="14852" width="2.44140625" style="67" customWidth="1"/>
    <col min="14853" max="14853" width="6.21875" style="67" customWidth="1"/>
    <col min="14854" max="14854" width="35.6640625" style="67" customWidth="1"/>
    <col min="14855" max="14855" width="1.6640625" style="67" customWidth="1"/>
    <col min="14856" max="14856" width="5.44140625" style="67" customWidth="1"/>
    <col min="14857" max="14857" width="35.6640625" style="67" customWidth="1"/>
    <col min="14858" max="14858" width="3.109375" style="67" customWidth="1"/>
    <col min="14859" max="14859" width="4.21875" style="67" customWidth="1"/>
    <col min="14860" max="14860" width="35.6640625" style="67" customWidth="1"/>
    <col min="14861" max="14861" width="2.88671875" style="67" customWidth="1"/>
    <col min="14862" max="14862" width="4.21875" style="67" customWidth="1"/>
    <col min="14863" max="14863" width="35.6640625" style="67" customWidth="1"/>
    <col min="14864" max="14864" width="3.21875" style="67" customWidth="1"/>
    <col min="14865" max="15104" width="8.88671875" style="67"/>
    <col min="15105" max="15105" width="2.6640625" style="67" customWidth="1"/>
    <col min="15106" max="15106" width="4.44140625" style="67" customWidth="1"/>
    <col min="15107" max="15107" width="35.6640625" style="67" customWidth="1"/>
    <col min="15108" max="15108" width="2.44140625" style="67" customWidth="1"/>
    <col min="15109" max="15109" width="6.21875" style="67" customWidth="1"/>
    <col min="15110" max="15110" width="35.6640625" style="67" customWidth="1"/>
    <col min="15111" max="15111" width="1.6640625" style="67" customWidth="1"/>
    <col min="15112" max="15112" width="5.44140625" style="67" customWidth="1"/>
    <col min="15113" max="15113" width="35.6640625" style="67" customWidth="1"/>
    <col min="15114" max="15114" width="3.109375" style="67" customWidth="1"/>
    <col min="15115" max="15115" width="4.21875" style="67" customWidth="1"/>
    <col min="15116" max="15116" width="35.6640625" style="67" customWidth="1"/>
    <col min="15117" max="15117" width="2.88671875" style="67" customWidth="1"/>
    <col min="15118" max="15118" width="4.21875" style="67" customWidth="1"/>
    <col min="15119" max="15119" width="35.6640625" style="67" customWidth="1"/>
    <col min="15120" max="15120" width="3.21875" style="67" customWidth="1"/>
    <col min="15121" max="15360" width="8.88671875" style="67"/>
    <col min="15361" max="15361" width="2.6640625" style="67" customWidth="1"/>
    <col min="15362" max="15362" width="4.44140625" style="67" customWidth="1"/>
    <col min="15363" max="15363" width="35.6640625" style="67" customWidth="1"/>
    <col min="15364" max="15364" width="2.44140625" style="67" customWidth="1"/>
    <col min="15365" max="15365" width="6.21875" style="67" customWidth="1"/>
    <col min="15366" max="15366" width="35.6640625" style="67" customWidth="1"/>
    <col min="15367" max="15367" width="1.6640625" style="67" customWidth="1"/>
    <col min="15368" max="15368" width="5.44140625" style="67" customWidth="1"/>
    <col min="15369" max="15369" width="35.6640625" style="67" customWidth="1"/>
    <col min="15370" max="15370" width="3.109375" style="67" customWidth="1"/>
    <col min="15371" max="15371" width="4.21875" style="67" customWidth="1"/>
    <col min="15372" max="15372" width="35.6640625" style="67" customWidth="1"/>
    <col min="15373" max="15373" width="2.88671875" style="67" customWidth="1"/>
    <col min="15374" max="15374" width="4.21875" style="67" customWidth="1"/>
    <col min="15375" max="15375" width="35.6640625" style="67" customWidth="1"/>
    <col min="15376" max="15376" width="3.21875" style="67" customWidth="1"/>
    <col min="15377" max="15616" width="8.88671875" style="67"/>
    <col min="15617" max="15617" width="2.6640625" style="67" customWidth="1"/>
    <col min="15618" max="15618" width="4.44140625" style="67" customWidth="1"/>
    <col min="15619" max="15619" width="35.6640625" style="67" customWidth="1"/>
    <col min="15620" max="15620" width="2.44140625" style="67" customWidth="1"/>
    <col min="15621" max="15621" width="6.21875" style="67" customWidth="1"/>
    <col min="15622" max="15622" width="35.6640625" style="67" customWidth="1"/>
    <col min="15623" max="15623" width="1.6640625" style="67" customWidth="1"/>
    <col min="15624" max="15624" width="5.44140625" style="67" customWidth="1"/>
    <col min="15625" max="15625" width="35.6640625" style="67" customWidth="1"/>
    <col min="15626" max="15626" width="3.109375" style="67" customWidth="1"/>
    <col min="15627" max="15627" width="4.21875" style="67" customWidth="1"/>
    <col min="15628" max="15628" width="35.6640625" style="67" customWidth="1"/>
    <col min="15629" max="15629" width="2.88671875" style="67" customWidth="1"/>
    <col min="15630" max="15630" width="4.21875" style="67" customWidth="1"/>
    <col min="15631" max="15631" width="35.6640625" style="67" customWidth="1"/>
    <col min="15632" max="15632" width="3.21875" style="67" customWidth="1"/>
    <col min="15633" max="15872" width="8.88671875" style="67"/>
    <col min="15873" max="15873" width="2.6640625" style="67" customWidth="1"/>
    <col min="15874" max="15874" width="4.44140625" style="67" customWidth="1"/>
    <col min="15875" max="15875" width="35.6640625" style="67" customWidth="1"/>
    <col min="15876" max="15876" width="2.44140625" style="67" customWidth="1"/>
    <col min="15877" max="15877" width="6.21875" style="67" customWidth="1"/>
    <col min="15878" max="15878" width="35.6640625" style="67" customWidth="1"/>
    <col min="15879" max="15879" width="1.6640625" style="67" customWidth="1"/>
    <col min="15880" max="15880" width="5.44140625" style="67" customWidth="1"/>
    <col min="15881" max="15881" width="35.6640625" style="67" customWidth="1"/>
    <col min="15882" max="15882" width="3.109375" style="67" customWidth="1"/>
    <col min="15883" max="15883" width="4.21875" style="67" customWidth="1"/>
    <col min="15884" max="15884" width="35.6640625" style="67" customWidth="1"/>
    <col min="15885" max="15885" width="2.88671875" style="67" customWidth="1"/>
    <col min="15886" max="15886" width="4.21875" style="67" customWidth="1"/>
    <col min="15887" max="15887" width="35.6640625" style="67" customWidth="1"/>
    <col min="15888" max="15888" width="3.21875" style="67" customWidth="1"/>
    <col min="15889" max="16128" width="8.88671875" style="67"/>
    <col min="16129" max="16129" width="2.6640625" style="67" customWidth="1"/>
    <col min="16130" max="16130" width="4.44140625" style="67" customWidth="1"/>
    <col min="16131" max="16131" width="35.6640625" style="67" customWidth="1"/>
    <col min="16132" max="16132" width="2.44140625" style="67" customWidth="1"/>
    <col min="16133" max="16133" width="6.21875" style="67" customWidth="1"/>
    <col min="16134" max="16134" width="35.6640625" style="67" customWidth="1"/>
    <col min="16135" max="16135" width="1.6640625" style="67" customWidth="1"/>
    <col min="16136" max="16136" width="5.44140625" style="67" customWidth="1"/>
    <col min="16137" max="16137" width="35.6640625" style="67" customWidth="1"/>
    <col min="16138" max="16138" width="3.109375" style="67" customWidth="1"/>
    <col min="16139" max="16139" width="4.21875" style="67" customWidth="1"/>
    <col min="16140" max="16140" width="35.6640625" style="67" customWidth="1"/>
    <col min="16141" max="16141" width="2.88671875" style="67" customWidth="1"/>
    <col min="16142" max="16142" width="4.21875" style="67" customWidth="1"/>
    <col min="16143" max="16143" width="35.6640625" style="67" customWidth="1"/>
    <col min="16144" max="16144" width="3.21875" style="67" customWidth="1"/>
    <col min="16145" max="16384" width="8.88671875" style="67"/>
  </cols>
  <sheetData>
    <row r="1" spans="1:18" ht="5.25" customHeight="1" x14ac:dyDescent="0.3"/>
    <row r="2" spans="1:18" ht="15" customHeight="1" x14ac:dyDescent="0.4">
      <c r="A2" s="68"/>
      <c r="B2" s="972" t="s">
        <v>93</v>
      </c>
      <c r="C2" s="973"/>
      <c r="D2" s="68"/>
      <c r="E2" s="972" t="s">
        <v>76</v>
      </c>
      <c r="F2" s="973"/>
      <c r="H2" s="972" t="s">
        <v>76</v>
      </c>
      <c r="I2" s="973"/>
      <c r="K2" s="972" t="s">
        <v>76</v>
      </c>
      <c r="L2" s="973"/>
      <c r="M2" s="70"/>
      <c r="N2" s="974" t="s">
        <v>92</v>
      </c>
      <c r="O2" s="975"/>
      <c r="R2" s="7" t="s">
        <v>19</v>
      </c>
    </row>
    <row r="3" spans="1:18" ht="15" customHeight="1" x14ac:dyDescent="0.3">
      <c r="A3" s="68"/>
      <c r="B3" s="968"/>
      <c r="C3" s="969"/>
      <c r="D3" s="68"/>
      <c r="E3" s="71" t="s">
        <v>77</v>
      </c>
      <c r="F3" s="72"/>
      <c r="H3" s="71" t="s">
        <v>77</v>
      </c>
      <c r="I3" s="72"/>
      <c r="K3" s="73"/>
      <c r="L3" s="74"/>
      <c r="N3" s="970"/>
      <c r="O3" s="971"/>
    </row>
    <row r="4" spans="1:18" ht="15" customHeight="1" x14ac:dyDescent="0.3">
      <c r="A4" s="68"/>
      <c r="B4" s="68"/>
      <c r="C4" s="68"/>
      <c r="D4" s="68"/>
      <c r="E4" s="75" t="s">
        <v>78</v>
      </c>
      <c r="F4" s="76"/>
      <c r="H4" s="75" t="s">
        <v>78</v>
      </c>
      <c r="I4" s="76"/>
      <c r="K4" s="77"/>
      <c r="L4" s="78"/>
      <c r="O4" s="70"/>
    </row>
    <row r="5" spans="1:18" ht="15" customHeight="1" x14ac:dyDescent="0.3">
      <c r="A5" s="68"/>
      <c r="B5" s="972" t="s">
        <v>90</v>
      </c>
      <c r="C5" s="973"/>
      <c r="D5" s="68"/>
      <c r="E5" s="75" t="s">
        <v>79</v>
      </c>
      <c r="F5" s="76"/>
      <c r="H5" s="75" t="s">
        <v>79</v>
      </c>
      <c r="I5" s="76"/>
      <c r="K5" s="77"/>
      <c r="L5" s="78"/>
      <c r="N5" s="976" t="s">
        <v>80</v>
      </c>
      <c r="O5" s="976"/>
    </row>
    <row r="6" spans="1:18" ht="15" customHeight="1" x14ac:dyDescent="0.3">
      <c r="A6" s="68"/>
      <c r="B6" s="968"/>
      <c r="C6" s="969"/>
      <c r="D6" s="68"/>
      <c r="E6" s="79" t="s">
        <v>81</v>
      </c>
      <c r="F6" s="80"/>
      <c r="H6" s="79" t="s">
        <v>81</v>
      </c>
      <c r="I6" s="80"/>
      <c r="K6" s="81"/>
      <c r="L6" s="82"/>
      <c r="N6" s="977"/>
      <c r="O6" s="977"/>
    </row>
    <row r="7" spans="1:18" x14ac:dyDescent="0.3">
      <c r="A7" s="68"/>
      <c r="B7" s="68"/>
      <c r="C7" s="68"/>
      <c r="D7" s="68"/>
      <c r="E7" s="68"/>
      <c r="F7" s="68"/>
      <c r="K7" s="68"/>
      <c r="L7" s="68"/>
      <c r="N7" s="83"/>
    </row>
    <row r="8" spans="1:18" ht="19.5" customHeight="1" x14ac:dyDescent="0.3">
      <c r="A8" s="70"/>
      <c r="B8" s="978" t="s">
        <v>941</v>
      </c>
      <c r="C8" s="979"/>
      <c r="D8" s="979"/>
      <c r="E8" s="979"/>
      <c r="F8" s="980"/>
      <c r="G8" s="84"/>
      <c r="H8" s="981" t="s">
        <v>95</v>
      </c>
      <c r="I8" s="982"/>
      <c r="J8" s="982"/>
      <c r="K8" s="982"/>
      <c r="L8" s="983"/>
      <c r="M8" s="70"/>
      <c r="N8" s="984" t="s">
        <v>88</v>
      </c>
      <c r="O8" s="985"/>
    </row>
    <row r="9" spans="1:18" ht="15" customHeight="1" x14ac:dyDescent="0.3">
      <c r="A9" s="68"/>
      <c r="B9" s="85" t="s">
        <v>82</v>
      </c>
      <c r="C9" s="106"/>
      <c r="D9" s="106"/>
      <c r="E9" s="106"/>
      <c r="F9" s="699" t="s">
        <v>942</v>
      </c>
      <c r="G9" s="70"/>
      <c r="H9" s="122"/>
      <c r="I9" s="123"/>
      <c r="J9" s="123"/>
      <c r="K9" s="123"/>
      <c r="L9" s="124"/>
      <c r="M9" s="86"/>
      <c r="N9" s="125" t="s">
        <v>720</v>
      </c>
      <c r="O9" s="88"/>
    </row>
    <row r="10" spans="1:18" ht="15" customHeight="1" x14ac:dyDescent="0.3">
      <c r="A10" s="68"/>
      <c r="B10" s="610" t="s">
        <v>697</v>
      </c>
      <c r="C10" s="611"/>
      <c r="D10" s="611"/>
      <c r="E10" s="611"/>
      <c r="F10" s="612"/>
      <c r="G10" s="84"/>
      <c r="H10" s="118" t="s">
        <v>702</v>
      </c>
      <c r="I10" s="113"/>
      <c r="J10" s="113"/>
      <c r="K10" s="113"/>
      <c r="L10" s="114"/>
      <c r="N10" s="89"/>
      <c r="O10" s="90"/>
    </row>
    <row r="11" spans="1:18" ht="15" customHeight="1" x14ac:dyDescent="0.3">
      <c r="A11" s="68"/>
      <c r="B11" s="610" t="s">
        <v>698</v>
      </c>
      <c r="C11" s="611"/>
      <c r="D11" s="611"/>
      <c r="E11" s="611"/>
      <c r="F11" s="612"/>
      <c r="G11" s="84"/>
      <c r="H11" s="107"/>
      <c r="I11" s="113"/>
      <c r="J11" s="113"/>
      <c r="K11" s="113"/>
      <c r="L11" s="114"/>
      <c r="N11" s="89"/>
      <c r="O11" s="90"/>
    </row>
    <row r="12" spans="1:18" ht="15" customHeight="1" x14ac:dyDescent="0.3">
      <c r="A12" s="68"/>
      <c r="B12" s="610" t="s">
        <v>699</v>
      </c>
      <c r="C12" s="611"/>
      <c r="D12" s="611"/>
      <c r="E12" s="611"/>
      <c r="F12" s="612"/>
      <c r="G12" s="84"/>
      <c r="H12" s="118" t="s">
        <v>711</v>
      </c>
      <c r="L12" s="114"/>
      <c r="N12" s="89"/>
      <c r="O12" s="90"/>
    </row>
    <row r="13" spans="1:18" ht="15" customHeight="1" x14ac:dyDescent="0.3">
      <c r="A13" s="68"/>
      <c r="B13" s="91" t="s">
        <v>94</v>
      </c>
      <c r="C13" s="108"/>
      <c r="D13" s="108"/>
      <c r="E13" s="108"/>
      <c r="F13" s="109"/>
      <c r="G13" s="84"/>
      <c r="H13" s="89" t="s">
        <v>712</v>
      </c>
      <c r="L13" s="114"/>
      <c r="N13" s="89"/>
      <c r="O13" s="90"/>
    </row>
    <row r="14" spans="1:18" ht="15" customHeight="1" x14ac:dyDescent="0.3">
      <c r="A14" s="68"/>
      <c r="B14" s="609" t="s">
        <v>733</v>
      </c>
      <c r="C14" s="108"/>
      <c r="D14" s="108"/>
      <c r="E14" s="108"/>
      <c r="F14" s="109"/>
      <c r="G14" s="84"/>
      <c r="H14" s="107"/>
      <c r="L14" s="114"/>
      <c r="N14" s="89"/>
      <c r="O14"/>
    </row>
    <row r="15" spans="1:18" ht="15" customHeight="1" x14ac:dyDescent="0.3">
      <c r="A15" s="68"/>
      <c r="B15" s="609" t="s">
        <v>734</v>
      </c>
      <c r="C15" s="108"/>
      <c r="D15" s="108"/>
      <c r="E15" s="108"/>
      <c r="F15" s="109"/>
      <c r="G15" s="84"/>
      <c r="H15" s="617" t="s">
        <v>706</v>
      </c>
      <c r="I15" s="113"/>
      <c r="J15" s="113"/>
      <c r="K15" s="113"/>
      <c r="L15" s="114"/>
      <c r="N15" s="118" t="s">
        <v>721</v>
      </c>
      <c r="O15" s="90"/>
    </row>
    <row r="16" spans="1:18" ht="15" customHeight="1" x14ac:dyDescent="0.3">
      <c r="A16" s="68"/>
      <c r="B16" s="609" t="s">
        <v>722</v>
      </c>
      <c r="C16" s="108"/>
      <c r="D16" s="108"/>
      <c r="E16" s="108"/>
      <c r="F16" s="109"/>
      <c r="G16" s="84"/>
      <c r="H16" s="618" t="s">
        <v>731</v>
      </c>
      <c r="I16" s="113"/>
      <c r="J16" s="113"/>
      <c r="K16" s="113"/>
      <c r="L16" s="114"/>
      <c r="N16" s="89"/>
      <c r="O16" s="90"/>
    </row>
    <row r="17" spans="1:15" ht="15" customHeight="1" x14ac:dyDescent="0.3">
      <c r="A17" s="68"/>
      <c r="B17" s="91" t="s">
        <v>91</v>
      </c>
      <c r="C17" s="108"/>
      <c r="D17" s="108"/>
      <c r="E17" s="108"/>
      <c r="F17" s="109"/>
      <c r="G17" s="84"/>
      <c r="H17" s="618" t="s">
        <v>732</v>
      </c>
      <c r="I17" s="113"/>
      <c r="J17" s="113"/>
      <c r="K17" s="113"/>
      <c r="L17" s="114"/>
      <c r="N17" s="89"/>
      <c r="O17" s="90"/>
    </row>
    <row r="18" spans="1:15" ht="15" customHeight="1" x14ac:dyDescent="0.3">
      <c r="A18" s="68"/>
      <c r="B18" s="609" t="s">
        <v>701</v>
      </c>
      <c r="C18" s="108"/>
      <c r="D18" s="108"/>
      <c r="E18" s="108"/>
      <c r="F18" s="109"/>
      <c r="G18" s="84"/>
      <c r="H18" s="107"/>
      <c r="J18" s="113"/>
      <c r="K18" s="113"/>
      <c r="L18" s="114"/>
      <c r="N18" s="89"/>
      <c r="O18" s="90"/>
    </row>
    <row r="19" spans="1:15" ht="15" customHeight="1" x14ac:dyDescent="0.3">
      <c r="A19" s="68"/>
      <c r="B19" s="609" t="s">
        <v>735</v>
      </c>
      <c r="C19" s="108"/>
      <c r="D19" s="108"/>
      <c r="E19" s="108"/>
      <c r="F19" s="109"/>
      <c r="G19" s="84"/>
      <c r="H19" s="107"/>
      <c r="I19" s="70" t="s">
        <v>707</v>
      </c>
      <c r="J19" s="113"/>
      <c r="K19" s="113"/>
      <c r="L19" s="114"/>
      <c r="N19" s="89"/>
      <c r="O19" s="90"/>
    </row>
    <row r="20" spans="1:15" ht="15" customHeight="1" x14ac:dyDescent="0.3">
      <c r="A20" s="68"/>
      <c r="B20" s="609" t="s">
        <v>700</v>
      </c>
      <c r="C20" s="108"/>
      <c r="D20" s="108"/>
      <c r="E20" s="108"/>
      <c r="F20" s="109"/>
      <c r="G20" s="84"/>
      <c r="H20" s="107"/>
      <c r="I20" s="69" t="s">
        <v>704</v>
      </c>
      <c r="J20" s="113"/>
      <c r="K20" s="113"/>
      <c r="L20" s="114"/>
      <c r="N20" s="89"/>
      <c r="O20" s="90"/>
    </row>
    <row r="21" spans="1:15" ht="15" customHeight="1" x14ac:dyDescent="0.3">
      <c r="A21" s="68"/>
      <c r="B21" s="110"/>
      <c r="C21" s="111"/>
      <c r="D21" s="111"/>
      <c r="E21" s="111"/>
      <c r="F21" s="112"/>
      <c r="G21" s="84"/>
      <c r="H21" s="107"/>
      <c r="J21" s="113"/>
      <c r="K21" s="113"/>
      <c r="L21" s="114"/>
      <c r="N21" s="89"/>
      <c r="O21" s="90"/>
    </row>
    <row r="22" spans="1:15" ht="18" customHeight="1" x14ac:dyDescent="0.3">
      <c r="A22" s="68"/>
      <c r="B22" s="984" t="s">
        <v>83</v>
      </c>
      <c r="C22" s="989"/>
      <c r="D22" s="989"/>
      <c r="E22" s="989"/>
      <c r="F22" s="985"/>
      <c r="G22" s="84"/>
      <c r="H22" s="107"/>
      <c r="I22" s="614" t="s">
        <v>708</v>
      </c>
      <c r="J22" s="113"/>
      <c r="K22" s="113"/>
      <c r="L22" s="114"/>
      <c r="N22" s="89"/>
      <c r="O22" s="90"/>
    </row>
    <row r="23" spans="1:15" ht="18" customHeight="1" x14ac:dyDescent="0.3">
      <c r="A23" s="68"/>
      <c r="B23" s="107"/>
      <c r="C23" s="113"/>
      <c r="D23" s="113"/>
      <c r="E23" s="113"/>
      <c r="F23" s="114"/>
      <c r="G23" s="84"/>
      <c r="H23" s="107"/>
      <c r="I23" s="615" t="s">
        <v>705</v>
      </c>
      <c r="J23" s="113"/>
      <c r="K23" s="113"/>
      <c r="L23" s="114"/>
      <c r="N23" s="89"/>
      <c r="O23" s="90"/>
    </row>
    <row r="24" spans="1:15" ht="18" customHeight="1" x14ac:dyDescent="0.3">
      <c r="A24" s="68"/>
      <c r="B24" s="118" t="s">
        <v>84</v>
      </c>
      <c r="C24" s="113"/>
      <c r="D24" s="113"/>
      <c r="E24" s="113"/>
      <c r="F24" s="114"/>
      <c r="G24" s="84"/>
      <c r="H24" s="107"/>
      <c r="I24" s="615" t="s">
        <v>866</v>
      </c>
      <c r="J24" s="113"/>
      <c r="K24" s="113"/>
      <c r="L24" s="114"/>
      <c r="N24" s="89"/>
      <c r="O24" s="90"/>
    </row>
    <row r="25" spans="1:15" ht="18" customHeight="1" x14ac:dyDescent="0.3">
      <c r="A25" s="68"/>
      <c r="B25" s="89" t="s">
        <v>736</v>
      </c>
      <c r="C25" s="113"/>
      <c r="D25" s="113"/>
      <c r="E25" s="113"/>
      <c r="F25" s="114"/>
      <c r="G25" s="84"/>
      <c r="H25" s="107"/>
      <c r="J25" s="113"/>
      <c r="K25" s="113"/>
      <c r="L25" s="114"/>
      <c r="N25" s="92"/>
      <c r="O25" s="93"/>
    </row>
    <row r="26" spans="1:15" ht="18" customHeight="1" x14ac:dyDescent="0.3">
      <c r="A26" s="68"/>
      <c r="B26" s="89" t="s">
        <v>737</v>
      </c>
      <c r="C26" s="113"/>
      <c r="D26" s="113"/>
      <c r="E26" s="113"/>
      <c r="F26" s="114"/>
      <c r="G26" s="84"/>
      <c r="H26" s="107"/>
      <c r="I26" s="616" t="s">
        <v>709</v>
      </c>
      <c r="J26" s="113"/>
      <c r="K26" s="113"/>
      <c r="L26" s="114"/>
      <c r="N26" s="92"/>
      <c r="O26" s="93"/>
    </row>
    <row r="27" spans="1:15" ht="18" customHeight="1" x14ac:dyDescent="0.3">
      <c r="A27" s="68"/>
      <c r="B27" s="986" t="s">
        <v>85</v>
      </c>
      <c r="C27" s="987"/>
      <c r="D27" s="987"/>
      <c r="E27" s="987"/>
      <c r="F27" s="988"/>
      <c r="G27" s="84"/>
      <c r="H27" s="107"/>
      <c r="I27" s="619" t="s">
        <v>713</v>
      </c>
      <c r="J27" s="113"/>
      <c r="K27" s="113"/>
      <c r="L27" s="114"/>
      <c r="N27" s="984" t="s">
        <v>89</v>
      </c>
      <c r="O27" s="985"/>
    </row>
    <row r="28" spans="1:15" ht="18" customHeight="1" x14ac:dyDescent="0.3">
      <c r="A28" s="68"/>
      <c r="B28" s="119"/>
      <c r="C28" s="120"/>
      <c r="D28" s="120"/>
      <c r="E28" s="120"/>
      <c r="F28" s="121"/>
      <c r="G28" s="84"/>
      <c r="H28" s="107"/>
      <c r="I28" s="616" t="s">
        <v>710</v>
      </c>
      <c r="J28" s="113"/>
      <c r="K28" s="113"/>
      <c r="L28" s="114"/>
      <c r="N28" s="622" t="s">
        <v>723</v>
      </c>
      <c r="O28" s="103"/>
    </row>
    <row r="29" spans="1:15" ht="18" customHeight="1" x14ac:dyDescent="0.3">
      <c r="A29" s="68"/>
      <c r="B29" s="118"/>
      <c r="C29" s="113"/>
      <c r="D29" s="113"/>
      <c r="E29" s="113"/>
      <c r="F29" s="114"/>
      <c r="G29" s="84"/>
      <c r="H29" s="107"/>
      <c r="I29" s="619" t="s">
        <v>714</v>
      </c>
      <c r="J29" s="113"/>
      <c r="K29" s="113"/>
      <c r="L29" s="114"/>
      <c r="N29" s="623" t="s">
        <v>725</v>
      </c>
      <c r="O29" s="624"/>
    </row>
    <row r="30" spans="1:15" ht="18" customHeight="1" x14ac:dyDescent="0.3">
      <c r="A30" s="68"/>
      <c r="B30" s="107"/>
      <c r="C30" s="113"/>
      <c r="D30" s="113"/>
      <c r="E30" s="113"/>
      <c r="F30" s="114"/>
      <c r="G30" s="84"/>
      <c r="H30" s="107"/>
      <c r="I30" s="620" t="s">
        <v>715</v>
      </c>
      <c r="J30" s="113"/>
      <c r="K30" s="113"/>
      <c r="L30" s="114"/>
      <c r="N30" s="623" t="s">
        <v>726</v>
      </c>
      <c r="O30" s="624"/>
    </row>
    <row r="31" spans="1:15" ht="18" customHeight="1" x14ac:dyDescent="0.3">
      <c r="A31" s="68"/>
      <c r="B31" s="107"/>
      <c r="C31" s="113"/>
      <c r="D31" s="113"/>
      <c r="E31" s="113"/>
      <c r="F31" s="114"/>
      <c r="G31" s="84"/>
      <c r="H31" s="107"/>
      <c r="I31" s="113"/>
      <c r="J31" s="113"/>
      <c r="K31" s="113"/>
      <c r="L31" s="114"/>
      <c r="N31" s="623" t="s">
        <v>727</v>
      </c>
      <c r="O31" s="625"/>
    </row>
    <row r="32" spans="1:15" ht="18" customHeight="1" x14ac:dyDescent="0.3">
      <c r="A32" s="68"/>
      <c r="B32" s="107"/>
      <c r="C32" s="113"/>
      <c r="D32" s="113"/>
      <c r="E32" s="113"/>
      <c r="F32" s="114"/>
      <c r="G32" s="84"/>
      <c r="H32" s="115"/>
      <c r="I32" s="116"/>
      <c r="J32" s="116"/>
      <c r="K32" s="116"/>
      <c r="L32" s="117"/>
      <c r="N32" s="626" t="s">
        <v>728</v>
      </c>
      <c r="O32" s="624"/>
    </row>
    <row r="33" spans="1:15" ht="18" customHeight="1" x14ac:dyDescent="0.3">
      <c r="A33" s="68"/>
      <c r="B33" s="107"/>
      <c r="C33" s="113"/>
      <c r="D33" s="113"/>
      <c r="E33" s="113"/>
      <c r="F33" s="114"/>
      <c r="G33" s="84"/>
      <c r="H33" s="990" t="s">
        <v>86</v>
      </c>
      <c r="I33" s="991"/>
      <c r="J33" s="991"/>
      <c r="K33" s="991"/>
      <c r="L33" s="992"/>
      <c r="N33" s="626" t="s">
        <v>729</v>
      </c>
      <c r="O33" s="624"/>
    </row>
    <row r="34" spans="1:15" ht="18" customHeight="1" x14ac:dyDescent="0.3">
      <c r="A34" s="68"/>
      <c r="B34" s="107"/>
      <c r="C34" s="113"/>
      <c r="D34" s="113"/>
      <c r="E34" s="113"/>
      <c r="F34" s="114"/>
      <c r="G34" s="84"/>
      <c r="H34" s="125" t="s">
        <v>716</v>
      </c>
      <c r="I34" s="94"/>
      <c r="J34" s="94"/>
      <c r="K34" s="94"/>
      <c r="L34" s="95"/>
      <c r="N34" s="626"/>
      <c r="O34" s="624"/>
    </row>
    <row r="35" spans="1:15" ht="18" customHeight="1" x14ac:dyDescent="0.3">
      <c r="A35" s="68"/>
      <c r="B35" s="107"/>
      <c r="C35" s="113"/>
      <c r="D35" s="113"/>
      <c r="E35" s="113"/>
      <c r="F35" s="114"/>
      <c r="G35" s="84"/>
      <c r="H35" s="621" t="s">
        <v>718</v>
      </c>
      <c r="I35" s="96"/>
      <c r="J35" s="97"/>
      <c r="K35" s="98"/>
      <c r="L35" s="99"/>
      <c r="N35" s="626" t="s">
        <v>724</v>
      </c>
      <c r="O35" s="624"/>
    </row>
    <row r="36" spans="1:15" ht="18" customHeight="1" x14ac:dyDescent="0.3">
      <c r="A36" s="68"/>
      <c r="B36" s="107"/>
      <c r="C36" s="113"/>
      <c r="D36" s="113"/>
      <c r="E36" s="113"/>
      <c r="F36" s="114"/>
      <c r="G36" s="84"/>
      <c r="H36" s="621" t="s">
        <v>719</v>
      </c>
      <c r="I36"/>
      <c r="J36" s="97"/>
      <c r="K36" s="101"/>
      <c r="L36" s="99"/>
      <c r="N36" s="626" t="s">
        <v>730</v>
      </c>
      <c r="O36" s="624"/>
    </row>
    <row r="37" spans="1:15" ht="18" customHeight="1" x14ac:dyDescent="0.3">
      <c r="A37" s="68"/>
      <c r="B37" s="107"/>
      <c r="C37" s="113"/>
      <c r="D37" s="113"/>
      <c r="E37" s="113"/>
      <c r="F37" s="114"/>
      <c r="G37" s="84"/>
      <c r="H37" s="621"/>
      <c r="I37" s="97"/>
      <c r="J37" s="97"/>
      <c r="K37" s="101"/>
      <c r="L37" s="99"/>
      <c r="N37" s="89"/>
      <c r="O37" s="103"/>
    </row>
    <row r="38" spans="1:15" ht="18" customHeight="1" x14ac:dyDescent="0.3">
      <c r="A38" s="68"/>
      <c r="B38" s="107"/>
      <c r="C38" s="113"/>
      <c r="D38" s="113"/>
      <c r="E38" s="113"/>
      <c r="F38" s="114"/>
      <c r="G38" s="84"/>
      <c r="H38" s="621" t="s">
        <v>717</v>
      </c>
      <c r="I38" s="100"/>
      <c r="J38"/>
      <c r="K38" s="101"/>
      <c r="L38" s="99"/>
      <c r="N38" s="102"/>
      <c r="O38" s="103"/>
    </row>
    <row r="39" spans="1:15" ht="18" customHeight="1" x14ac:dyDescent="0.3">
      <c r="A39" s="68"/>
      <c r="B39" s="107"/>
      <c r="C39" s="113"/>
      <c r="D39" s="113"/>
      <c r="E39" s="113"/>
      <c r="F39" s="114"/>
      <c r="G39" s="84"/>
      <c r="H39" s="126"/>
      <c r="I39" s="97"/>
      <c r="J39" s="97"/>
      <c r="K39" s="101"/>
      <c r="L39" s="99"/>
      <c r="N39" s="89"/>
      <c r="O39" s="103"/>
    </row>
    <row r="40" spans="1:15" ht="18" customHeight="1" x14ac:dyDescent="0.3">
      <c r="A40" s="68"/>
      <c r="B40" s="107"/>
      <c r="C40" s="113"/>
      <c r="D40" s="113"/>
      <c r="E40" s="113"/>
      <c r="F40" s="114"/>
      <c r="G40" s="84"/>
      <c r="H40" s="127"/>
      <c r="I40" s="97"/>
      <c r="J40" s="97"/>
      <c r="K40" s="97"/>
      <c r="L40" s="99"/>
      <c r="N40" s="89"/>
      <c r="O40" s="103"/>
    </row>
    <row r="41" spans="1:15" ht="18" customHeight="1" x14ac:dyDescent="0.3">
      <c r="A41" s="68"/>
      <c r="B41" s="107"/>
      <c r="C41" s="113"/>
      <c r="D41" s="113"/>
      <c r="E41" s="113"/>
      <c r="F41" s="114"/>
      <c r="G41" s="84"/>
      <c r="H41" s="127"/>
      <c r="I41" s="97"/>
      <c r="J41" s="97"/>
      <c r="K41" s="97"/>
      <c r="L41" s="99"/>
      <c r="N41" s="89"/>
      <c r="O41" s="103"/>
    </row>
    <row r="42" spans="1:15" ht="18" customHeight="1" x14ac:dyDescent="0.3">
      <c r="A42" s="68"/>
      <c r="B42" s="107"/>
      <c r="C42" s="113"/>
      <c r="D42" s="113"/>
      <c r="E42" s="113"/>
      <c r="F42" s="114"/>
      <c r="G42" s="84"/>
      <c r="H42" s="981" t="s">
        <v>87</v>
      </c>
      <c r="I42" s="982"/>
      <c r="J42" s="982"/>
      <c r="K42" s="982"/>
      <c r="L42" s="983"/>
      <c r="N42" s="102"/>
      <c r="O42" s="103"/>
    </row>
    <row r="43" spans="1:15" ht="10.5" customHeight="1" x14ac:dyDescent="0.3">
      <c r="A43" s="68"/>
      <c r="B43" s="107"/>
      <c r="C43" s="113"/>
      <c r="D43" s="113"/>
      <c r="E43" s="113"/>
      <c r="F43" s="114"/>
      <c r="G43" s="84"/>
      <c r="H43" s="87"/>
      <c r="I43" s="104"/>
      <c r="J43" s="104"/>
      <c r="K43" s="104"/>
      <c r="L43" s="88"/>
      <c r="N43" s="89"/>
      <c r="O43" s="103"/>
    </row>
    <row r="44" spans="1:15" ht="15" customHeight="1" x14ac:dyDescent="0.3">
      <c r="B44" s="107"/>
      <c r="C44" s="113"/>
      <c r="D44" s="113"/>
      <c r="E44" s="113"/>
      <c r="F44" s="114"/>
      <c r="G44" s="84"/>
      <c r="H44" s="89"/>
      <c r="I44" s="69"/>
      <c r="J44" s="69"/>
      <c r="K44" s="69"/>
      <c r="L44" s="90"/>
      <c r="N44" s="89"/>
      <c r="O44" s="103"/>
    </row>
    <row r="45" spans="1:15" ht="15" customHeight="1" x14ac:dyDescent="0.3">
      <c r="B45" s="107"/>
      <c r="C45" s="113"/>
      <c r="D45" s="113"/>
      <c r="E45" s="113"/>
      <c r="F45" s="114"/>
      <c r="G45" s="84"/>
      <c r="H45" s="89"/>
      <c r="I45" s="69"/>
      <c r="J45" s="69"/>
      <c r="K45" s="69"/>
      <c r="L45" s="90"/>
      <c r="N45" s="89"/>
      <c r="O45" s="90"/>
    </row>
    <row r="46" spans="1:15" ht="15" customHeight="1" x14ac:dyDescent="0.3">
      <c r="B46" s="118"/>
      <c r="C46" s="113"/>
      <c r="D46" s="113"/>
      <c r="E46" s="113"/>
      <c r="F46" s="114"/>
      <c r="G46" s="84"/>
      <c r="H46" s="89"/>
      <c r="I46" s="69"/>
      <c r="J46" s="69"/>
      <c r="K46" s="69"/>
      <c r="L46" s="90"/>
      <c r="N46" s="89"/>
      <c r="O46" s="90"/>
    </row>
    <row r="47" spans="1:15" ht="15" customHeight="1" x14ac:dyDescent="0.3">
      <c r="B47" s="107"/>
      <c r="C47" s="113"/>
      <c r="D47" s="113"/>
      <c r="E47" s="113"/>
      <c r="F47" s="114"/>
      <c r="G47" s="84"/>
      <c r="H47" s="89"/>
      <c r="I47" s="69"/>
      <c r="J47" s="69"/>
      <c r="K47" s="69"/>
      <c r="L47" s="90"/>
      <c r="N47" s="89"/>
      <c r="O47" s="90"/>
    </row>
    <row r="48" spans="1:15" ht="15" customHeight="1" x14ac:dyDescent="0.3">
      <c r="B48" s="613" t="s">
        <v>703</v>
      </c>
      <c r="C48" s="116"/>
      <c r="D48" s="116"/>
      <c r="E48" s="116"/>
      <c r="F48" s="117"/>
      <c r="G48" s="84"/>
      <c r="H48" s="92"/>
      <c r="I48" s="105"/>
      <c r="J48" s="105"/>
      <c r="K48" s="105"/>
      <c r="L48" s="93"/>
      <c r="N48" s="92"/>
      <c r="O48" s="93"/>
    </row>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sheetData>
  <mergeCells count="19">
    <mergeCell ref="B27:F27"/>
    <mergeCell ref="H42:L42"/>
    <mergeCell ref="B22:F22"/>
    <mergeCell ref="N27:O27"/>
    <mergeCell ref="H33:L33"/>
    <mergeCell ref="B5:C5"/>
    <mergeCell ref="N5:O5"/>
    <mergeCell ref="B6:C6"/>
    <mergeCell ref="N6:O6"/>
    <mergeCell ref="B8:F8"/>
    <mergeCell ref="H8:L8"/>
    <mergeCell ref="N8:O8"/>
    <mergeCell ref="B3:C3"/>
    <mergeCell ref="N3:O3"/>
    <mergeCell ref="B2:C2"/>
    <mergeCell ref="E2:F2"/>
    <mergeCell ref="H2:I2"/>
    <mergeCell ref="K2:L2"/>
    <mergeCell ref="N2:O2"/>
  </mergeCells>
  <hyperlinks>
    <hyperlink ref="R2" location="Menu!A1" display="Return to menu" xr:uid="{00000000-0004-0000-0500-000000000000}"/>
  </hyperlinks>
  <pageMargins left="0.70866141732283472" right="0.70866141732283472" top="0.74803149606299213" bottom="0.74803149606299213" header="0.31496062992125984" footer="0.31496062992125984"/>
  <pageSetup scale="56" fitToHeight="0" orientation="landscape" horizontalDpi="4294967295" verticalDpi="300"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Q24"/>
  <sheetViews>
    <sheetView topLeftCell="D1" workbookViewId="0">
      <selection activeCell="N1" sqref="N1:Q1"/>
    </sheetView>
  </sheetViews>
  <sheetFormatPr defaultColWidth="8.88671875" defaultRowHeight="13.2" x14ac:dyDescent="0.25"/>
  <cols>
    <col min="1" max="1" width="10" style="553" customWidth="1"/>
    <col min="2" max="2" width="5.109375" style="13" hidden="1" customWidth="1"/>
    <col min="3" max="3" width="8.6640625" style="13" hidden="1" customWidth="1"/>
    <col min="4" max="4" width="61.109375" style="13" customWidth="1"/>
    <col min="5" max="5" width="15.6640625" style="13" customWidth="1"/>
    <col min="6" max="6" width="18.21875" style="13" customWidth="1"/>
    <col min="7" max="7" width="36.21875" style="13" bestFit="1" customWidth="1"/>
    <col min="8" max="8" width="11.44140625" style="13" customWidth="1"/>
    <col min="9" max="9" width="14.44140625" style="13" customWidth="1"/>
    <col min="10" max="10" width="9.88671875" style="13" bestFit="1" customWidth="1"/>
    <col min="11" max="11" width="8.88671875" style="13"/>
    <col min="12" max="12" width="28.21875" style="275" customWidth="1"/>
    <col min="13" max="257" width="8.88671875" style="13"/>
    <col min="258" max="258" width="10" style="13" customWidth="1"/>
    <col min="259" max="260" width="0" style="13" hidden="1" customWidth="1"/>
    <col min="261" max="261" width="61.109375" style="13" customWidth="1"/>
    <col min="262" max="262" width="18.21875" style="13" customWidth="1"/>
    <col min="263" max="263" width="36.21875" style="13" bestFit="1" customWidth="1"/>
    <col min="264" max="264" width="11.44140625" style="13" customWidth="1"/>
    <col min="265" max="265" width="14.44140625" style="13" customWidth="1"/>
    <col min="266" max="266" width="9.88671875" style="13" bestFit="1" customWidth="1"/>
    <col min="267" max="267" width="8.88671875" style="13"/>
    <col min="268" max="268" width="28.21875" style="13" customWidth="1"/>
    <col min="269" max="513" width="8.88671875" style="13"/>
    <col min="514" max="514" width="10" style="13" customWidth="1"/>
    <col min="515" max="516" width="0" style="13" hidden="1" customWidth="1"/>
    <col min="517" max="517" width="61.109375" style="13" customWidth="1"/>
    <col min="518" max="518" width="18.21875" style="13" customWidth="1"/>
    <col min="519" max="519" width="36.21875" style="13" bestFit="1" customWidth="1"/>
    <col min="520" max="520" width="11.44140625" style="13" customWidth="1"/>
    <col min="521" max="521" width="14.44140625" style="13" customWidth="1"/>
    <col min="522" max="522" width="9.88671875" style="13" bestFit="1" customWidth="1"/>
    <col min="523" max="523" width="8.88671875" style="13"/>
    <col min="524" max="524" width="28.21875" style="13" customWidth="1"/>
    <col min="525" max="769" width="8.88671875" style="13"/>
    <col min="770" max="770" width="10" style="13" customWidth="1"/>
    <col min="771" max="772" width="0" style="13" hidden="1" customWidth="1"/>
    <col min="773" max="773" width="61.109375" style="13" customWidth="1"/>
    <col min="774" max="774" width="18.21875" style="13" customWidth="1"/>
    <col min="775" max="775" width="36.21875" style="13" bestFit="1" customWidth="1"/>
    <col min="776" max="776" width="11.44140625" style="13" customWidth="1"/>
    <col min="777" max="777" width="14.44140625" style="13" customWidth="1"/>
    <col min="778" max="778" width="9.88671875" style="13" bestFit="1" customWidth="1"/>
    <col min="779" max="779" width="8.88671875" style="13"/>
    <col min="780" max="780" width="28.21875" style="13" customWidth="1"/>
    <col min="781" max="1025" width="8.88671875" style="13"/>
    <col min="1026" max="1026" width="10" style="13" customWidth="1"/>
    <col min="1027" max="1028" width="0" style="13" hidden="1" customWidth="1"/>
    <col min="1029" max="1029" width="61.109375" style="13" customWidth="1"/>
    <col min="1030" max="1030" width="18.21875" style="13" customWidth="1"/>
    <col min="1031" max="1031" width="36.21875" style="13" bestFit="1" customWidth="1"/>
    <col min="1032" max="1032" width="11.44140625" style="13" customWidth="1"/>
    <col min="1033" max="1033" width="14.44140625" style="13" customWidth="1"/>
    <col min="1034" max="1034" width="9.88671875" style="13" bestFit="1" customWidth="1"/>
    <col min="1035" max="1035" width="8.88671875" style="13"/>
    <col min="1036" max="1036" width="28.21875" style="13" customWidth="1"/>
    <col min="1037" max="1281" width="8.88671875" style="13"/>
    <col min="1282" max="1282" width="10" style="13" customWidth="1"/>
    <col min="1283" max="1284" width="0" style="13" hidden="1" customWidth="1"/>
    <col min="1285" max="1285" width="61.109375" style="13" customWidth="1"/>
    <col min="1286" max="1286" width="18.21875" style="13" customWidth="1"/>
    <col min="1287" max="1287" width="36.21875" style="13" bestFit="1" customWidth="1"/>
    <col min="1288" max="1288" width="11.44140625" style="13" customWidth="1"/>
    <col min="1289" max="1289" width="14.44140625" style="13" customWidth="1"/>
    <col min="1290" max="1290" width="9.88671875" style="13" bestFit="1" customWidth="1"/>
    <col min="1291" max="1291" width="8.88671875" style="13"/>
    <col min="1292" max="1292" width="28.21875" style="13" customWidth="1"/>
    <col min="1293" max="1537" width="8.88671875" style="13"/>
    <col min="1538" max="1538" width="10" style="13" customWidth="1"/>
    <col min="1539" max="1540" width="0" style="13" hidden="1" customWidth="1"/>
    <col min="1541" max="1541" width="61.109375" style="13" customWidth="1"/>
    <col min="1542" max="1542" width="18.21875" style="13" customWidth="1"/>
    <col min="1543" max="1543" width="36.21875" style="13" bestFit="1" customWidth="1"/>
    <col min="1544" max="1544" width="11.44140625" style="13" customWidth="1"/>
    <col min="1545" max="1545" width="14.44140625" style="13" customWidth="1"/>
    <col min="1546" max="1546" width="9.88671875" style="13" bestFit="1" customWidth="1"/>
    <col min="1547" max="1547" width="8.88671875" style="13"/>
    <col min="1548" max="1548" width="28.21875" style="13" customWidth="1"/>
    <col min="1549" max="1793" width="8.88671875" style="13"/>
    <col min="1794" max="1794" width="10" style="13" customWidth="1"/>
    <col min="1795" max="1796" width="0" style="13" hidden="1" customWidth="1"/>
    <col min="1797" max="1797" width="61.109375" style="13" customWidth="1"/>
    <col min="1798" max="1798" width="18.21875" style="13" customWidth="1"/>
    <col min="1799" max="1799" width="36.21875" style="13" bestFit="1" customWidth="1"/>
    <col min="1800" max="1800" width="11.44140625" style="13" customWidth="1"/>
    <col min="1801" max="1801" width="14.44140625" style="13" customWidth="1"/>
    <col min="1802" max="1802" width="9.88671875" style="13" bestFit="1" customWidth="1"/>
    <col min="1803" max="1803" width="8.88671875" style="13"/>
    <col min="1804" max="1804" width="28.21875" style="13" customWidth="1"/>
    <col min="1805" max="2049" width="8.88671875" style="13"/>
    <col min="2050" max="2050" width="10" style="13" customWidth="1"/>
    <col min="2051" max="2052" width="0" style="13" hidden="1" customWidth="1"/>
    <col min="2053" max="2053" width="61.109375" style="13" customWidth="1"/>
    <col min="2054" max="2054" width="18.21875" style="13" customWidth="1"/>
    <col min="2055" max="2055" width="36.21875" style="13" bestFit="1" customWidth="1"/>
    <col min="2056" max="2056" width="11.44140625" style="13" customWidth="1"/>
    <col min="2057" max="2057" width="14.44140625" style="13" customWidth="1"/>
    <col min="2058" max="2058" width="9.88671875" style="13" bestFit="1" customWidth="1"/>
    <col min="2059" max="2059" width="8.88671875" style="13"/>
    <col min="2060" max="2060" width="28.21875" style="13" customWidth="1"/>
    <col min="2061" max="2305" width="8.88671875" style="13"/>
    <col min="2306" max="2306" width="10" style="13" customWidth="1"/>
    <col min="2307" max="2308" width="0" style="13" hidden="1" customWidth="1"/>
    <col min="2309" max="2309" width="61.109375" style="13" customWidth="1"/>
    <col min="2310" max="2310" width="18.21875" style="13" customWidth="1"/>
    <col min="2311" max="2311" width="36.21875" style="13" bestFit="1" customWidth="1"/>
    <col min="2312" max="2312" width="11.44140625" style="13" customWidth="1"/>
    <col min="2313" max="2313" width="14.44140625" style="13" customWidth="1"/>
    <col min="2314" max="2314" width="9.88671875" style="13" bestFit="1" customWidth="1"/>
    <col min="2315" max="2315" width="8.88671875" style="13"/>
    <col min="2316" max="2316" width="28.21875" style="13" customWidth="1"/>
    <col min="2317" max="2561" width="8.88671875" style="13"/>
    <col min="2562" max="2562" width="10" style="13" customWidth="1"/>
    <col min="2563" max="2564" width="0" style="13" hidden="1" customWidth="1"/>
    <col min="2565" max="2565" width="61.109375" style="13" customWidth="1"/>
    <col min="2566" max="2566" width="18.21875" style="13" customWidth="1"/>
    <col min="2567" max="2567" width="36.21875" style="13" bestFit="1" customWidth="1"/>
    <col min="2568" max="2568" width="11.44140625" style="13" customWidth="1"/>
    <col min="2569" max="2569" width="14.44140625" style="13" customWidth="1"/>
    <col min="2570" max="2570" width="9.88671875" style="13" bestFit="1" customWidth="1"/>
    <col min="2571" max="2571" width="8.88671875" style="13"/>
    <col min="2572" max="2572" width="28.21875" style="13" customWidth="1"/>
    <col min="2573" max="2817" width="8.88671875" style="13"/>
    <col min="2818" max="2818" width="10" style="13" customWidth="1"/>
    <col min="2819" max="2820" width="0" style="13" hidden="1" customWidth="1"/>
    <col min="2821" max="2821" width="61.109375" style="13" customWidth="1"/>
    <col min="2822" max="2822" width="18.21875" style="13" customWidth="1"/>
    <col min="2823" max="2823" width="36.21875" style="13" bestFit="1" customWidth="1"/>
    <col min="2824" max="2824" width="11.44140625" style="13" customWidth="1"/>
    <col min="2825" max="2825" width="14.44140625" style="13" customWidth="1"/>
    <col min="2826" max="2826" width="9.88671875" style="13" bestFit="1" customWidth="1"/>
    <col min="2827" max="2827" width="8.88671875" style="13"/>
    <col min="2828" max="2828" width="28.21875" style="13" customWidth="1"/>
    <col min="2829" max="3073" width="8.88671875" style="13"/>
    <col min="3074" max="3074" width="10" style="13" customWidth="1"/>
    <col min="3075" max="3076" width="0" style="13" hidden="1" customWidth="1"/>
    <col min="3077" max="3077" width="61.109375" style="13" customWidth="1"/>
    <col min="3078" max="3078" width="18.21875" style="13" customWidth="1"/>
    <col min="3079" max="3079" width="36.21875" style="13" bestFit="1" customWidth="1"/>
    <col min="3080" max="3080" width="11.44140625" style="13" customWidth="1"/>
    <col min="3081" max="3081" width="14.44140625" style="13" customWidth="1"/>
    <col min="3082" max="3082" width="9.88671875" style="13" bestFit="1" customWidth="1"/>
    <col min="3083" max="3083" width="8.88671875" style="13"/>
    <col min="3084" max="3084" width="28.21875" style="13" customWidth="1"/>
    <col min="3085" max="3329" width="8.88671875" style="13"/>
    <col min="3330" max="3330" width="10" style="13" customWidth="1"/>
    <col min="3331" max="3332" width="0" style="13" hidden="1" customWidth="1"/>
    <col min="3333" max="3333" width="61.109375" style="13" customWidth="1"/>
    <col min="3334" max="3334" width="18.21875" style="13" customWidth="1"/>
    <col min="3335" max="3335" width="36.21875" style="13" bestFit="1" customWidth="1"/>
    <col min="3336" max="3336" width="11.44140625" style="13" customWidth="1"/>
    <col min="3337" max="3337" width="14.44140625" style="13" customWidth="1"/>
    <col min="3338" max="3338" width="9.88671875" style="13" bestFit="1" customWidth="1"/>
    <col min="3339" max="3339" width="8.88671875" style="13"/>
    <col min="3340" max="3340" width="28.21875" style="13" customWidth="1"/>
    <col min="3341" max="3585" width="8.88671875" style="13"/>
    <col min="3586" max="3586" width="10" style="13" customWidth="1"/>
    <col min="3587" max="3588" width="0" style="13" hidden="1" customWidth="1"/>
    <col min="3589" max="3589" width="61.109375" style="13" customWidth="1"/>
    <col min="3590" max="3590" width="18.21875" style="13" customWidth="1"/>
    <col min="3591" max="3591" width="36.21875" style="13" bestFit="1" customWidth="1"/>
    <col min="3592" max="3592" width="11.44140625" style="13" customWidth="1"/>
    <col min="3593" max="3593" width="14.44140625" style="13" customWidth="1"/>
    <col min="3594" max="3594" width="9.88671875" style="13" bestFit="1" customWidth="1"/>
    <col min="3595" max="3595" width="8.88671875" style="13"/>
    <col min="3596" max="3596" width="28.21875" style="13" customWidth="1"/>
    <col min="3597" max="3841" width="8.88671875" style="13"/>
    <col min="3842" max="3842" width="10" style="13" customWidth="1"/>
    <col min="3843" max="3844" width="0" style="13" hidden="1" customWidth="1"/>
    <col min="3845" max="3845" width="61.109375" style="13" customWidth="1"/>
    <col min="3846" max="3846" width="18.21875" style="13" customWidth="1"/>
    <col min="3847" max="3847" width="36.21875" style="13" bestFit="1" customWidth="1"/>
    <col min="3848" max="3848" width="11.44140625" style="13" customWidth="1"/>
    <col min="3849" max="3849" width="14.44140625" style="13" customWidth="1"/>
    <col min="3850" max="3850" width="9.88671875" style="13" bestFit="1" customWidth="1"/>
    <col min="3851" max="3851" width="8.88671875" style="13"/>
    <col min="3852" max="3852" width="28.21875" style="13" customWidth="1"/>
    <col min="3853" max="4097" width="8.88671875" style="13"/>
    <col min="4098" max="4098" width="10" style="13" customWidth="1"/>
    <col min="4099" max="4100" width="0" style="13" hidden="1" customWidth="1"/>
    <col min="4101" max="4101" width="61.109375" style="13" customWidth="1"/>
    <col min="4102" max="4102" width="18.21875" style="13" customWidth="1"/>
    <col min="4103" max="4103" width="36.21875" style="13" bestFit="1" customWidth="1"/>
    <col min="4104" max="4104" width="11.44140625" style="13" customWidth="1"/>
    <col min="4105" max="4105" width="14.44140625" style="13" customWidth="1"/>
    <col min="4106" max="4106" width="9.88671875" style="13" bestFit="1" customWidth="1"/>
    <col min="4107" max="4107" width="8.88671875" style="13"/>
    <col min="4108" max="4108" width="28.21875" style="13" customWidth="1"/>
    <col min="4109" max="4353" width="8.88671875" style="13"/>
    <col min="4354" max="4354" width="10" style="13" customWidth="1"/>
    <col min="4355" max="4356" width="0" style="13" hidden="1" customWidth="1"/>
    <col min="4357" max="4357" width="61.109375" style="13" customWidth="1"/>
    <col min="4358" max="4358" width="18.21875" style="13" customWidth="1"/>
    <col min="4359" max="4359" width="36.21875" style="13" bestFit="1" customWidth="1"/>
    <col min="4360" max="4360" width="11.44140625" style="13" customWidth="1"/>
    <col min="4361" max="4361" width="14.44140625" style="13" customWidth="1"/>
    <col min="4362" max="4362" width="9.88671875" style="13" bestFit="1" customWidth="1"/>
    <col min="4363" max="4363" width="8.88671875" style="13"/>
    <col min="4364" max="4364" width="28.21875" style="13" customWidth="1"/>
    <col min="4365" max="4609" width="8.88671875" style="13"/>
    <col min="4610" max="4610" width="10" style="13" customWidth="1"/>
    <col min="4611" max="4612" width="0" style="13" hidden="1" customWidth="1"/>
    <col min="4613" max="4613" width="61.109375" style="13" customWidth="1"/>
    <col min="4614" max="4614" width="18.21875" style="13" customWidth="1"/>
    <col min="4615" max="4615" width="36.21875" style="13" bestFit="1" customWidth="1"/>
    <col min="4616" max="4616" width="11.44140625" style="13" customWidth="1"/>
    <col min="4617" max="4617" width="14.44140625" style="13" customWidth="1"/>
    <col min="4618" max="4618" width="9.88671875" style="13" bestFit="1" customWidth="1"/>
    <col min="4619" max="4619" width="8.88671875" style="13"/>
    <col min="4620" max="4620" width="28.21875" style="13" customWidth="1"/>
    <col min="4621" max="4865" width="8.88671875" style="13"/>
    <col min="4866" max="4866" width="10" style="13" customWidth="1"/>
    <col min="4867" max="4868" width="0" style="13" hidden="1" customWidth="1"/>
    <col min="4869" max="4869" width="61.109375" style="13" customWidth="1"/>
    <col min="4870" max="4870" width="18.21875" style="13" customWidth="1"/>
    <col min="4871" max="4871" width="36.21875" style="13" bestFit="1" customWidth="1"/>
    <col min="4872" max="4872" width="11.44140625" style="13" customWidth="1"/>
    <col min="4873" max="4873" width="14.44140625" style="13" customWidth="1"/>
    <col min="4874" max="4874" width="9.88671875" style="13" bestFit="1" customWidth="1"/>
    <col min="4875" max="4875" width="8.88671875" style="13"/>
    <col min="4876" max="4876" width="28.21875" style="13" customWidth="1"/>
    <col min="4877" max="5121" width="8.88671875" style="13"/>
    <col min="5122" max="5122" width="10" style="13" customWidth="1"/>
    <col min="5123" max="5124" width="0" style="13" hidden="1" customWidth="1"/>
    <col min="5125" max="5125" width="61.109375" style="13" customWidth="1"/>
    <col min="5126" max="5126" width="18.21875" style="13" customWidth="1"/>
    <col min="5127" max="5127" width="36.21875" style="13" bestFit="1" customWidth="1"/>
    <col min="5128" max="5128" width="11.44140625" style="13" customWidth="1"/>
    <col min="5129" max="5129" width="14.44140625" style="13" customWidth="1"/>
    <col min="5130" max="5130" width="9.88671875" style="13" bestFit="1" customWidth="1"/>
    <col min="5131" max="5131" width="8.88671875" style="13"/>
    <col min="5132" max="5132" width="28.21875" style="13" customWidth="1"/>
    <col min="5133" max="5377" width="8.88671875" style="13"/>
    <col min="5378" max="5378" width="10" style="13" customWidth="1"/>
    <col min="5379" max="5380" width="0" style="13" hidden="1" customWidth="1"/>
    <col min="5381" max="5381" width="61.109375" style="13" customWidth="1"/>
    <col min="5382" max="5382" width="18.21875" style="13" customWidth="1"/>
    <col min="5383" max="5383" width="36.21875" style="13" bestFit="1" customWidth="1"/>
    <col min="5384" max="5384" width="11.44140625" style="13" customWidth="1"/>
    <col min="5385" max="5385" width="14.44140625" style="13" customWidth="1"/>
    <col min="5386" max="5386" width="9.88671875" style="13" bestFit="1" customWidth="1"/>
    <col min="5387" max="5387" width="8.88671875" style="13"/>
    <col min="5388" max="5388" width="28.21875" style="13" customWidth="1"/>
    <col min="5389" max="5633" width="8.88671875" style="13"/>
    <col min="5634" max="5634" width="10" style="13" customWidth="1"/>
    <col min="5635" max="5636" width="0" style="13" hidden="1" customWidth="1"/>
    <col min="5637" max="5637" width="61.109375" style="13" customWidth="1"/>
    <col min="5638" max="5638" width="18.21875" style="13" customWidth="1"/>
    <col min="5639" max="5639" width="36.21875" style="13" bestFit="1" customWidth="1"/>
    <col min="5640" max="5640" width="11.44140625" style="13" customWidth="1"/>
    <col min="5641" max="5641" width="14.44140625" style="13" customWidth="1"/>
    <col min="5642" max="5642" width="9.88671875" style="13" bestFit="1" customWidth="1"/>
    <col min="5643" max="5643" width="8.88671875" style="13"/>
    <col min="5644" max="5644" width="28.21875" style="13" customWidth="1"/>
    <col min="5645" max="5889" width="8.88671875" style="13"/>
    <col min="5890" max="5890" width="10" style="13" customWidth="1"/>
    <col min="5891" max="5892" width="0" style="13" hidden="1" customWidth="1"/>
    <col min="5893" max="5893" width="61.109375" style="13" customWidth="1"/>
    <col min="5894" max="5894" width="18.21875" style="13" customWidth="1"/>
    <col min="5895" max="5895" width="36.21875" style="13" bestFit="1" customWidth="1"/>
    <col min="5896" max="5896" width="11.44140625" style="13" customWidth="1"/>
    <col min="5897" max="5897" width="14.44140625" style="13" customWidth="1"/>
    <col min="5898" max="5898" width="9.88671875" style="13" bestFit="1" customWidth="1"/>
    <col min="5899" max="5899" width="8.88671875" style="13"/>
    <col min="5900" max="5900" width="28.21875" style="13" customWidth="1"/>
    <col min="5901" max="6145" width="8.88671875" style="13"/>
    <col min="6146" max="6146" width="10" style="13" customWidth="1"/>
    <col min="6147" max="6148" width="0" style="13" hidden="1" customWidth="1"/>
    <col min="6149" max="6149" width="61.109375" style="13" customWidth="1"/>
    <col min="6150" max="6150" width="18.21875" style="13" customWidth="1"/>
    <col min="6151" max="6151" width="36.21875" style="13" bestFit="1" customWidth="1"/>
    <col min="6152" max="6152" width="11.44140625" style="13" customWidth="1"/>
    <col min="6153" max="6153" width="14.44140625" style="13" customWidth="1"/>
    <col min="6154" max="6154" width="9.88671875" style="13" bestFit="1" customWidth="1"/>
    <col min="6155" max="6155" width="8.88671875" style="13"/>
    <col min="6156" max="6156" width="28.21875" style="13" customWidth="1"/>
    <col min="6157" max="6401" width="8.88671875" style="13"/>
    <col min="6402" max="6402" width="10" style="13" customWidth="1"/>
    <col min="6403" max="6404" width="0" style="13" hidden="1" customWidth="1"/>
    <col min="6405" max="6405" width="61.109375" style="13" customWidth="1"/>
    <col min="6406" max="6406" width="18.21875" style="13" customWidth="1"/>
    <col min="6407" max="6407" width="36.21875" style="13" bestFit="1" customWidth="1"/>
    <col min="6408" max="6408" width="11.44140625" style="13" customWidth="1"/>
    <col min="6409" max="6409" width="14.44140625" style="13" customWidth="1"/>
    <col min="6410" max="6410" width="9.88671875" style="13" bestFit="1" customWidth="1"/>
    <col min="6411" max="6411" width="8.88671875" style="13"/>
    <col min="6412" max="6412" width="28.21875" style="13" customWidth="1"/>
    <col min="6413" max="6657" width="8.88671875" style="13"/>
    <col min="6658" max="6658" width="10" style="13" customWidth="1"/>
    <col min="6659" max="6660" width="0" style="13" hidden="1" customWidth="1"/>
    <col min="6661" max="6661" width="61.109375" style="13" customWidth="1"/>
    <col min="6662" max="6662" width="18.21875" style="13" customWidth="1"/>
    <col min="6663" max="6663" width="36.21875" style="13" bestFit="1" customWidth="1"/>
    <col min="6664" max="6664" width="11.44140625" style="13" customWidth="1"/>
    <col min="6665" max="6665" width="14.44140625" style="13" customWidth="1"/>
    <col min="6666" max="6666" width="9.88671875" style="13" bestFit="1" customWidth="1"/>
    <col min="6667" max="6667" width="8.88671875" style="13"/>
    <col min="6668" max="6668" width="28.21875" style="13" customWidth="1"/>
    <col min="6669" max="6913" width="8.88671875" style="13"/>
    <col min="6914" max="6914" width="10" style="13" customWidth="1"/>
    <col min="6915" max="6916" width="0" style="13" hidden="1" customWidth="1"/>
    <col min="6917" max="6917" width="61.109375" style="13" customWidth="1"/>
    <col min="6918" max="6918" width="18.21875" style="13" customWidth="1"/>
    <col min="6919" max="6919" width="36.21875" style="13" bestFit="1" customWidth="1"/>
    <col min="6920" max="6920" width="11.44140625" style="13" customWidth="1"/>
    <col min="6921" max="6921" width="14.44140625" style="13" customWidth="1"/>
    <col min="6922" max="6922" width="9.88671875" style="13" bestFit="1" customWidth="1"/>
    <col min="6923" max="6923" width="8.88671875" style="13"/>
    <col min="6924" max="6924" width="28.21875" style="13" customWidth="1"/>
    <col min="6925" max="7169" width="8.88671875" style="13"/>
    <col min="7170" max="7170" width="10" style="13" customWidth="1"/>
    <col min="7171" max="7172" width="0" style="13" hidden="1" customWidth="1"/>
    <col min="7173" max="7173" width="61.109375" style="13" customWidth="1"/>
    <col min="7174" max="7174" width="18.21875" style="13" customWidth="1"/>
    <col min="7175" max="7175" width="36.21875" style="13" bestFit="1" customWidth="1"/>
    <col min="7176" max="7176" width="11.44140625" style="13" customWidth="1"/>
    <col min="7177" max="7177" width="14.44140625" style="13" customWidth="1"/>
    <col min="7178" max="7178" width="9.88671875" style="13" bestFit="1" customWidth="1"/>
    <col min="7179" max="7179" width="8.88671875" style="13"/>
    <col min="7180" max="7180" width="28.21875" style="13" customWidth="1"/>
    <col min="7181" max="7425" width="8.88671875" style="13"/>
    <col min="7426" max="7426" width="10" style="13" customWidth="1"/>
    <col min="7427" max="7428" width="0" style="13" hidden="1" customWidth="1"/>
    <col min="7429" max="7429" width="61.109375" style="13" customWidth="1"/>
    <col min="7430" max="7430" width="18.21875" style="13" customWidth="1"/>
    <col min="7431" max="7431" width="36.21875" style="13" bestFit="1" customWidth="1"/>
    <col min="7432" max="7432" width="11.44140625" style="13" customWidth="1"/>
    <col min="7433" max="7433" width="14.44140625" style="13" customWidth="1"/>
    <col min="7434" max="7434" width="9.88671875" style="13" bestFit="1" customWidth="1"/>
    <col min="7435" max="7435" width="8.88671875" style="13"/>
    <col min="7436" max="7436" width="28.21875" style="13" customWidth="1"/>
    <col min="7437" max="7681" width="8.88671875" style="13"/>
    <col min="7682" max="7682" width="10" style="13" customWidth="1"/>
    <col min="7683" max="7684" width="0" style="13" hidden="1" customWidth="1"/>
    <col min="7685" max="7685" width="61.109375" style="13" customWidth="1"/>
    <col min="7686" max="7686" width="18.21875" style="13" customWidth="1"/>
    <col min="7687" max="7687" width="36.21875" style="13" bestFit="1" customWidth="1"/>
    <col min="7688" max="7688" width="11.44140625" style="13" customWidth="1"/>
    <col min="7689" max="7689" width="14.44140625" style="13" customWidth="1"/>
    <col min="7690" max="7690" width="9.88671875" style="13" bestFit="1" customWidth="1"/>
    <col min="7691" max="7691" width="8.88671875" style="13"/>
    <col min="7692" max="7692" width="28.21875" style="13" customWidth="1"/>
    <col min="7693" max="7937" width="8.88671875" style="13"/>
    <col min="7938" max="7938" width="10" style="13" customWidth="1"/>
    <col min="7939" max="7940" width="0" style="13" hidden="1" customWidth="1"/>
    <col min="7941" max="7941" width="61.109375" style="13" customWidth="1"/>
    <col min="7942" max="7942" width="18.21875" style="13" customWidth="1"/>
    <col min="7943" max="7943" width="36.21875" style="13" bestFit="1" customWidth="1"/>
    <col min="7944" max="7944" width="11.44140625" style="13" customWidth="1"/>
    <col min="7945" max="7945" width="14.44140625" style="13" customWidth="1"/>
    <col min="7946" max="7946" width="9.88671875" style="13" bestFit="1" customWidth="1"/>
    <col min="7947" max="7947" width="8.88671875" style="13"/>
    <col min="7948" max="7948" width="28.21875" style="13" customWidth="1"/>
    <col min="7949" max="8193" width="8.88671875" style="13"/>
    <col min="8194" max="8194" width="10" style="13" customWidth="1"/>
    <col min="8195" max="8196" width="0" style="13" hidden="1" customWidth="1"/>
    <col min="8197" max="8197" width="61.109375" style="13" customWidth="1"/>
    <col min="8198" max="8198" width="18.21875" style="13" customWidth="1"/>
    <col min="8199" max="8199" width="36.21875" style="13" bestFit="1" customWidth="1"/>
    <col min="8200" max="8200" width="11.44140625" style="13" customWidth="1"/>
    <col min="8201" max="8201" width="14.44140625" style="13" customWidth="1"/>
    <col min="8202" max="8202" width="9.88671875" style="13" bestFit="1" customWidth="1"/>
    <col min="8203" max="8203" width="8.88671875" style="13"/>
    <col min="8204" max="8204" width="28.21875" style="13" customWidth="1"/>
    <col min="8205" max="8449" width="8.88671875" style="13"/>
    <col min="8450" max="8450" width="10" style="13" customWidth="1"/>
    <col min="8451" max="8452" width="0" style="13" hidden="1" customWidth="1"/>
    <col min="8453" max="8453" width="61.109375" style="13" customWidth="1"/>
    <col min="8454" max="8454" width="18.21875" style="13" customWidth="1"/>
    <col min="8455" max="8455" width="36.21875" style="13" bestFit="1" customWidth="1"/>
    <col min="8456" max="8456" width="11.44140625" style="13" customWidth="1"/>
    <col min="8457" max="8457" width="14.44140625" style="13" customWidth="1"/>
    <col min="8458" max="8458" width="9.88671875" style="13" bestFit="1" customWidth="1"/>
    <col min="8459" max="8459" width="8.88671875" style="13"/>
    <col min="8460" max="8460" width="28.21875" style="13" customWidth="1"/>
    <col min="8461" max="8705" width="8.88671875" style="13"/>
    <col min="8706" max="8706" width="10" style="13" customWidth="1"/>
    <col min="8707" max="8708" width="0" style="13" hidden="1" customWidth="1"/>
    <col min="8709" max="8709" width="61.109375" style="13" customWidth="1"/>
    <col min="8710" max="8710" width="18.21875" style="13" customWidth="1"/>
    <col min="8711" max="8711" width="36.21875" style="13" bestFit="1" customWidth="1"/>
    <col min="8712" max="8712" width="11.44140625" style="13" customWidth="1"/>
    <col min="8713" max="8713" width="14.44140625" style="13" customWidth="1"/>
    <col min="8714" max="8714" width="9.88671875" style="13" bestFit="1" customWidth="1"/>
    <col min="8715" max="8715" width="8.88671875" style="13"/>
    <col min="8716" max="8716" width="28.21875" style="13" customWidth="1"/>
    <col min="8717" max="8961" width="8.88671875" style="13"/>
    <col min="8962" max="8962" width="10" style="13" customWidth="1"/>
    <col min="8963" max="8964" width="0" style="13" hidden="1" customWidth="1"/>
    <col min="8965" max="8965" width="61.109375" style="13" customWidth="1"/>
    <col min="8966" max="8966" width="18.21875" style="13" customWidth="1"/>
    <col min="8967" max="8967" width="36.21875" style="13" bestFit="1" customWidth="1"/>
    <col min="8968" max="8968" width="11.44140625" style="13" customWidth="1"/>
    <col min="8969" max="8969" width="14.44140625" style="13" customWidth="1"/>
    <col min="8970" max="8970" width="9.88671875" style="13" bestFit="1" customWidth="1"/>
    <col min="8971" max="8971" width="8.88671875" style="13"/>
    <col min="8972" max="8972" width="28.21875" style="13" customWidth="1"/>
    <col min="8973" max="9217" width="8.88671875" style="13"/>
    <col min="9218" max="9218" width="10" style="13" customWidth="1"/>
    <col min="9219" max="9220" width="0" style="13" hidden="1" customWidth="1"/>
    <col min="9221" max="9221" width="61.109375" style="13" customWidth="1"/>
    <col min="9222" max="9222" width="18.21875" style="13" customWidth="1"/>
    <col min="9223" max="9223" width="36.21875" style="13" bestFit="1" customWidth="1"/>
    <col min="9224" max="9224" width="11.44140625" style="13" customWidth="1"/>
    <col min="9225" max="9225" width="14.44140625" style="13" customWidth="1"/>
    <col min="9226" max="9226" width="9.88671875" style="13" bestFit="1" customWidth="1"/>
    <col min="9227" max="9227" width="8.88671875" style="13"/>
    <col min="9228" max="9228" width="28.21875" style="13" customWidth="1"/>
    <col min="9229" max="9473" width="8.88671875" style="13"/>
    <col min="9474" max="9474" width="10" style="13" customWidth="1"/>
    <col min="9475" max="9476" width="0" style="13" hidden="1" customWidth="1"/>
    <col min="9477" max="9477" width="61.109375" style="13" customWidth="1"/>
    <col min="9478" max="9478" width="18.21875" style="13" customWidth="1"/>
    <col min="9479" max="9479" width="36.21875" style="13" bestFit="1" customWidth="1"/>
    <col min="9480" max="9480" width="11.44140625" style="13" customWidth="1"/>
    <col min="9481" max="9481" width="14.44140625" style="13" customWidth="1"/>
    <col min="9482" max="9482" width="9.88671875" style="13" bestFit="1" customWidth="1"/>
    <col min="9483" max="9483" width="8.88671875" style="13"/>
    <col min="9484" max="9484" width="28.21875" style="13" customWidth="1"/>
    <col min="9485" max="9729" width="8.88671875" style="13"/>
    <col min="9730" max="9730" width="10" style="13" customWidth="1"/>
    <col min="9731" max="9732" width="0" style="13" hidden="1" customWidth="1"/>
    <col min="9733" max="9733" width="61.109375" style="13" customWidth="1"/>
    <col min="9734" max="9734" width="18.21875" style="13" customWidth="1"/>
    <col min="9735" max="9735" width="36.21875" style="13" bestFit="1" customWidth="1"/>
    <col min="9736" max="9736" width="11.44140625" style="13" customWidth="1"/>
    <col min="9737" max="9737" width="14.44140625" style="13" customWidth="1"/>
    <col min="9738" max="9738" width="9.88671875" style="13" bestFit="1" customWidth="1"/>
    <col min="9739" max="9739" width="8.88671875" style="13"/>
    <col min="9740" max="9740" width="28.21875" style="13" customWidth="1"/>
    <col min="9741" max="9985" width="8.88671875" style="13"/>
    <col min="9986" max="9986" width="10" style="13" customWidth="1"/>
    <col min="9987" max="9988" width="0" style="13" hidden="1" customWidth="1"/>
    <col min="9989" max="9989" width="61.109375" style="13" customWidth="1"/>
    <col min="9990" max="9990" width="18.21875" style="13" customWidth="1"/>
    <col min="9991" max="9991" width="36.21875" style="13" bestFit="1" customWidth="1"/>
    <col min="9992" max="9992" width="11.44140625" style="13" customWidth="1"/>
    <col min="9993" max="9993" width="14.44140625" style="13" customWidth="1"/>
    <col min="9994" max="9994" width="9.88671875" style="13" bestFit="1" customWidth="1"/>
    <col min="9995" max="9995" width="8.88671875" style="13"/>
    <col min="9996" max="9996" width="28.21875" style="13" customWidth="1"/>
    <col min="9997" max="10241" width="8.88671875" style="13"/>
    <col min="10242" max="10242" width="10" style="13" customWidth="1"/>
    <col min="10243" max="10244" width="0" style="13" hidden="1" customWidth="1"/>
    <col min="10245" max="10245" width="61.109375" style="13" customWidth="1"/>
    <col min="10246" max="10246" width="18.21875" style="13" customWidth="1"/>
    <col min="10247" max="10247" width="36.21875" style="13" bestFit="1" customWidth="1"/>
    <col min="10248" max="10248" width="11.44140625" style="13" customWidth="1"/>
    <col min="10249" max="10249" width="14.44140625" style="13" customWidth="1"/>
    <col min="10250" max="10250" width="9.88671875" style="13" bestFit="1" customWidth="1"/>
    <col min="10251" max="10251" width="8.88671875" style="13"/>
    <col min="10252" max="10252" width="28.21875" style="13" customWidth="1"/>
    <col min="10253" max="10497" width="8.88671875" style="13"/>
    <col min="10498" max="10498" width="10" style="13" customWidth="1"/>
    <col min="10499" max="10500" width="0" style="13" hidden="1" customWidth="1"/>
    <col min="10501" max="10501" width="61.109375" style="13" customWidth="1"/>
    <col min="10502" max="10502" width="18.21875" style="13" customWidth="1"/>
    <col min="10503" max="10503" width="36.21875" style="13" bestFit="1" customWidth="1"/>
    <col min="10504" max="10504" width="11.44140625" style="13" customWidth="1"/>
    <col min="10505" max="10505" width="14.44140625" style="13" customWidth="1"/>
    <col min="10506" max="10506" width="9.88671875" style="13" bestFit="1" customWidth="1"/>
    <col min="10507" max="10507" width="8.88671875" style="13"/>
    <col min="10508" max="10508" width="28.21875" style="13" customWidth="1"/>
    <col min="10509" max="10753" width="8.88671875" style="13"/>
    <col min="10754" max="10754" width="10" style="13" customWidth="1"/>
    <col min="10755" max="10756" width="0" style="13" hidden="1" customWidth="1"/>
    <col min="10757" max="10757" width="61.109375" style="13" customWidth="1"/>
    <col min="10758" max="10758" width="18.21875" style="13" customWidth="1"/>
    <col min="10759" max="10759" width="36.21875" style="13" bestFit="1" customWidth="1"/>
    <col min="10760" max="10760" width="11.44140625" style="13" customWidth="1"/>
    <col min="10761" max="10761" width="14.44140625" style="13" customWidth="1"/>
    <col min="10762" max="10762" width="9.88671875" style="13" bestFit="1" customWidth="1"/>
    <col min="10763" max="10763" width="8.88671875" style="13"/>
    <col min="10764" max="10764" width="28.21875" style="13" customWidth="1"/>
    <col min="10765" max="11009" width="8.88671875" style="13"/>
    <col min="11010" max="11010" width="10" style="13" customWidth="1"/>
    <col min="11011" max="11012" width="0" style="13" hidden="1" customWidth="1"/>
    <col min="11013" max="11013" width="61.109375" style="13" customWidth="1"/>
    <col min="11014" max="11014" width="18.21875" style="13" customWidth="1"/>
    <col min="11015" max="11015" width="36.21875" style="13" bestFit="1" customWidth="1"/>
    <col min="11016" max="11016" width="11.44140625" style="13" customWidth="1"/>
    <col min="11017" max="11017" width="14.44140625" style="13" customWidth="1"/>
    <col min="11018" max="11018" width="9.88671875" style="13" bestFit="1" customWidth="1"/>
    <col min="11019" max="11019" width="8.88671875" style="13"/>
    <col min="11020" max="11020" width="28.21875" style="13" customWidth="1"/>
    <col min="11021" max="11265" width="8.88671875" style="13"/>
    <col min="11266" max="11266" width="10" style="13" customWidth="1"/>
    <col min="11267" max="11268" width="0" style="13" hidden="1" customWidth="1"/>
    <col min="11269" max="11269" width="61.109375" style="13" customWidth="1"/>
    <col min="11270" max="11270" width="18.21875" style="13" customWidth="1"/>
    <col min="11271" max="11271" width="36.21875" style="13" bestFit="1" customWidth="1"/>
    <col min="11272" max="11272" width="11.44140625" style="13" customWidth="1"/>
    <col min="11273" max="11273" width="14.44140625" style="13" customWidth="1"/>
    <col min="11274" max="11274" width="9.88671875" style="13" bestFit="1" customWidth="1"/>
    <col min="11275" max="11275" width="8.88671875" style="13"/>
    <col min="11276" max="11276" width="28.21875" style="13" customWidth="1"/>
    <col min="11277" max="11521" width="8.88671875" style="13"/>
    <col min="11522" max="11522" width="10" style="13" customWidth="1"/>
    <col min="11523" max="11524" width="0" style="13" hidden="1" customWidth="1"/>
    <col min="11525" max="11525" width="61.109375" style="13" customWidth="1"/>
    <col min="11526" max="11526" width="18.21875" style="13" customWidth="1"/>
    <col min="11527" max="11527" width="36.21875" style="13" bestFit="1" customWidth="1"/>
    <col min="11528" max="11528" width="11.44140625" style="13" customWidth="1"/>
    <col min="11529" max="11529" width="14.44140625" style="13" customWidth="1"/>
    <col min="11530" max="11530" width="9.88671875" style="13" bestFit="1" customWidth="1"/>
    <col min="11531" max="11531" width="8.88671875" style="13"/>
    <col min="11532" max="11532" width="28.21875" style="13" customWidth="1"/>
    <col min="11533" max="11777" width="8.88671875" style="13"/>
    <col min="11778" max="11778" width="10" style="13" customWidth="1"/>
    <col min="11779" max="11780" width="0" style="13" hidden="1" customWidth="1"/>
    <col min="11781" max="11781" width="61.109375" style="13" customWidth="1"/>
    <col min="11782" max="11782" width="18.21875" style="13" customWidth="1"/>
    <col min="11783" max="11783" width="36.21875" style="13" bestFit="1" customWidth="1"/>
    <col min="11784" max="11784" width="11.44140625" style="13" customWidth="1"/>
    <col min="11785" max="11785" width="14.44140625" style="13" customWidth="1"/>
    <col min="11786" max="11786" width="9.88671875" style="13" bestFit="1" customWidth="1"/>
    <col min="11787" max="11787" width="8.88671875" style="13"/>
    <col min="11788" max="11788" width="28.21875" style="13" customWidth="1"/>
    <col min="11789" max="12033" width="8.88671875" style="13"/>
    <col min="12034" max="12034" width="10" style="13" customWidth="1"/>
    <col min="12035" max="12036" width="0" style="13" hidden="1" customWidth="1"/>
    <col min="12037" max="12037" width="61.109375" style="13" customWidth="1"/>
    <col min="12038" max="12038" width="18.21875" style="13" customWidth="1"/>
    <col min="12039" max="12039" width="36.21875" style="13" bestFit="1" customWidth="1"/>
    <col min="12040" max="12040" width="11.44140625" style="13" customWidth="1"/>
    <col min="12041" max="12041" width="14.44140625" style="13" customWidth="1"/>
    <col min="12042" max="12042" width="9.88671875" style="13" bestFit="1" customWidth="1"/>
    <col min="12043" max="12043" width="8.88671875" style="13"/>
    <col min="12044" max="12044" width="28.21875" style="13" customWidth="1"/>
    <col min="12045" max="12289" width="8.88671875" style="13"/>
    <col min="12290" max="12290" width="10" style="13" customWidth="1"/>
    <col min="12291" max="12292" width="0" style="13" hidden="1" customWidth="1"/>
    <col min="12293" max="12293" width="61.109375" style="13" customWidth="1"/>
    <col min="12294" max="12294" width="18.21875" style="13" customWidth="1"/>
    <col min="12295" max="12295" width="36.21875" style="13" bestFit="1" customWidth="1"/>
    <col min="12296" max="12296" width="11.44140625" style="13" customWidth="1"/>
    <col min="12297" max="12297" width="14.44140625" style="13" customWidth="1"/>
    <col min="12298" max="12298" width="9.88671875" style="13" bestFit="1" customWidth="1"/>
    <col min="12299" max="12299" width="8.88671875" style="13"/>
    <col min="12300" max="12300" width="28.21875" style="13" customWidth="1"/>
    <col min="12301" max="12545" width="8.88671875" style="13"/>
    <col min="12546" max="12546" width="10" style="13" customWidth="1"/>
    <col min="12547" max="12548" width="0" style="13" hidden="1" customWidth="1"/>
    <col min="12549" max="12549" width="61.109375" style="13" customWidth="1"/>
    <col min="12550" max="12550" width="18.21875" style="13" customWidth="1"/>
    <col min="12551" max="12551" width="36.21875" style="13" bestFit="1" customWidth="1"/>
    <col min="12552" max="12552" width="11.44140625" style="13" customWidth="1"/>
    <col min="12553" max="12553" width="14.44140625" style="13" customWidth="1"/>
    <col min="12554" max="12554" width="9.88671875" style="13" bestFit="1" customWidth="1"/>
    <col min="12555" max="12555" width="8.88671875" style="13"/>
    <col min="12556" max="12556" width="28.21875" style="13" customWidth="1"/>
    <col min="12557" max="12801" width="8.88671875" style="13"/>
    <col min="12802" max="12802" width="10" style="13" customWidth="1"/>
    <col min="12803" max="12804" width="0" style="13" hidden="1" customWidth="1"/>
    <col min="12805" max="12805" width="61.109375" style="13" customWidth="1"/>
    <col min="12806" max="12806" width="18.21875" style="13" customWidth="1"/>
    <col min="12807" max="12807" width="36.21875" style="13" bestFit="1" customWidth="1"/>
    <col min="12808" max="12808" width="11.44140625" style="13" customWidth="1"/>
    <col min="12809" max="12809" width="14.44140625" style="13" customWidth="1"/>
    <col min="12810" max="12810" width="9.88671875" style="13" bestFit="1" customWidth="1"/>
    <col min="12811" max="12811" width="8.88671875" style="13"/>
    <col min="12812" max="12812" width="28.21875" style="13" customWidth="1"/>
    <col min="12813" max="13057" width="8.88671875" style="13"/>
    <col min="13058" max="13058" width="10" style="13" customWidth="1"/>
    <col min="13059" max="13060" width="0" style="13" hidden="1" customWidth="1"/>
    <col min="13061" max="13061" width="61.109375" style="13" customWidth="1"/>
    <col min="13062" max="13062" width="18.21875" style="13" customWidth="1"/>
    <col min="13063" max="13063" width="36.21875" style="13" bestFit="1" customWidth="1"/>
    <col min="13064" max="13064" width="11.44140625" style="13" customWidth="1"/>
    <col min="13065" max="13065" width="14.44140625" style="13" customWidth="1"/>
    <col min="13066" max="13066" width="9.88671875" style="13" bestFit="1" customWidth="1"/>
    <col min="13067" max="13067" width="8.88671875" style="13"/>
    <col min="13068" max="13068" width="28.21875" style="13" customWidth="1"/>
    <col min="13069" max="13313" width="8.88671875" style="13"/>
    <col min="13314" max="13314" width="10" style="13" customWidth="1"/>
    <col min="13315" max="13316" width="0" style="13" hidden="1" customWidth="1"/>
    <col min="13317" max="13317" width="61.109375" style="13" customWidth="1"/>
    <col min="13318" max="13318" width="18.21875" style="13" customWidth="1"/>
    <col min="13319" max="13319" width="36.21875" style="13" bestFit="1" customWidth="1"/>
    <col min="13320" max="13320" width="11.44140625" style="13" customWidth="1"/>
    <col min="13321" max="13321" width="14.44140625" style="13" customWidth="1"/>
    <col min="13322" max="13322" width="9.88671875" style="13" bestFit="1" customWidth="1"/>
    <col min="13323" max="13323" width="8.88671875" style="13"/>
    <col min="13324" max="13324" width="28.21875" style="13" customWidth="1"/>
    <col min="13325" max="13569" width="8.88671875" style="13"/>
    <col min="13570" max="13570" width="10" style="13" customWidth="1"/>
    <col min="13571" max="13572" width="0" style="13" hidden="1" customWidth="1"/>
    <col min="13573" max="13573" width="61.109375" style="13" customWidth="1"/>
    <col min="13574" max="13574" width="18.21875" style="13" customWidth="1"/>
    <col min="13575" max="13575" width="36.21875" style="13" bestFit="1" customWidth="1"/>
    <col min="13576" max="13576" width="11.44140625" style="13" customWidth="1"/>
    <col min="13577" max="13577" width="14.44140625" style="13" customWidth="1"/>
    <col min="13578" max="13578" width="9.88671875" style="13" bestFit="1" customWidth="1"/>
    <col min="13579" max="13579" width="8.88671875" style="13"/>
    <col min="13580" max="13580" width="28.21875" style="13" customWidth="1"/>
    <col min="13581" max="13825" width="8.88671875" style="13"/>
    <col min="13826" max="13826" width="10" style="13" customWidth="1"/>
    <col min="13827" max="13828" width="0" style="13" hidden="1" customWidth="1"/>
    <col min="13829" max="13829" width="61.109375" style="13" customWidth="1"/>
    <col min="13830" max="13830" width="18.21875" style="13" customWidth="1"/>
    <col min="13831" max="13831" width="36.21875" style="13" bestFit="1" customWidth="1"/>
    <col min="13832" max="13832" width="11.44140625" style="13" customWidth="1"/>
    <col min="13833" max="13833" width="14.44140625" style="13" customWidth="1"/>
    <col min="13834" max="13834" width="9.88671875" style="13" bestFit="1" customWidth="1"/>
    <col min="13835" max="13835" width="8.88671875" style="13"/>
    <col min="13836" max="13836" width="28.21875" style="13" customWidth="1"/>
    <col min="13837" max="14081" width="8.88671875" style="13"/>
    <col min="14082" max="14082" width="10" style="13" customWidth="1"/>
    <col min="14083" max="14084" width="0" style="13" hidden="1" customWidth="1"/>
    <col min="14085" max="14085" width="61.109375" style="13" customWidth="1"/>
    <col min="14086" max="14086" width="18.21875" style="13" customWidth="1"/>
    <col min="14087" max="14087" width="36.21875" style="13" bestFit="1" customWidth="1"/>
    <col min="14088" max="14088" width="11.44140625" style="13" customWidth="1"/>
    <col min="14089" max="14089" width="14.44140625" style="13" customWidth="1"/>
    <col min="14090" max="14090" width="9.88671875" style="13" bestFit="1" customWidth="1"/>
    <col min="14091" max="14091" width="8.88671875" style="13"/>
    <col min="14092" max="14092" width="28.21875" style="13" customWidth="1"/>
    <col min="14093" max="14337" width="8.88671875" style="13"/>
    <col min="14338" max="14338" width="10" style="13" customWidth="1"/>
    <col min="14339" max="14340" width="0" style="13" hidden="1" customWidth="1"/>
    <col min="14341" max="14341" width="61.109375" style="13" customWidth="1"/>
    <col min="14342" max="14342" width="18.21875" style="13" customWidth="1"/>
    <col min="14343" max="14343" width="36.21875" style="13" bestFit="1" customWidth="1"/>
    <col min="14344" max="14344" width="11.44140625" style="13" customWidth="1"/>
    <col min="14345" max="14345" width="14.44140625" style="13" customWidth="1"/>
    <col min="14346" max="14346" width="9.88671875" style="13" bestFit="1" customWidth="1"/>
    <col min="14347" max="14347" width="8.88671875" style="13"/>
    <col min="14348" max="14348" width="28.21875" style="13" customWidth="1"/>
    <col min="14349" max="14593" width="8.88671875" style="13"/>
    <col min="14594" max="14594" width="10" style="13" customWidth="1"/>
    <col min="14595" max="14596" width="0" style="13" hidden="1" customWidth="1"/>
    <col min="14597" max="14597" width="61.109375" style="13" customWidth="1"/>
    <col min="14598" max="14598" width="18.21875" style="13" customWidth="1"/>
    <col min="14599" max="14599" width="36.21875" style="13" bestFit="1" customWidth="1"/>
    <col min="14600" max="14600" width="11.44140625" style="13" customWidth="1"/>
    <col min="14601" max="14601" width="14.44140625" style="13" customWidth="1"/>
    <col min="14602" max="14602" width="9.88671875" style="13" bestFit="1" customWidth="1"/>
    <col min="14603" max="14603" width="8.88671875" style="13"/>
    <col min="14604" max="14604" width="28.21875" style="13" customWidth="1"/>
    <col min="14605" max="14849" width="8.88671875" style="13"/>
    <col min="14850" max="14850" width="10" style="13" customWidth="1"/>
    <col min="14851" max="14852" width="0" style="13" hidden="1" customWidth="1"/>
    <col min="14853" max="14853" width="61.109375" style="13" customWidth="1"/>
    <col min="14854" max="14854" width="18.21875" style="13" customWidth="1"/>
    <col min="14855" max="14855" width="36.21875" style="13" bestFit="1" customWidth="1"/>
    <col min="14856" max="14856" width="11.44140625" style="13" customWidth="1"/>
    <col min="14857" max="14857" width="14.44140625" style="13" customWidth="1"/>
    <col min="14858" max="14858" width="9.88671875" style="13" bestFit="1" customWidth="1"/>
    <col min="14859" max="14859" width="8.88671875" style="13"/>
    <col min="14860" max="14860" width="28.21875" style="13" customWidth="1"/>
    <col min="14861" max="15105" width="8.88671875" style="13"/>
    <col min="15106" max="15106" width="10" style="13" customWidth="1"/>
    <col min="15107" max="15108" width="0" style="13" hidden="1" customWidth="1"/>
    <col min="15109" max="15109" width="61.109375" style="13" customWidth="1"/>
    <col min="15110" max="15110" width="18.21875" style="13" customWidth="1"/>
    <col min="15111" max="15111" width="36.21875" style="13" bestFit="1" customWidth="1"/>
    <col min="15112" max="15112" width="11.44140625" style="13" customWidth="1"/>
    <col min="15113" max="15113" width="14.44140625" style="13" customWidth="1"/>
    <col min="15114" max="15114" width="9.88671875" style="13" bestFit="1" customWidth="1"/>
    <col min="15115" max="15115" width="8.88671875" style="13"/>
    <col min="15116" max="15116" width="28.21875" style="13" customWidth="1"/>
    <col min="15117" max="15361" width="8.88671875" style="13"/>
    <col min="15362" max="15362" width="10" style="13" customWidth="1"/>
    <col min="15363" max="15364" width="0" style="13" hidden="1" customWidth="1"/>
    <col min="15365" max="15365" width="61.109375" style="13" customWidth="1"/>
    <col min="15366" max="15366" width="18.21875" style="13" customWidth="1"/>
    <col min="15367" max="15367" width="36.21875" style="13" bestFit="1" customWidth="1"/>
    <col min="15368" max="15368" width="11.44140625" style="13" customWidth="1"/>
    <col min="15369" max="15369" width="14.44140625" style="13" customWidth="1"/>
    <col min="15370" max="15370" width="9.88671875" style="13" bestFit="1" customWidth="1"/>
    <col min="15371" max="15371" width="8.88671875" style="13"/>
    <col min="15372" max="15372" width="28.21875" style="13" customWidth="1"/>
    <col min="15373" max="15617" width="8.88671875" style="13"/>
    <col min="15618" max="15618" width="10" style="13" customWidth="1"/>
    <col min="15619" max="15620" width="0" style="13" hidden="1" customWidth="1"/>
    <col min="15621" max="15621" width="61.109375" style="13" customWidth="1"/>
    <col min="15622" max="15622" width="18.21875" style="13" customWidth="1"/>
    <col min="15623" max="15623" width="36.21875" style="13" bestFit="1" customWidth="1"/>
    <col min="15624" max="15624" width="11.44140625" style="13" customWidth="1"/>
    <col min="15625" max="15625" width="14.44140625" style="13" customWidth="1"/>
    <col min="15626" max="15626" width="9.88671875" style="13" bestFit="1" customWidth="1"/>
    <col min="15627" max="15627" width="8.88671875" style="13"/>
    <col min="15628" max="15628" width="28.21875" style="13" customWidth="1"/>
    <col min="15629" max="15873" width="8.88671875" style="13"/>
    <col min="15874" max="15874" width="10" style="13" customWidth="1"/>
    <col min="15875" max="15876" width="0" style="13" hidden="1" customWidth="1"/>
    <col min="15877" max="15877" width="61.109375" style="13" customWidth="1"/>
    <col min="15878" max="15878" width="18.21875" style="13" customWidth="1"/>
    <col min="15879" max="15879" width="36.21875" style="13" bestFit="1" customWidth="1"/>
    <col min="15880" max="15880" width="11.44140625" style="13" customWidth="1"/>
    <col min="15881" max="15881" width="14.44140625" style="13" customWidth="1"/>
    <col min="15882" max="15882" width="9.88671875" style="13" bestFit="1" customWidth="1"/>
    <col min="15883" max="15883" width="8.88671875" style="13"/>
    <col min="15884" max="15884" width="28.21875" style="13" customWidth="1"/>
    <col min="15885" max="16129" width="8.88671875" style="13"/>
    <col min="16130" max="16130" width="10" style="13" customWidth="1"/>
    <col min="16131" max="16132" width="0" style="13" hidden="1" customWidth="1"/>
    <col min="16133" max="16133" width="61.109375" style="13" customWidth="1"/>
    <col min="16134" max="16134" width="18.21875" style="13" customWidth="1"/>
    <col min="16135" max="16135" width="36.21875" style="13" bestFit="1" customWidth="1"/>
    <col min="16136" max="16136" width="11.44140625" style="13" customWidth="1"/>
    <col min="16137" max="16137" width="14.44140625" style="13" customWidth="1"/>
    <col min="16138" max="16138" width="9.88671875" style="13" bestFit="1" customWidth="1"/>
    <col min="16139" max="16139" width="8.88671875" style="13"/>
    <col min="16140" max="16140" width="28.21875" style="13" customWidth="1"/>
    <col min="16141" max="16384" width="8.88671875" style="13"/>
  </cols>
  <sheetData>
    <row r="1" spans="1:17" ht="17.25" customHeight="1" x14ac:dyDescent="0.4">
      <c r="A1" s="1278" t="s">
        <v>212</v>
      </c>
      <c r="B1" s="1281" t="s">
        <v>593</v>
      </c>
      <c r="C1" s="1284" t="s">
        <v>594</v>
      </c>
      <c r="D1" s="1284" t="s">
        <v>595</v>
      </c>
      <c r="E1" s="1293" t="s">
        <v>675</v>
      </c>
      <c r="F1" s="1287" t="s">
        <v>596</v>
      </c>
      <c r="G1" s="1288"/>
      <c r="H1" s="523" t="s">
        <v>597</v>
      </c>
      <c r="I1" s="523"/>
      <c r="J1" s="523"/>
      <c r="K1" s="1291" t="s">
        <v>598</v>
      </c>
      <c r="L1" s="1273" t="s">
        <v>599</v>
      </c>
      <c r="N1" s="1034" t="s">
        <v>19</v>
      </c>
      <c r="O1" s="1034"/>
      <c r="P1" s="1034"/>
      <c r="Q1" s="1034"/>
    </row>
    <row r="2" spans="1:17" ht="18.75" customHeight="1" x14ac:dyDescent="0.25">
      <c r="A2" s="1279"/>
      <c r="B2" s="1282"/>
      <c r="C2" s="1285"/>
      <c r="D2" s="1285"/>
      <c r="E2" s="1294"/>
      <c r="F2" s="1289"/>
      <c r="G2" s="1290"/>
      <c r="H2" s="1276" t="s">
        <v>600</v>
      </c>
      <c r="I2" s="524" t="s">
        <v>601</v>
      </c>
      <c r="J2" s="524"/>
      <c r="K2" s="1292"/>
      <c r="L2" s="1274"/>
    </row>
    <row r="3" spans="1:17" ht="15.75" customHeight="1" thickBot="1" x14ac:dyDescent="0.3">
      <c r="A3" s="1280"/>
      <c r="B3" s="1283"/>
      <c r="C3" s="1286"/>
      <c r="D3" s="1286"/>
      <c r="E3" s="1295"/>
      <c r="F3" s="525" t="s">
        <v>602</v>
      </c>
      <c r="G3" s="525" t="s">
        <v>603</v>
      </c>
      <c r="H3" s="1277"/>
      <c r="I3" s="526" t="s">
        <v>604</v>
      </c>
      <c r="J3" s="526" t="s">
        <v>605</v>
      </c>
      <c r="K3" s="1277"/>
      <c r="L3" s="1275"/>
    </row>
    <row r="4" spans="1:17" x14ac:dyDescent="0.25">
      <c r="A4" s="527">
        <v>10</v>
      </c>
      <c r="B4" s="528">
        <v>1</v>
      </c>
      <c r="C4" s="529"/>
      <c r="D4" s="530" t="s">
        <v>606</v>
      </c>
      <c r="E4" s="530"/>
      <c r="F4" s="528"/>
      <c r="G4" s="529"/>
      <c r="H4" s="531"/>
      <c r="I4" s="531"/>
      <c r="J4" s="531"/>
      <c r="K4" s="532">
        <v>0</v>
      </c>
      <c r="L4" s="533"/>
    </row>
    <row r="5" spans="1:17" x14ac:dyDescent="0.25">
      <c r="A5" s="534"/>
      <c r="B5" s="535"/>
      <c r="C5" s="536"/>
      <c r="D5" s="537"/>
      <c r="E5" s="537"/>
      <c r="F5" s="535"/>
      <c r="G5" s="536"/>
      <c r="H5" s="538"/>
      <c r="I5" s="538"/>
      <c r="J5" s="538"/>
      <c r="K5" s="539">
        <v>0.25</v>
      </c>
      <c r="L5" s="540"/>
    </row>
    <row r="6" spans="1:17" x14ac:dyDescent="0.25">
      <c r="A6" s="534"/>
      <c r="B6" s="535">
        <v>1</v>
      </c>
      <c r="C6" s="536" t="s">
        <v>35</v>
      </c>
      <c r="D6" s="541"/>
      <c r="E6" s="541"/>
      <c r="F6" s="535"/>
      <c r="G6" s="542"/>
      <c r="H6" s="538"/>
      <c r="I6" s="538"/>
      <c r="J6" s="538"/>
      <c r="K6" s="539">
        <v>0.5</v>
      </c>
      <c r="L6" s="540"/>
    </row>
    <row r="7" spans="1:17" x14ac:dyDescent="0.25">
      <c r="A7" s="527"/>
      <c r="B7" s="528"/>
      <c r="C7" s="529"/>
      <c r="D7" s="543"/>
      <c r="E7" s="543"/>
      <c r="F7" s="528"/>
      <c r="G7" s="544"/>
      <c r="H7" s="531"/>
      <c r="I7" s="531"/>
      <c r="J7" s="531"/>
      <c r="K7" s="532">
        <v>0.75</v>
      </c>
      <c r="L7" s="533"/>
    </row>
    <row r="8" spans="1:17" x14ac:dyDescent="0.25">
      <c r="A8" s="527"/>
      <c r="B8" s="528"/>
      <c r="C8" s="529"/>
      <c r="D8" s="543"/>
      <c r="E8" s="543"/>
      <c r="F8" s="528"/>
      <c r="G8" s="544"/>
      <c r="H8" s="531"/>
      <c r="I8" s="531"/>
      <c r="J8" s="531"/>
      <c r="K8" s="532" t="s">
        <v>607</v>
      </c>
      <c r="L8" s="533"/>
    </row>
    <row r="9" spans="1:17" x14ac:dyDescent="0.25">
      <c r="A9" s="527"/>
      <c r="B9" s="528"/>
      <c r="C9" s="529"/>
      <c r="D9" s="543"/>
      <c r="E9" s="543"/>
      <c r="F9" s="528"/>
      <c r="G9" s="544"/>
      <c r="H9" s="531"/>
      <c r="I9" s="531"/>
      <c r="J9" s="531"/>
      <c r="K9" s="528"/>
      <c r="L9" s="533"/>
    </row>
    <row r="10" spans="1:17" x14ac:dyDescent="0.25">
      <c r="A10" s="527"/>
      <c r="B10" s="528"/>
      <c r="C10" s="529"/>
      <c r="D10" s="543"/>
      <c r="E10" s="543"/>
      <c r="F10" s="528"/>
      <c r="G10" s="544"/>
      <c r="H10" s="531"/>
      <c r="I10" s="531"/>
      <c r="J10" s="531"/>
      <c r="K10" s="528"/>
      <c r="L10" s="533"/>
    </row>
    <row r="11" spans="1:17" x14ac:dyDescent="0.25">
      <c r="A11" s="527"/>
      <c r="B11" s="528"/>
      <c r="C11" s="529"/>
      <c r="D11" s="543"/>
      <c r="E11" s="543"/>
      <c r="F11" s="528"/>
      <c r="G11" s="544"/>
      <c r="H11" s="531"/>
      <c r="I11" s="531"/>
      <c r="J11" s="531"/>
      <c r="K11" s="528"/>
      <c r="L11" s="533"/>
    </row>
    <row r="12" spans="1:17" x14ac:dyDescent="0.25">
      <c r="A12" s="527"/>
      <c r="B12" s="528"/>
      <c r="C12" s="529"/>
      <c r="D12" s="543"/>
      <c r="E12" s="543"/>
      <c r="F12" s="528"/>
      <c r="G12" s="544"/>
      <c r="H12" s="531"/>
      <c r="I12" s="531"/>
      <c r="J12" s="531"/>
      <c r="K12" s="528"/>
      <c r="L12" s="533"/>
    </row>
    <row r="13" spans="1:17" ht="13.8" thickBot="1" x14ac:dyDescent="0.3">
      <c r="A13" s="527"/>
      <c r="B13" s="528"/>
      <c r="C13" s="529"/>
      <c r="D13" s="543"/>
      <c r="E13" s="543"/>
      <c r="F13" s="528"/>
      <c r="G13" s="544"/>
      <c r="H13" s="531"/>
      <c r="I13" s="531"/>
      <c r="J13" s="531"/>
      <c r="K13" s="528"/>
      <c r="L13" s="533"/>
    </row>
    <row r="14" spans="1:17" x14ac:dyDescent="0.25">
      <c r="A14" s="545">
        <v>20</v>
      </c>
      <c r="B14" s="546">
        <v>1</v>
      </c>
      <c r="C14" s="547"/>
      <c r="D14" s="548" t="s">
        <v>608</v>
      </c>
      <c r="E14" s="548"/>
      <c r="F14" s="547"/>
      <c r="G14" s="546"/>
      <c r="H14" s="549"/>
      <c r="I14" s="549"/>
      <c r="J14" s="549"/>
      <c r="K14" s="550"/>
      <c r="L14" s="551"/>
    </row>
    <row r="15" spans="1:17" x14ac:dyDescent="0.25">
      <c r="A15" s="527"/>
      <c r="B15" s="528"/>
      <c r="C15" s="529"/>
      <c r="D15" s="530"/>
      <c r="E15" s="530"/>
      <c r="F15" s="529"/>
      <c r="G15" s="528"/>
      <c r="H15" s="531"/>
      <c r="I15" s="531"/>
      <c r="J15" s="531"/>
      <c r="K15" s="552"/>
      <c r="L15" s="533"/>
    </row>
    <row r="16" spans="1:17" x14ac:dyDescent="0.25">
      <c r="A16" s="527"/>
      <c r="B16" s="528"/>
      <c r="C16" s="529"/>
      <c r="D16" s="530"/>
      <c r="E16" s="530"/>
      <c r="F16" s="529"/>
      <c r="G16" s="528"/>
      <c r="H16" s="531"/>
      <c r="I16" s="531"/>
      <c r="J16" s="531"/>
      <c r="K16" s="552"/>
      <c r="L16" s="533"/>
    </row>
    <row r="17" spans="1:12" x14ac:dyDescent="0.25">
      <c r="A17" s="527"/>
      <c r="B17" s="528"/>
      <c r="C17" s="529"/>
      <c r="D17" s="530"/>
      <c r="E17" s="530"/>
      <c r="F17" s="529"/>
      <c r="G17" s="528"/>
      <c r="H17" s="531"/>
      <c r="I17" s="531"/>
      <c r="J17" s="531"/>
      <c r="K17" s="552"/>
      <c r="L17" s="533"/>
    </row>
    <row r="18" spans="1:12" x14ac:dyDescent="0.25">
      <c r="A18" s="527"/>
      <c r="B18" s="528"/>
      <c r="C18" s="529"/>
      <c r="D18" s="530"/>
      <c r="E18" s="530"/>
      <c r="F18" s="529"/>
      <c r="G18" s="528"/>
      <c r="H18" s="531"/>
      <c r="I18" s="531"/>
      <c r="J18" s="531"/>
      <c r="K18" s="552"/>
      <c r="L18" s="533"/>
    </row>
    <row r="19" spans="1:12" x14ac:dyDescent="0.25">
      <c r="A19" s="527"/>
      <c r="B19" s="528"/>
      <c r="C19" s="529"/>
      <c r="D19" s="530"/>
      <c r="E19" s="530"/>
      <c r="F19" s="529"/>
      <c r="G19" s="528"/>
      <c r="H19" s="531"/>
      <c r="I19" s="531"/>
      <c r="J19" s="531"/>
      <c r="K19" s="552"/>
      <c r="L19" s="533"/>
    </row>
    <row r="20" spans="1:12" x14ac:dyDescent="0.25">
      <c r="A20" s="527"/>
      <c r="B20" s="528"/>
      <c r="C20" s="529"/>
      <c r="D20" s="530"/>
      <c r="E20" s="530"/>
      <c r="F20" s="529"/>
      <c r="G20" s="528"/>
      <c r="H20" s="531"/>
      <c r="I20" s="531"/>
      <c r="J20" s="531"/>
      <c r="K20" s="552"/>
      <c r="L20" s="533"/>
    </row>
    <row r="21" spans="1:12" x14ac:dyDescent="0.25">
      <c r="A21" s="527"/>
      <c r="B21" s="528"/>
      <c r="C21" s="529"/>
      <c r="D21" s="530"/>
      <c r="E21" s="530"/>
      <c r="F21" s="529"/>
      <c r="G21" s="528"/>
      <c r="H21" s="531"/>
      <c r="I21" s="531"/>
      <c r="J21" s="531"/>
      <c r="K21" s="552"/>
      <c r="L21" s="533"/>
    </row>
    <row r="22" spans="1:12" x14ac:dyDescent="0.25">
      <c r="A22" s="527"/>
      <c r="B22" s="528"/>
      <c r="C22" s="529"/>
      <c r="D22" s="530"/>
      <c r="E22" s="530"/>
      <c r="F22" s="529"/>
      <c r="G22" s="528"/>
      <c r="H22" s="531"/>
      <c r="I22" s="531"/>
      <c r="J22" s="531"/>
      <c r="K22" s="552"/>
      <c r="L22" s="533"/>
    </row>
    <row r="23" spans="1:12" x14ac:dyDescent="0.25">
      <c r="A23" s="527"/>
      <c r="B23" s="528"/>
      <c r="C23" s="529"/>
      <c r="D23" s="530"/>
      <c r="E23" s="530"/>
      <c r="F23" s="529"/>
      <c r="G23" s="528"/>
      <c r="H23" s="531"/>
      <c r="I23" s="531"/>
      <c r="J23" s="531"/>
      <c r="K23" s="552"/>
      <c r="L23" s="533"/>
    </row>
    <row r="24" spans="1:12" x14ac:dyDescent="0.25">
      <c r="A24" s="534"/>
      <c r="B24" s="535">
        <v>1</v>
      </c>
      <c r="C24" s="536" t="s">
        <v>35</v>
      </c>
      <c r="D24" s="541"/>
      <c r="E24" s="541"/>
      <c r="F24" s="535"/>
      <c r="G24" s="542"/>
      <c r="H24" s="538"/>
      <c r="I24" s="538"/>
      <c r="J24" s="538"/>
      <c r="K24" s="535"/>
      <c r="L24" s="540"/>
    </row>
  </sheetData>
  <mergeCells count="10">
    <mergeCell ref="L1:L3"/>
    <mergeCell ref="H2:H3"/>
    <mergeCell ref="N1:Q1"/>
    <mergeCell ref="A1:A3"/>
    <mergeCell ref="B1:B3"/>
    <mergeCell ref="C1:C3"/>
    <mergeCell ref="D1:D3"/>
    <mergeCell ref="F1:G2"/>
    <mergeCell ref="K1:K3"/>
    <mergeCell ref="E1:E3"/>
  </mergeCells>
  <conditionalFormatting sqref="B4:B24">
    <cfRule type="cellIs" dxfId="2" priority="1" stopIfTrue="1" operator="equal">
      <formula>1</formula>
    </cfRule>
  </conditionalFormatting>
  <hyperlinks>
    <hyperlink ref="N1" location="Menu!A1" display="Return to menu" xr:uid="{00000000-0004-0000-3100-000000000000}"/>
  </hyperlinks>
  <pageMargins left="0.75" right="0.75" top="1" bottom="1" header="0.5" footer="0.5"/>
  <pageSetup scale="59" fitToHeight="4" orientation="landscape" r:id="rId1"/>
  <headerFooter alignWithMargins="0">
    <oddHeader>&amp;CRelayout 2010 and Energy Growth
Action log</oddHeader>
    <oddFooter>&amp;LAlex Boussetta
2235&amp;C&amp;F&amp;R&amp;P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13"/>
  <sheetViews>
    <sheetView zoomScale="130" zoomScaleNormal="130" workbookViewId="0">
      <selection activeCell="J1" sqref="J1:K1"/>
    </sheetView>
  </sheetViews>
  <sheetFormatPr defaultColWidth="8.88671875" defaultRowHeight="14.4" x14ac:dyDescent="0.3"/>
  <cols>
    <col min="1" max="1" width="20.44140625" style="558" customWidth="1"/>
    <col min="2" max="2" width="10" style="558" customWidth="1"/>
    <col min="3" max="3" width="20.44140625" style="558" customWidth="1"/>
    <col min="4" max="4" width="16.44140625" style="558" customWidth="1"/>
    <col min="5" max="8" width="8.88671875" style="558"/>
    <col min="9" max="9" width="12.6640625" style="558" customWidth="1"/>
    <col min="10" max="16384" width="8.88671875" style="558"/>
  </cols>
  <sheetData>
    <row r="1" spans="1:11" ht="21" x14ac:dyDescent="0.4">
      <c r="A1" s="643" t="s">
        <v>990</v>
      </c>
      <c r="J1" s="943" t="s">
        <v>19</v>
      </c>
      <c r="K1" s="943"/>
    </row>
    <row r="2" spans="1:11" ht="21" x14ac:dyDescent="0.4">
      <c r="A2" s="643" t="s">
        <v>694</v>
      </c>
      <c r="J2" s="749"/>
      <c r="K2" s="749"/>
    </row>
    <row r="13" spans="1:11" ht="15" x14ac:dyDescent="0.35">
      <c r="H13" s="605" t="s">
        <v>694</v>
      </c>
    </row>
  </sheetData>
  <mergeCells count="1">
    <mergeCell ref="J1:K1"/>
  </mergeCells>
  <hyperlinks>
    <hyperlink ref="J1" location="Menu!A1" display="Return to menu" xr:uid="{00000000-0004-0000-3200-000000000000}"/>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5"/>
  <dimension ref="A1:AY66"/>
  <sheetViews>
    <sheetView zoomScale="90" workbookViewId="0">
      <selection activeCell="Q2" sqref="Q2:T2"/>
    </sheetView>
  </sheetViews>
  <sheetFormatPr defaultColWidth="8.88671875" defaultRowHeight="13.2" x14ac:dyDescent="0.25"/>
  <cols>
    <col min="1" max="1" width="22.44140625" style="13" customWidth="1"/>
    <col min="2" max="51" width="5.6640625" style="13" customWidth="1"/>
    <col min="52" max="16384" width="8.88671875" style="13"/>
  </cols>
  <sheetData>
    <row r="1" spans="1:51" x14ac:dyDescent="0.25">
      <c r="A1" s="1297"/>
      <c r="B1" s="1297"/>
      <c r="C1" s="1297"/>
      <c r="D1" s="1297"/>
    </row>
    <row r="2" spans="1:51" ht="21" x14ac:dyDescent="0.4">
      <c r="A2" s="137" t="s">
        <v>115</v>
      </c>
      <c r="B2" s="138"/>
      <c r="C2" s="138"/>
      <c r="D2" s="138"/>
      <c r="Q2" s="1034" t="s">
        <v>19</v>
      </c>
      <c r="R2" s="1034"/>
      <c r="S2" s="1034"/>
      <c r="T2" s="1034"/>
    </row>
    <row r="3" spans="1:51" ht="15.6" x14ac:dyDescent="0.3">
      <c r="A3" s="137" t="s">
        <v>137</v>
      </c>
      <c r="B3" s="138"/>
      <c r="C3" s="138"/>
      <c r="D3" s="138"/>
    </row>
    <row r="4" spans="1:51" x14ac:dyDescent="0.25">
      <c r="A4" s="139"/>
    </row>
    <row r="5" spans="1:51" ht="13.8" thickBot="1" x14ac:dyDescent="0.3"/>
    <row r="6" spans="1:51" ht="13.8" thickBot="1" x14ac:dyDescent="0.3">
      <c r="A6" s="140" t="s">
        <v>116</v>
      </c>
      <c r="B6" s="141"/>
      <c r="C6" s="141"/>
      <c r="E6" s="142">
        <v>18</v>
      </c>
      <c r="P6" s="143"/>
    </row>
    <row r="7" spans="1:51" ht="13.8" thickBot="1" x14ac:dyDescent="0.3">
      <c r="A7" s="1298" t="s">
        <v>117</v>
      </c>
      <c r="B7" s="1298"/>
      <c r="C7" s="1298"/>
      <c r="E7" s="142">
        <v>5</v>
      </c>
      <c r="P7" s="1110"/>
      <c r="Q7" s="1110"/>
    </row>
    <row r="8" spans="1:51" ht="13.8" thickBot="1" x14ac:dyDescent="0.3">
      <c r="A8" s="144"/>
      <c r="B8" s="144"/>
      <c r="C8" s="144"/>
      <c r="P8" s="1110"/>
      <c r="Q8" s="1110"/>
    </row>
    <row r="9" spans="1:51" x14ac:dyDescent="0.25">
      <c r="A9" s="145" t="s">
        <v>118</v>
      </c>
      <c r="B9" s="146"/>
      <c r="C9" s="1299">
        <f>SUMIF(B13:AY13,"&gt;-99999",B23:AY23)/$E$6</f>
        <v>3.4044444444444446</v>
      </c>
      <c r="D9" s="1299"/>
      <c r="E9" s="147" t="s">
        <v>119</v>
      </c>
      <c r="F9" s="147" t="s">
        <v>120</v>
      </c>
      <c r="G9" s="147" t="s">
        <v>121</v>
      </c>
      <c r="H9" s="148" t="s">
        <v>122</v>
      </c>
      <c r="P9" s="1110"/>
      <c r="Q9" s="1110"/>
    </row>
    <row r="10" spans="1:51" ht="13.8" thickBot="1" x14ac:dyDescent="0.3">
      <c r="A10" s="149" t="s">
        <v>123</v>
      </c>
      <c r="B10" s="150"/>
      <c r="C10" s="1296">
        <f>SUMIF(B13:AY13,"&gt;-99999",B28:AY28)/$E$6</f>
        <v>1.466666666666667</v>
      </c>
      <c r="D10" s="1296"/>
      <c r="E10" s="268">
        <f>VLOOKUP($E$7,$A$58:$H$66,2)</f>
        <v>0.57699999999999996</v>
      </c>
      <c r="F10" s="268">
        <f>VLOOKUP($E$7,$A$58:$H$66,3)</f>
        <v>0</v>
      </c>
      <c r="G10" s="268">
        <f>VLOOKUP($E$7,$A$58:$H$66,4)</f>
        <v>2.1139999999999999</v>
      </c>
      <c r="H10" s="269">
        <f>VLOOKUP($E$7,$A$58:$H$66,5)</f>
        <v>2.3260000000000001</v>
      </c>
      <c r="P10" s="1110"/>
      <c r="Q10" s="1110"/>
    </row>
    <row r="11" spans="1:51" x14ac:dyDescent="0.25">
      <c r="A11" s="143"/>
    </row>
    <row r="12" spans="1:51" s="143" customFormat="1" x14ac:dyDescent="0.25">
      <c r="A12" s="151"/>
      <c r="B12" s="143">
        <v>1</v>
      </c>
      <c r="C12" s="143">
        <v>2</v>
      </c>
      <c r="D12" s="143">
        <v>3</v>
      </c>
      <c r="E12" s="143">
        <v>4</v>
      </c>
      <c r="F12" s="143">
        <v>5</v>
      </c>
      <c r="G12" s="143">
        <v>6</v>
      </c>
      <c r="H12" s="143">
        <v>7</v>
      </c>
      <c r="I12" s="143">
        <v>8</v>
      </c>
      <c r="J12" s="143">
        <v>9</v>
      </c>
      <c r="K12" s="143">
        <v>10</v>
      </c>
      <c r="L12" s="143">
        <v>11</v>
      </c>
      <c r="M12" s="143">
        <v>12</v>
      </c>
      <c r="N12" s="143">
        <v>13</v>
      </c>
      <c r="O12" s="143">
        <v>14</v>
      </c>
      <c r="P12" s="143">
        <v>15</v>
      </c>
      <c r="Q12" s="143">
        <v>16</v>
      </c>
      <c r="R12" s="143">
        <v>17</v>
      </c>
      <c r="S12" s="143">
        <v>18</v>
      </c>
      <c r="T12" s="143">
        <v>19</v>
      </c>
      <c r="U12" s="143">
        <v>20</v>
      </c>
      <c r="V12" s="143">
        <v>21</v>
      </c>
      <c r="W12" s="143">
        <v>22</v>
      </c>
      <c r="X12" s="143">
        <v>23</v>
      </c>
      <c r="Y12" s="143">
        <v>24</v>
      </c>
      <c r="Z12" s="143">
        <v>25</v>
      </c>
      <c r="AA12" s="143">
        <v>26</v>
      </c>
      <c r="AB12" s="143">
        <v>27</v>
      </c>
      <c r="AC12" s="143">
        <v>28</v>
      </c>
      <c r="AD12" s="143">
        <v>29</v>
      </c>
      <c r="AE12" s="143">
        <v>30</v>
      </c>
      <c r="AF12" s="143">
        <v>31</v>
      </c>
      <c r="AG12" s="143">
        <v>32</v>
      </c>
      <c r="AH12" s="143">
        <v>33</v>
      </c>
      <c r="AI12" s="143">
        <v>34</v>
      </c>
      <c r="AJ12" s="143">
        <v>35</v>
      </c>
      <c r="AK12" s="143">
        <v>36</v>
      </c>
      <c r="AL12" s="143">
        <v>37</v>
      </c>
      <c r="AM12" s="143">
        <v>38</v>
      </c>
      <c r="AN12" s="143">
        <v>39</v>
      </c>
      <c r="AO12" s="143">
        <v>40</v>
      </c>
      <c r="AP12" s="143">
        <v>41</v>
      </c>
      <c r="AQ12" s="143">
        <v>42</v>
      </c>
      <c r="AR12" s="143">
        <v>43</v>
      </c>
      <c r="AS12" s="143">
        <v>44</v>
      </c>
      <c r="AT12" s="143">
        <v>45</v>
      </c>
      <c r="AU12" s="143">
        <v>46</v>
      </c>
      <c r="AV12" s="143">
        <v>47</v>
      </c>
      <c r="AW12" s="143">
        <v>48</v>
      </c>
      <c r="AX12" s="143">
        <v>49</v>
      </c>
      <c r="AY12" s="143">
        <v>50</v>
      </c>
    </row>
    <row r="13" spans="1:51" x14ac:dyDescent="0.25">
      <c r="A13" s="143">
        <v>1</v>
      </c>
      <c r="B13" s="152">
        <v>3.5</v>
      </c>
      <c r="C13" s="152">
        <v>3.5</v>
      </c>
      <c r="D13" s="152">
        <v>3.1</v>
      </c>
      <c r="E13" s="152">
        <v>3.5</v>
      </c>
      <c r="F13" s="152">
        <v>3.5</v>
      </c>
      <c r="G13" s="152">
        <v>3.1</v>
      </c>
      <c r="H13" s="152">
        <v>3.5</v>
      </c>
      <c r="I13" s="152">
        <v>3.5</v>
      </c>
      <c r="J13" s="152">
        <v>3.1</v>
      </c>
      <c r="K13" s="152">
        <v>2.4</v>
      </c>
      <c r="L13" s="152">
        <v>3.5</v>
      </c>
      <c r="M13" s="152">
        <v>3.1</v>
      </c>
      <c r="N13" s="152">
        <v>3.5</v>
      </c>
      <c r="O13" s="152">
        <v>3.5</v>
      </c>
      <c r="P13" s="152">
        <v>3.1</v>
      </c>
      <c r="Q13" s="152">
        <v>3.5</v>
      </c>
      <c r="R13" s="152">
        <v>3.5</v>
      </c>
      <c r="S13" s="152">
        <v>3.1</v>
      </c>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row>
    <row r="14" spans="1:51" x14ac:dyDescent="0.25">
      <c r="A14" s="143">
        <v>2</v>
      </c>
      <c r="B14" s="152">
        <v>3.2</v>
      </c>
      <c r="C14" s="152">
        <v>3.2</v>
      </c>
      <c r="D14" s="152">
        <v>3.5</v>
      </c>
      <c r="E14" s="152">
        <v>2.4</v>
      </c>
      <c r="F14" s="152">
        <v>3.2</v>
      </c>
      <c r="G14" s="152">
        <v>3.5</v>
      </c>
      <c r="H14" s="152">
        <v>3.2</v>
      </c>
      <c r="I14" s="152">
        <v>2.7</v>
      </c>
      <c r="J14" s="152">
        <v>3.5</v>
      </c>
      <c r="K14" s="152">
        <v>3.2</v>
      </c>
      <c r="L14" s="152">
        <v>4.5</v>
      </c>
      <c r="M14" s="152">
        <v>3.5</v>
      </c>
      <c r="N14" s="152">
        <v>3.2</v>
      </c>
      <c r="O14" s="152">
        <v>3.2</v>
      </c>
      <c r="P14" s="152">
        <v>3.5</v>
      </c>
      <c r="Q14" s="152">
        <v>4.5</v>
      </c>
      <c r="R14" s="152">
        <v>2.7</v>
      </c>
      <c r="S14" s="152">
        <v>3.5</v>
      </c>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row>
    <row r="15" spans="1:51" x14ac:dyDescent="0.25">
      <c r="A15" s="143">
        <v>3</v>
      </c>
      <c r="B15" s="152">
        <v>3.8</v>
      </c>
      <c r="C15" s="152">
        <v>2.4</v>
      </c>
      <c r="D15" s="152">
        <v>3.6</v>
      </c>
      <c r="E15" s="152">
        <v>3.8</v>
      </c>
      <c r="F15" s="152">
        <v>3.8</v>
      </c>
      <c r="G15" s="152">
        <v>3.6</v>
      </c>
      <c r="H15" s="152">
        <v>2.4</v>
      </c>
      <c r="I15" s="152">
        <v>3.8</v>
      </c>
      <c r="J15" s="152">
        <v>3.6</v>
      </c>
      <c r="K15" s="152">
        <v>3.8</v>
      </c>
      <c r="L15" s="152">
        <v>2.4</v>
      </c>
      <c r="M15" s="152">
        <v>3.6</v>
      </c>
      <c r="N15" s="152">
        <v>3.8</v>
      </c>
      <c r="O15" s="152">
        <v>2.4</v>
      </c>
      <c r="P15" s="152">
        <v>3.6</v>
      </c>
      <c r="Q15" s="152">
        <v>3.8</v>
      </c>
      <c r="R15" s="152">
        <v>3.8</v>
      </c>
      <c r="S15" s="152">
        <v>1.5</v>
      </c>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row>
    <row r="16" spans="1:51" x14ac:dyDescent="0.25">
      <c r="A16" s="143">
        <v>4</v>
      </c>
      <c r="B16" s="152">
        <v>2.4</v>
      </c>
      <c r="C16" s="152">
        <v>3.7</v>
      </c>
      <c r="D16" s="152">
        <v>4.5</v>
      </c>
      <c r="E16" s="152">
        <v>4.5</v>
      </c>
      <c r="F16" s="152">
        <v>3.7</v>
      </c>
      <c r="G16" s="152">
        <v>4.5</v>
      </c>
      <c r="H16" s="152">
        <v>3.3</v>
      </c>
      <c r="I16" s="152">
        <v>2.4</v>
      </c>
      <c r="J16" s="152">
        <v>4.5</v>
      </c>
      <c r="K16" s="152">
        <v>3.3</v>
      </c>
      <c r="L16" s="152">
        <v>3.7</v>
      </c>
      <c r="M16" s="152">
        <v>3.5</v>
      </c>
      <c r="N16" s="152">
        <v>3.3</v>
      </c>
      <c r="O16" s="152">
        <v>3.7</v>
      </c>
      <c r="P16" s="152">
        <v>3.5</v>
      </c>
      <c r="Q16" s="152">
        <v>2.4</v>
      </c>
      <c r="R16" s="152">
        <v>2.4</v>
      </c>
      <c r="S16" s="152">
        <v>3.5</v>
      </c>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row>
    <row r="17" spans="1:51" x14ac:dyDescent="0.25">
      <c r="A17" s="143">
        <v>5</v>
      </c>
      <c r="B17" s="152">
        <v>3.5</v>
      </c>
      <c r="C17" s="152">
        <v>3.4</v>
      </c>
      <c r="D17" s="152">
        <v>3.3</v>
      </c>
      <c r="E17" s="152">
        <v>3.5</v>
      </c>
      <c r="F17" s="152">
        <v>3.4</v>
      </c>
      <c r="G17" s="152">
        <v>3.3</v>
      </c>
      <c r="H17" s="152">
        <v>3.5</v>
      </c>
      <c r="I17" s="152">
        <v>3.4</v>
      </c>
      <c r="J17" s="152">
        <v>3.9</v>
      </c>
      <c r="K17" s="152">
        <v>3.5</v>
      </c>
      <c r="L17" s="152">
        <v>3.4</v>
      </c>
      <c r="M17" s="152">
        <v>3.3</v>
      </c>
      <c r="N17" s="152">
        <v>3.5</v>
      </c>
      <c r="O17" s="152">
        <v>3.4</v>
      </c>
      <c r="P17" s="152">
        <v>3.3</v>
      </c>
      <c r="Q17" s="152">
        <v>3.5</v>
      </c>
      <c r="R17" s="152">
        <v>3.4</v>
      </c>
      <c r="S17" s="152">
        <v>5.9</v>
      </c>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row>
    <row r="18" spans="1:51" x14ac:dyDescent="0.25">
      <c r="A18" s="143">
        <v>6</v>
      </c>
      <c r="B18" s="152"/>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row>
    <row r="19" spans="1:51" x14ac:dyDescent="0.25">
      <c r="A19" s="143">
        <v>7</v>
      </c>
      <c r="B19" s="152"/>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row>
    <row r="20" spans="1:51" x14ac:dyDescent="0.25">
      <c r="A20" s="143">
        <v>8</v>
      </c>
      <c r="B20" s="152"/>
      <c r="C20" s="152"/>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c r="AR20" s="152"/>
      <c r="AS20" s="152"/>
      <c r="AT20" s="152"/>
      <c r="AU20" s="152"/>
      <c r="AV20" s="152"/>
      <c r="AW20" s="152"/>
      <c r="AX20" s="152"/>
      <c r="AY20" s="152"/>
    </row>
    <row r="21" spans="1:51" x14ac:dyDescent="0.25">
      <c r="A21" s="143">
        <v>9</v>
      </c>
      <c r="B21" s="152"/>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row>
    <row r="22" spans="1:51" x14ac:dyDescent="0.25">
      <c r="A22" s="143">
        <v>10</v>
      </c>
      <c r="B22" s="152"/>
      <c r="C22" s="152"/>
      <c r="D22" s="152"/>
      <c r="E22" s="152"/>
      <c r="F22" s="152"/>
      <c r="G22" s="152"/>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row>
    <row r="23" spans="1:51" s="155" customFormat="1" ht="12" x14ac:dyDescent="0.25">
      <c r="A23" s="153" t="s">
        <v>124</v>
      </c>
      <c r="B23" s="154">
        <f t="shared" ref="B23:AG23" si="0">IF(B13&lt;&gt;"",AVERAGE(B13:B22),NA())</f>
        <v>3.28</v>
      </c>
      <c r="C23" s="154">
        <f t="shared" si="0"/>
        <v>3.2399999999999998</v>
      </c>
      <c r="D23" s="154">
        <f t="shared" si="0"/>
        <v>3.6</v>
      </c>
      <c r="E23" s="154">
        <f t="shared" si="0"/>
        <v>3.54</v>
      </c>
      <c r="F23" s="154">
        <f t="shared" si="0"/>
        <v>3.5199999999999996</v>
      </c>
      <c r="G23" s="154">
        <f t="shared" si="0"/>
        <v>3.6</v>
      </c>
      <c r="H23" s="154">
        <f t="shared" si="0"/>
        <v>3.1799999999999997</v>
      </c>
      <c r="I23" s="154">
        <f t="shared" si="0"/>
        <v>3.16</v>
      </c>
      <c r="J23" s="154">
        <f t="shared" si="0"/>
        <v>3.7199999999999998</v>
      </c>
      <c r="K23" s="154">
        <f t="shared" si="0"/>
        <v>3.2399999999999998</v>
      </c>
      <c r="L23" s="154">
        <f t="shared" si="0"/>
        <v>3.5</v>
      </c>
      <c r="M23" s="154">
        <f t="shared" si="0"/>
        <v>3.4</v>
      </c>
      <c r="N23" s="154">
        <f t="shared" si="0"/>
        <v>3.46</v>
      </c>
      <c r="O23" s="154">
        <f t="shared" si="0"/>
        <v>3.2399999999999998</v>
      </c>
      <c r="P23" s="154">
        <f t="shared" si="0"/>
        <v>3.4</v>
      </c>
      <c r="Q23" s="154">
        <f t="shared" si="0"/>
        <v>3.5400000000000005</v>
      </c>
      <c r="R23" s="154">
        <f t="shared" si="0"/>
        <v>3.16</v>
      </c>
      <c r="S23" s="154">
        <f t="shared" si="0"/>
        <v>3.5</v>
      </c>
      <c r="T23" s="154" t="e">
        <f t="shared" si="0"/>
        <v>#N/A</v>
      </c>
      <c r="U23" s="154" t="e">
        <f t="shared" si="0"/>
        <v>#N/A</v>
      </c>
      <c r="V23" s="154" t="e">
        <f t="shared" si="0"/>
        <v>#N/A</v>
      </c>
      <c r="W23" s="154" t="e">
        <f t="shared" si="0"/>
        <v>#N/A</v>
      </c>
      <c r="X23" s="154" t="e">
        <f t="shared" si="0"/>
        <v>#N/A</v>
      </c>
      <c r="Y23" s="154" t="e">
        <f t="shared" si="0"/>
        <v>#N/A</v>
      </c>
      <c r="Z23" s="154" t="e">
        <f t="shared" si="0"/>
        <v>#N/A</v>
      </c>
      <c r="AA23" s="154" t="e">
        <f t="shared" si="0"/>
        <v>#N/A</v>
      </c>
      <c r="AB23" s="154" t="e">
        <f t="shared" si="0"/>
        <v>#N/A</v>
      </c>
      <c r="AC23" s="154" t="e">
        <f t="shared" si="0"/>
        <v>#N/A</v>
      </c>
      <c r="AD23" s="154" t="e">
        <f t="shared" si="0"/>
        <v>#N/A</v>
      </c>
      <c r="AE23" s="154" t="e">
        <f t="shared" si="0"/>
        <v>#N/A</v>
      </c>
      <c r="AF23" s="154" t="e">
        <f t="shared" si="0"/>
        <v>#N/A</v>
      </c>
      <c r="AG23" s="154" t="e">
        <f t="shared" si="0"/>
        <v>#N/A</v>
      </c>
      <c r="AH23" s="154" t="e">
        <f t="shared" ref="AH23:AY23" si="1">IF(AH13&lt;&gt;"",AVERAGE(AH13:AH22),NA())</f>
        <v>#N/A</v>
      </c>
      <c r="AI23" s="154" t="e">
        <f t="shared" si="1"/>
        <v>#N/A</v>
      </c>
      <c r="AJ23" s="154" t="e">
        <f t="shared" si="1"/>
        <v>#N/A</v>
      </c>
      <c r="AK23" s="154" t="e">
        <f t="shared" si="1"/>
        <v>#N/A</v>
      </c>
      <c r="AL23" s="154" t="e">
        <f t="shared" si="1"/>
        <v>#N/A</v>
      </c>
      <c r="AM23" s="154" t="e">
        <f t="shared" si="1"/>
        <v>#N/A</v>
      </c>
      <c r="AN23" s="154" t="e">
        <f t="shared" si="1"/>
        <v>#N/A</v>
      </c>
      <c r="AO23" s="154" t="e">
        <f t="shared" si="1"/>
        <v>#N/A</v>
      </c>
      <c r="AP23" s="154" t="e">
        <f t="shared" si="1"/>
        <v>#N/A</v>
      </c>
      <c r="AQ23" s="154" t="e">
        <f t="shared" si="1"/>
        <v>#N/A</v>
      </c>
      <c r="AR23" s="154" t="e">
        <f t="shared" si="1"/>
        <v>#N/A</v>
      </c>
      <c r="AS23" s="154" t="e">
        <f t="shared" si="1"/>
        <v>#N/A</v>
      </c>
      <c r="AT23" s="154" t="e">
        <f t="shared" si="1"/>
        <v>#N/A</v>
      </c>
      <c r="AU23" s="154" t="e">
        <f t="shared" si="1"/>
        <v>#N/A</v>
      </c>
      <c r="AV23" s="154" t="e">
        <f t="shared" si="1"/>
        <v>#N/A</v>
      </c>
      <c r="AW23" s="154" t="e">
        <f t="shared" si="1"/>
        <v>#N/A</v>
      </c>
      <c r="AX23" s="154" t="e">
        <f t="shared" si="1"/>
        <v>#N/A</v>
      </c>
      <c r="AY23" s="154" t="e">
        <f t="shared" si="1"/>
        <v>#N/A</v>
      </c>
    </row>
    <row r="24" spans="1:51" s="155" customFormat="1" ht="12" x14ac:dyDescent="0.25">
      <c r="A24" s="153" t="s">
        <v>125</v>
      </c>
      <c r="B24" s="155">
        <f t="shared" ref="B24:AG24" si="2">$C$9-$E$10*$C$10</f>
        <v>2.5581777777777779</v>
      </c>
      <c r="C24" s="155">
        <f t="shared" si="2"/>
        <v>2.5581777777777779</v>
      </c>
      <c r="D24" s="155">
        <f t="shared" si="2"/>
        <v>2.5581777777777779</v>
      </c>
      <c r="E24" s="155">
        <f t="shared" si="2"/>
        <v>2.5581777777777779</v>
      </c>
      <c r="F24" s="155">
        <f t="shared" si="2"/>
        <v>2.5581777777777779</v>
      </c>
      <c r="G24" s="155">
        <f t="shared" si="2"/>
        <v>2.5581777777777779</v>
      </c>
      <c r="H24" s="155">
        <f t="shared" si="2"/>
        <v>2.5581777777777779</v>
      </c>
      <c r="I24" s="155">
        <f t="shared" si="2"/>
        <v>2.5581777777777779</v>
      </c>
      <c r="J24" s="155">
        <f t="shared" si="2"/>
        <v>2.5581777777777779</v>
      </c>
      <c r="K24" s="155">
        <f t="shared" si="2"/>
        <v>2.5581777777777779</v>
      </c>
      <c r="L24" s="155">
        <f t="shared" si="2"/>
        <v>2.5581777777777779</v>
      </c>
      <c r="M24" s="155">
        <f t="shared" si="2"/>
        <v>2.5581777777777779</v>
      </c>
      <c r="N24" s="155">
        <f t="shared" si="2"/>
        <v>2.5581777777777779</v>
      </c>
      <c r="O24" s="155">
        <f t="shared" si="2"/>
        <v>2.5581777777777779</v>
      </c>
      <c r="P24" s="155">
        <f t="shared" si="2"/>
        <v>2.5581777777777779</v>
      </c>
      <c r="Q24" s="155">
        <f t="shared" si="2"/>
        <v>2.5581777777777779</v>
      </c>
      <c r="R24" s="155">
        <f t="shared" si="2"/>
        <v>2.5581777777777779</v>
      </c>
      <c r="S24" s="155">
        <f t="shared" si="2"/>
        <v>2.5581777777777779</v>
      </c>
      <c r="T24" s="155">
        <f t="shared" si="2"/>
        <v>2.5581777777777779</v>
      </c>
      <c r="U24" s="155">
        <f t="shared" si="2"/>
        <v>2.5581777777777779</v>
      </c>
      <c r="V24" s="155">
        <f t="shared" si="2"/>
        <v>2.5581777777777779</v>
      </c>
      <c r="W24" s="155">
        <f t="shared" si="2"/>
        <v>2.5581777777777779</v>
      </c>
      <c r="X24" s="155">
        <f t="shared" si="2"/>
        <v>2.5581777777777779</v>
      </c>
      <c r="Y24" s="155">
        <f t="shared" si="2"/>
        <v>2.5581777777777779</v>
      </c>
      <c r="Z24" s="155">
        <f t="shared" si="2"/>
        <v>2.5581777777777779</v>
      </c>
      <c r="AA24" s="155">
        <f t="shared" si="2"/>
        <v>2.5581777777777779</v>
      </c>
      <c r="AB24" s="155">
        <f t="shared" si="2"/>
        <v>2.5581777777777779</v>
      </c>
      <c r="AC24" s="155">
        <f t="shared" si="2"/>
        <v>2.5581777777777779</v>
      </c>
      <c r="AD24" s="155">
        <f t="shared" si="2"/>
        <v>2.5581777777777779</v>
      </c>
      <c r="AE24" s="155">
        <f t="shared" si="2"/>
        <v>2.5581777777777779</v>
      </c>
      <c r="AF24" s="155">
        <f t="shared" si="2"/>
        <v>2.5581777777777779</v>
      </c>
      <c r="AG24" s="155">
        <f t="shared" si="2"/>
        <v>2.5581777777777779</v>
      </c>
      <c r="AH24" s="155">
        <f t="shared" ref="AH24:AY24" si="3">$C$9-$E$10*$C$10</f>
        <v>2.5581777777777779</v>
      </c>
      <c r="AI24" s="155">
        <f t="shared" si="3"/>
        <v>2.5581777777777779</v>
      </c>
      <c r="AJ24" s="155">
        <f t="shared" si="3"/>
        <v>2.5581777777777779</v>
      </c>
      <c r="AK24" s="155">
        <f t="shared" si="3"/>
        <v>2.5581777777777779</v>
      </c>
      <c r="AL24" s="155">
        <f t="shared" si="3"/>
        <v>2.5581777777777779</v>
      </c>
      <c r="AM24" s="155">
        <f t="shared" si="3"/>
        <v>2.5581777777777779</v>
      </c>
      <c r="AN24" s="155">
        <f t="shared" si="3"/>
        <v>2.5581777777777779</v>
      </c>
      <c r="AO24" s="155">
        <f t="shared" si="3"/>
        <v>2.5581777777777779</v>
      </c>
      <c r="AP24" s="155">
        <f t="shared" si="3"/>
        <v>2.5581777777777779</v>
      </c>
      <c r="AQ24" s="155">
        <f t="shared" si="3"/>
        <v>2.5581777777777779</v>
      </c>
      <c r="AR24" s="155">
        <f t="shared" si="3"/>
        <v>2.5581777777777779</v>
      </c>
      <c r="AS24" s="155">
        <f t="shared" si="3"/>
        <v>2.5581777777777779</v>
      </c>
      <c r="AT24" s="155">
        <f t="shared" si="3"/>
        <v>2.5581777777777779</v>
      </c>
      <c r="AU24" s="155">
        <f t="shared" si="3"/>
        <v>2.5581777777777779</v>
      </c>
      <c r="AV24" s="155">
        <f t="shared" si="3"/>
        <v>2.5581777777777779</v>
      </c>
      <c r="AW24" s="155">
        <f t="shared" si="3"/>
        <v>2.5581777777777779</v>
      </c>
      <c r="AX24" s="155">
        <f t="shared" si="3"/>
        <v>2.5581777777777779</v>
      </c>
      <c r="AY24" s="155">
        <f t="shared" si="3"/>
        <v>2.5581777777777779</v>
      </c>
    </row>
    <row r="25" spans="1:51" s="155" customFormat="1" ht="12" x14ac:dyDescent="0.25">
      <c r="A25" s="153" t="s">
        <v>126</v>
      </c>
      <c r="B25" s="155">
        <f t="shared" ref="B25:AG25" si="4">$C$9</f>
        <v>3.4044444444444446</v>
      </c>
      <c r="C25" s="155">
        <f t="shared" si="4"/>
        <v>3.4044444444444446</v>
      </c>
      <c r="D25" s="155">
        <f t="shared" si="4"/>
        <v>3.4044444444444446</v>
      </c>
      <c r="E25" s="155">
        <f t="shared" si="4"/>
        <v>3.4044444444444446</v>
      </c>
      <c r="F25" s="155">
        <f t="shared" si="4"/>
        <v>3.4044444444444446</v>
      </c>
      <c r="G25" s="155">
        <f t="shared" si="4"/>
        <v>3.4044444444444446</v>
      </c>
      <c r="H25" s="155">
        <f t="shared" si="4"/>
        <v>3.4044444444444446</v>
      </c>
      <c r="I25" s="155">
        <f t="shared" si="4"/>
        <v>3.4044444444444446</v>
      </c>
      <c r="J25" s="155">
        <f t="shared" si="4"/>
        <v>3.4044444444444446</v>
      </c>
      <c r="K25" s="155">
        <f t="shared" si="4"/>
        <v>3.4044444444444446</v>
      </c>
      <c r="L25" s="155">
        <f t="shared" si="4"/>
        <v>3.4044444444444446</v>
      </c>
      <c r="M25" s="155">
        <f t="shared" si="4"/>
        <v>3.4044444444444446</v>
      </c>
      <c r="N25" s="155">
        <f t="shared" si="4"/>
        <v>3.4044444444444446</v>
      </c>
      <c r="O25" s="155">
        <f t="shared" si="4"/>
        <v>3.4044444444444446</v>
      </c>
      <c r="P25" s="155">
        <f t="shared" si="4"/>
        <v>3.4044444444444446</v>
      </c>
      <c r="Q25" s="155">
        <f t="shared" si="4"/>
        <v>3.4044444444444446</v>
      </c>
      <c r="R25" s="155">
        <f t="shared" si="4"/>
        <v>3.4044444444444446</v>
      </c>
      <c r="S25" s="155">
        <f t="shared" si="4"/>
        <v>3.4044444444444446</v>
      </c>
      <c r="T25" s="155">
        <f t="shared" si="4"/>
        <v>3.4044444444444446</v>
      </c>
      <c r="U25" s="155">
        <f t="shared" si="4"/>
        <v>3.4044444444444446</v>
      </c>
      <c r="V25" s="155">
        <f t="shared" si="4"/>
        <v>3.4044444444444446</v>
      </c>
      <c r="W25" s="155">
        <f t="shared" si="4"/>
        <v>3.4044444444444446</v>
      </c>
      <c r="X25" s="155">
        <f t="shared" si="4"/>
        <v>3.4044444444444446</v>
      </c>
      <c r="Y25" s="155">
        <f t="shared" si="4"/>
        <v>3.4044444444444446</v>
      </c>
      <c r="Z25" s="155">
        <f t="shared" si="4"/>
        <v>3.4044444444444446</v>
      </c>
      <c r="AA25" s="155">
        <f t="shared" si="4"/>
        <v>3.4044444444444446</v>
      </c>
      <c r="AB25" s="155">
        <f t="shared" si="4"/>
        <v>3.4044444444444446</v>
      </c>
      <c r="AC25" s="155">
        <f t="shared" si="4"/>
        <v>3.4044444444444446</v>
      </c>
      <c r="AD25" s="155">
        <f t="shared" si="4"/>
        <v>3.4044444444444446</v>
      </c>
      <c r="AE25" s="155">
        <f t="shared" si="4"/>
        <v>3.4044444444444446</v>
      </c>
      <c r="AF25" s="155">
        <f t="shared" si="4"/>
        <v>3.4044444444444446</v>
      </c>
      <c r="AG25" s="155">
        <f t="shared" si="4"/>
        <v>3.4044444444444446</v>
      </c>
      <c r="AH25" s="155">
        <f t="shared" ref="AH25:AY25" si="5">$C$9</f>
        <v>3.4044444444444446</v>
      </c>
      <c r="AI25" s="155">
        <f t="shared" si="5"/>
        <v>3.4044444444444446</v>
      </c>
      <c r="AJ25" s="155">
        <f t="shared" si="5"/>
        <v>3.4044444444444446</v>
      </c>
      <c r="AK25" s="155">
        <f t="shared" si="5"/>
        <v>3.4044444444444446</v>
      </c>
      <c r="AL25" s="155">
        <f t="shared" si="5"/>
        <v>3.4044444444444446</v>
      </c>
      <c r="AM25" s="155">
        <f t="shared" si="5"/>
        <v>3.4044444444444446</v>
      </c>
      <c r="AN25" s="155">
        <f t="shared" si="5"/>
        <v>3.4044444444444446</v>
      </c>
      <c r="AO25" s="155">
        <f t="shared" si="5"/>
        <v>3.4044444444444446</v>
      </c>
      <c r="AP25" s="155">
        <f t="shared" si="5"/>
        <v>3.4044444444444446</v>
      </c>
      <c r="AQ25" s="155">
        <f t="shared" si="5"/>
        <v>3.4044444444444446</v>
      </c>
      <c r="AR25" s="155">
        <f t="shared" si="5"/>
        <v>3.4044444444444446</v>
      </c>
      <c r="AS25" s="155">
        <f t="shared" si="5"/>
        <v>3.4044444444444446</v>
      </c>
      <c r="AT25" s="155">
        <f t="shared" si="5"/>
        <v>3.4044444444444446</v>
      </c>
      <c r="AU25" s="155">
        <f t="shared" si="5"/>
        <v>3.4044444444444446</v>
      </c>
      <c r="AV25" s="155">
        <f t="shared" si="5"/>
        <v>3.4044444444444446</v>
      </c>
      <c r="AW25" s="155">
        <f t="shared" si="5"/>
        <v>3.4044444444444446</v>
      </c>
      <c r="AX25" s="155">
        <f t="shared" si="5"/>
        <v>3.4044444444444446</v>
      </c>
      <c r="AY25" s="155">
        <f t="shared" si="5"/>
        <v>3.4044444444444446</v>
      </c>
    </row>
    <row r="26" spans="1:51" s="155" customFormat="1" ht="12" x14ac:dyDescent="0.25">
      <c r="A26" s="153" t="s">
        <v>127</v>
      </c>
      <c r="B26" s="155">
        <f t="shared" ref="B26:AG26" si="6">$C$9+$E$10*$C$10</f>
        <v>4.2507111111111113</v>
      </c>
      <c r="C26" s="155">
        <f t="shared" si="6"/>
        <v>4.2507111111111113</v>
      </c>
      <c r="D26" s="155">
        <f t="shared" si="6"/>
        <v>4.2507111111111113</v>
      </c>
      <c r="E26" s="155">
        <f t="shared" si="6"/>
        <v>4.2507111111111113</v>
      </c>
      <c r="F26" s="155">
        <f t="shared" si="6"/>
        <v>4.2507111111111113</v>
      </c>
      <c r="G26" s="155">
        <f t="shared" si="6"/>
        <v>4.2507111111111113</v>
      </c>
      <c r="H26" s="155">
        <f t="shared" si="6"/>
        <v>4.2507111111111113</v>
      </c>
      <c r="I26" s="155">
        <f t="shared" si="6"/>
        <v>4.2507111111111113</v>
      </c>
      <c r="J26" s="155">
        <f t="shared" si="6"/>
        <v>4.2507111111111113</v>
      </c>
      <c r="K26" s="155">
        <f t="shared" si="6"/>
        <v>4.2507111111111113</v>
      </c>
      <c r="L26" s="155">
        <f t="shared" si="6"/>
        <v>4.2507111111111113</v>
      </c>
      <c r="M26" s="155">
        <f t="shared" si="6"/>
        <v>4.2507111111111113</v>
      </c>
      <c r="N26" s="155">
        <f t="shared" si="6"/>
        <v>4.2507111111111113</v>
      </c>
      <c r="O26" s="155">
        <f t="shared" si="6"/>
        <v>4.2507111111111113</v>
      </c>
      <c r="P26" s="155">
        <f t="shared" si="6"/>
        <v>4.2507111111111113</v>
      </c>
      <c r="Q26" s="155">
        <f t="shared" si="6"/>
        <v>4.2507111111111113</v>
      </c>
      <c r="R26" s="155">
        <f t="shared" si="6"/>
        <v>4.2507111111111113</v>
      </c>
      <c r="S26" s="155">
        <f t="shared" si="6"/>
        <v>4.2507111111111113</v>
      </c>
      <c r="T26" s="155">
        <f t="shared" si="6"/>
        <v>4.2507111111111113</v>
      </c>
      <c r="U26" s="155">
        <f t="shared" si="6"/>
        <v>4.2507111111111113</v>
      </c>
      <c r="V26" s="155">
        <f t="shared" si="6"/>
        <v>4.2507111111111113</v>
      </c>
      <c r="W26" s="155">
        <f t="shared" si="6"/>
        <v>4.2507111111111113</v>
      </c>
      <c r="X26" s="155">
        <f t="shared" si="6"/>
        <v>4.2507111111111113</v>
      </c>
      <c r="Y26" s="155">
        <f t="shared" si="6"/>
        <v>4.2507111111111113</v>
      </c>
      <c r="Z26" s="155">
        <f t="shared" si="6"/>
        <v>4.2507111111111113</v>
      </c>
      <c r="AA26" s="155">
        <f t="shared" si="6"/>
        <v>4.2507111111111113</v>
      </c>
      <c r="AB26" s="155">
        <f t="shared" si="6"/>
        <v>4.2507111111111113</v>
      </c>
      <c r="AC26" s="155">
        <f t="shared" si="6"/>
        <v>4.2507111111111113</v>
      </c>
      <c r="AD26" s="155">
        <f t="shared" si="6"/>
        <v>4.2507111111111113</v>
      </c>
      <c r="AE26" s="155">
        <f t="shared" si="6"/>
        <v>4.2507111111111113</v>
      </c>
      <c r="AF26" s="155">
        <f t="shared" si="6"/>
        <v>4.2507111111111113</v>
      </c>
      <c r="AG26" s="155">
        <f t="shared" si="6"/>
        <v>4.2507111111111113</v>
      </c>
      <c r="AH26" s="155">
        <f t="shared" ref="AH26:AY26" si="7">$C$9+$E$10*$C$10</f>
        <v>4.2507111111111113</v>
      </c>
      <c r="AI26" s="155">
        <f t="shared" si="7"/>
        <v>4.2507111111111113</v>
      </c>
      <c r="AJ26" s="155">
        <f t="shared" si="7"/>
        <v>4.2507111111111113</v>
      </c>
      <c r="AK26" s="155">
        <f t="shared" si="7"/>
        <v>4.2507111111111113</v>
      </c>
      <c r="AL26" s="155">
        <f t="shared" si="7"/>
        <v>4.2507111111111113</v>
      </c>
      <c r="AM26" s="155">
        <f t="shared" si="7"/>
        <v>4.2507111111111113</v>
      </c>
      <c r="AN26" s="155">
        <f t="shared" si="7"/>
        <v>4.2507111111111113</v>
      </c>
      <c r="AO26" s="155">
        <f t="shared" si="7"/>
        <v>4.2507111111111113</v>
      </c>
      <c r="AP26" s="155">
        <f t="shared" si="7"/>
        <v>4.2507111111111113</v>
      </c>
      <c r="AQ26" s="155">
        <f t="shared" si="7"/>
        <v>4.2507111111111113</v>
      </c>
      <c r="AR26" s="155">
        <f t="shared" si="7"/>
        <v>4.2507111111111113</v>
      </c>
      <c r="AS26" s="155">
        <f t="shared" si="7"/>
        <v>4.2507111111111113</v>
      </c>
      <c r="AT26" s="155">
        <f t="shared" si="7"/>
        <v>4.2507111111111113</v>
      </c>
      <c r="AU26" s="155">
        <f t="shared" si="7"/>
        <v>4.2507111111111113</v>
      </c>
      <c r="AV26" s="155">
        <f t="shared" si="7"/>
        <v>4.2507111111111113</v>
      </c>
      <c r="AW26" s="155">
        <f t="shared" si="7"/>
        <v>4.2507111111111113</v>
      </c>
      <c r="AX26" s="155">
        <f t="shared" si="7"/>
        <v>4.2507111111111113</v>
      </c>
      <c r="AY26" s="155">
        <f t="shared" si="7"/>
        <v>4.2507111111111113</v>
      </c>
    </row>
    <row r="28" spans="1:51" s="155" customFormat="1" ht="12" x14ac:dyDescent="0.25">
      <c r="A28" s="153" t="s">
        <v>128</v>
      </c>
      <c r="B28" s="155">
        <f t="shared" ref="B28:AG28" si="8">IF(B13&lt;&gt;"",MAX(B13:B22)-MIN(B13:B22),NA())</f>
        <v>1.4</v>
      </c>
      <c r="C28" s="155">
        <f t="shared" si="8"/>
        <v>1.3000000000000003</v>
      </c>
      <c r="D28" s="155">
        <f t="shared" si="8"/>
        <v>1.4</v>
      </c>
      <c r="E28" s="155">
        <f t="shared" si="8"/>
        <v>2.1</v>
      </c>
      <c r="F28" s="155">
        <f t="shared" si="8"/>
        <v>0.59999999999999964</v>
      </c>
      <c r="G28" s="155">
        <f t="shared" si="8"/>
        <v>1.4</v>
      </c>
      <c r="H28" s="155">
        <f t="shared" si="8"/>
        <v>1.1000000000000001</v>
      </c>
      <c r="I28" s="155">
        <f t="shared" si="8"/>
        <v>1.4</v>
      </c>
      <c r="J28" s="155">
        <f t="shared" si="8"/>
        <v>1.4</v>
      </c>
      <c r="K28" s="155">
        <f t="shared" si="8"/>
        <v>1.4</v>
      </c>
      <c r="L28" s="155">
        <f t="shared" si="8"/>
        <v>2.1</v>
      </c>
      <c r="M28" s="155">
        <f t="shared" si="8"/>
        <v>0.5</v>
      </c>
      <c r="N28" s="155">
        <f t="shared" si="8"/>
        <v>0.59999999999999964</v>
      </c>
      <c r="O28" s="155">
        <f t="shared" si="8"/>
        <v>1.3000000000000003</v>
      </c>
      <c r="P28" s="155">
        <f t="shared" si="8"/>
        <v>0.5</v>
      </c>
      <c r="Q28" s="155">
        <f t="shared" si="8"/>
        <v>2.1</v>
      </c>
      <c r="R28" s="155">
        <f t="shared" si="8"/>
        <v>1.4</v>
      </c>
      <c r="S28" s="155">
        <f t="shared" si="8"/>
        <v>4.4000000000000004</v>
      </c>
      <c r="T28" s="155" t="e">
        <f t="shared" si="8"/>
        <v>#N/A</v>
      </c>
      <c r="U28" s="155" t="e">
        <f t="shared" si="8"/>
        <v>#N/A</v>
      </c>
      <c r="V28" s="155" t="e">
        <f t="shared" si="8"/>
        <v>#N/A</v>
      </c>
      <c r="W28" s="155" t="e">
        <f t="shared" si="8"/>
        <v>#N/A</v>
      </c>
      <c r="X28" s="155" t="e">
        <f t="shared" si="8"/>
        <v>#N/A</v>
      </c>
      <c r="Y28" s="155" t="e">
        <f t="shared" si="8"/>
        <v>#N/A</v>
      </c>
      <c r="Z28" s="155" t="e">
        <f t="shared" si="8"/>
        <v>#N/A</v>
      </c>
      <c r="AA28" s="155" t="e">
        <f t="shared" si="8"/>
        <v>#N/A</v>
      </c>
      <c r="AB28" s="155" t="e">
        <f t="shared" si="8"/>
        <v>#N/A</v>
      </c>
      <c r="AC28" s="155" t="e">
        <f t="shared" si="8"/>
        <v>#N/A</v>
      </c>
      <c r="AD28" s="155" t="e">
        <f t="shared" si="8"/>
        <v>#N/A</v>
      </c>
      <c r="AE28" s="155" t="e">
        <f t="shared" si="8"/>
        <v>#N/A</v>
      </c>
      <c r="AF28" s="155" t="e">
        <f t="shared" si="8"/>
        <v>#N/A</v>
      </c>
      <c r="AG28" s="155" t="e">
        <f t="shared" si="8"/>
        <v>#N/A</v>
      </c>
      <c r="AH28" s="155" t="e">
        <f t="shared" ref="AH28:AY28" si="9">IF(AH13&lt;&gt;"",MAX(AH13:AH22)-MIN(AH13:AH22),NA())</f>
        <v>#N/A</v>
      </c>
      <c r="AI28" s="155" t="e">
        <f t="shared" si="9"/>
        <v>#N/A</v>
      </c>
      <c r="AJ28" s="155" t="e">
        <f t="shared" si="9"/>
        <v>#N/A</v>
      </c>
      <c r="AK28" s="155" t="e">
        <f t="shared" si="9"/>
        <v>#N/A</v>
      </c>
      <c r="AL28" s="155" t="e">
        <f t="shared" si="9"/>
        <v>#N/A</v>
      </c>
      <c r="AM28" s="155" t="e">
        <f t="shared" si="9"/>
        <v>#N/A</v>
      </c>
      <c r="AN28" s="155" t="e">
        <f t="shared" si="9"/>
        <v>#N/A</v>
      </c>
      <c r="AO28" s="155" t="e">
        <f t="shared" si="9"/>
        <v>#N/A</v>
      </c>
      <c r="AP28" s="155" t="e">
        <f t="shared" si="9"/>
        <v>#N/A</v>
      </c>
      <c r="AQ28" s="155" t="e">
        <f t="shared" si="9"/>
        <v>#N/A</v>
      </c>
      <c r="AR28" s="155" t="e">
        <f t="shared" si="9"/>
        <v>#N/A</v>
      </c>
      <c r="AS28" s="155" t="e">
        <f t="shared" si="9"/>
        <v>#N/A</v>
      </c>
      <c r="AT28" s="155" t="e">
        <f t="shared" si="9"/>
        <v>#N/A</v>
      </c>
      <c r="AU28" s="155" t="e">
        <f t="shared" si="9"/>
        <v>#N/A</v>
      </c>
      <c r="AV28" s="155" t="e">
        <f t="shared" si="9"/>
        <v>#N/A</v>
      </c>
      <c r="AW28" s="155" t="e">
        <f t="shared" si="9"/>
        <v>#N/A</v>
      </c>
      <c r="AX28" s="155" t="e">
        <f t="shared" si="9"/>
        <v>#N/A</v>
      </c>
      <c r="AY28" s="155" t="e">
        <f t="shared" si="9"/>
        <v>#N/A</v>
      </c>
    </row>
    <row r="29" spans="1:51" s="155" customFormat="1" ht="12" x14ac:dyDescent="0.25">
      <c r="A29" s="153" t="s">
        <v>129</v>
      </c>
      <c r="B29" s="155">
        <f t="shared" ref="B29:AG29" si="10">$F$10*$C$10</f>
        <v>0</v>
      </c>
      <c r="C29" s="155">
        <f t="shared" si="10"/>
        <v>0</v>
      </c>
      <c r="D29" s="155">
        <f t="shared" si="10"/>
        <v>0</v>
      </c>
      <c r="E29" s="155">
        <f t="shared" si="10"/>
        <v>0</v>
      </c>
      <c r="F29" s="155">
        <f t="shared" si="10"/>
        <v>0</v>
      </c>
      <c r="G29" s="155">
        <f t="shared" si="10"/>
        <v>0</v>
      </c>
      <c r="H29" s="155">
        <f t="shared" si="10"/>
        <v>0</v>
      </c>
      <c r="I29" s="155">
        <f t="shared" si="10"/>
        <v>0</v>
      </c>
      <c r="J29" s="155">
        <f t="shared" si="10"/>
        <v>0</v>
      </c>
      <c r="K29" s="155">
        <f t="shared" si="10"/>
        <v>0</v>
      </c>
      <c r="L29" s="155">
        <f t="shared" si="10"/>
        <v>0</v>
      </c>
      <c r="M29" s="155">
        <f t="shared" si="10"/>
        <v>0</v>
      </c>
      <c r="N29" s="155">
        <f t="shared" si="10"/>
        <v>0</v>
      </c>
      <c r="O29" s="155">
        <f t="shared" si="10"/>
        <v>0</v>
      </c>
      <c r="P29" s="155">
        <f t="shared" si="10"/>
        <v>0</v>
      </c>
      <c r="Q29" s="155">
        <f t="shared" si="10"/>
        <v>0</v>
      </c>
      <c r="R29" s="155">
        <f t="shared" si="10"/>
        <v>0</v>
      </c>
      <c r="S29" s="155">
        <f t="shared" si="10"/>
        <v>0</v>
      </c>
      <c r="T29" s="155">
        <f t="shared" si="10"/>
        <v>0</v>
      </c>
      <c r="U29" s="155">
        <f t="shared" si="10"/>
        <v>0</v>
      </c>
      <c r="V29" s="155">
        <f t="shared" si="10"/>
        <v>0</v>
      </c>
      <c r="W29" s="155">
        <f t="shared" si="10"/>
        <v>0</v>
      </c>
      <c r="X29" s="155">
        <f t="shared" si="10"/>
        <v>0</v>
      </c>
      <c r="Y29" s="155">
        <f t="shared" si="10"/>
        <v>0</v>
      </c>
      <c r="Z29" s="155">
        <f t="shared" si="10"/>
        <v>0</v>
      </c>
      <c r="AA29" s="155">
        <f t="shared" si="10"/>
        <v>0</v>
      </c>
      <c r="AB29" s="155">
        <f t="shared" si="10"/>
        <v>0</v>
      </c>
      <c r="AC29" s="155">
        <f t="shared" si="10"/>
        <v>0</v>
      </c>
      <c r="AD29" s="155">
        <f t="shared" si="10"/>
        <v>0</v>
      </c>
      <c r="AE29" s="155">
        <f t="shared" si="10"/>
        <v>0</v>
      </c>
      <c r="AF29" s="155">
        <f t="shared" si="10"/>
        <v>0</v>
      </c>
      <c r="AG29" s="155">
        <f t="shared" si="10"/>
        <v>0</v>
      </c>
      <c r="AH29" s="155">
        <f t="shared" ref="AH29:AY29" si="11">$F$10*$C$10</f>
        <v>0</v>
      </c>
      <c r="AI29" s="155">
        <f t="shared" si="11"/>
        <v>0</v>
      </c>
      <c r="AJ29" s="155">
        <f t="shared" si="11"/>
        <v>0</v>
      </c>
      <c r="AK29" s="155">
        <f t="shared" si="11"/>
        <v>0</v>
      </c>
      <c r="AL29" s="155">
        <f t="shared" si="11"/>
        <v>0</v>
      </c>
      <c r="AM29" s="155">
        <f t="shared" si="11"/>
        <v>0</v>
      </c>
      <c r="AN29" s="155">
        <f t="shared" si="11"/>
        <v>0</v>
      </c>
      <c r="AO29" s="155">
        <f t="shared" si="11"/>
        <v>0</v>
      </c>
      <c r="AP29" s="155">
        <f t="shared" si="11"/>
        <v>0</v>
      </c>
      <c r="AQ29" s="155">
        <f t="shared" si="11"/>
        <v>0</v>
      </c>
      <c r="AR29" s="155">
        <f t="shared" si="11"/>
        <v>0</v>
      </c>
      <c r="AS29" s="155">
        <f t="shared" si="11"/>
        <v>0</v>
      </c>
      <c r="AT29" s="155">
        <f t="shared" si="11"/>
        <v>0</v>
      </c>
      <c r="AU29" s="155">
        <f t="shared" si="11"/>
        <v>0</v>
      </c>
      <c r="AV29" s="155">
        <f t="shared" si="11"/>
        <v>0</v>
      </c>
      <c r="AW29" s="155">
        <f t="shared" si="11"/>
        <v>0</v>
      </c>
      <c r="AX29" s="155">
        <f t="shared" si="11"/>
        <v>0</v>
      </c>
      <c r="AY29" s="155">
        <f t="shared" si="11"/>
        <v>0</v>
      </c>
    </row>
    <row r="30" spans="1:51" s="155" customFormat="1" ht="12" x14ac:dyDescent="0.25">
      <c r="A30" s="153" t="s">
        <v>126</v>
      </c>
      <c r="B30" s="155">
        <f t="shared" ref="B30:AG30" si="12">$C$10</f>
        <v>1.466666666666667</v>
      </c>
      <c r="C30" s="155">
        <f t="shared" si="12"/>
        <v>1.466666666666667</v>
      </c>
      <c r="D30" s="155">
        <f t="shared" si="12"/>
        <v>1.466666666666667</v>
      </c>
      <c r="E30" s="155">
        <f t="shared" si="12"/>
        <v>1.466666666666667</v>
      </c>
      <c r="F30" s="155">
        <f t="shared" si="12"/>
        <v>1.466666666666667</v>
      </c>
      <c r="G30" s="155">
        <f t="shared" si="12"/>
        <v>1.466666666666667</v>
      </c>
      <c r="H30" s="155">
        <f t="shared" si="12"/>
        <v>1.466666666666667</v>
      </c>
      <c r="I30" s="155">
        <f t="shared" si="12"/>
        <v>1.466666666666667</v>
      </c>
      <c r="J30" s="155">
        <f t="shared" si="12"/>
        <v>1.466666666666667</v>
      </c>
      <c r="K30" s="155">
        <f t="shared" si="12"/>
        <v>1.466666666666667</v>
      </c>
      <c r="L30" s="155">
        <f t="shared" si="12"/>
        <v>1.466666666666667</v>
      </c>
      <c r="M30" s="155">
        <f t="shared" si="12"/>
        <v>1.466666666666667</v>
      </c>
      <c r="N30" s="155">
        <f t="shared" si="12"/>
        <v>1.466666666666667</v>
      </c>
      <c r="O30" s="155">
        <f t="shared" si="12"/>
        <v>1.466666666666667</v>
      </c>
      <c r="P30" s="155">
        <f t="shared" si="12"/>
        <v>1.466666666666667</v>
      </c>
      <c r="Q30" s="155">
        <f t="shared" si="12"/>
        <v>1.466666666666667</v>
      </c>
      <c r="R30" s="155">
        <f t="shared" si="12"/>
        <v>1.466666666666667</v>
      </c>
      <c r="S30" s="155">
        <f t="shared" si="12"/>
        <v>1.466666666666667</v>
      </c>
      <c r="T30" s="155">
        <f t="shared" si="12"/>
        <v>1.466666666666667</v>
      </c>
      <c r="U30" s="155">
        <f t="shared" si="12"/>
        <v>1.466666666666667</v>
      </c>
      <c r="V30" s="155">
        <f t="shared" si="12"/>
        <v>1.466666666666667</v>
      </c>
      <c r="W30" s="155">
        <f t="shared" si="12"/>
        <v>1.466666666666667</v>
      </c>
      <c r="X30" s="155">
        <f t="shared" si="12"/>
        <v>1.466666666666667</v>
      </c>
      <c r="Y30" s="155">
        <f t="shared" si="12"/>
        <v>1.466666666666667</v>
      </c>
      <c r="Z30" s="155">
        <f t="shared" si="12"/>
        <v>1.466666666666667</v>
      </c>
      <c r="AA30" s="155">
        <f t="shared" si="12"/>
        <v>1.466666666666667</v>
      </c>
      <c r="AB30" s="155">
        <f t="shared" si="12"/>
        <v>1.466666666666667</v>
      </c>
      <c r="AC30" s="155">
        <f t="shared" si="12"/>
        <v>1.466666666666667</v>
      </c>
      <c r="AD30" s="155">
        <f t="shared" si="12"/>
        <v>1.466666666666667</v>
      </c>
      <c r="AE30" s="155">
        <f t="shared" si="12"/>
        <v>1.466666666666667</v>
      </c>
      <c r="AF30" s="155">
        <f t="shared" si="12"/>
        <v>1.466666666666667</v>
      </c>
      <c r="AG30" s="155">
        <f t="shared" si="12"/>
        <v>1.466666666666667</v>
      </c>
      <c r="AH30" s="155">
        <f t="shared" ref="AH30:AY30" si="13">$C$10</f>
        <v>1.466666666666667</v>
      </c>
      <c r="AI30" s="155">
        <f t="shared" si="13"/>
        <v>1.466666666666667</v>
      </c>
      <c r="AJ30" s="155">
        <f t="shared" si="13"/>
        <v>1.466666666666667</v>
      </c>
      <c r="AK30" s="155">
        <f t="shared" si="13"/>
        <v>1.466666666666667</v>
      </c>
      <c r="AL30" s="155">
        <f t="shared" si="13"/>
        <v>1.466666666666667</v>
      </c>
      <c r="AM30" s="155">
        <f t="shared" si="13"/>
        <v>1.466666666666667</v>
      </c>
      <c r="AN30" s="155">
        <f t="shared" si="13"/>
        <v>1.466666666666667</v>
      </c>
      <c r="AO30" s="155">
        <f t="shared" si="13"/>
        <v>1.466666666666667</v>
      </c>
      <c r="AP30" s="155">
        <f t="shared" si="13"/>
        <v>1.466666666666667</v>
      </c>
      <c r="AQ30" s="155">
        <f t="shared" si="13"/>
        <v>1.466666666666667</v>
      </c>
      <c r="AR30" s="155">
        <f t="shared" si="13"/>
        <v>1.466666666666667</v>
      </c>
      <c r="AS30" s="155">
        <f t="shared" si="13"/>
        <v>1.466666666666667</v>
      </c>
      <c r="AT30" s="155">
        <f t="shared" si="13"/>
        <v>1.466666666666667</v>
      </c>
      <c r="AU30" s="155">
        <f t="shared" si="13"/>
        <v>1.466666666666667</v>
      </c>
      <c r="AV30" s="155">
        <f t="shared" si="13"/>
        <v>1.466666666666667</v>
      </c>
      <c r="AW30" s="155">
        <f t="shared" si="13"/>
        <v>1.466666666666667</v>
      </c>
      <c r="AX30" s="155">
        <f t="shared" si="13"/>
        <v>1.466666666666667</v>
      </c>
      <c r="AY30" s="155">
        <f t="shared" si="13"/>
        <v>1.466666666666667</v>
      </c>
    </row>
    <row r="31" spans="1:51" s="155" customFormat="1" ht="12" x14ac:dyDescent="0.25">
      <c r="A31" s="153" t="s">
        <v>130</v>
      </c>
      <c r="B31" s="155">
        <f t="shared" ref="B31:AG31" si="14">$G$10*$C$10</f>
        <v>3.1005333333333338</v>
      </c>
      <c r="C31" s="155">
        <f t="shared" si="14"/>
        <v>3.1005333333333338</v>
      </c>
      <c r="D31" s="155">
        <f t="shared" si="14"/>
        <v>3.1005333333333338</v>
      </c>
      <c r="E31" s="155">
        <f t="shared" si="14"/>
        <v>3.1005333333333338</v>
      </c>
      <c r="F31" s="155">
        <f t="shared" si="14"/>
        <v>3.1005333333333338</v>
      </c>
      <c r="G31" s="155">
        <f t="shared" si="14"/>
        <v>3.1005333333333338</v>
      </c>
      <c r="H31" s="155">
        <f t="shared" si="14"/>
        <v>3.1005333333333338</v>
      </c>
      <c r="I31" s="155">
        <f t="shared" si="14"/>
        <v>3.1005333333333338</v>
      </c>
      <c r="J31" s="155">
        <f t="shared" si="14"/>
        <v>3.1005333333333338</v>
      </c>
      <c r="K31" s="155">
        <f t="shared" si="14"/>
        <v>3.1005333333333338</v>
      </c>
      <c r="L31" s="155">
        <f t="shared" si="14"/>
        <v>3.1005333333333338</v>
      </c>
      <c r="M31" s="155">
        <f t="shared" si="14"/>
        <v>3.1005333333333338</v>
      </c>
      <c r="N31" s="155">
        <f t="shared" si="14"/>
        <v>3.1005333333333338</v>
      </c>
      <c r="O31" s="155">
        <f t="shared" si="14"/>
        <v>3.1005333333333338</v>
      </c>
      <c r="P31" s="155">
        <f t="shared" si="14"/>
        <v>3.1005333333333338</v>
      </c>
      <c r="Q31" s="155">
        <f t="shared" si="14"/>
        <v>3.1005333333333338</v>
      </c>
      <c r="R31" s="155">
        <f t="shared" si="14"/>
        <v>3.1005333333333338</v>
      </c>
      <c r="S31" s="155">
        <f t="shared" si="14"/>
        <v>3.1005333333333338</v>
      </c>
      <c r="T31" s="155">
        <f t="shared" si="14"/>
        <v>3.1005333333333338</v>
      </c>
      <c r="U31" s="155">
        <f t="shared" si="14"/>
        <v>3.1005333333333338</v>
      </c>
      <c r="V31" s="155">
        <f t="shared" si="14"/>
        <v>3.1005333333333338</v>
      </c>
      <c r="W31" s="155">
        <f t="shared" si="14"/>
        <v>3.1005333333333338</v>
      </c>
      <c r="X31" s="155">
        <f t="shared" si="14"/>
        <v>3.1005333333333338</v>
      </c>
      <c r="Y31" s="155">
        <f t="shared" si="14"/>
        <v>3.1005333333333338</v>
      </c>
      <c r="Z31" s="155">
        <f t="shared" si="14"/>
        <v>3.1005333333333338</v>
      </c>
      <c r="AA31" s="155">
        <f t="shared" si="14"/>
        <v>3.1005333333333338</v>
      </c>
      <c r="AB31" s="155">
        <f t="shared" si="14"/>
        <v>3.1005333333333338</v>
      </c>
      <c r="AC31" s="155">
        <f t="shared" si="14"/>
        <v>3.1005333333333338</v>
      </c>
      <c r="AD31" s="155">
        <f t="shared" si="14"/>
        <v>3.1005333333333338</v>
      </c>
      <c r="AE31" s="155">
        <f t="shared" si="14"/>
        <v>3.1005333333333338</v>
      </c>
      <c r="AF31" s="155">
        <f t="shared" si="14"/>
        <v>3.1005333333333338</v>
      </c>
      <c r="AG31" s="155">
        <f t="shared" si="14"/>
        <v>3.1005333333333338</v>
      </c>
      <c r="AH31" s="155">
        <f t="shared" ref="AH31:AY31" si="15">$G$10*$C$10</f>
        <v>3.1005333333333338</v>
      </c>
      <c r="AI31" s="155">
        <f t="shared" si="15"/>
        <v>3.1005333333333338</v>
      </c>
      <c r="AJ31" s="155">
        <f t="shared" si="15"/>
        <v>3.1005333333333338</v>
      </c>
      <c r="AK31" s="155">
        <f t="shared" si="15"/>
        <v>3.1005333333333338</v>
      </c>
      <c r="AL31" s="155">
        <f t="shared" si="15"/>
        <v>3.1005333333333338</v>
      </c>
      <c r="AM31" s="155">
        <f t="shared" si="15"/>
        <v>3.1005333333333338</v>
      </c>
      <c r="AN31" s="155">
        <f t="shared" si="15"/>
        <v>3.1005333333333338</v>
      </c>
      <c r="AO31" s="155">
        <f t="shared" si="15"/>
        <v>3.1005333333333338</v>
      </c>
      <c r="AP31" s="155">
        <f t="shared" si="15"/>
        <v>3.1005333333333338</v>
      </c>
      <c r="AQ31" s="155">
        <f t="shared" si="15"/>
        <v>3.1005333333333338</v>
      </c>
      <c r="AR31" s="155">
        <f t="shared" si="15"/>
        <v>3.1005333333333338</v>
      </c>
      <c r="AS31" s="155">
        <f t="shared" si="15"/>
        <v>3.1005333333333338</v>
      </c>
      <c r="AT31" s="155">
        <f t="shared" si="15"/>
        <v>3.1005333333333338</v>
      </c>
      <c r="AU31" s="155">
        <f t="shared" si="15"/>
        <v>3.1005333333333338</v>
      </c>
      <c r="AV31" s="155">
        <f t="shared" si="15"/>
        <v>3.1005333333333338</v>
      </c>
      <c r="AW31" s="155">
        <f t="shared" si="15"/>
        <v>3.1005333333333338</v>
      </c>
      <c r="AX31" s="155">
        <f t="shared" si="15"/>
        <v>3.1005333333333338</v>
      </c>
      <c r="AY31" s="155">
        <f t="shared" si="15"/>
        <v>3.1005333333333338</v>
      </c>
    </row>
    <row r="55" spans="1:8" ht="13.8" thickBot="1" x14ac:dyDescent="0.3">
      <c r="A55" s="156" t="s">
        <v>131</v>
      </c>
    </row>
    <row r="56" spans="1:8" x14ac:dyDescent="0.25">
      <c r="A56" s="157"/>
      <c r="B56" s="1186" t="s">
        <v>132</v>
      </c>
      <c r="C56" s="1186"/>
      <c r="D56" s="1186"/>
      <c r="E56" s="1186"/>
      <c r="F56" s="1186"/>
      <c r="G56" s="1186"/>
      <c r="H56" s="1187"/>
    </row>
    <row r="57" spans="1:8" x14ac:dyDescent="0.25">
      <c r="A57" s="158" t="s">
        <v>133</v>
      </c>
      <c r="B57" s="159" t="s">
        <v>119</v>
      </c>
      <c r="C57" s="159" t="s">
        <v>120</v>
      </c>
      <c r="D57" s="159" t="s">
        <v>121</v>
      </c>
      <c r="E57" s="159" t="s">
        <v>122</v>
      </c>
      <c r="F57" s="159" t="s">
        <v>134</v>
      </c>
      <c r="G57" s="159" t="s">
        <v>135</v>
      </c>
      <c r="H57" s="160" t="s">
        <v>136</v>
      </c>
    </row>
    <row r="58" spans="1:8" x14ac:dyDescent="0.25">
      <c r="A58" s="161">
        <v>2</v>
      </c>
      <c r="B58" s="40">
        <v>1.88</v>
      </c>
      <c r="C58" s="40">
        <v>0</v>
      </c>
      <c r="D58" s="40">
        <v>3.2669999999999999</v>
      </c>
      <c r="E58" s="40">
        <v>1.1279999999999999</v>
      </c>
      <c r="F58" s="40">
        <v>2.6589999999999998</v>
      </c>
      <c r="G58" s="40">
        <v>0</v>
      </c>
      <c r="H58" s="162">
        <v>3.2669999999999999</v>
      </c>
    </row>
    <row r="59" spans="1:8" x14ac:dyDescent="0.25">
      <c r="A59" s="161">
        <v>3</v>
      </c>
      <c r="B59" s="40">
        <v>1.0229999999999999</v>
      </c>
      <c r="C59" s="40">
        <v>0</v>
      </c>
      <c r="D59" s="40">
        <v>2.5739999999999998</v>
      </c>
      <c r="E59" s="40">
        <v>1.6930000000000001</v>
      </c>
      <c r="F59" s="40">
        <v>1.954</v>
      </c>
      <c r="G59" s="40">
        <v>0</v>
      </c>
      <c r="H59" s="162">
        <v>2.5680000000000001</v>
      </c>
    </row>
    <row r="60" spans="1:8" x14ac:dyDescent="0.25">
      <c r="A60" s="161">
        <v>4</v>
      </c>
      <c r="B60" s="40">
        <v>0.72899999999999998</v>
      </c>
      <c r="C60" s="40">
        <v>0</v>
      </c>
      <c r="D60" s="40">
        <v>2.282</v>
      </c>
      <c r="E60" s="40">
        <v>2.0590000000000002</v>
      </c>
      <c r="F60" s="40">
        <v>1.6279999999999999</v>
      </c>
      <c r="G60" s="40">
        <v>0</v>
      </c>
      <c r="H60" s="162">
        <v>2.266</v>
      </c>
    </row>
    <row r="61" spans="1:8" x14ac:dyDescent="0.25">
      <c r="A61" s="161">
        <v>5</v>
      </c>
      <c r="B61" s="40">
        <v>0.57699999999999996</v>
      </c>
      <c r="C61" s="40">
        <v>0</v>
      </c>
      <c r="D61" s="40">
        <v>2.1139999999999999</v>
      </c>
      <c r="E61" s="40">
        <v>2.3260000000000001</v>
      </c>
      <c r="F61" s="40">
        <v>1.427</v>
      </c>
      <c r="G61" s="40">
        <v>0</v>
      </c>
      <c r="H61" s="162">
        <v>2.089</v>
      </c>
    </row>
    <row r="62" spans="1:8" x14ac:dyDescent="0.25">
      <c r="A62" s="161">
        <v>6</v>
      </c>
      <c r="B62" s="40">
        <v>0.48299999999999998</v>
      </c>
      <c r="C62" s="40">
        <v>0</v>
      </c>
      <c r="D62" s="40">
        <v>2.004</v>
      </c>
      <c r="E62" s="40">
        <v>2.5339999999999998</v>
      </c>
      <c r="F62" s="40">
        <v>1.2869999999999999</v>
      </c>
      <c r="G62" s="40">
        <v>0.03</v>
      </c>
      <c r="H62" s="162">
        <v>1.97</v>
      </c>
    </row>
    <row r="63" spans="1:8" x14ac:dyDescent="0.25">
      <c r="A63" s="161">
        <v>7</v>
      </c>
      <c r="B63" s="40">
        <v>0.41899999999999998</v>
      </c>
      <c r="C63" s="40">
        <v>7.5999999999999998E-2</v>
      </c>
      <c r="D63" s="40">
        <v>1.9239999999999999</v>
      </c>
      <c r="E63" s="40">
        <v>2.7040000000000002</v>
      </c>
      <c r="F63" s="40">
        <v>1.1819999999999999</v>
      </c>
      <c r="G63" s="40">
        <v>0.11799999999999999</v>
      </c>
      <c r="H63" s="162">
        <v>1.8819999999999999</v>
      </c>
    </row>
    <row r="64" spans="1:8" x14ac:dyDescent="0.25">
      <c r="A64" s="161">
        <v>8</v>
      </c>
      <c r="B64" s="40">
        <v>0.373</v>
      </c>
      <c r="C64" s="40">
        <v>0.13600000000000001</v>
      </c>
      <c r="D64" s="40">
        <v>1.8640000000000001</v>
      </c>
      <c r="E64" s="40">
        <v>2.847</v>
      </c>
      <c r="F64" s="40">
        <v>1.099</v>
      </c>
      <c r="G64" s="40">
        <v>0.185</v>
      </c>
      <c r="H64" s="162">
        <v>1.8149999999999999</v>
      </c>
    </row>
    <row r="65" spans="1:8" x14ac:dyDescent="0.25">
      <c r="A65" s="161">
        <v>9</v>
      </c>
      <c r="B65" s="40">
        <v>0.33700000000000002</v>
      </c>
      <c r="C65" s="40">
        <v>0.184</v>
      </c>
      <c r="D65" s="40">
        <v>1.8160000000000001</v>
      </c>
      <c r="E65" s="40">
        <v>2.97</v>
      </c>
      <c r="F65" s="40">
        <v>1.032</v>
      </c>
      <c r="G65" s="40">
        <v>0.23899999999999999</v>
      </c>
      <c r="H65" s="162">
        <v>1.7609999999999999</v>
      </c>
    </row>
    <row r="66" spans="1:8" ht="13.8" thickBot="1" x14ac:dyDescent="0.3">
      <c r="A66" s="163">
        <v>10</v>
      </c>
      <c r="B66" s="164">
        <v>0.308</v>
      </c>
      <c r="C66" s="164">
        <v>0.223</v>
      </c>
      <c r="D66" s="164">
        <v>1.7769999999999999</v>
      </c>
      <c r="E66" s="164">
        <v>3.0779999999999998</v>
      </c>
      <c r="F66" s="164">
        <v>0.97499999999999998</v>
      </c>
      <c r="G66" s="164">
        <v>0.28399999999999997</v>
      </c>
      <c r="H66" s="165">
        <v>1.716</v>
      </c>
    </row>
  </sheetData>
  <mergeCells count="10">
    <mergeCell ref="C10:D10"/>
    <mergeCell ref="P10:Q10"/>
    <mergeCell ref="B56:H56"/>
    <mergeCell ref="Q2:T2"/>
    <mergeCell ref="A1:D1"/>
    <mergeCell ref="A7:C7"/>
    <mergeCell ref="P7:Q7"/>
    <mergeCell ref="P8:Q8"/>
    <mergeCell ref="C9:D9"/>
    <mergeCell ref="P9:Q9"/>
  </mergeCells>
  <dataValidations count="2">
    <dataValidation type="whole" allowBlank="1" showInputMessage="1" showErrorMessage="1" errorTitle="Input Error!" error="The sample size must be a whole number between 2 and 10." sqref="E7" xr:uid="{00000000-0002-0000-3300-000000000000}">
      <formula1>2</formula1>
      <formula2>10</formula2>
    </dataValidation>
    <dataValidation type="whole" allowBlank="1" showInputMessage="1" showErrorMessage="1" errorTitle="Input Error!" error="The number of samples must be a whole number no greater than 50." sqref="E6" xr:uid="{00000000-0002-0000-3300-000001000000}">
      <formula1>1</formula1>
      <formula2>50</formula2>
    </dataValidation>
  </dataValidations>
  <hyperlinks>
    <hyperlink ref="Q2" location="Menu!A1" display="Return to menu" xr:uid="{00000000-0004-0000-3300-000000000000}"/>
  </hyperlinks>
  <pageMargins left="0.75" right="0.75" top="1" bottom="1" header="0.5" footer="0.5"/>
  <pageSetup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6"/>
  <dimension ref="Q2:S2"/>
  <sheetViews>
    <sheetView showGridLines="0" zoomScale="70" zoomScaleNormal="70" workbookViewId="0">
      <selection activeCell="Q2" sqref="Q2:S2"/>
    </sheetView>
  </sheetViews>
  <sheetFormatPr defaultColWidth="8.88671875" defaultRowHeight="13.2" x14ac:dyDescent="0.25"/>
  <cols>
    <col min="1" max="16384" width="8.88671875" style="13"/>
  </cols>
  <sheetData>
    <row r="2" spans="17:19" ht="21" x14ac:dyDescent="0.4">
      <c r="Q2" s="1034" t="s">
        <v>19</v>
      </c>
      <c r="R2" s="1034"/>
      <c r="S2" s="1034"/>
    </row>
  </sheetData>
  <mergeCells count="1">
    <mergeCell ref="Q2:S2"/>
  </mergeCells>
  <hyperlinks>
    <hyperlink ref="Q2" location="Menu!A1" display="Return to menu" xr:uid="{00000000-0004-0000-3400-000000000000}"/>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8"/>
  <dimension ref="A1:M84"/>
  <sheetViews>
    <sheetView zoomScale="90" workbookViewId="0">
      <selection sqref="A1:E1"/>
    </sheetView>
  </sheetViews>
  <sheetFormatPr defaultColWidth="8.88671875" defaultRowHeight="13.2" x14ac:dyDescent="0.25"/>
  <cols>
    <col min="1" max="1" width="11.88671875" style="13" customWidth="1"/>
    <col min="2" max="2" width="10.44140625" style="13" customWidth="1"/>
    <col min="3" max="3" width="8" style="13" bestFit="1" customWidth="1"/>
    <col min="4" max="4" width="8.88671875" style="13" customWidth="1"/>
    <col min="5" max="5" width="9.44140625" style="13" bestFit="1" customWidth="1"/>
    <col min="6" max="6" width="6.6640625" style="13" customWidth="1"/>
    <col min="7" max="8" width="7" style="13" customWidth="1"/>
    <col min="9" max="256" width="8.88671875" style="13"/>
    <col min="257" max="257" width="11.88671875" style="13" customWidth="1"/>
    <col min="258" max="258" width="10.44140625" style="13" customWidth="1"/>
    <col min="259" max="259" width="8" style="13" bestFit="1" customWidth="1"/>
    <col min="260" max="260" width="8.88671875" style="13" customWidth="1"/>
    <col min="261" max="261" width="9.44140625" style="13" bestFit="1" customWidth="1"/>
    <col min="262" max="262" width="6.6640625" style="13" customWidth="1"/>
    <col min="263" max="264" width="7" style="13" customWidth="1"/>
    <col min="265" max="512" width="8.88671875" style="13"/>
    <col min="513" max="513" width="11.88671875" style="13" customWidth="1"/>
    <col min="514" max="514" width="10.44140625" style="13" customWidth="1"/>
    <col min="515" max="515" width="8" style="13" bestFit="1" customWidth="1"/>
    <col min="516" max="516" width="8.88671875" style="13" customWidth="1"/>
    <col min="517" max="517" width="9.44140625" style="13" bestFit="1" customWidth="1"/>
    <col min="518" max="518" width="6.6640625" style="13" customWidth="1"/>
    <col min="519" max="520" width="7" style="13" customWidth="1"/>
    <col min="521" max="768" width="8.88671875" style="13"/>
    <col min="769" max="769" width="11.88671875" style="13" customWidth="1"/>
    <col min="770" max="770" width="10.44140625" style="13" customWidth="1"/>
    <col min="771" max="771" width="8" style="13" bestFit="1" customWidth="1"/>
    <col min="772" max="772" width="8.88671875" style="13" customWidth="1"/>
    <col min="773" max="773" width="9.44140625" style="13" bestFit="1" customWidth="1"/>
    <col min="774" max="774" width="6.6640625" style="13" customWidth="1"/>
    <col min="775" max="776" width="7" style="13" customWidth="1"/>
    <col min="777" max="1024" width="8.88671875" style="13"/>
    <col min="1025" max="1025" width="11.88671875" style="13" customWidth="1"/>
    <col min="1026" max="1026" width="10.44140625" style="13" customWidth="1"/>
    <col min="1027" max="1027" width="8" style="13" bestFit="1" customWidth="1"/>
    <col min="1028" max="1028" width="8.88671875" style="13" customWidth="1"/>
    <col min="1029" max="1029" width="9.44140625" style="13" bestFit="1" customWidth="1"/>
    <col min="1030" max="1030" width="6.6640625" style="13" customWidth="1"/>
    <col min="1031" max="1032" width="7" style="13" customWidth="1"/>
    <col min="1033" max="1280" width="8.88671875" style="13"/>
    <col min="1281" max="1281" width="11.88671875" style="13" customWidth="1"/>
    <col min="1282" max="1282" width="10.44140625" style="13" customWidth="1"/>
    <col min="1283" max="1283" width="8" style="13" bestFit="1" customWidth="1"/>
    <col min="1284" max="1284" width="8.88671875" style="13" customWidth="1"/>
    <col min="1285" max="1285" width="9.44140625" style="13" bestFit="1" customWidth="1"/>
    <col min="1286" max="1286" width="6.6640625" style="13" customWidth="1"/>
    <col min="1287" max="1288" width="7" style="13" customWidth="1"/>
    <col min="1289" max="1536" width="8.88671875" style="13"/>
    <col min="1537" max="1537" width="11.88671875" style="13" customWidth="1"/>
    <col min="1538" max="1538" width="10.44140625" style="13" customWidth="1"/>
    <col min="1539" max="1539" width="8" style="13" bestFit="1" customWidth="1"/>
    <col min="1540" max="1540" width="8.88671875" style="13" customWidth="1"/>
    <col min="1541" max="1541" width="9.44140625" style="13" bestFit="1" customWidth="1"/>
    <col min="1542" max="1542" width="6.6640625" style="13" customWidth="1"/>
    <col min="1543" max="1544" width="7" style="13" customWidth="1"/>
    <col min="1545" max="1792" width="8.88671875" style="13"/>
    <col min="1793" max="1793" width="11.88671875" style="13" customWidth="1"/>
    <col min="1794" max="1794" width="10.44140625" style="13" customWidth="1"/>
    <col min="1795" max="1795" width="8" style="13" bestFit="1" customWidth="1"/>
    <col min="1796" max="1796" width="8.88671875" style="13" customWidth="1"/>
    <col min="1797" max="1797" width="9.44140625" style="13" bestFit="1" customWidth="1"/>
    <col min="1798" max="1798" width="6.6640625" style="13" customWidth="1"/>
    <col min="1799" max="1800" width="7" style="13" customWidth="1"/>
    <col min="1801" max="2048" width="8.88671875" style="13"/>
    <col min="2049" max="2049" width="11.88671875" style="13" customWidth="1"/>
    <col min="2050" max="2050" width="10.44140625" style="13" customWidth="1"/>
    <col min="2051" max="2051" width="8" style="13" bestFit="1" customWidth="1"/>
    <col min="2052" max="2052" width="8.88671875" style="13" customWidth="1"/>
    <col min="2053" max="2053" width="9.44140625" style="13" bestFit="1" customWidth="1"/>
    <col min="2054" max="2054" width="6.6640625" style="13" customWidth="1"/>
    <col min="2055" max="2056" width="7" style="13" customWidth="1"/>
    <col min="2057" max="2304" width="8.88671875" style="13"/>
    <col min="2305" max="2305" width="11.88671875" style="13" customWidth="1"/>
    <col min="2306" max="2306" width="10.44140625" style="13" customWidth="1"/>
    <col min="2307" max="2307" width="8" style="13" bestFit="1" customWidth="1"/>
    <col min="2308" max="2308" width="8.88671875" style="13" customWidth="1"/>
    <col min="2309" max="2309" width="9.44140625" style="13" bestFit="1" customWidth="1"/>
    <col min="2310" max="2310" width="6.6640625" style="13" customWidth="1"/>
    <col min="2311" max="2312" width="7" style="13" customWidth="1"/>
    <col min="2313" max="2560" width="8.88671875" style="13"/>
    <col min="2561" max="2561" width="11.88671875" style="13" customWidth="1"/>
    <col min="2562" max="2562" width="10.44140625" style="13" customWidth="1"/>
    <col min="2563" max="2563" width="8" style="13" bestFit="1" customWidth="1"/>
    <col min="2564" max="2564" width="8.88671875" style="13" customWidth="1"/>
    <col min="2565" max="2565" width="9.44140625" style="13" bestFit="1" customWidth="1"/>
    <col min="2566" max="2566" width="6.6640625" style="13" customWidth="1"/>
    <col min="2567" max="2568" width="7" style="13" customWidth="1"/>
    <col min="2569" max="2816" width="8.88671875" style="13"/>
    <col min="2817" max="2817" width="11.88671875" style="13" customWidth="1"/>
    <col min="2818" max="2818" width="10.44140625" style="13" customWidth="1"/>
    <col min="2819" max="2819" width="8" style="13" bestFit="1" customWidth="1"/>
    <col min="2820" max="2820" width="8.88671875" style="13" customWidth="1"/>
    <col min="2821" max="2821" width="9.44140625" style="13" bestFit="1" customWidth="1"/>
    <col min="2822" max="2822" width="6.6640625" style="13" customWidth="1"/>
    <col min="2823" max="2824" width="7" style="13" customWidth="1"/>
    <col min="2825" max="3072" width="8.88671875" style="13"/>
    <col min="3073" max="3073" width="11.88671875" style="13" customWidth="1"/>
    <col min="3074" max="3074" width="10.44140625" style="13" customWidth="1"/>
    <col min="3075" max="3075" width="8" style="13" bestFit="1" customWidth="1"/>
    <col min="3076" max="3076" width="8.88671875" style="13" customWidth="1"/>
    <col min="3077" max="3077" width="9.44140625" style="13" bestFit="1" customWidth="1"/>
    <col min="3078" max="3078" width="6.6640625" style="13" customWidth="1"/>
    <col min="3079" max="3080" width="7" style="13" customWidth="1"/>
    <col min="3081" max="3328" width="8.88671875" style="13"/>
    <col min="3329" max="3329" width="11.88671875" style="13" customWidth="1"/>
    <col min="3330" max="3330" width="10.44140625" style="13" customWidth="1"/>
    <col min="3331" max="3331" width="8" style="13" bestFit="1" customWidth="1"/>
    <col min="3332" max="3332" width="8.88671875" style="13" customWidth="1"/>
    <col min="3333" max="3333" width="9.44140625" style="13" bestFit="1" customWidth="1"/>
    <col min="3334" max="3334" width="6.6640625" style="13" customWidth="1"/>
    <col min="3335" max="3336" width="7" style="13" customWidth="1"/>
    <col min="3337" max="3584" width="8.88671875" style="13"/>
    <col min="3585" max="3585" width="11.88671875" style="13" customWidth="1"/>
    <col min="3586" max="3586" width="10.44140625" style="13" customWidth="1"/>
    <col min="3587" max="3587" width="8" style="13" bestFit="1" customWidth="1"/>
    <col min="3588" max="3588" width="8.88671875" style="13" customWidth="1"/>
    <col min="3589" max="3589" width="9.44140625" style="13" bestFit="1" customWidth="1"/>
    <col min="3590" max="3590" width="6.6640625" style="13" customWidth="1"/>
    <col min="3591" max="3592" width="7" style="13" customWidth="1"/>
    <col min="3593" max="3840" width="8.88671875" style="13"/>
    <col min="3841" max="3841" width="11.88671875" style="13" customWidth="1"/>
    <col min="3842" max="3842" width="10.44140625" style="13" customWidth="1"/>
    <col min="3843" max="3843" width="8" style="13" bestFit="1" customWidth="1"/>
    <col min="3844" max="3844" width="8.88671875" style="13" customWidth="1"/>
    <col min="3845" max="3845" width="9.44140625" style="13" bestFit="1" customWidth="1"/>
    <col min="3846" max="3846" width="6.6640625" style="13" customWidth="1"/>
    <col min="3847" max="3848" width="7" style="13" customWidth="1"/>
    <col min="3849" max="4096" width="8.88671875" style="13"/>
    <col min="4097" max="4097" width="11.88671875" style="13" customWidth="1"/>
    <col min="4098" max="4098" width="10.44140625" style="13" customWidth="1"/>
    <col min="4099" max="4099" width="8" style="13" bestFit="1" customWidth="1"/>
    <col min="4100" max="4100" width="8.88671875" style="13" customWidth="1"/>
    <col min="4101" max="4101" width="9.44140625" style="13" bestFit="1" customWidth="1"/>
    <col min="4102" max="4102" width="6.6640625" style="13" customWidth="1"/>
    <col min="4103" max="4104" width="7" style="13" customWidth="1"/>
    <col min="4105" max="4352" width="8.88671875" style="13"/>
    <col min="4353" max="4353" width="11.88671875" style="13" customWidth="1"/>
    <col min="4354" max="4354" width="10.44140625" style="13" customWidth="1"/>
    <col min="4355" max="4355" width="8" style="13" bestFit="1" customWidth="1"/>
    <col min="4356" max="4356" width="8.88671875" style="13" customWidth="1"/>
    <col min="4357" max="4357" width="9.44140625" style="13" bestFit="1" customWidth="1"/>
    <col min="4358" max="4358" width="6.6640625" style="13" customWidth="1"/>
    <col min="4359" max="4360" width="7" style="13" customWidth="1"/>
    <col min="4361" max="4608" width="8.88671875" style="13"/>
    <col min="4609" max="4609" width="11.88671875" style="13" customWidth="1"/>
    <col min="4610" max="4610" width="10.44140625" style="13" customWidth="1"/>
    <col min="4611" max="4611" width="8" style="13" bestFit="1" customWidth="1"/>
    <col min="4612" max="4612" width="8.88671875" style="13" customWidth="1"/>
    <col min="4613" max="4613" width="9.44140625" style="13" bestFit="1" customWidth="1"/>
    <col min="4614" max="4614" width="6.6640625" style="13" customWidth="1"/>
    <col min="4615" max="4616" width="7" style="13" customWidth="1"/>
    <col min="4617" max="4864" width="8.88671875" style="13"/>
    <col min="4865" max="4865" width="11.88671875" style="13" customWidth="1"/>
    <col min="4866" max="4866" width="10.44140625" style="13" customWidth="1"/>
    <col min="4867" max="4867" width="8" style="13" bestFit="1" customWidth="1"/>
    <col min="4868" max="4868" width="8.88671875" style="13" customWidth="1"/>
    <col min="4869" max="4869" width="9.44140625" style="13" bestFit="1" customWidth="1"/>
    <col min="4870" max="4870" width="6.6640625" style="13" customWidth="1"/>
    <col min="4871" max="4872" width="7" style="13" customWidth="1"/>
    <col min="4873" max="5120" width="8.88671875" style="13"/>
    <col min="5121" max="5121" width="11.88671875" style="13" customWidth="1"/>
    <col min="5122" max="5122" width="10.44140625" style="13" customWidth="1"/>
    <col min="5123" max="5123" width="8" style="13" bestFit="1" customWidth="1"/>
    <col min="5124" max="5124" width="8.88671875" style="13" customWidth="1"/>
    <col min="5125" max="5125" width="9.44140625" style="13" bestFit="1" customWidth="1"/>
    <col min="5126" max="5126" width="6.6640625" style="13" customWidth="1"/>
    <col min="5127" max="5128" width="7" style="13" customWidth="1"/>
    <col min="5129" max="5376" width="8.88671875" style="13"/>
    <col min="5377" max="5377" width="11.88671875" style="13" customWidth="1"/>
    <col min="5378" max="5378" width="10.44140625" style="13" customWidth="1"/>
    <col min="5379" max="5379" width="8" style="13" bestFit="1" customWidth="1"/>
    <col min="5380" max="5380" width="8.88671875" style="13" customWidth="1"/>
    <col min="5381" max="5381" width="9.44140625" style="13" bestFit="1" customWidth="1"/>
    <col min="5382" max="5382" width="6.6640625" style="13" customWidth="1"/>
    <col min="5383" max="5384" width="7" style="13" customWidth="1"/>
    <col min="5385" max="5632" width="8.88671875" style="13"/>
    <col min="5633" max="5633" width="11.88671875" style="13" customWidth="1"/>
    <col min="5634" max="5634" width="10.44140625" style="13" customWidth="1"/>
    <col min="5635" max="5635" width="8" style="13" bestFit="1" customWidth="1"/>
    <col min="5636" max="5636" width="8.88671875" style="13" customWidth="1"/>
    <col min="5637" max="5637" width="9.44140625" style="13" bestFit="1" customWidth="1"/>
    <col min="5638" max="5638" width="6.6640625" style="13" customWidth="1"/>
    <col min="5639" max="5640" width="7" style="13" customWidth="1"/>
    <col min="5641" max="5888" width="8.88671875" style="13"/>
    <col min="5889" max="5889" width="11.88671875" style="13" customWidth="1"/>
    <col min="5890" max="5890" width="10.44140625" style="13" customWidth="1"/>
    <col min="5891" max="5891" width="8" style="13" bestFit="1" customWidth="1"/>
    <col min="5892" max="5892" width="8.88671875" style="13" customWidth="1"/>
    <col min="5893" max="5893" width="9.44140625" style="13" bestFit="1" customWidth="1"/>
    <col min="5894" max="5894" width="6.6640625" style="13" customWidth="1"/>
    <col min="5895" max="5896" width="7" style="13" customWidth="1"/>
    <col min="5897" max="6144" width="8.88671875" style="13"/>
    <col min="6145" max="6145" width="11.88671875" style="13" customWidth="1"/>
    <col min="6146" max="6146" width="10.44140625" style="13" customWidth="1"/>
    <col min="6147" max="6147" width="8" style="13" bestFit="1" customWidth="1"/>
    <col min="6148" max="6148" width="8.88671875" style="13" customWidth="1"/>
    <col min="6149" max="6149" width="9.44140625" style="13" bestFit="1" customWidth="1"/>
    <col min="6150" max="6150" width="6.6640625" style="13" customWidth="1"/>
    <col min="6151" max="6152" width="7" style="13" customWidth="1"/>
    <col min="6153" max="6400" width="8.88671875" style="13"/>
    <col min="6401" max="6401" width="11.88671875" style="13" customWidth="1"/>
    <col min="6402" max="6402" width="10.44140625" style="13" customWidth="1"/>
    <col min="6403" max="6403" width="8" style="13" bestFit="1" customWidth="1"/>
    <col min="6404" max="6404" width="8.88671875" style="13" customWidth="1"/>
    <col min="6405" max="6405" width="9.44140625" style="13" bestFit="1" customWidth="1"/>
    <col min="6406" max="6406" width="6.6640625" style="13" customWidth="1"/>
    <col min="6407" max="6408" width="7" style="13" customWidth="1"/>
    <col min="6409" max="6656" width="8.88671875" style="13"/>
    <col min="6657" max="6657" width="11.88671875" style="13" customWidth="1"/>
    <col min="6658" max="6658" width="10.44140625" style="13" customWidth="1"/>
    <col min="6659" max="6659" width="8" style="13" bestFit="1" customWidth="1"/>
    <col min="6660" max="6660" width="8.88671875" style="13" customWidth="1"/>
    <col min="6661" max="6661" width="9.44140625" style="13" bestFit="1" customWidth="1"/>
    <col min="6662" max="6662" width="6.6640625" style="13" customWidth="1"/>
    <col min="6663" max="6664" width="7" style="13" customWidth="1"/>
    <col min="6665" max="6912" width="8.88671875" style="13"/>
    <col min="6913" max="6913" width="11.88671875" style="13" customWidth="1"/>
    <col min="6914" max="6914" width="10.44140625" style="13" customWidth="1"/>
    <col min="6915" max="6915" width="8" style="13" bestFit="1" customWidth="1"/>
    <col min="6916" max="6916" width="8.88671875" style="13" customWidth="1"/>
    <col min="6917" max="6917" width="9.44140625" style="13" bestFit="1" customWidth="1"/>
    <col min="6918" max="6918" width="6.6640625" style="13" customWidth="1"/>
    <col min="6919" max="6920" width="7" style="13" customWidth="1"/>
    <col min="6921" max="7168" width="8.88671875" style="13"/>
    <col min="7169" max="7169" width="11.88671875" style="13" customWidth="1"/>
    <col min="7170" max="7170" width="10.44140625" style="13" customWidth="1"/>
    <col min="7171" max="7171" width="8" style="13" bestFit="1" customWidth="1"/>
    <col min="7172" max="7172" width="8.88671875" style="13" customWidth="1"/>
    <col min="7173" max="7173" width="9.44140625" style="13" bestFit="1" customWidth="1"/>
    <col min="7174" max="7174" width="6.6640625" style="13" customWidth="1"/>
    <col min="7175" max="7176" width="7" style="13" customWidth="1"/>
    <col min="7177" max="7424" width="8.88671875" style="13"/>
    <col min="7425" max="7425" width="11.88671875" style="13" customWidth="1"/>
    <col min="7426" max="7426" width="10.44140625" style="13" customWidth="1"/>
    <col min="7427" max="7427" width="8" style="13" bestFit="1" customWidth="1"/>
    <col min="7428" max="7428" width="8.88671875" style="13" customWidth="1"/>
    <col min="7429" max="7429" width="9.44140625" style="13" bestFit="1" customWidth="1"/>
    <col min="7430" max="7430" width="6.6640625" style="13" customWidth="1"/>
    <col min="7431" max="7432" width="7" style="13" customWidth="1"/>
    <col min="7433" max="7680" width="8.88671875" style="13"/>
    <col min="7681" max="7681" width="11.88671875" style="13" customWidth="1"/>
    <col min="7682" max="7682" width="10.44140625" style="13" customWidth="1"/>
    <col min="7683" max="7683" width="8" style="13" bestFit="1" customWidth="1"/>
    <col min="7684" max="7684" width="8.88671875" style="13" customWidth="1"/>
    <col min="7685" max="7685" width="9.44140625" style="13" bestFit="1" customWidth="1"/>
    <col min="7686" max="7686" width="6.6640625" style="13" customWidth="1"/>
    <col min="7687" max="7688" width="7" style="13" customWidth="1"/>
    <col min="7689" max="7936" width="8.88671875" style="13"/>
    <col min="7937" max="7937" width="11.88671875" style="13" customWidth="1"/>
    <col min="7938" max="7938" width="10.44140625" style="13" customWidth="1"/>
    <col min="7939" max="7939" width="8" style="13" bestFit="1" customWidth="1"/>
    <col min="7940" max="7940" width="8.88671875" style="13" customWidth="1"/>
    <col min="7941" max="7941" width="9.44140625" style="13" bestFit="1" customWidth="1"/>
    <col min="7942" max="7942" width="6.6640625" style="13" customWidth="1"/>
    <col min="7943" max="7944" width="7" style="13" customWidth="1"/>
    <col min="7945" max="8192" width="8.88671875" style="13"/>
    <col min="8193" max="8193" width="11.88671875" style="13" customWidth="1"/>
    <col min="8194" max="8194" width="10.44140625" style="13" customWidth="1"/>
    <col min="8195" max="8195" width="8" style="13" bestFit="1" customWidth="1"/>
    <col min="8196" max="8196" width="8.88671875" style="13" customWidth="1"/>
    <col min="8197" max="8197" width="9.44140625" style="13" bestFit="1" customWidth="1"/>
    <col min="8198" max="8198" width="6.6640625" style="13" customWidth="1"/>
    <col min="8199" max="8200" width="7" style="13" customWidth="1"/>
    <col min="8201" max="8448" width="8.88671875" style="13"/>
    <col min="8449" max="8449" width="11.88671875" style="13" customWidth="1"/>
    <col min="8450" max="8450" width="10.44140625" style="13" customWidth="1"/>
    <col min="8451" max="8451" width="8" style="13" bestFit="1" customWidth="1"/>
    <col min="8452" max="8452" width="8.88671875" style="13" customWidth="1"/>
    <col min="8453" max="8453" width="9.44140625" style="13" bestFit="1" customWidth="1"/>
    <col min="8454" max="8454" width="6.6640625" style="13" customWidth="1"/>
    <col min="8455" max="8456" width="7" style="13" customWidth="1"/>
    <col min="8457" max="8704" width="8.88671875" style="13"/>
    <col min="8705" max="8705" width="11.88671875" style="13" customWidth="1"/>
    <col min="8706" max="8706" width="10.44140625" style="13" customWidth="1"/>
    <col min="8707" max="8707" width="8" style="13" bestFit="1" customWidth="1"/>
    <col min="8708" max="8708" width="8.88671875" style="13" customWidth="1"/>
    <col min="8709" max="8709" width="9.44140625" style="13" bestFit="1" customWidth="1"/>
    <col min="8710" max="8710" width="6.6640625" style="13" customWidth="1"/>
    <col min="8711" max="8712" width="7" style="13" customWidth="1"/>
    <col min="8713" max="8960" width="8.88671875" style="13"/>
    <col min="8961" max="8961" width="11.88671875" style="13" customWidth="1"/>
    <col min="8962" max="8962" width="10.44140625" style="13" customWidth="1"/>
    <col min="8963" max="8963" width="8" style="13" bestFit="1" customWidth="1"/>
    <col min="8964" max="8964" width="8.88671875" style="13" customWidth="1"/>
    <col min="8965" max="8965" width="9.44140625" style="13" bestFit="1" customWidth="1"/>
    <col min="8966" max="8966" width="6.6640625" style="13" customWidth="1"/>
    <col min="8967" max="8968" width="7" style="13" customWidth="1"/>
    <col min="8969" max="9216" width="8.88671875" style="13"/>
    <col min="9217" max="9217" width="11.88671875" style="13" customWidth="1"/>
    <col min="9218" max="9218" width="10.44140625" style="13" customWidth="1"/>
    <col min="9219" max="9219" width="8" style="13" bestFit="1" customWidth="1"/>
    <col min="9220" max="9220" width="8.88671875" style="13" customWidth="1"/>
    <col min="9221" max="9221" width="9.44140625" style="13" bestFit="1" customWidth="1"/>
    <col min="9222" max="9222" width="6.6640625" style="13" customWidth="1"/>
    <col min="9223" max="9224" width="7" style="13" customWidth="1"/>
    <col min="9225" max="9472" width="8.88671875" style="13"/>
    <col min="9473" max="9473" width="11.88671875" style="13" customWidth="1"/>
    <col min="9474" max="9474" width="10.44140625" style="13" customWidth="1"/>
    <col min="9475" max="9475" width="8" style="13" bestFit="1" customWidth="1"/>
    <col min="9476" max="9476" width="8.88671875" style="13" customWidth="1"/>
    <col min="9477" max="9477" width="9.44140625" style="13" bestFit="1" customWidth="1"/>
    <col min="9478" max="9478" width="6.6640625" style="13" customWidth="1"/>
    <col min="9479" max="9480" width="7" style="13" customWidth="1"/>
    <col min="9481" max="9728" width="8.88671875" style="13"/>
    <col min="9729" max="9729" width="11.88671875" style="13" customWidth="1"/>
    <col min="9730" max="9730" width="10.44140625" style="13" customWidth="1"/>
    <col min="9731" max="9731" width="8" style="13" bestFit="1" customWidth="1"/>
    <col min="9732" max="9732" width="8.88671875" style="13" customWidth="1"/>
    <col min="9733" max="9733" width="9.44140625" style="13" bestFit="1" customWidth="1"/>
    <col min="9734" max="9734" width="6.6640625" style="13" customWidth="1"/>
    <col min="9735" max="9736" width="7" style="13" customWidth="1"/>
    <col min="9737" max="9984" width="8.88671875" style="13"/>
    <col min="9985" max="9985" width="11.88671875" style="13" customWidth="1"/>
    <col min="9986" max="9986" width="10.44140625" style="13" customWidth="1"/>
    <col min="9987" max="9987" width="8" style="13" bestFit="1" customWidth="1"/>
    <col min="9988" max="9988" width="8.88671875" style="13" customWidth="1"/>
    <col min="9989" max="9989" width="9.44140625" style="13" bestFit="1" customWidth="1"/>
    <col min="9990" max="9990" width="6.6640625" style="13" customWidth="1"/>
    <col min="9991" max="9992" width="7" style="13" customWidth="1"/>
    <col min="9993" max="10240" width="8.88671875" style="13"/>
    <col min="10241" max="10241" width="11.88671875" style="13" customWidth="1"/>
    <col min="10242" max="10242" width="10.44140625" style="13" customWidth="1"/>
    <col min="10243" max="10243" width="8" style="13" bestFit="1" customWidth="1"/>
    <col min="10244" max="10244" width="8.88671875" style="13" customWidth="1"/>
    <col min="10245" max="10245" width="9.44140625" style="13" bestFit="1" customWidth="1"/>
    <col min="10246" max="10246" width="6.6640625" style="13" customWidth="1"/>
    <col min="10247" max="10248" width="7" style="13" customWidth="1"/>
    <col min="10249" max="10496" width="8.88671875" style="13"/>
    <col min="10497" max="10497" width="11.88671875" style="13" customWidth="1"/>
    <col min="10498" max="10498" width="10.44140625" style="13" customWidth="1"/>
    <col min="10499" max="10499" width="8" style="13" bestFit="1" customWidth="1"/>
    <col min="10500" max="10500" width="8.88671875" style="13" customWidth="1"/>
    <col min="10501" max="10501" width="9.44140625" style="13" bestFit="1" customWidth="1"/>
    <col min="10502" max="10502" width="6.6640625" style="13" customWidth="1"/>
    <col min="10503" max="10504" width="7" style="13" customWidth="1"/>
    <col min="10505" max="10752" width="8.88671875" style="13"/>
    <col min="10753" max="10753" width="11.88671875" style="13" customWidth="1"/>
    <col min="10754" max="10754" width="10.44140625" style="13" customWidth="1"/>
    <col min="10755" max="10755" width="8" style="13" bestFit="1" customWidth="1"/>
    <col min="10756" max="10756" width="8.88671875" style="13" customWidth="1"/>
    <col min="10757" max="10757" width="9.44140625" style="13" bestFit="1" customWidth="1"/>
    <col min="10758" max="10758" width="6.6640625" style="13" customWidth="1"/>
    <col min="10759" max="10760" width="7" style="13" customWidth="1"/>
    <col min="10761" max="11008" width="8.88671875" style="13"/>
    <col min="11009" max="11009" width="11.88671875" style="13" customWidth="1"/>
    <col min="11010" max="11010" width="10.44140625" style="13" customWidth="1"/>
    <col min="11011" max="11011" width="8" style="13" bestFit="1" customWidth="1"/>
    <col min="11012" max="11012" width="8.88671875" style="13" customWidth="1"/>
    <col min="11013" max="11013" width="9.44140625" style="13" bestFit="1" customWidth="1"/>
    <col min="11014" max="11014" width="6.6640625" style="13" customWidth="1"/>
    <col min="11015" max="11016" width="7" style="13" customWidth="1"/>
    <col min="11017" max="11264" width="8.88671875" style="13"/>
    <col min="11265" max="11265" width="11.88671875" style="13" customWidth="1"/>
    <col min="11266" max="11266" width="10.44140625" style="13" customWidth="1"/>
    <col min="11267" max="11267" width="8" style="13" bestFit="1" customWidth="1"/>
    <col min="11268" max="11268" width="8.88671875" style="13" customWidth="1"/>
    <col min="11269" max="11269" width="9.44140625" style="13" bestFit="1" customWidth="1"/>
    <col min="11270" max="11270" width="6.6640625" style="13" customWidth="1"/>
    <col min="11271" max="11272" width="7" style="13" customWidth="1"/>
    <col min="11273" max="11520" width="8.88671875" style="13"/>
    <col min="11521" max="11521" width="11.88671875" style="13" customWidth="1"/>
    <col min="11522" max="11522" width="10.44140625" style="13" customWidth="1"/>
    <col min="11523" max="11523" width="8" style="13" bestFit="1" customWidth="1"/>
    <col min="11524" max="11524" width="8.88671875" style="13" customWidth="1"/>
    <col min="11525" max="11525" width="9.44140625" style="13" bestFit="1" customWidth="1"/>
    <col min="11526" max="11526" width="6.6640625" style="13" customWidth="1"/>
    <col min="11527" max="11528" width="7" style="13" customWidth="1"/>
    <col min="11529" max="11776" width="8.88671875" style="13"/>
    <col min="11777" max="11777" width="11.88671875" style="13" customWidth="1"/>
    <col min="11778" max="11778" width="10.44140625" style="13" customWidth="1"/>
    <col min="11779" max="11779" width="8" style="13" bestFit="1" customWidth="1"/>
    <col min="11780" max="11780" width="8.88671875" style="13" customWidth="1"/>
    <col min="11781" max="11781" width="9.44140625" style="13" bestFit="1" customWidth="1"/>
    <col min="11782" max="11782" width="6.6640625" style="13" customWidth="1"/>
    <col min="11783" max="11784" width="7" style="13" customWidth="1"/>
    <col min="11785" max="12032" width="8.88671875" style="13"/>
    <col min="12033" max="12033" width="11.88671875" style="13" customWidth="1"/>
    <col min="12034" max="12034" width="10.44140625" style="13" customWidth="1"/>
    <col min="12035" max="12035" width="8" style="13" bestFit="1" customWidth="1"/>
    <col min="12036" max="12036" width="8.88671875" style="13" customWidth="1"/>
    <col min="12037" max="12037" width="9.44140625" style="13" bestFit="1" customWidth="1"/>
    <col min="12038" max="12038" width="6.6640625" style="13" customWidth="1"/>
    <col min="12039" max="12040" width="7" style="13" customWidth="1"/>
    <col min="12041" max="12288" width="8.88671875" style="13"/>
    <col min="12289" max="12289" width="11.88671875" style="13" customWidth="1"/>
    <col min="12290" max="12290" width="10.44140625" style="13" customWidth="1"/>
    <col min="12291" max="12291" width="8" style="13" bestFit="1" customWidth="1"/>
    <col min="12292" max="12292" width="8.88671875" style="13" customWidth="1"/>
    <col min="12293" max="12293" width="9.44140625" style="13" bestFit="1" customWidth="1"/>
    <col min="12294" max="12294" width="6.6640625" style="13" customWidth="1"/>
    <col min="12295" max="12296" width="7" style="13" customWidth="1"/>
    <col min="12297" max="12544" width="8.88671875" style="13"/>
    <col min="12545" max="12545" width="11.88671875" style="13" customWidth="1"/>
    <col min="12546" max="12546" width="10.44140625" style="13" customWidth="1"/>
    <col min="12547" max="12547" width="8" style="13" bestFit="1" customWidth="1"/>
    <col min="12548" max="12548" width="8.88671875" style="13" customWidth="1"/>
    <col min="12549" max="12549" width="9.44140625" style="13" bestFit="1" customWidth="1"/>
    <col min="12550" max="12550" width="6.6640625" style="13" customWidth="1"/>
    <col min="12551" max="12552" width="7" style="13" customWidth="1"/>
    <col min="12553" max="12800" width="8.88671875" style="13"/>
    <col min="12801" max="12801" width="11.88671875" style="13" customWidth="1"/>
    <col min="12802" max="12802" width="10.44140625" style="13" customWidth="1"/>
    <col min="12803" max="12803" width="8" style="13" bestFit="1" customWidth="1"/>
    <col min="12804" max="12804" width="8.88671875" style="13" customWidth="1"/>
    <col min="12805" max="12805" width="9.44140625" style="13" bestFit="1" customWidth="1"/>
    <col min="12806" max="12806" width="6.6640625" style="13" customWidth="1"/>
    <col min="12807" max="12808" width="7" style="13" customWidth="1"/>
    <col min="12809" max="13056" width="8.88671875" style="13"/>
    <col min="13057" max="13057" width="11.88671875" style="13" customWidth="1"/>
    <col min="13058" max="13058" width="10.44140625" style="13" customWidth="1"/>
    <col min="13059" max="13059" width="8" style="13" bestFit="1" customWidth="1"/>
    <col min="13060" max="13060" width="8.88671875" style="13" customWidth="1"/>
    <col min="13061" max="13061" width="9.44140625" style="13" bestFit="1" customWidth="1"/>
    <col min="13062" max="13062" width="6.6640625" style="13" customWidth="1"/>
    <col min="13063" max="13064" width="7" style="13" customWidth="1"/>
    <col min="13065" max="13312" width="8.88671875" style="13"/>
    <col min="13313" max="13313" width="11.88671875" style="13" customWidth="1"/>
    <col min="13314" max="13314" width="10.44140625" style="13" customWidth="1"/>
    <col min="13315" max="13315" width="8" style="13" bestFit="1" customWidth="1"/>
    <col min="13316" max="13316" width="8.88671875" style="13" customWidth="1"/>
    <col min="13317" max="13317" width="9.44140625" style="13" bestFit="1" customWidth="1"/>
    <col min="13318" max="13318" width="6.6640625" style="13" customWidth="1"/>
    <col min="13319" max="13320" width="7" style="13" customWidth="1"/>
    <col min="13321" max="13568" width="8.88671875" style="13"/>
    <col min="13569" max="13569" width="11.88671875" style="13" customWidth="1"/>
    <col min="13570" max="13570" width="10.44140625" style="13" customWidth="1"/>
    <col min="13571" max="13571" width="8" style="13" bestFit="1" customWidth="1"/>
    <col min="13572" max="13572" width="8.88671875" style="13" customWidth="1"/>
    <col min="13573" max="13573" width="9.44140625" style="13" bestFit="1" customWidth="1"/>
    <col min="13574" max="13574" width="6.6640625" style="13" customWidth="1"/>
    <col min="13575" max="13576" width="7" style="13" customWidth="1"/>
    <col min="13577" max="13824" width="8.88671875" style="13"/>
    <col min="13825" max="13825" width="11.88671875" style="13" customWidth="1"/>
    <col min="13826" max="13826" width="10.44140625" style="13" customWidth="1"/>
    <col min="13827" max="13827" width="8" style="13" bestFit="1" customWidth="1"/>
    <col min="13828" max="13828" width="8.88671875" style="13" customWidth="1"/>
    <col min="13829" max="13829" width="9.44140625" style="13" bestFit="1" customWidth="1"/>
    <col min="13830" max="13830" width="6.6640625" style="13" customWidth="1"/>
    <col min="13831" max="13832" width="7" style="13" customWidth="1"/>
    <col min="13833" max="14080" width="8.88671875" style="13"/>
    <col min="14081" max="14081" width="11.88671875" style="13" customWidth="1"/>
    <col min="14082" max="14082" width="10.44140625" style="13" customWidth="1"/>
    <col min="14083" max="14083" width="8" style="13" bestFit="1" customWidth="1"/>
    <col min="14084" max="14084" width="8.88671875" style="13" customWidth="1"/>
    <col min="14085" max="14085" width="9.44140625" style="13" bestFit="1" customWidth="1"/>
    <col min="14086" max="14086" width="6.6640625" style="13" customWidth="1"/>
    <col min="14087" max="14088" width="7" style="13" customWidth="1"/>
    <col min="14089" max="14336" width="8.88671875" style="13"/>
    <col min="14337" max="14337" width="11.88671875" style="13" customWidth="1"/>
    <col min="14338" max="14338" width="10.44140625" style="13" customWidth="1"/>
    <col min="14339" max="14339" width="8" style="13" bestFit="1" customWidth="1"/>
    <col min="14340" max="14340" width="8.88671875" style="13" customWidth="1"/>
    <col min="14341" max="14341" width="9.44140625" style="13" bestFit="1" customWidth="1"/>
    <col min="14342" max="14342" width="6.6640625" style="13" customWidth="1"/>
    <col min="14343" max="14344" width="7" style="13" customWidth="1"/>
    <col min="14345" max="14592" width="8.88671875" style="13"/>
    <col min="14593" max="14593" width="11.88671875" style="13" customWidth="1"/>
    <col min="14594" max="14594" width="10.44140625" style="13" customWidth="1"/>
    <col min="14595" max="14595" width="8" style="13" bestFit="1" customWidth="1"/>
    <col min="14596" max="14596" width="8.88671875" style="13" customWidth="1"/>
    <col min="14597" max="14597" width="9.44140625" style="13" bestFit="1" customWidth="1"/>
    <col min="14598" max="14598" width="6.6640625" style="13" customWidth="1"/>
    <col min="14599" max="14600" width="7" style="13" customWidth="1"/>
    <col min="14601" max="14848" width="8.88671875" style="13"/>
    <col min="14849" max="14849" width="11.88671875" style="13" customWidth="1"/>
    <col min="14850" max="14850" width="10.44140625" style="13" customWidth="1"/>
    <col min="14851" max="14851" width="8" style="13" bestFit="1" customWidth="1"/>
    <col min="14852" max="14852" width="8.88671875" style="13" customWidth="1"/>
    <col min="14853" max="14853" width="9.44140625" style="13" bestFit="1" customWidth="1"/>
    <col min="14854" max="14854" width="6.6640625" style="13" customWidth="1"/>
    <col min="14855" max="14856" width="7" style="13" customWidth="1"/>
    <col min="14857" max="15104" width="8.88671875" style="13"/>
    <col min="15105" max="15105" width="11.88671875" style="13" customWidth="1"/>
    <col min="15106" max="15106" width="10.44140625" style="13" customWidth="1"/>
    <col min="15107" max="15107" width="8" style="13" bestFit="1" customWidth="1"/>
    <col min="15108" max="15108" width="8.88671875" style="13" customWidth="1"/>
    <col min="15109" max="15109" width="9.44140625" style="13" bestFit="1" customWidth="1"/>
    <col min="15110" max="15110" width="6.6640625" style="13" customWidth="1"/>
    <col min="15111" max="15112" width="7" style="13" customWidth="1"/>
    <col min="15113" max="15360" width="8.88671875" style="13"/>
    <col min="15361" max="15361" width="11.88671875" style="13" customWidth="1"/>
    <col min="15362" max="15362" width="10.44140625" style="13" customWidth="1"/>
    <col min="15363" max="15363" width="8" style="13" bestFit="1" customWidth="1"/>
    <col min="15364" max="15364" width="8.88671875" style="13" customWidth="1"/>
    <col min="15365" max="15365" width="9.44140625" style="13" bestFit="1" customWidth="1"/>
    <col min="15366" max="15366" width="6.6640625" style="13" customWidth="1"/>
    <col min="15367" max="15368" width="7" style="13" customWidth="1"/>
    <col min="15369" max="15616" width="8.88671875" style="13"/>
    <col min="15617" max="15617" width="11.88671875" style="13" customWidth="1"/>
    <col min="15618" max="15618" width="10.44140625" style="13" customWidth="1"/>
    <col min="15619" max="15619" width="8" style="13" bestFit="1" customWidth="1"/>
    <col min="15620" max="15620" width="8.88671875" style="13" customWidth="1"/>
    <col min="15621" max="15621" width="9.44140625" style="13" bestFit="1" customWidth="1"/>
    <col min="15622" max="15622" width="6.6640625" style="13" customWidth="1"/>
    <col min="15623" max="15624" width="7" style="13" customWidth="1"/>
    <col min="15625" max="15872" width="8.88671875" style="13"/>
    <col min="15873" max="15873" width="11.88671875" style="13" customWidth="1"/>
    <col min="15874" max="15874" width="10.44140625" style="13" customWidth="1"/>
    <col min="15875" max="15875" width="8" style="13" bestFit="1" customWidth="1"/>
    <col min="15876" max="15876" width="8.88671875" style="13" customWidth="1"/>
    <col min="15877" max="15877" width="9.44140625" style="13" bestFit="1" customWidth="1"/>
    <col min="15878" max="15878" width="6.6640625" style="13" customWidth="1"/>
    <col min="15879" max="15880" width="7" style="13" customWidth="1"/>
    <col min="15881" max="16128" width="8.88671875" style="13"/>
    <col min="16129" max="16129" width="11.88671875" style="13" customWidth="1"/>
    <col min="16130" max="16130" width="10.44140625" style="13" customWidth="1"/>
    <col min="16131" max="16131" width="8" style="13" bestFit="1" customWidth="1"/>
    <col min="16132" max="16132" width="8.88671875" style="13" customWidth="1"/>
    <col min="16133" max="16133" width="9.44140625" style="13" bestFit="1" customWidth="1"/>
    <col min="16134" max="16134" width="6.6640625" style="13" customWidth="1"/>
    <col min="16135" max="16136" width="7" style="13" customWidth="1"/>
    <col min="16137" max="16384" width="8.88671875" style="13"/>
  </cols>
  <sheetData>
    <row r="1" spans="1:13" ht="21" x14ac:dyDescent="0.4">
      <c r="A1" s="1110" t="s">
        <v>238</v>
      </c>
      <c r="B1" s="1110"/>
      <c r="C1" s="1110"/>
      <c r="D1" s="1110"/>
      <c r="E1" s="1110"/>
      <c r="K1" s="1034" t="s">
        <v>19</v>
      </c>
      <c r="L1" s="1034"/>
      <c r="M1" s="1034"/>
    </row>
    <row r="2" spans="1:13" x14ac:dyDescent="0.25">
      <c r="A2" s="277" t="s">
        <v>239</v>
      </c>
    </row>
    <row r="3" spans="1:13" x14ac:dyDescent="0.25">
      <c r="A3" s="139" t="s">
        <v>209</v>
      </c>
    </row>
    <row r="4" spans="1:13" ht="13.8" thickBot="1" x14ac:dyDescent="0.3"/>
    <row r="5" spans="1:13" ht="16.2" thickBot="1" x14ac:dyDescent="0.35">
      <c r="A5" s="294" t="s">
        <v>240</v>
      </c>
      <c r="B5" s="295"/>
      <c r="C5" s="1204">
        <f>SUMIF(B10:B84,"&gt;-99999",B10:B84)/SUM(C10:C84)</f>
        <v>0.30232558139534882</v>
      </c>
      <c r="D5" s="1205"/>
      <c r="K5" s="137" t="s">
        <v>365</v>
      </c>
    </row>
    <row r="6" spans="1:13" x14ac:dyDescent="0.25">
      <c r="A6" s="151"/>
    </row>
    <row r="7" spans="1:13" x14ac:dyDescent="0.25">
      <c r="C7" s="143" t="s">
        <v>213</v>
      </c>
      <c r="E7" s="143"/>
      <c r="F7" s="143"/>
      <c r="G7" s="143"/>
    </row>
    <row r="8" spans="1:13" x14ac:dyDescent="0.25">
      <c r="B8" s="143" t="s">
        <v>241</v>
      </c>
      <c r="C8" s="143" t="s">
        <v>242</v>
      </c>
      <c r="D8" s="143" t="s">
        <v>243</v>
      </c>
      <c r="E8" s="143" t="s">
        <v>232</v>
      </c>
    </row>
    <row r="9" spans="1:13" ht="13.8" thickBot="1" x14ac:dyDescent="0.3">
      <c r="A9" s="143" t="s">
        <v>213</v>
      </c>
      <c r="B9" s="143" t="s">
        <v>214</v>
      </c>
      <c r="C9" s="143" t="s">
        <v>234</v>
      </c>
      <c r="D9" s="143" t="s">
        <v>244</v>
      </c>
      <c r="E9" s="143" t="s">
        <v>235</v>
      </c>
      <c r="F9" s="143" t="s">
        <v>245</v>
      </c>
      <c r="G9" s="143" t="s">
        <v>216</v>
      </c>
      <c r="H9" s="143" t="s">
        <v>246</v>
      </c>
    </row>
    <row r="10" spans="1:13" x14ac:dyDescent="0.25">
      <c r="A10" s="13">
        <v>1</v>
      </c>
      <c r="B10" s="298">
        <v>2</v>
      </c>
      <c r="C10" s="299">
        <v>10</v>
      </c>
      <c r="D10" s="300">
        <f>IF(C10&lt;&gt;"",B10/C10,NA())</f>
        <v>0.2</v>
      </c>
      <c r="E10" s="13">
        <f>IF(C10&lt;&gt;"",SQRT($C$5/C10),NA())</f>
        <v>0.17387512225598831</v>
      </c>
      <c r="F10" s="13">
        <f>IF(B10&lt;&gt;"",MAX(0,$C$5-3*E10),NA())</f>
        <v>0</v>
      </c>
      <c r="G10" s="13">
        <f>IF(B10&lt;&gt;"",$C$5,NA())</f>
        <v>0.30232558139534882</v>
      </c>
      <c r="H10" s="13">
        <f>IF(C10&lt;&gt;"",MAX(0,$C$5+3*E10),NA())</f>
        <v>0.82395094816331371</v>
      </c>
    </row>
    <row r="11" spans="1:13" x14ac:dyDescent="0.25">
      <c r="A11" s="13">
        <v>2</v>
      </c>
      <c r="B11" s="301">
        <v>3</v>
      </c>
      <c r="C11" s="302">
        <v>12</v>
      </c>
      <c r="D11" s="300">
        <f t="shared" ref="D11:D74" si="0">IF(C11&lt;&gt;"",B11/C11,NA())</f>
        <v>0.25</v>
      </c>
      <c r="E11" s="13">
        <f t="shared" ref="E11:E74" si="1">IF(C11&lt;&gt;"",SQRT($C$5/C11),NA())</f>
        <v>0.1587255444142889</v>
      </c>
      <c r="F11" s="13">
        <f t="shared" ref="F11:F74" si="2">IF(B11&lt;&gt;"",MAX(0,$C$5-3*E11),NA())</f>
        <v>0</v>
      </c>
      <c r="G11" s="13">
        <f t="shared" ref="G11:G74" si="3">IF(B11&lt;&gt;"",$C$5,NA())</f>
        <v>0.30232558139534882</v>
      </c>
      <c r="H11" s="13">
        <f t="shared" ref="H11:H74" si="4">IF(C11&lt;&gt;"",MAX(0,$C$5+3*E11),NA())</f>
        <v>0.77850221463821556</v>
      </c>
    </row>
    <row r="12" spans="1:13" x14ac:dyDescent="0.25">
      <c r="A12" s="13">
        <v>3</v>
      </c>
      <c r="B12" s="301">
        <v>6</v>
      </c>
      <c r="C12" s="302">
        <v>11</v>
      </c>
      <c r="D12" s="300">
        <f t="shared" si="0"/>
        <v>0.54545454545454541</v>
      </c>
      <c r="E12" s="13">
        <f t="shared" si="1"/>
        <v>0.16578342427158854</v>
      </c>
      <c r="F12" s="13">
        <f t="shared" si="2"/>
        <v>0</v>
      </c>
      <c r="G12" s="13">
        <f t="shared" si="3"/>
        <v>0.30232558139534882</v>
      </c>
      <c r="H12" s="13">
        <f t="shared" si="4"/>
        <v>0.79967585421011445</v>
      </c>
    </row>
    <row r="13" spans="1:13" x14ac:dyDescent="0.25">
      <c r="A13" s="13">
        <v>4</v>
      </c>
      <c r="B13" s="301">
        <v>2</v>
      </c>
      <c r="C13" s="302">
        <v>10</v>
      </c>
      <c r="D13" s="300">
        <f t="shared" si="0"/>
        <v>0.2</v>
      </c>
      <c r="E13" s="13">
        <f t="shared" si="1"/>
        <v>0.17387512225598831</v>
      </c>
      <c r="F13" s="13">
        <f t="shared" si="2"/>
        <v>0</v>
      </c>
      <c r="G13" s="13">
        <f t="shared" si="3"/>
        <v>0.30232558139534882</v>
      </c>
      <c r="H13" s="13">
        <f t="shared" si="4"/>
        <v>0.82395094816331371</v>
      </c>
    </row>
    <row r="14" spans="1:13" x14ac:dyDescent="0.25">
      <c r="A14" s="13">
        <v>5</v>
      </c>
      <c r="B14" s="301"/>
      <c r="C14" s="302"/>
      <c r="D14" s="300" t="e">
        <f t="shared" si="0"/>
        <v>#N/A</v>
      </c>
      <c r="E14" s="13" t="e">
        <f t="shared" si="1"/>
        <v>#N/A</v>
      </c>
      <c r="F14" s="13" t="e">
        <f t="shared" si="2"/>
        <v>#N/A</v>
      </c>
      <c r="G14" s="13" t="e">
        <f t="shared" si="3"/>
        <v>#N/A</v>
      </c>
      <c r="H14" s="13" t="e">
        <f t="shared" si="4"/>
        <v>#N/A</v>
      </c>
    </row>
    <row r="15" spans="1:13" x14ac:dyDescent="0.25">
      <c r="A15" s="13">
        <v>6</v>
      </c>
      <c r="B15" s="301"/>
      <c r="C15" s="302"/>
      <c r="D15" s="300" t="e">
        <f t="shared" si="0"/>
        <v>#N/A</v>
      </c>
      <c r="E15" s="13" t="e">
        <f t="shared" si="1"/>
        <v>#N/A</v>
      </c>
      <c r="F15" s="13" t="e">
        <f t="shared" si="2"/>
        <v>#N/A</v>
      </c>
      <c r="G15" s="13" t="e">
        <f t="shared" si="3"/>
        <v>#N/A</v>
      </c>
      <c r="H15" s="13" t="e">
        <f t="shared" si="4"/>
        <v>#N/A</v>
      </c>
    </row>
    <row r="16" spans="1:13" x14ac:dyDescent="0.25">
      <c r="A16" s="13">
        <v>7</v>
      </c>
      <c r="B16" s="301"/>
      <c r="C16" s="302"/>
      <c r="D16" s="300" t="e">
        <f t="shared" si="0"/>
        <v>#N/A</v>
      </c>
      <c r="E16" s="13" t="e">
        <f t="shared" si="1"/>
        <v>#N/A</v>
      </c>
      <c r="F16" s="13" t="e">
        <f t="shared" si="2"/>
        <v>#N/A</v>
      </c>
      <c r="G16" s="13" t="e">
        <f t="shared" si="3"/>
        <v>#N/A</v>
      </c>
      <c r="H16" s="13" t="e">
        <f t="shared" si="4"/>
        <v>#N/A</v>
      </c>
    </row>
    <row r="17" spans="1:8" x14ac:dyDescent="0.25">
      <c r="A17" s="13">
        <v>8</v>
      </c>
      <c r="B17" s="301"/>
      <c r="C17" s="302"/>
      <c r="D17" s="300" t="e">
        <f t="shared" si="0"/>
        <v>#N/A</v>
      </c>
      <c r="E17" s="13" t="e">
        <f t="shared" si="1"/>
        <v>#N/A</v>
      </c>
      <c r="F17" s="13" t="e">
        <f t="shared" si="2"/>
        <v>#N/A</v>
      </c>
      <c r="G17" s="13" t="e">
        <f t="shared" si="3"/>
        <v>#N/A</v>
      </c>
      <c r="H17" s="13" t="e">
        <f t="shared" si="4"/>
        <v>#N/A</v>
      </c>
    </row>
    <row r="18" spans="1:8" x14ac:dyDescent="0.25">
      <c r="A18" s="13">
        <v>9</v>
      </c>
      <c r="B18" s="301"/>
      <c r="C18" s="302"/>
      <c r="D18" s="300" t="e">
        <f t="shared" si="0"/>
        <v>#N/A</v>
      </c>
      <c r="E18" s="13" t="e">
        <f t="shared" si="1"/>
        <v>#N/A</v>
      </c>
      <c r="F18" s="13" t="e">
        <f t="shared" si="2"/>
        <v>#N/A</v>
      </c>
      <c r="G18" s="13" t="e">
        <f t="shared" si="3"/>
        <v>#N/A</v>
      </c>
      <c r="H18" s="13" t="e">
        <f t="shared" si="4"/>
        <v>#N/A</v>
      </c>
    </row>
    <row r="19" spans="1:8" x14ac:dyDescent="0.25">
      <c r="A19" s="13">
        <v>10</v>
      </c>
      <c r="B19" s="301"/>
      <c r="C19" s="302"/>
      <c r="D19" s="300" t="e">
        <f t="shared" si="0"/>
        <v>#N/A</v>
      </c>
      <c r="E19" s="13" t="e">
        <f t="shared" si="1"/>
        <v>#N/A</v>
      </c>
      <c r="F19" s="13" t="e">
        <f t="shared" si="2"/>
        <v>#N/A</v>
      </c>
      <c r="G19" s="13" t="e">
        <f t="shared" si="3"/>
        <v>#N/A</v>
      </c>
      <c r="H19" s="13" t="e">
        <f t="shared" si="4"/>
        <v>#N/A</v>
      </c>
    </row>
    <row r="20" spans="1:8" x14ac:dyDescent="0.25">
      <c r="A20" s="13">
        <v>11</v>
      </c>
      <c r="B20" s="301"/>
      <c r="C20" s="302"/>
      <c r="D20" s="300" t="e">
        <f t="shared" si="0"/>
        <v>#N/A</v>
      </c>
      <c r="E20" s="13" t="e">
        <f t="shared" si="1"/>
        <v>#N/A</v>
      </c>
      <c r="F20" s="13" t="e">
        <f t="shared" si="2"/>
        <v>#N/A</v>
      </c>
      <c r="G20" s="13" t="e">
        <f t="shared" si="3"/>
        <v>#N/A</v>
      </c>
      <c r="H20" s="13" t="e">
        <f t="shared" si="4"/>
        <v>#N/A</v>
      </c>
    </row>
    <row r="21" spans="1:8" x14ac:dyDescent="0.25">
      <c r="A21" s="13">
        <v>12</v>
      </c>
      <c r="B21" s="301"/>
      <c r="C21" s="302"/>
      <c r="D21" s="300" t="e">
        <f t="shared" si="0"/>
        <v>#N/A</v>
      </c>
      <c r="E21" s="13" t="e">
        <f t="shared" si="1"/>
        <v>#N/A</v>
      </c>
      <c r="F21" s="13" t="e">
        <f t="shared" si="2"/>
        <v>#N/A</v>
      </c>
      <c r="G21" s="13" t="e">
        <f t="shared" si="3"/>
        <v>#N/A</v>
      </c>
      <c r="H21" s="13" t="e">
        <f t="shared" si="4"/>
        <v>#N/A</v>
      </c>
    </row>
    <row r="22" spans="1:8" x14ac:dyDescent="0.25">
      <c r="A22" s="13">
        <v>13</v>
      </c>
      <c r="B22" s="301"/>
      <c r="C22" s="302"/>
      <c r="D22" s="300" t="e">
        <f t="shared" si="0"/>
        <v>#N/A</v>
      </c>
      <c r="E22" s="13" t="e">
        <f t="shared" si="1"/>
        <v>#N/A</v>
      </c>
      <c r="F22" s="13" t="e">
        <f t="shared" si="2"/>
        <v>#N/A</v>
      </c>
      <c r="G22" s="13" t="e">
        <f t="shared" si="3"/>
        <v>#N/A</v>
      </c>
      <c r="H22" s="13" t="e">
        <f t="shared" si="4"/>
        <v>#N/A</v>
      </c>
    </row>
    <row r="23" spans="1:8" x14ac:dyDescent="0.25">
      <c r="A23" s="13">
        <v>14</v>
      </c>
      <c r="B23" s="301"/>
      <c r="C23" s="302"/>
      <c r="D23" s="300" t="e">
        <f t="shared" si="0"/>
        <v>#N/A</v>
      </c>
      <c r="E23" s="13" t="e">
        <f t="shared" si="1"/>
        <v>#N/A</v>
      </c>
      <c r="F23" s="13" t="e">
        <f t="shared" si="2"/>
        <v>#N/A</v>
      </c>
      <c r="G23" s="13" t="e">
        <f t="shared" si="3"/>
        <v>#N/A</v>
      </c>
      <c r="H23" s="13" t="e">
        <f t="shared" si="4"/>
        <v>#N/A</v>
      </c>
    </row>
    <row r="24" spans="1:8" x14ac:dyDescent="0.25">
      <c r="A24" s="13">
        <v>15</v>
      </c>
      <c r="B24" s="301"/>
      <c r="C24" s="302"/>
      <c r="D24" s="300" t="e">
        <f t="shared" si="0"/>
        <v>#N/A</v>
      </c>
      <c r="E24" s="13" t="e">
        <f t="shared" si="1"/>
        <v>#N/A</v>
      </c>
      <c r="F24" s="13" t="e">
        <f t="shared" si="2"/>
        <v>#N/A</v>
      </c>
      <c r="G24" s="13" t="e">
        <f t="shared" si="3"/>
        <v>#N/A</v>
      </c>
      <c r="H24" s="13" t="e">
        <f t="shared" si="4"/>
        <v>#N/A</v>
      </c>
    </row>
    <row r="25" spans="1:8" x14ac:dyDescent="0.25">
      <c r="A25" s="13">
        <v>16</v>
      </c>
      <c r="B25" s="301"/>
      <c r="C25" s="302"/>
      <c r="D25" s="300" t="e">
        <f t="shared" si="0"/>
        <v>#N/A</v>
      </c>
      <c r="E25" s="13" t="e">
        <f t="shared" si="1"/>
        <v>#N/A</v>
      </c>
      <c r="F25" s="13" t="e">
        <f t="shared" si="2"/>
        <v>#N/A</v>
      </c>
      <c r="G25" s="13" t="e">
        <f t="shared" si="3"/>
        <v>#N/A</v>
      </c>
      <c r="H25" s="13" t="e">
        <f t="shared" si="4"/>
        <v>#N/A</v>
      </c>
    </row>
    <row r="26" spans="1:8" x14ac:dyDescent="0.25">
      <c r="A26" s="13">
        <v>17</v>
      </c>
      <c r="B26" s="301"/>
      <c r="C26" s="302"/>
      <c r="D26" s="300" t="e">
        <f t="shared" si="0"/>
        <v>#N/A</v>
      </c>
      <c r="E26" s="13" t="e">
        <f t="shared" si="1"/>
        <v>#N/A</v>
      </c>
      <c r="F26" s="13" t="e">
        <f t="shared" si="2"/>
        <v>#N/A</v>
      </c>
      <c r="G26" s="13" t="e">
        <f t="shared" si="3"/>
        <v>#N/A</v>
      </c>
      <c r="H26" s="13" t="e">
        <f t="shared" si="4"/>
        <v>#N/A</v>
      </c>
    </row>
    <row r="27" spans="1:8" x14ac:dyDescent="0.25">
      <c r="A27" s="13">
        <v>18</v>
      </c>
      <c r="B27" s="301"/>
      <c r="C27" s="302"/>
      <c r="D27" s="300" t="e">
        <f t="shared" si="0"/>
        <v>#N/A</v>
      </c>
      <c r="E27" s="13" t="e">
        <f t="shared" si="1"/>
        <v>#N/A</v>
      </c>
      <c r="F27" s="13" t="e">
        <f t="shared" si="2"/>
        <v>#N/A</v>
      </c>
      <c r="G27" s="13" t="e">
        <f t="shared" si="3"/>
        <v>#N/A</v>
      </c>
      <c r="H27" s="13" t="e">
        <f t="shared" si="4"/>
        <v>#N/A</v>
      </c>
    </row>
    <row r="28" spans="1:8" x14ac:dyDescent="0.25">
      <c r="A28" s="13">
        <v>19</v>
      </c>
      <c r="B28" s="301"/>
      <c r="C28" s="302"/>
      <c r="D28" s="300" t="e">
        <f t="shared" si="0"/>
        <v>#N/A</v>
      </c>
      <c r="E28" s="13" t="e">
        <f t="shared" si="1"/>
        <v>#N/A</v>
      </c>
      <c r="F28" s="13" t="e">
        <f t="shared" si="2"/>
        <v>#N/A</v>
      </c>
      <c r="G28" s="13" t="e">
        <f t="shared" si="3"/>
        <v>#N/A</v>
      </c>
      <c r="H28" s="13" t="e">
        <f t="shared" si="4"/>
        <v>#N/A</v>
      </c>
    </row>
    <row r="29" spans="1:8" x14ac:dyDescent="0.25">
      <c r="A29" s="13">
        <v>20</v>
      </c>
      <c r="B29" s="301"/>
      <c r="C29" s="302"/>
      <c r="D29" s="300" t="e">
        <f t="shared" si="0"/>
        <v>#N/A</v>
      </c>
      <c r="E29" s="13" t="e">
        <f t="shared" si="1"/>
        <v>#N/A</v>
      </c>
      <c r="F29" s="13" t="e">
        <f t="shared" si="2"/>
        <v>#N/A</v>
      </c>
      <c r="G29" s="13" t="e">
        <f t="shared" si="3"/>
        <v>#N/A</v>
      </c>
      <c r="H29" s="13" t="e">
        <f t="shared" si="4"/>
        <v>#N/A</v>
      </c>
    </row>
    <row r="30" spans="1:8" x14ac:dyDescent="0.25">
      <c r="A30" s="13">
        <v>21</v>
      </c>
      <c r="B30" s="301"/>
      <c r="C30" s="302"/>
      <c r="D30" s="300" t="e">
        <f t="shared" si="0"/>
        <v>#N/A</v>
      </c>
      <c r="E30" s="13" t="e">
        <f t="shared" si="1"/>
        <v>#N/A</v>
      </c>
      <c r="F30" s="13" t="e">
        <f t="shared" si="2"/>
        <v>#N/A</v>
      </c>
      <c r="G30" s="13" t="e">
        <f t="shared" si="3"/>
        <v>#N/A</v>
      </c>
      <c r="H30" s="13" t="e">
        <f t="shared" si="4"/>
        <v>#N/A</v>
      </c>
    </row>
    <row r="31" spans="1:8" x14ac:dyDescent="0.25">
      <c r="A31" s="13">
        <v>22</v>
      </c>
      <c r="B31" s="301"/>
      <c r="C31" s="302"/>
      <c r="D31" s="300" t="e">
        <f t="shared" si="0"/>
        <v>#N/A</v>
      </c>
      <c r="E31" s="13" t="e">
        <f t="shared" si="1"/>
        <v>#N/A</v>
      </c>
      <c r="F31" s="13" t="e">
        <f t="shared" si="2"/>
        <v>#N/A</v>
      </c>
      <c r="G31" s="13" t="e">
        <f t="shared" si="3"/>
        <v>#N/A</v>
      </c>
      <c r="H31" s="13" t="e">
        <f t="shared" si="4"/>
        <v>#N/A</v>
      </c>
    </row>
    <row r="32" spans="1:8" x14ac:dyDescent="0.25">
      <c r="A32" s="13">
        <v>23</v>
      </c>
      <c r="B32" s="301"/>
      <c r="C32" s="302"/>
      <c r="D32" s="300" t="e">
        <f t="shared" si="0"/>
        <v>#N/A</v>
      </c>
      <c r="E32" s="13" t="e">
        <f t="shared" si="1"/>
        <v>#N/A</v>
      </c>
      <c r="F32" s="13" t="e">
        <f t="shared" si="2"/>
        <v>#N/A</v>
      </c>
      <c r="G32" s="13" t="e">
        <f t="shared" si="3"/>
        <v>#N/A</v>
      </c>
      <c r="H32" s="13" t="e">
        <f t="shared" si="4"/>
        <v>#N/A</v>
      </c>
    </row>
    <row r="33" spans="1:8" x14ac:dyDescent="0.25">
      <c r="A33" s="13">
        <v>24</v>
      </c>
      <c r="B33" s="301"/>
      <c r="C33" s="302"/>
      <c r="D33" s="300" t="e">
        <f t="shared" si="0"/>
        <v>#N/A</v>
      </c>
      <c r="E33" s="13" t="e">
        <f t="shared" si="1"/>
        <v>#N/A</v>
      </c>
      <c r="F33" s="13" t="e">
        <f t="shared" si="2"/>
        <v>#N/A</v>
      </c>
      <c r="G33" s="13" t="e">
        <f t="shared" si="3"/>
        <v>#N/A</v>
      </c>
      <c r="H33" s="13" t="e">
        <f t="shared" si="4"/>
        <v>#N/A</v>
      </c>
    </row>
    <row r="34" spans="1:8" x14ac:dyDescent="0.25">
      <c r="A34" s="13">
        <v>25</v>
      </c>
      <c r="B34" s="301"/>
      <c r="C34" s="302"/>
      <c r="D34" s="300" t="e">
        <f t="shared" si="0"/>
        <v>#N/A</v>
      </c>
      <c r="E34" s="13" t="e">
        <f t="shared" si="1"/>
        <v>#N/A</v>
      </c>
      <c r="F34" s="13" t="e">
        <f t="shared" si="2"/>
        <v>#N/A</v>
      </c>
      <c r="G34" s="13" t="e">
        <f t="shared" si="3"/>
        <v>#N/A</v>
      </c>
      <c r="H34" s="13" t="e">
        <f t="shared" si="4"/>
        <v>#N/A</v>
      </c>
    </row>
    <row r="35" spans="1:8" x14ac:dyDescent="0.25">
      <c r="A35" s="13">
        <v>26</v>
      </c>
      <c r="B35" s="301"/>
      <c r="C35" s="302"/>
      <c r="D35" s="300" t="e">
        <f t="shared" si="0"/>
        <v>#N/A</v>
      </c>
      <c r="E35" s="13" t="e">
        <f t="shared" si="1"/>
        <v>#N/A</v>
      </c>
      <c r="F35" s="13" t="e">
        <f t="shared" si="2"/>
        <v>#N/A</v>
      </c>
      <c r="G35" s="13" t="e">
        <f t="shared" si="3"/>
        <v>#N/A</v>
      </c>
      <c r="H35" s="13" t="e">
        <f t="shared" si="4"/>
        <v>#N/A</v>
      </c>
    </row>
    <row r="36" spans="1:8" x14ac:dyDescent="0.25">
      <c r="A36" s="13">
        <v>27</v>
      </c>
      <c r="B36" s="301"/>
      <c r="C36" s="302"/>
      <c r="D36" s="300" t="e">
        <f t="shared" si="0"/>
        <v>#N/A</v>
      </c>
      <c r="E36" s="13" t="e">
        <f t="shared" si="1"/>
        <v>#N/A</v>
      </c>
      <c r="F36" s="13" t="e">
        <f t="shared" si="2"/>
        <v>#N/A</v>
      </c>
      <c r="G36" s="13" t="e">
        <f t="shared" si="3"/>
        <v>#N/A</v>
      </c>
      <c r="H36" s="13" t="e">
        <f t="shared" si="4"/>
        <v>#N/A</v>
      </c>
    </row>
    <row r="37" spans="1:8" x14ac:dyDescent="0.25">
      <c r="A37" s="13">
        <v>28</v>
      </c>
      <c r="B37" s="301"/>
      <c r="C37" s="302"/>
      <c r="D37" s="300" t="e">
        <f t="shared" si="0"/>
        <v>#N/A</v>
      </c>
      <c r="E37" s="13" t="e">
        <f t="shared" si="1"/>
        <v>#N/A</v>
      </c>
      <c r="F37" s="13" t="e">
        <f t="shared" si="2"/>
        <v>#N/A</v>
      </c>
      <c r="G37" s="13" t="e">
        <f t="shared" si="3"/>
        <v>#N/A</v>
      </c>
      <c r="H37" s="13" t="e">
        <f t="shared" si="4"/>
        <v>#N/A</v>
      </c>
    </row>
    <row r="38" spans="1:8" x14ac:dyDescent="0.25">
      <c r="A38" s="13">
        <v>29</v>
      </c>
      <c r="B38" s="301"/>
      <c r="C38" s="302"/>
      <c r="D38" s="300" t="e">
        <f t="shared" si="0"/>
        <v>#N/A</v>
      </c>
      <c r="E38" s="13" t="e">
        <f t="shared" si="1"/>
        <v>#N/A</v>
      </c>
      <c r="F38" s="13" t="e">
        <f t="shared" si="2"/>
        <v>#N/A</v>
      </c>
      <c r="G38" s="13" t="e">
        <f t="shared" si="3"/>
        <v>#N/A</v>
      </c>
      <c r="H38" s="13" t="e">
        <f t="shared" si="4"/>
        <v>#N/A</v>
      </c>
    </row>
    <row r="39" spans="1:8" x14ac:dyDescent="0.25">
      <c r="A39" s="13">
        <v>30</v>
      </c>
      <c r="B39" s="301"/>
      <c r="C39" s="302"/>
      <c r="D39" s="300" t="e">
        <f t="shared" si="0"/>
        <v>#N/A</v>
      </c>
      <c r="E39" s="13" t="e">
        <f t="shared" si="1"/>
        <v>#N/A</v>
      </c>
      <c r="F39" s="13" t="e">
        <f t="shared" si="2"/>
        <v>#N/A</v>
      </c>
      <c r="G39" s="13" t="e">
        <f t="shared" si="3"/>
        <v>#N/A</v>
      </c>
      <c r="H39" s="13" t="e">
        <f t="shared" si="4"/>
        <v>#N/A</v>
      </c>
    </row>
    <row r="40" spans="1:8" x14ac:dyDescent="0.25">
      <c r="A40" s="13">
        <v>31</v>
      </c>
      <c r="B40" s="301"/>
      <c r="C40" s="302"/>
      <c r="D40" s="300" t="e">
        <f t="shared" si="0"/>
        <v>#N/A</v>
      </c>
      <c r="E40" s="13" t="e">
        <f t="shared" si="1"/>
        <v>#N/A</v>
      </c>
      <c r="F40" s="13" t="e">
        <f t="shared" si="2"/>
        <v>#N/A</v>
      </c>
      <c r="G40" s="13" t="e">
        <f t="shared" si="3"/>
        <v>#N/A</v>
      </c>
      <c r="H40" s="13" t="e">
        <f t="shared" si="4"/>
        <v>#N/A</v>
      </c>
    </row>
    <row r="41" spans="1:8" x14ac:dyDescent="0.25">
      <c r="A41" s="13">
        <v>32</v>
      </c>
      <c r="B41" s="301"/>
      <c r="C41" s="302"/>
      <c r="D41" s="300" t="e">
        <f t="shared" si="0"/>
        <v>#N/A</v>
      </c>
      <c r="E41" s="13" t="e">
        <f t="shared" si="1"/>
        <v>#N/A</v>
      </c>
      <c r="F41" s="13" t="e">
        <f t="shared" si="2"/>
        <v>#N/A</v>
      </c>
      <c r="G41" s="13" t="e">
        <f t="shared" si="3"/>
        <v>#N/A</v>
      </c>
      <c r="H41" s="13" t="e">
        <f t="shared" si="4"/>
        <v>#N/A</v>
      </c>
    </row>
    <row r="42" spans="1:8" x14ac:dyDescent="0.25">
      <c r="A42" s="13">
        <v>33</v>
      </c>
      <c r="B42" s="301"/>
      <c r="C42" s="302"/>
      <c r="D42" s="300" t="e">
        <f t="shared" si="0"/>
        <v>#N/A</v>
      </c>
      <c r="E42" s="13" t="e">
        <f t="shared" si="1"/>
        <v>#N/A</v>
      </c>
      <c r="F42" s="13" t="e">
        <f t="shared" si="2"/>
        <v>#N/A</v>
      </c>
      <c r="G42" s="13" t="e">
        <f t="shared" si="3"/>
        <v>#N/A</v>
      </c>
      <c r="H42" s="13" t="e">
        <f t="shared" si="4"/>
        <v>#N/A</v>
      </c>
    </row>
    <row r="43" spans="1:8" x14ac:dyDescent="0.25">
      <c r="A43" s="13">
        <v>34</v>
      </c>
      <c r="B43" s="301"/>
      <c r="C43" s="302"/>
      <c r="D43" s="300" t="e">
        <f t="shared" si="0"/>
        <v>#N/A</v>
      </c>
      <c r="E43" s="13" t="e">
        <f t="shared" si="1"/>
        <v>#N/A</v>
      </c>
      <c r="F43" s="13" t="e">
        <f t="shared" si="2"/>
        <v>#N/A</v>
      </c>
      <c r="G43" s="13" t="e">
        <f t="shared" si="3"/>
        <v>#N/A</v>
      </c>
      <c r="H43" s="13" t="e">
        <f t="shared" si="4"/>
        <v>#N/A</v>
      </c>
    </row>
    <row r="44" spans="1:8" x14ac:dyDescent="0.25">
      <c r="A44" s="13">
        <v>35</v>
      </c>
      <c r="B44" s="301"/>
      <c r="C44" s="302"/>
      <c r="D44" s="300" t="e">
        <f t="shared" si="0"/>
        <v>#N/A</v>
      </c>
      <c r="E44" s="13" t="e">
        <f t="shared" si="1"/>
        <v>#N/A</v>
      </c>
      <c r="F44" s="13" t="e">
        <f t="shared" si="2"/>
        <v>#N/A</v>
      </c>
      <c r="G44" s="13" t="e">
        <f t="shared" si="3"/>
        <v>#N/A</v>
      </c>
      <c r="H44" s="13" t="e">
        <f t="shared" si="4"/>
        <v>#N/A</v>
      </c>
    </row>
    <row r="45" spans="1:8" x14ac:dyDescent="0.25">
      <c r="A45" s="13">
        <v>36</v>
      </c>
      <c r="B45" s="301"/>
      <c r="C45" s="302"/>
      <c r="D45" s="300" t="e">
        <f t="shared" si="0"/>
        <v>#N/A</v>
      </c>
      <c r="E45" s="13" t="e">
        <f t="shared" si="1"/>
        <v>#N/A</v>
      </c>
      <c r="F45" s="13" t="e">
        <f t="shared" si="2"/>
        <v>#N/A</v>
      </c>
      <c r="G45" s="13" t="e">
        <f t="shared" si="3"/>
        <v>#N/A</v>
      </c>
      <c r="H45" s="13" t="e">
        <f t="shared" si="4"/>
        <v>#N/A</v>
      </c>
    </row>
    <row r="46" spans="1:8" x14ac:dyDescent="0.25">
      <c r="A46" s="13">
        <v>37</v>
      </c>
      <c r="B46" s="301"/>
      <c r="C46" s="302"/>
      <c r="D46" s="300" t="e">
        <f t="shared" si="0"/>
        <v>#N/A</v>
      </c>
      <c r="E46" s="13" t="e">
        <f t="shared" si="1"/>
        <v>#N/A</v>
      </c>
      <c r="F46" s="13" t="e">
        <f t="shared" si="2"/>
        <v>#N/A</v>
      </c>
      <c r="G46" s="13" t="e">
        <f t="shared" si="3"/>
        <v>#N/A</v>
      </c>
      <c r="H46" s="13" t="e">
        <f t="shared" si="4"/>
        <v>#N/A</v>
      </c>
    </row>
    <row r="47" spans="1:8" x14ac:dyDescent="0.25">
      <c r="A47" s="13">
        <v>38</v>
      </c>
      <c r="B47" s="301"/>
      <c r="C47" s="302"/>
      <c r="D47" s="300" t="e">
        <f t="shared" si="0"/>
        <v>#N/A</v>
      </c>
      <c r="E47" s="13" t="e">
        <f t="shared" si="1"/>
        <v>#N/A</v>
      </c>
      <c r="F47" s="13" t="e">
        <f t="shared" si="2"/>
        <v>#N/A</v>
      </c>
      <c r="G47" s="13" t="e">
        <f t="shared" si="3"/>
        <v>#N/A</v>
      </c>
      <c r="H47" s="13" t="e">
        <f t="shared" si="4"/>
        <v>#N/A</v>
      </c>
    </row>
    <row r="48" spans="1:8" x14ac:dyDescent="0.25">
      <c r="A48" s="13">
        <v>39</v>
      </c>
      <c r="B48" s="301"/>
      <c r="C48" s="302"/>
      <c r="D48" s="300" t="e">
        <f t="shared" si="0"/>
        <v>#N/A</v>
      </c>
      <c r="E48" s="13" t="e">
        <f t="shared" si="1"/>
        <v>#N/A</v>
      </c>
      <c r="F48" s="13" t="e">
        <f t="shared" si="2"/>
        <v>#N/A</v>
      </c>
      <c r="G48" s="13" t="e">
        <f t="shared" si="3"/>
        <v>#N/A</v>
      </c>
      <c r="H48" s="13" t="e">
        <f t="shared" si="4"/>
        <v>#N/A</v>
      </c>
    </row>
    <row r="49" spans="1:8" x14ac:dyDescent="0.25">
      <c r="A49" s="13">
        <v>40</v>
      </c>
      <c r="B49" s="301"/>
      <c r="C49" s="302"/>
      <c r="D49" s="300" t="e">
        <f t="shared" si="0"/>
        <v>#N/A</v>
      </c>
      <c r="E49" s="13" t="e">
        <f t="shared" si="1"/>
        <v>#N/A</v>
      </c>
      <c r="F49" s="13" t="e">
        <f t="shared" si="2"/>
        <v>#N/A</v>
      </c>
      <c r="G49" s="13" t="e">
        <f t="shared" si="3"/>
        <v>#N/A</v>
      </c>
      <c r="H49" s="13" t="e">
        <f t="shared" si="4"/>
        <v>#N/A</v>
      </c>
    </row>
    <row r="50" spans="1:8" x14ac:dyDescent="0.25">
      <c r="A50" s="13">
        <v>41</v>
      </c>
      <c r="B50" s="301"/>
      <c r="C50" s="302"/>
      <c r="D50" s="300" t="e">
        <f t="shared" si="0"/>
        <v>#N/A</v>
      </c>
      <c r="E50" s="13" t="e">
        <f t="shared" si="1"/>
        <v>#N/A</v>
      </c>
      <c r="F50" s="13" t="e">
        <f t="shared" si="2"/>
        <v>#N/A</v>
      </c>
      <c r="G50" s="13" t="e">
        <f t="shared" si="3"/>
        <v>#N/A</v>
      </c>
      <c r="H50" s="13" t="e">
        <f t="shared" si="4"/>
        <v>#N/A</v>
      </c>
    </row>
    <row r="51" spans="1:8" x14ac:dyDescent="0.25">
      <c r="A51" s="13">
        <v>42</v>
      </c>
      <c r="B51" s="301"/>
      <c r="C51" s="302"/>
      <c r="D51" s="300" t="e">
        <f t="shared" si="0"/>
        <v>#N/A</v>
      </c>
      <c r="E51" s="13" t="e">
        <f t="shared" si="1"/>
        <v>#N/A</v>
      </c>
      <c r="F51" s="13" t="e">
        <f t="shared" si="2"/>
        <v>#N/A</v>
      </c>
      <c r="G51" s="13" t="e">
        <f t="shared" si="3"/>
        <v>#N/A</v>
      </c>
      <c r="H51" s="13" t="e">
        <f t="shared" si="4"/>
        <v>#N/A</v>
      </c>
    </row>
    <row r="52" spans="1:8" x14ac:dyDescent="0.25">
      <c r="A52" s="13">
        <v>43</v>
      </c>
      <c r="B52" s="301"/>
      <c r="C52" s="302"/>
      <c r="D52" s="300" t="e">
        <f t="shared" si="0"/>
        <v>#N/A</v>
      </c>
      <c r="E52" s="13" t="e">
        <f t="shared" si="1"/>
        <v>#N/A</v>
      </c>
      <c r="F52" s="13" t="e">
        <f t="shared" si="2"/>
        <v>#N/A</v>
      </c>
      <c r="G52" s="13" t="e">
        <f t="shared" si="3"/>
        <v>#N/A</v>
      </c>
      <c r="H52" s="13" t="e">
        <f t="shared" si="4"/>
        <v>#N/A</v>
      </c>
    </row>
    <row r="53" spans="1:8" x14ac:dyDescent="0.25">
      <c r="A53" s="13">
        <v>44</v>
      </c>
      <c r="B53" s="301"/>
      <c r="C53" s="302"/>
      <c r="D53" s="300" t="e">
        <f t="shared" si="0"/>
        <v>#N/A</v>
      </c>
      <c r="E53" s="13" t="e">
        <f t="shared" si="1"/>
        <v>#N/A</v>
      </c>
      <c r="F53" s="13" t="e">
        <f t="shared" si="2"/>
        <v>#N/A</v>
      </c>
      <c r="G53" s="13" t="e">
        <f t="shared" si="3"/>
        <v>#N/A</v>
      </c>
      <c r="H53" s="13" t="e">
        <f t="shared" si="4"/>
        <v>#N/A</v>
      </c>
    </row>
    <row r="54" spans="1:8" x14ac:dyDescent="0.25">
      <c r="A54" s="13">
        <v>45</v>
      </c>
      <c r="B54" s="301"/>
      <c r="C54" s="302"/>
      <c r="D54" s="300" t="e">
        <f t="shared" si="0"/>
        <v>#N/A</v>
      </c>
      <c r="E54" s="13" t="e">
        <f t="shared" si="1"/>
        <v>#N/A</v>
      </c>
      <c r="F54" s="13" t="e">
        <f t="shared" si="2"/>
        <v>#N/A</v>
      </c>
      <c r="G54" s="13" t="e">
        <f t="shared" si="3"/>
        <v>#N/A</v>
      </c>
      <c r="H54" s="13" t="e">
        <f t="shared" si="4"/>
        <v>#N/A</v>
      </c>
    </row>
    <row r="55" spans="1:8" x14ac:dyDescent="0.25">
      <c r="A55" s="13">
        <v>46</v>
      </c>
      <c r="B55" s="301"/>
      <c r="C55" s="302"/>
      <c r="D55" s="300" t="e">
        <f t="shared" si="0"/>
        <v>#N/A</v>
      </c>
      <c r="E55" s="13" t="e">
        <f t="shared" si="1"/>
        <v>#N/A</v>
      </c>
      <c r="F55" s="13" t="e">
        <f t="shared" si="2"/>
        <v>#N/A</v>
      </c>
      <c r="G55" s="13" t="e">
        <f t="shared" si="3"/>
        <v>#N/A</v>
      </c>
      <c r="H55" s="13" t="e">
        <f t="shared" si="4"/>
        <v>#N/A</v>
      </c>
    </row>
    <row r="56" spans="1:8" x14ac:dyDescent="0.25">
      <c r="A56" s="13">
        <v>47</v>
      </c>
      <c r="B56" s="301"/>
      <c r="C56" s="302"/>
      <c r="D56" s="300" t="e">
        <f t="shared" si="0"/>
        <v>#N/A</v>
      </c>
      <c r="E56" s="13" t="e">
        <f t="shared" si="1"/>
        <v>#N/A</v>
      </c>
      <c r="F56" s="13" t="e">
        <f t="shared" si="2"/>
        <v>#N/A</v>
      </c>
      <c r="G56" s="13" t="e">
        <f t="shared" si="3"/>
        <v>#N/A</v>
      </c>
      <c r="H56" s="13" t="e">
        <f t="shared" si="4"/>
        <v>#N/A</v>
      </c>
    </row>
    <row r="57" spans="1:8" x14ac:dyDescent="0.25">
      <c r="A57" s="13">
        <v>48</v>
      </c>
      <c r="B57" s="301"/>
      <c r="C57" s="302"/>
      <c r="D57" s="300" t="e">
        <f t="shared" si="0"/>
        <v>#N/A</v>
      </c>
      <c r="E57" s="13" t="e">
        <f t="shared" si="1"/>
        <v>#N/A</v>
      </c>
      <c r="F57" s="13" t="e">
        <f t="shared" si="2"/>
        <v>#N/A</v>
      </c>
      <c r="G57" s="13" t="e">
        <f t="shared" si="3"/>
        <v>#N/A</v>
      </c>
      <c r="H57" s="13" t="e">
        <f t="shared" si="4"/>
        <v>#N/A</v>
      </c>
    </row>
    <row r="58" spans="1:8" x14ac:dyDescent="0.25">
      <c r="A58" s="13">
        <v>49</v>
      </c>
      <c r="B58" s="301"/>
      <c r="C58" s="302"/>
      <c r="D58" s="300" t="e">
        <f t="shared" si="0"/>
        <v>#N/A</v>
      </c>
      <c r="E58" s="13" t="e">
        <f t="shared" si="1"/>
        <v>#N/A</v>
      </c>
      <c r="F58" s="13" t="e">
        <f t="shared" si="2"/>
        <v>#N/A</v>
      </c>
      <c r="G58" s="13" t="e">
        <f t="shared" si="3"/>
        <v>#N/A</v>
      </c>
      <c r="H58" s="13" t="e">
        <f t="shared" si="4"/>
        <v>#N/A</v>
      </c>
    </row>
    <row r="59" spans="1:8" x14ac:dyDescent="0.25">
      <c r="A59" s="13">
        <v>50</v>
      </c>
      <c r="B59" s="305"/>
      <c r="C59" s="306"/>
      <c r="D59" s="300" t="e">
        <f t="shared" si="0"/>
        <v>#N/A</v>
      </c>
      <c r="E59" s="13" t="e">
        <f t="shared" si="1"/>
        <v>#N/A</v>
      </c>
      <c r="F59" s="13" t="e">
        <f t="shared" si="2"/>
        <v>#N/A</v>
      </c>
      <c r="G59" s="13" t="e">
        <f t="shared" si="3"/>
        <v>#N/A</v>
      </c>
      <c r="H59" s="13" t="e">
        <f t="shared" si="4"/>
        <v>#N/A</v>
      </c>
    </row>
    <row r="60" spans="1:8" x14ac:dyDescent="0.25">
      <c r="A60" s="13">
        <v>51</v>
      </c>
      <c r="B60" s="301"/>
      <c r="C60" s="302"/>
      <c r="D60" s="300" t="e">
        <f t="shared" si="0"/>
        <v>#N/A</v>
      </c>
      <c r="E60" s="13" t="e">
        <f t="shared" si="1"/>
        <v>#N/A</v>
      </c>
      <c r="F60" s="13" t="e">
        <f t="shared" si="2"/>
        <v>#N/A</v>
      </c>
      <c r="G60" s="13" t="e">
        <f t="shared" si="3"/>
        <v>#N/A</v>
      </c>
      <c r="H60" s="13" t="e">
        <f t="shared" si="4"/>
        <v>#N/A</v>
      </c>
    </row>
    <row r="61" spans="1:8" x14ac:dyDescent="0.25">
      <c r="A61" s="13">
        <v>52</v>
      </c>
      <c r="B61" s="301"/>
      <c r="C61" s="302"/>
      <c r="D61" s="300" t="e">
        <f t="shared" si="0"/>
        <v>#N/A</v>
      </c>
      <c r="E61" s="13" t="e">
        <f t="shared" si="1"/>
        <v>#N/A</v>
      </c>
      <c r="F61" s="13" t="e">
        <f t="shared" si="2"/>
        <v>#N/A</v>
      </c>
      <c r="G61" s="13" t="e">
        <f t="shared" si="3"/>
        <v>#N/A</v>
      </c>
      <c r="H61" s="13" t="e">
        <f t="shared" si="4"/>
        <v>#N/A</v>
      </c>
    </row>
    <row r="62" spans="1:8" x14ac:dyDescent="0.25">
      <c r="A62" s="13">
        <v>53</v>
      </c>
      <c r="B62" s="301"/>
      <c r="C62" s="302"/>
      <c r="D62" s="300" t="e">
        <f t="shared" si="0"/>
        <v>#N/A</v>
      </c>
      <c r="E62" s="13" t="e">
        <f t="shared" si="1"/>
        <v>#N/A</v>
      </c>
      <c r="F62" s="13" t="e">
        <f t="shared" si="2"/>
        <v>#N/A</v>
      </c>
      <c r="G62" s="13" t="e">
        <f t="shared" si="3"/>
        <v>#N/A</v>
      </c>
      <c r="H62" s="13" t="e">
        <f t="shared" si="4"/>
        <v>#N/A</v>
      </c>
    </row>
    <row r="63" spans="1:8" x14ac:dyDescent="0.25">
      <c r="A63" s="13">
        <v>54</v>
      </c>
      <c r="B63" s="301"/>
      <c r="C63" s="302"/>
      <c r="D63" s="300" t="e">
        <f t="shared" si="0"/>
        <v>#N/A</v>
      </c>
      <c r="E63" s="13" t="e">
        <f t="shared" si="1"/>
        <v>#N/A</v>
      </c>
      <c r="F63" s="13" t="e">
        <f t="shared" si="2"/>
        <v>#N/A</v>
      </c>
      <c r="G63" s="13" t="e">
        <f t="shared" si="3"/>
        <v>#N/A</v>
      </c>
      <c r="H63" s="13" t="e">
        <f t="shared" si="4"/>
        <v>#N/A</v>
      </c>
    </row>
    <row r="64" spans="1:8" x14ac:dyDescent="0.25">
      <c r="A64" s="13">
        <v>55</v>
      </c>
      <c r="B64" s="301"/>
      <c r="C64" s="302"/>
      <c r="D64" s="300" t="e">
        <f t="shared" si="0"/>
        <v>#N/A</v>
      </c>
      <c r="E64" s="13" t="e">
        <f t="shared" si="1"/>
        <v>#N/A</v>
      </c>
      <c r="F64" s="13" t="e">
        <f t="shared" si="2"/>
        <v>#N/A</v>
      </c>
      <c r="G64" s="13" t="e">
        <f t="shared" si="3"/>
        <v>#N/A</v>
      </c>
      <c r="H64" s="13" t="e">
        <f t="shared" si="4"/>
        <v>#N/A</v>
      </c>
    </row>
    <row r="65" spans="1:8" x14ac:dyDescent="0.25">
      <c r="A65" s="13">
        <v>56</v>
      </c>
      <c r="B65" s="301"/>
      <c r="C65" s="302"/>
      <c r="D65" s="300" t="e">
        <f t="shared" si="0"/>
        <v>#N/A</v>
      </c>
      <c r="E65" s="13" t="e">
        <f t="shared" si="1"/>
        <v>#N/A</v>
      </c>
      <c r="F65" s="13" t="e">
        <f t="shared" si="2"/>
        <v>#N/A</v>
      </c>
      <c r="G65" s="13" t="e">
        <f t="shared" si="3"/>
        <v>#N/A</v>
      </c>
      <c r="H65" s="13" t="e">
        <f t="shared" si="4"/>
        <v>#N/A</v>
      </c>
    </row>
    <row r="66" spans="1:8" x14ac:dyDescent="0.25">
      <c r="A66" s="13">
        <v>57</v>
      </c>
      <c r="B66" s="301"/>
      <c r="C66" s="302"/>
      <c r="D66" s="300" t="e">
        <f t="shared" si="0"/>
        <v>#N/A</v>
      </c>
      <c r="E66" s="13" t="e">
        <f t="shared" si="1"/>
        <v>#N/A</v>
      </c>
      <c r="F66" s="13" t="e">
        <f t="shared" si="2"/>
        <v>#N/A</v>
      </c>
      <c r="G66" s="13" t="e">
        <f t="shared" si="3"/>
        <v>#N/A</v>
      </c>
      <c r="H66" s="13" t="e">
        <f t="shared" si="4"/>
        <v>#N/A</v>
      </c>
    </row>
    <row r="67" spans="1:8" x14ac:dyDescent="0.25">
      <c r="A67" s="13">
        <v>58</v>
      </c>
      <c r="B67" s="301"/>
      <c r="C67" s="302"/>
      <c r="D67" s="300" t="e">
        <f t="shared" si="0"/>
        <v>#N/A</v>
      </c>
      <c r="E67" s="13" t="e">
        <f t="shared" si="1"/>
        <v>#N/A</v>
      </c>
      <c r="F67" s="13" t="e">
        <f t="shared" si="2"/>
        <v>#N/A</v>
      </c>
      <c r="G67" s="13" t="e">
        <f t="shared" si="3"/>
        <v>#N/A</v>
      </c>
      <c r="H67" s="13" t="e">
        <f t="shared" si="4"/>
        <v>#N/A</v>
      </c>
    </row>
    <row r="68" spans="1:8" x14ac:dyDescent="0.25">
      <c r="A68" s="13">
        <v>59</v>
      </c>
      <c r="B68" s="301"/>
      <c r="C68" s="302"/>
      <c r="D68" s="300" t="e">
        <f t="shared" si="0"/>
        <v>#N/A</v>
      </c>
      <c r="E68" s="13" t="e">
        <f t="shared" si="1"/>
        <v>#N/A</v>
      </c>
      <c r="F68" s="13" t="e">
        <f t="shared" si="2"/>
        <v>#N/A</v>
      </c>
      <c r="G68" s="13" t="e">
        <f t="shared" si="3"/>
        <v>#N/A</v>
      </c>
      <c r="H68" s="13" t="e">
        <f t="shared" si="4"/>
        <v>#N/A</v>
      </c>
    </row>
    <row r="69" spans="1:8" x14ac:dyDescent="0.25">
      <c r="A69" s="13">
        <v>60</v>
      </c>
      <c r="B69" s="301"/>
      <c r="C69" s="302"/>
      <c r="D69" s="300" t="e">
        <f t="shared" si="0"/>
        <v>#N/A</v>
      </c>
      <c r="E69" s="13" t="e">
        <f t="shared" si="1"/>
        <v>#N/A</v>
      </c>
      <c r="F69" s="13" t="e">
        <f t="shared" si="2"/>
        <v>#N/A</v>
      </c>
      <c r="G69" s="13" t="e">
        <f t="shared" si="3"/>
        <v>#N/A</v>
      </c>
      <c r="H69" s="13" t="e">
        <f t="shared" si="4"/>
        <v>#N/A</v>
      </c>
    </row>
    <row r="70" spans="1:8" x14ac:dyDescent="0.25">
      <c r="A70" s="13">
        <v>61</v>
      </c>
      <c r="B70" s="301"/>
      <c r="C70" s="302"/>
      <c r="D70" s="300" t="e">
        <f t="shared" si="0"/>
        <v>#N/A</v>
      </c>
      <c r="E70" s="13" t="e">
        <f t="shared" si="1"/>
        <v>#N/A</v>
      </c>
      <c r="F70" s="13" t="e">
        <f t="shared" si="2"/>
        <v>#N/A</v>
      </c>
      <c r="G70" s="13" t="e">
        <f t="shared" si="3"/>
        <v>#N/A</v>
      </c>
      <c r="H70" s="13" t="e">
        <f t="shared" si="4"/>
        <v>#N/A</v>
      </c>
    </row>
    <row r="71" spans="1:8" x14ac:dyDescent="0.25">
      <c r="A71" s="13">
        <v>62</v>
      </c>
      <c r="B71" s="301"/>
      <c r="C71" s="302"/>
      <c r="D71" s="300" t="e">
        <f t="shared" si="0"/>
        <v>#N/A</v>
      </c>
      <c r="E71" s="13" t="e">
        <f t="shared" si="1"/>
        <v>#N/A</v>
      </c>
      <c r="F71" s="13" t="e">
        <f t="shared" si="2"/>
        <v>#N/A</v>
      </c>
      <c r="G71" s="13" t="e">
        <f t="shared" si="3"/>
        <v>#N/A</v>
      </c>
      <c r="H71" s="13" t="e">
        <f t="shared" si="4"/>
        <v>#N/A</v>
      </c>
    </row>
    <row r="72" spans="1:8" x14ac:dyDescent="0.25">
      <c r="A72" s="13">
        <v>63</v>
      </c>
      <c r="B72" s="301"/>
      <c r="C72" s="302"/>
      <c r="D72" s="300" t="e">
        <f t="shared" si="0"/>
        <v>#N/A</v>
      </c>
      <c r="E72" s="13" t="e">
        <f t="shared" si="1"/>
        <v>#N/A</v>
      </c>
      <c r="F72" s="13" t="e">
        <f t="shared" si="2"/>
        <v>#N/A</v>
      </c>
      <c r="G72" s="13" t="e">
        <f t="shared" si="3"/>
        <v>#N/A</v>
      </c>
      <c r="H72" s="13" t="e">
        <f t="shared" si="4"/>
        <v>#N/A</v>
      </c>
    </row>
    <row r="73" spans="1:8" x14ac:dyDescent="0.25">
      <c r="A73" s="13">
        <v>64</v>
      </c>
      <c r="B73" s="301"/>
      <c r="C73" s="302"/>
      <c r="D73" s="300" t="e">
        <f t="shared" si="0"/>
        <v>#N/A</v>
      </c>
      <c r="E73" s="13" t="e">
        <f t="shared" si="1"/>
        <v>#N/A</v>
      </c>
      <c r="F73" s="13" t="e">
        <f t="shared" si="2"/>
        <v>#N/A</v>
      </c>
      <c r="G73" s="13" t="e">
        <f t="shared" si="3"/>
        <v>#N/A</v>
      </c>
      <c r="H73" s="13" t="e">
        <f t="shared" si="4"/>
        <v>#N/A</v>
      </c>
    </row>
    <row r="74" spans="1:8" x14ac:dyDescent="0.25">
      <c r="A74" s="13">
        <v>65</v>
      </c>
      <c r="B74" s="301"/>
      <c r="C74" s="302"/>
      <c r="D74" s="300" t="e">
        <f t="shared" si="0"/>
        <v>#N/A</v>
      </c>
      <c r="E74" s="13" t="e">
        <f t="shared" si="1"/>
        <v>#N/A</v>
      </c>
      <c r="F74" s="13" t="e">
        <f t="shared" si="2"/>
        <v>#N/A</v>
      </c>
      <c r="G74" s="13" t="e">
        <f t="shared" si="3"/>
        <v>#N/A</v>
      </c>
      <c r="H74" s="13" t="e">
        <f t="shared" si="4"/>
        <v>#N/A</v>
      </c>
    </row>
    <row r="75" spans="1:8" x14ac:dyDescent="0.25">
      <c r="A75" s="13">
        <v>66</v>
      </c>
      <c r="B75" s="301"/>
      <c r="C75" s="302"/>
      <c r="D75" s="300" t="e">
        <f t="shared" ref="D75:D84" si="5">IF(C75&lt;&gt;"",B75/C75,NA())</f>
        <v>#N/A</v>
      </c>
      <c r="E75" s="13" t="e">
        <f t="shared" ref="E75:E84" si="6">IF(C75&lt;&gt;"",SQRT($C$5/C75),NA())</f>
        <v>#N/A</v>
      </c>
      <c r="F75" s="13" t="e">
        <f t="shared" ref="F75:F84" si="7">IF(B75&lt;&gt;"",MAX(0,$C$5-3*E75),NA())</f>
        <v>#N/A</v>
      </c>
      <c r="G75" s="13" t="e">
        <f t="shared" ref="G75:G84" si="8">IF(B75&lt;&gt;"",$C$5,NA())</f>
        <v>#N/A</v>
      </c>
      <c r="H75" s="13" t="e">
        <f t="shared" ref="H75:H84" si="9">IF(C75&lt;&gt;"",MAX(0,$C$5+3*E75),NA())</f>
        <v>#N/A</v>
      </c>
    </row>
    <row r="76" spans="1:8" x14ac:dyDescent="0.25">
      <c r="A76" s="13">
        <v>67</v>
      </c>
      <c r="B76" s="301"/>
      <c r="C76" s="302"/>
      <c r="D76" s="300" t="e">
        <f t="shared" si="5"/>
        <v>#N/A</v>
      </c>
      <c r="E76" s="13" t="e">
        <f t="shared" si="6"/>
        <v>#N/A</v>
      </c>
      <c r="F76" s="13" t="e">
        <f t="shared" si="7"/>
        <v>#N/A</v>
      </c>
      <c r="G76" s="13" t="e">
        <f t="shared" si="8"/>
        <v>#N/A</v>
      </c>
      <c r="H76" s="13" t="e">
        <f t="shared" si="9"/>
        <v>#N/A</v>
      </c>
    </row>
    <row r="77" spans="1:8" x14ac:dyDescent="0.25">
      <c r="A77" s="13">
        <v>68</v>
      </c>
      <c r="B77" s="301"/>
      <c r="C77" s="302"/>
      <c r="D77" s="300" t="e">
        <f t="shared" si="5"/>
        <v>#N/A</v>
      </c>
      <c r="E77" s="13" t="e">
        <f t="shared" si="6"/>
        <v>#N/A</v>
      </c>
      <c r="F77" s="13" t="e">
        <f t="shared" si="7"/>
        <v>#N/A</v>
      </c>
      <c r="G77" s="13" t="e">
        <f t="shared" si="8"/>
        <v>#N/A</v>
      </c>
      <c r="H77" s="13" t="e">
        <f t="shared" si="9"/>
        <v>#N/A</v>
      </c>
    </row>
    <row r="78" spans="1:8" x14ac:dyDescent="0.25">
      <c r="A78" s="13">
        <v>69</v>
      </c>
      <c r="B78" s="301"/>
      <c r="C78" s="302"/>
      <c r="D78" s="300" t="e">
        <f t="shared" si="5"/>
        <v>#N/A</v>
      </c>
      <c r="E78" s="13" t="e">
        <f t="shared" si="6"/>
        <v>#N/A</v>
      </c>
      <c r="F78" s="13" t="e">
        <f t="shared" si="7"/>
        <v>#N/A</v>
      </c>
      <c r="G78" s="13" t="e">
        <f t="shared" si="8"/>
        <v>#N/A</v>
      </c>
      <c r="H78" s="13" t="e">
        <f t="shared" si="9"/>
        <v>#N/A</v>
      </c>
    </row>
    <row r="79" spans="1:8" x14ac:dyDescent="0.25">
      <c r="A79" s="13">
        <v>70</v>
      </c>
      <c r="B79" s="301"/>
      <c r="C79" s="302"/>
      <c r="D79" s="300" t="e">
        <f t="shared" si="5"/>
        <v>#N/A</v>
      </c>
      <c r="E79" s="13" t="e">
        <f t="shared" si="6"/>
        <v>#N/A</v>
      </c>
      <c r="F79" s="13" t="e">
        <f t="shared" si="7"/>
        <v>#N/A</v>
      </c>
      <c r="G79" s="13" t="e">
        <f t="shared" si="8"/>
        <v>#N/A</v>
      </c>
      <c r="H79" s="13" t="e">
        <f t="shared" si="9"/>
        <v>#N/A</v>
      </c>
    </row>
    <row r="80" spans="1:8" x14ac:dyDescent="0.25">
      <c r="A80" s="13">
        <v>71</v>
      </c>
      <c r="B80" s="301"/>
      <c r="C80" s="302"/>
      <c r="D80" s="300" t="e">
        <f t="shared" si="5"/>
        <v>#N/A</v>
      </c>
      <c r="E80" s="13" t="e">
        <f t="shared" si="6"/>
        <v>#N/A</v>
      </c>
      <c r="F80" s="13" t="e">
        <f t="shared" si="7"/>
        <v>#N/A</v>
      </c>
      <c r="G80" s="13" t="e">
        <f t="shared" si="8"/>
        <v>#N/A</v>
      </c>
      <c r="H80" s="13" t="e">
        <f t="shared" si="9"/>
        <v>#N/A</v>
      </c>
    </row>
    <row r="81" spans="1:8" x14ac:dyDescent="0.25">
      <c r="A81" s="13">
        <v>72</v>
      </c>
      <c r="B81" s="301"/>
      <c r="C81" s="302"/>
      <c r="D81" s="300" t="e">
        <f t="shared" si="5"/>
        <v>#N/A</v>
      </c>
      <c r="E81" s="13" t="e">
        <f t="shared" si="6"/>
        <v>#N/A</v>
      </c>
      <c r="F81" s="13" t="e">
        <f t="shared" si="7"/>
        <v>#N/A</v>
      </c>
      <c r="G81" s="13" t="e">
        <f t="shared" si="8"/>
        <v>#N/A</v>
      </c>
      <c r="H81" s="13" t="e">
        <f t="shared" si="9"/>
        <v>#N/A</v>
      </c>
    </row>
    <row r="82" spans="1:8" x14ac:dyDescent="0.25">
      <c r="A82" s="13">
        <v>73</v>
      </c>
      <c r="B82" s="301"/>
      <c r="C82" s="302"/>
      <c r="D82" s="300" t="e">
        <f t="shared" si="5"/>
        <v>#N/A</v>
      </c>
      <c r="E82" s="13" t="e">
        <f t="shared" si="6"/>
        <v>#N/A</v>
      </c>
      <c r="F82" s="13" t="e">
        <f t="shared" si="7"/>
        <v>#N/A</v>
      </c>
      <c r="G82" s="13" t="e">
        <f t="shared" si="8"/>
        <v>#N/A</v>
      </c>
      <c r="H82" s="13" t="e">
        <f t="shared" si="9"/>
        <v>#N/A</v>
      </c>
    </row>
    <row r="83" spans="1:8" x14ac:dyDescent="0.25">
      <c r="A83" s="13">
        <v>74</v>
      </c>
      <c r="B83" s="301"/>
      <c r="C83" s="302"/>
      <c r="D83" s="300" t="e">
        <f t="shared" si="5"/>
        <v>#N/A</v>
      </c>
      <c r="E83" s="13" t="e">
        <f t="shared" si="6"/>
        <v>#N/A</v>
      </c>
      <c r="F83" s="13" t="e">
        <f t="shared" si="7"/>
        <v>#N/A</v>
      </c>
      <c r="G83" s="13" t="e">
        <f t="shared" si="8"/>
        <v>#N/A</v>
      </c>
      <c r="H83" s="13" t="e">
        <f t="shared" si="9"/>
        <v>#N/A</v>
      </c>
    </row>
    <row r="84" spans="1:8" ht="13.8" thickBot="1" x14ac:dyDescent="0.3">
      <c r="A84" s="13">
        <v>75</v>
      </c>
      <c r="B84" s="303"/>
      <c r="C84" s="304"/>
      <c r="D84" s="300" t="e">
        <f t="shared" si="5"/>
        <v>#N/A</v>
      </c>
      <c r="E84" s="13" t="e">
        <f t="shared" si="6"/>
        <v>#N/A</v>
      </c>
      <c r="F84" s="13" t="e">
        <f t="shared" si="7"/>
        <v>#N/A</v>
      </c>
      <c r="G84" s="13" t="e">
        <f t="shared" si="8"/>
        <v>#N/A</v>
      </c>
      <c r="H84" s="13" t="e">
        <f t="shared" si="9"/>
        <v>#N/A</v>
      </c>
    </row>
  </sheetData>
  <mergeCells count="3">
    <mergeCell ref="A1:E1"/>
    <mergeCell ref="C5:D5"/>
    <mergeCell ref="K1:M1"/>
  </mergeCells>
  <dataValidations count="1">
    <dataValidation type="whole" allowBlank="1" showInputMessage="1" showErrorMessage="1" errorTitle="Input Error!" error="The cell entry must be a whole number." sqref="B10:B84 IX10:IX84 ST10:ST84 ACP10:ACP84 AML10:AML84 AWH10:AWH84 BGD10:BGD84 BPZ10:BPZ84 BZV10:BZV84 CJR10:CJR84 CTN10:CTN84 DDJ10:DDJ84 DNF10:DNF84 DXB10:DXB84 EGX10:EGX84 EQT10:EQT84 FAP10:FAP84 FKL10:FKL84 FUH10:FUH84 GED10:GED84 GNZ10:GNZ84 GXV10:GXV84 HHR10:HHR84 HRN10:HRN84 IBJ10:IBJ84 ILF10:ILF84 IVB10:IVB84 JEX10:JEX84 JOT10:JOT84 JYP10:JYP84 KIL10:KIL84 KSH10:KSH84 LCD10:LCD84 LLZ10:LLZ84 LVV10:LVV84 MFR10:MFR84 MPN10:MPN84 MZJ10:MZJ84 NJF10:NJF84 NTB10:NTB84 OCX10:OCX84 OMT10:OMT84 OWP10:OWP84 PGL10:PGL84 PQH10:PQH84 QAD10:QAD84 QJZ10:QJZ84 QTV10:QTV84 RDR10:RDR84 RNN10:RNN84 RXJ10:RXJ84 SHF10:SHF84 SRB10:SRB84 TAX10:TAX84 TKT10:TKT84 TUP10:TUP84 UEL10:UEL84 UOH10:UOH84 UYD10:UYD84 VHZ10:VHZ84 VRV10:VRV84 WBR10:WBR84 WLN10:WLN84 WVJ10:WVJ84 B65546:B65620 IX65546:IX65620 ST65546:ST65620 ACP65546:ACP65620 AML65546:AML65620 AWH65546:AWH65620 BGD65546:BGD65620 BPZ65546:BPZ65620 BZV65546:BZV65620 CJR65546:CJR65620 CTN65546:CTN65620 DDJ65546:DDJ65620 DNF65546:DNF65620 DXB65546:DXB65620 EGX65546:EGX65620 EQT65546:EQT65620 FAP65546:FAP65620 FKL65546:FKL65620 FUH65546:FUH65620 GED65546:GED65620 GNZ65546:GNZ65620 GXV65546:GXV65620 HHR65546:HHR65620 HRN65546:HRN65620 IBJ65546:IBJ65620 ILF65546:ILF65620 IVB65546:IVB65620 JEX65546:JEX65620 JOT65546:JOT65620 JYP65546:JYP65620 KIL65546:KIL65620 KSH65546:KSH65620 LCD65546:LCD65620 LLZ65546:LLZ65620 LVV65546:LVV65620 MFR65546:MFR65620 MPN65546:MPN65620 MZJ65546:MZJ65620 NJF65546:NJF65620 NTB65546:NTB65620 OCX65546:OCX65620 OMT65546:OMT65620 OWP65546:OWP65620 PGL65546:PGL65620 PQH65546:PQH65620 QAD65546:QAD65620 QJZ65546:QJZ65620 QTV65546:QTV65620 RDR65546:RDR65620 RNN65546:RNN65620 RXJ65546:RXJ65620 SHF65546:SHF65620 SRB65546:SRB65620 TAX65546:TAX65620 TKT65546:TKT65620 TUP65546:TUP65620 UEL65546:UEL65620 UOH65546:UOH65620 UYD65546:UYD65620 VHZ65546:VHZ65620 VRV65546:VRV65620 WBR65546:WBR65620 WLN65546:WLN65620 WVJ65546:WVJ65620 B131082:B131156 IX131082:IX131156 ST131082:ST131156 ACP131082:ACP131156 AML131082:AML131156 AWH131082:AWH131156 BGD131082:BGD131156 BPZ131082:BPZ131156 BZV131082:BZV131156 CJR131082:CJR131156 CTN131082:CTN131156 DDJ131082:DDJ131156 DNF131082:DNF131156 DXB131082:DXB131156 EGX131082:EGX131156 EQT131082:EQT131156 FAP131082:FAP131156 FKL131082:FKL131156 FUH131082:FUH131156 GED131082:GED131156 GNZ131082:GNZ131156 GXV131082:GXV131156 HHR131082:HHR131156 HRN131082:HRN131156 IBJ131082:IBJ131156 ILF131082:ILF131156 IVB131082:IVB131156 JEX131082:JEX131156 JOT131082:JOT131156 JYP131082:JYP131156 KIL131082:KIL131156 KSH131082:KSH131156 LCD131082:LCD131156 LLZ131082:LLZ131156 LVV131082:LVV131156 MFR131082:MFR131156 MPN131082:MPN131156 MZJ131082:MZJ131156 NJF131082:NJF131156 NTB131082:NTB131156 OCX131082:OCX131156 OMT131082:OMT131156 OWP131082:OWP131156 PGL131082:PGL131156 PQH131082:PQH131156 QAD131082:QAD131156 QJZ131082:QJZ131156 QTV131082:QTV131156 RDR131082:RDR131156 RNN131082:RNN131156 RXJ131082:RXJ131156 SHF131082:SHF131156 SRB131082:SRB131156 TAX131082:TAX131156 TKT131082:TKT131156 TUP131082:TUP131156 UEL131082:UEL131156 UOH131082:UOH131156 UYD131082:UYD131156 VHZ131082:VHZ131156 VRV131082:VRV131156 WBR131082:WBR131156 WLN131082:WLN131156 WVJ131082:WVJ131156 B196618:B196692 IX196618:IX196692 ST196618:ST196692 ACP196618:ACP196692 AML196618:AML196692 AWH196618:AWH196692 BGD196618:BGD196692 BPZ196618:BPZ196692 BZV196618:BZV196692 CJR196618:CJR196692 CTN196618:CTN196692 DDJ196618:DDJ196692 DNF196618:DNF196692 DXB196618:DXB196692 EGX196618:EGX196692 EQT196618:EQT196692 FAP196618:FAP196692 FKL196618:FKL196692 FUH196618:FUH196692 GED196618:GED196692 GNZ196618:GNZ196692 GXV196618:GXV196692 HHR196618:HHR196692 HRN196618:HRN196692 IBJ196618:IBJ196692 ILF196618:ILF196692 IVB196618:IVB196692 JEX196618:JEX196692 JOT196618:JOT196692 JYP196618:JYP196692 KIL196618:KIL196692 KSH196618:KSH196692 LCD196618:LCD196692 LLZ196618:LLZ196692 LVV196618:LVV196692 MFR196618:MFR196692 MPN196618:MPN196692 MZJ196618:MZJ196692 NJF196618:NJF196692 NTB196618:NTB196692 OCX196618:OCX196692 OMT196618:OMT196692 OWP196618:OWP196692 PGL196618:PGL196692 PQH196618:PQH196692 QAD196618:QAD196692 QJZ196618:QJZ196692 QTV196618:QTV196692 RDR196618:RDR196692 RNN196618:RNN196692 RXJ196618:RXJ196692 SHF196618:SHF196692 SRB196618:SRB196692 TAX196618:TAX196692 TKT196618:TKT196692 TUP196618:TUP196692 UEL196618:UEL196692 UOH196618:UOH196692 UYD196618:UYD196692 VHZ196618:VHZ196692 VRV196618:VRV196692 WBR196618:WBR196692 WLN196618:WLN196692 WVJ196618:WVJ196692 B262154:B262228 IX262154:IX262228 ST262154:ST262228 ACP262154:ACP262228 AML262154:AML262228 AWH262154:AWH262228 BGD262154:BGD262228 BPZ262154:BPZ262228 BZV262154:BZV262228 CJR262154:CJR262228 CTN262154:CTN262228 DDJ262154:DDJ262228 DNF262154:DNF262228 DXB262154:DXB262228 EGX262154:EGX262228 EQT262154:EQT262228 FAP262154:FAP262228 FKL262154:FKL262228 FUH262154:FUH262228 GED262154:GED262228 GNZ262154:GNZ262228 GXV262154:GXV262228 HHR262154:HHR262228 HRN262154:HRN262228 IBJ262154:IBJ262228 ILF262154:ILF262228 IVB262154:IVB262228 JEX262154:JEX262228 JOT262154:JOT262228 JYP262154:JYP262228 KIL262154:KIL262228 KSH262154:KSH262228 LCD262154:LCD262228 LLZ262154:LLZ262228 LVV262154:LVV262228 MFR262154:MFR262228 MPN262154:MPN262228 MZJ262154:MZJ262228 NJF262154:NJF262228 NTB262154:NTB262228 OCX262154:OCX262228 OMT262154:OMT262228 OWP262154:OWP262228 PGL262154:PGL262228 PQH262154:PQH262228 QAD262154:QAD262228 QJZ262154:QJZ262228 QTV262154:QTV262228 RDR262154:RDR262228 RNN262154:RNN262228 RXJ262154:RXJ262228 SHF262154:SHF262228 SRB262154:SRB262228 TAX262154:TAX262228 TKT262154:TKT262228 TUP262154:TUP262228 UEL262154:UEL262228 UOH262154:UOH262228 UYD262154:UYD262228 VHZ262154:VHZ262228 VRV262154:VRV262228 WBR262154:WBR262228 WLN262154:WLN262228 WVJ262154:WVJ262228 B327690:B327764 IX327690:IX327764 ST327690:ST327764 ACP327690:ACP327764 AML327690:AML327764 AWH327690:AWH327764 BGD327690:BGD327764 BPZ327690:BPZ327764 BZV327690:BZV327764 CJR327690:CJR327764 CTN327690:CTN327764 DDJ327690:DDJ327764 DNF327690:DNF327764 DXB327690:DXB327764 EGX327690:EGX327764 EQT327690:EQT327764 FAP327690:FAP327764 FKL327690:FKL327764 FUH327690:FUH327764 GED327690:GED327764 GNZ327690:GNZ327764 GXV327690:GXV327764 HHR327690:HHR327764 HRN327690:HRN327764 IBJ327690:IBJ327764 ILF327690:ILF327764 IVB327690:IVB327764 JEX327690:JEX327764 JOT327690:JOT327764 JYP327690:JYP327764 KIL327690:KIL327764 KSH327690:KSH327764 LCD327690:LCD327764 LLZ327690:LLZ327764 LVV327690:LVV327764 MFR327690:MFR327764 MPN327690:MPN327764 MZJ327690:MZJ327764 NJF327690:NJF327764 NTB327690:NTB327764 OCX327690:OCX327764 OMT327690:OMT327764 OWP327690:OWP327764 PGL327690:PGL327764 PQH327690:PQH327764 QAD327690:QAD327764 QJZ327690:QJZ327764 QTV327690:QTV327764 RDR327690:RDR327764 RNN327690:RNN327764 RXJ327690:RXJ327764 SHF327690:SHF327764 SRB327690:SRB327764 TAX327690:TAX327764 TKT327690:TKT327764 TUP327690:TUP327764 UEL327690:UEL327764 UOH327690:UOH327764 UYD327690:UYD327764 VHZ327690:VHZ327764 VRV327690:VRV327764 WBR327690:WBR327764 WLN327690:WLN327764 WVJ327690:WVJ327764 B393226:B393300 IX393226:IX393300 ST393226:ST393300 ACP393226:ACP393300 AML393226:AML393300 AWH393226:AWH393300 BGD393226:BGD393300 BPZ393226:BPZ393300 BZV393226:BZV393300 CJR393226:CJR393300 CTN393226:CTN393300 DDJ393226:DDJ393300 DNF393226:DNF393300 DXB393226:DXB393300 EGX393226:EGX393300 EQT393226:EQT393300 FAP393226:FAP393300 FKL393226:FKL393300 FUH393226:FUH393300 GED393226:GED393300 GNZ393226:GNZ393300 GXV393226:GXV393300 HHR393226:HHR393300 HRN393226:HRN393300 IBJ393226:IBJ393300 ILF393226:ILF393300 IVB393226:IVB393300 JEX393226:JEX393300 JOT393226:JOT393300 JYP393226:JYP393300 KIL393226:KIL393300 KSH393226:KSH393300 LCD393226:LCD393300 LLZ393226:LLZ393300 LVV393226:LVV393300 MFR393226:MFR393300 MPN393226:MPN393300 MZJ393226:MZJ393300 NJF393226:NJF393300 NTB393226:NTB393300 OCX393226:OCX393300 OMT393226:OMT393300 OWP393226:OWP393300 PGL393226:PGL393300 PQH393226:PQH393300 QAD393226:QAD393300 QJZ393226:QJZ393300 QTV393226:QTV393300 RDR393226:RDR393300 RNN393226:RNN393300 RXJ393226:RXJ393300 SHF393226:SHF393300 SRB393226:SRB393300 TAX393226:TAX393300 TKT393226:TKT393300 TUP393226:TUP393300 UEL393226:UEL393300 UOH393226:UOH393300 UYD393226:UYD393300 VHZ393226:VHZ393300 VRV393226:VRV393300 WBR393226:WBR393300 WLN393226:WLN393300 WVJ393226:WVJ393300 B458762:B458836 IX458762:IX458836 ST458762:ST458836 ACP458762:ACP458836 AML458762:AML458836 AWH458762:AWH458836 BGD458762:BGD458836 BPZ458762:BPZ458836 BZV458762:BZV458836 CJR458762:CJR458836 CTN458762:CTN458836 DDJ458762:DDJ458836 DNF458762:DNF458836 DXB458762:DXB458836 EGX458762:EGX458836 EQT458762:EQT458836 FAP458762:FAP458836 FKL458762:FKL458836 FUH458762:FUH458836 GED458762:GED458836 GNZ458762:GNZ458836 GXV458762:GXV458836 HHR458762:HHR458836 HRN458762:HRN458836 IBJ458762:IBJ458836 ILF458762:ILF458836 IVB458762:IVB458836 JEX458762:JEX458836 JOT458762:JOT458836 JYP458762:JYP458836 KIL458762:KIL458836 KSH458762:KSH458836 LCD458762:LCD458836 LLZ458762:LLZ458836 LVV458762:LVV458836 MFR458762:MFR458836 MPN458762:MPN458836 MZJ458762:MZJ458836 NJF458762:NJF458836 NTB458762:NTB458836 OCX458762:OCX458836 OMT458762:OMT458836 OWP458762:OWP458836 PGL458762:PGL458836 PQH458762:PQH458836 QAD458762:QAD458836 QJZ458762:QJZ458836 QTV458762:QTV458836 RDR458762:RDR458836 RNN458762:RNN458836 RXJ458762:RXJ458836 SHF458762:SHF458836 SRB458762:SRB458836 TAX458762:TAX458836 TKT458762:TKT458836 TUP458762:TUP458836 UEL458762:UEL458836 UOH458762:UOH458836 UYD458762:UYD458836 VHZ458762:VHZ458836 VRV458762:VRV458836 WBR458762:WBR458836 WLN458762:WLN458836 WVJ458762:WVJ458836 B524298:B524372 IX524298:IX524372 ST524298:ST524372 ACP524298:ACP524372 AML524298:AML524372 AWH524298:AWH524372 BGD524298:BGD524372 BPZ524298:BPZ524372 BZV524298:BZV524372 CJR524298:CJR524372 CTN524298:CTN524372 DDJ524298:DDJ524372 DNF524298:DNF524372 DXB524298:DXB524372 EGX524298:EGX524372 EQT524298:EQT524372 FAP524298:FAP524372 FKL524298:FKL524372 FUH524298:FUH524372 GED524298:GED524372 GNZ524298:GNZ524372 GXV524298:GXV524372 HHR524298:HHR524372 HRN524298:HRN524372 IBJ524298:IBJ524372 ILF524298:ILF524372 IVB524298:IVB524372 JEX524298:JEX524372 JOT524298:JOT524372 JYP524298:JYP524372 KIL524298:KIL524372 KSH524298:KSH524372 LCD524298:LCD524372 LLZ524298:LLZ524372 LVV524298:LVV524372 MFR524298:MFR524372 MPN524298:MPN524372 MZJ524298:MZJ524372 NJF524298:NJF524372 NTB524298:NTB524372 OCX524298:OCX524372 OMT524298:OMT524372 OWP524298:OWP524372 PGL524298:PGL524372 PQH524298:PQH524372 QAD524298:QAD524372 QJZ524298:QJZ524372 QTV524298:QTV524372 RDR524298:RDR524372 RNN524298:RNN524372 RXJ524298:RXJ524372 SHF524298:SHF524372 SRB524298:SRB524372 TAX524298:TAX524372 TKT524298:TKT524372 TUP524298:TUP524372 UEL524298:UEL524372 UOH524298:UOH524372 UYD524298:UYD524372 VHZ524298:VHZ524372 VRV524298:VRV524372 WBR524298:WBR524372 WLN524298:WLN524372 WVJ524298:WVJ524372 B589834:B589908 IX589834:IX589908 ST589834:ST589908 ACP589834:ACP589908 AML589834:AML589908 AWH589834:AWH589908 BGD589834:BGD589908 BPZ589834:BPZ589908 BZV589834:BZV589908 CJR589834:CJR589908 CTN589834:CTN589908 DDJ589834:DDJ589908 DNF589834:DNF589908 DXB589834:DXB589908 EGX589834:EGX589908 EQT589834:EQT589908 FAP589834:FAP589908 FKL589834:FKL589908 FUH589834:FUH589908 GED589834:GED589908 GNZ589834:GNZ589908 GXV589834:GXV589908 HHR589834:HHR589908 HRN589834:HRN589908 IBJ589834:IBJ589908 ILF589834:ILF589908 IVB589834:IVB589908 JEX589834:JEX589908 JOT589834:JOT589908 JYP589834:JYP589908 KIL589834:KIL589908 KSH589834:KSH589908 LCD589834:LCD589908 LLZ589834:LLZ589908 LVV589834:LVV589908 MFR589834:MFR589908 MPN589834:MPN589908 MZJ589834:MZJ589908 NJF589834:NJF589908 NTB589834:NTB589908 OCX589834:OCX589908 OMT589834:OMT589908 OWP589834:OWP589908 PGL589834:PGL589908 PQH589834:PQH589908 QAD589834:QAD589908 QJZ589834:QJZ589908 QTV589834:QTV589908 RDR589834:RDR589908 RNN589834:RNN589908 RXJ589834:RXJ589908 SHF589834:SHF589908 SRB589834:SRB589908 TAX589834:TAX589908 TKT589834:TKT589908 TUP589834:TUP589908 UEL589834:UEL589908 UOH589834:UOH589908 UYD589834:UYD589908 VHZ589834:VHZ589908 VRV589834:VRV589908 WBR589834:WBR589908 WLN589834:WLN589908 WVJ589834:WVJ589908 B655370:B655444 IX655370:IX655444 ST655370:ST655444 ACP655370:ACP655444 AML655370:AML655444 AWH655370:AWH655444 BGD655370:BGD655444 BPZ655370:BPZ655444 BZV655370:BZV655444 CJR655370:CJR655444 CTN655370:CTN655444 DDJ655370:DDJ655444 DNF655370:DNF655444 DXB655370:DXB655444 EGX655370:EGX655444 EQT655370:EQT655444 FAP655370:FAP655444 FKL655370:FKL655444 FUH655370:FUH655444 GED655370:GED655444 GNZ655370:GNZ655444 GXV655370:GXV655444 HHR655370:HHR655444 HRN655370:HRN655444 IBJ655370:IBJ655444 ILF655370:ILF655444 IVB655370:IVB655444 JEX655370:JEX655444 JOT655370:JOT655444 JYP655370:JYP655444 KIL655370:KIL655444 KSH655370:KSH655444 LCD655370:LCD655444 LLZ655370:LLZ655444 LVV655370:LVV655444 MFR655370:MFR655444 MPN655370:MPN655444 MZJ655370:MZJ655444 NJF655370:NJF655444 NTB655370:NTB655444 OCX655370:OCX655444 OMT655370:OMT655444 OWP655370:OWP655444 PGL655370:PGL655444 PQH655370:PQH655444 QAD655370:QAD655444 QJZ655370:QJZ655444 QTV655370:QTV655444 RDR655370:RDR655444 RNN655370:RNN655444 RXJ655370:RXJ655444 SHF655370:SHF655444 SRB655370:SRB655444 TAX655370:TAX655444 TKT655370:TKT655444 TUP655370:TUP655444 UEL655370:UEL655444 UOH655370:UOH655444 UYD655370:UYD655444 VHZ655370:VHZ655444 VRV655370:VRV655444 WBR655370:WBR655444 WLN655370:WLN655444 WVJ655370:WVJ655444 B720906:B720980 IX720906:IX720980 ST720906:ST720980 ACP720906:ACP720980 AML720906:AML720980 AWH720906:AWH720980 BGD720906:BGD720980 BPZ720906:BPZ720980 BZV720906:BZV720980 CJR720906:CJR720980 CTN720906:CTN720980 DDJ720906:DDJ720980 DNF720906:DNF720980 DXB720906:DXB720980 EGX720906:EGX720980 EQT720906:EQT720980 FAP720906:FAP720980 FKL720906:FKL720980 FUH720906:FUH720980 GED720906:GED720980 GNZ720906:GNZ720980 GXV720906:GXV720980 HHR720906:HHR720980 HRN720906:HRN720980 IBJ720906:IBJ720980 ILF720906:ILF720980 IVB720906:IVB720980 JEX720906:JEX720980 JOT720906:JOT720980 JYP720906:JYP720980 KIL720906:KIL720980 KSH720906:KSH720980 LCD720906:LCD720980 LLZ720906:LLZ720980 LVV720906:LVV720980 MFR720906:MFR720980 MPN720906:MPN720980 MZJ720906:MZJ720980 NJF720906:NJF720980 NTB720906:NTB720980 OCX720906:OCX720980 OMT720906:OMT720980 OWP720906:OWP720980 PGL720906:PGL720980 PQH720906:PQH720980 QAD720906:QAD720980 QJZ720906:QJZ720980 QTV720906:QTV720980 RDR720906:RDR720980 RNN720906:RNN720980 RXJ720906:RXJ720980 SHF720906:SHF720980 SRB720906:SRB720980 TAX720906:TAX720980 TKT720906:TKT720980 TUP720906:TUP720980 UEL720906:UEL720980 UOH720906:UOH720980 UYD720906:UYD720980 VHZ720906:VHZ720980 VRV720906:VRV720980 WBR720906:WBR720980 WLN720906:WLN720980 WVJ720906:WVJ720980 B786442:B786516 IX786442:IX786516 ST786442:ST786516 ACP786442:ACP786516 AML786442:AML786516 AWH786442:AWH786516 BGD786442:BGD786516 BPZ786442:BPZ786516 BZV786442:BZV786516 CJR786442:CJR786516 CTN786442:CTN786516 DDJ786442:DDJ786516 DNF786442:DNF786516 DXB786442:DXB786516 EGX786442:EGX786516 EQT786442:EQT786516 FAP786442:FAP786516 FKL786442:FKL786516 FUH786442:FUH786516 GED786442:GED786516 GNZ786442:GNZ786516 GXV786442:GXV786516 HHR786442:HHR786516 HRN786442:HRN786516 IBJ786442:IBJ786516 ILF786442:ILF786516 IVB786442:IVB786516 JEX786442:JEX786516 JOT786442:JOT786516 JYP786442:JYP786516 KIL786442:KIL786516 KSH786442:KSH786516 LCD786442:LCD786516 LLZ786442:LLZ786516 LVV786442:LVV786516 MFR786442:MFR786516 MPN786442:MPN786516 MZJ786442:MZJ786516 NJF786442:NJF786516 NTB786442:NTB786516 OCX786442:OCX786516 OMT786442:OMT786516 OWP786442:OWP786516 PGL786442:PGL786516 PQH786442:PQH786516 QAD786442:QAD786516 QJZ786442:QJZ786516 QTV786442:QTV786516 RDR786442:RDR786516 RNN786442:RNN786516 RXJ786442:RXJ786516 SHF786442:SHF786516 SRB786442:SRB786516 TAX786442:TAX786516 TKT786442:TKT786516 TUP786442:TUP786516 UEL786442:UEL786516 UOH786442:UOH786516 UYD786442:UYD786516 VHZ786442:VHZ786516 VRV786442:VRV786516 WBR786442:WBR786516 WLN786442:WLN786516 WVJ786442:WVJ786516 B851978:B852052 IX851978:IX852052 ST851978:ST852052 ACP851978:ACP852052 AML851978:AML852052 AWH851978:AWH852052 BGD851978:BGD852052 BPZ851978:BPZ852052 BZV851978:BZV852052 CJR851978:CJR852052 CTN851978:CTN852052 DDJ851978:DDJ852052 DNF851978:DNF852052 DXB851978:DXB852052 EGX851978:EGX852052 EQT851978:EQT852052 FAP851978:FAP852052 FKL851978:FKL852052 FUH851978:FUH852052 GED851978:GED852052 GNZ851978:GNZ852052 GXV851978:GXV852052 HHR851978:HHR852052 HRN851978:HRN852052 IBJ851978:IBJ852052 ILF851978:ILF852052 IVB851978:IVB852052 JEX851978:JEX852052 JOT851978:JOT852052 JYP851978:JYP852052 KIL851978:KIL852052 KSH851978:KSH852052 LCD851978:LCD852052 LLZ851978:LLZ852052 LVV851978:LVV852052 MFR851978:MFR852052 MPN851978:MPN852052 MZJ851978:MZJ852052 NJF851978:NJF852052 NTB851978:NTB852052 OCX851978:OCX852052 OMT851978:OMT852052 OWP851978:OWP852052 PGL851978:PGL852052 PQH851978:PQH852052 QAD851978:QAD852052 QJZ851978:QJZ852052 QTV851978:QTV852052 RDR851978:RDR852052 RNN851978:RNN852052 RXJ851978:RXJ852052 SHF851978:SHF852052 SRB851978:SRB852052 TAX851978:TAX852052 TKT851978:TKT852052 TUP851978:TUP852052 UEL851978:UEL852052 UOH851978:UOH852052 UYD851978:UYD852052 VHZ851978:VHZ852052 VRV851978:VRV852052 WBR851978:WBR852052 WLN851978:WLN852052 WVJ851978:WVJ852052 B917514:B917588 IX917514:IX917588 ST917514:ST917588 ACP917514:ACP917588 AML917514:AML917588 AWH917514:AWH917588 BGD917514:BGD917588 BPZ917514:BPZ917588 BZV917514:BZV917588 CJR917514:CJR917588 CTN917514:CTN917588 DDJ917514:DDJ917588 DNF917514:DNF917588 DXB917514:DXB917588 EGX917514:EGX917588 EQT917514:EQT917588 FAP917514:FAP917588 FKL917514:FKL917588 FUH917514:FUH917588 GED917514:GED917588 GNZ917514:GNZ917588 GXV917514:GXV917588 HHR917514:HHR917588 HRN917514:HRN917588 IBJ917514:IBJ917588 ILF917514:ILF917588 IVB917514:IVB917588 JEX917514:JEX917588 JOT917514:JOT917588 JYP917514:JYP917588 KIL917514:KIL917588 KSH917514:KSH917588 LCD917514:LCD917588 LLZ917514:LLZ917588 LVV917514:LVV917588 MFR917514:MFR917588 MPN917514:MPN917588 MZJ917514:MZJ917588 NJF917514:NJF917588 NTB917514:NTB917588 OCX917514:OCX917588 OMT917514:OMT917588 OWP917514:OWP917588 PGL917514:PGL917588 PQH917514:PQH917588 QAD917514:QAD917588 QJZ917514:QJZ917588 QTV917514:QTV917588 RDR917514:RDR917588 RNN917514:RNN917588 RXJ917514:RXJ917588 SHF917514:SHF917588 SRB917514:SRB917588 TAX917514:TAX917588 TKT917514:TKT917588 TUP917514:TUP917588 UEL917514:UEL917588 UOH917514:UOH917588 UYD917514:UYD917588 VHZ917514:VHZ917588 VRV917514:VRV917588 WBR917514:WBR917588 WLN917514:WLN917588 WVJ917514:WVJ917588 B983050:B983124 IX983050:IX983124 ST983050:ST983124 ACP983050:ACP983124 AML983050:AML983124 AWH983050:AWH983124 BGD983050:BGD983124 BPZ983050:BPZ983124 BZV983050:BZV983124 CJR983050:CJR983124 CTN983050:CTN983124 DDJ983050:DDJ983124 DNF983050:DNF983124 DXB983050:DXB983124 EGX983050:EGX983124 EQT983050:EQT983124 FAP983050:FAP983124 FKL983050:FKL983124 FUH983050:FUH983124 GED983050:GED983124 GNZ983050:GNZ983124 GXV983050:GXV983124 HHR983050:HHR983124 HRN983050:HRN983124 IBJ983050:IBJ983124 ILF983050:ILF983124 IVB983050:IVB983124 JEX983050:JEX983124 JOT983050:JOT983124 JYP983050:JYP983124 KIL983050:KIL983124 KSH983050:KSH983124 LCD983050:LCD983124 LLZ983050:LLZ983124 LVV983050:LVV983124 MFR983050:MFR983124 MPN983050:MPN983124 MZJ983050:MZJ983124 NJF983050:NJF983124 NTB983050:NTB983124 OCX983050:OCX983124 OMT983050:OMT983124 OWP983050:OWP983124 PGL983050:PGL983124 PQH983050:PQH983124 QAD983050:QAD983124 QJZ983050:QJZ983124 QTV983050:QTV983124 RDR983050:RDR983124 RNN983050:RNN983124 RXJ983050:RXJ983124 SHF983050:SHF983124 SRB983050:SRB983124 TAX983050:TAX983124 TKT983050:TKT983124 TUP983050:TUP983124 UEL983050:UEL983124 UOH983050:UOH983124 UYD983050:UYD983124 VHZ983050:VHZ983124 VRV983050:VRV983124 WBR983050:WBR983124 WLN983050:WLN983124 WVJ983050:WVJ983124" xr:uid="{00000000-0002-0000-3500-000000000000}">
      <formula1>0</formula1>
      <formula2>999999</formula2>
    </dataValidation>
  </dataValidations>
  <hyperlinks>
    <hyperlink ref="K1" location="Menu!A1" display="Return to menu" xr:uid="{00000000-0004-0000-3500-000000000000}"/>
  </hyperlinks>
  <pageMargins left="0.75" right="0.75" top="1" bottom="1" header="0.5" footer="0.5"/>
  <pageSetup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9"/>
  <dimension ref="P1:R1"/>
  <sheetViews>
    <sheetView showGridLines="0" workbookViewId="0">
      <selection activeCell="P1" sqref="P1:R1"/>
    </sheetView>
  </sheetViews>
  <sheetFormatPr defaultColWidth="8.88671875" defaultRowHeight="13.2" x14ac:dyDescent="0.25"/>
  <cols>
    <col min="1" max="16384" width="8.88671875" style="13"/>
  </cols>
  <sheetData>
    <row r="1" spans="16:18" ht="21" x14ac:dyDescent="0.4">
      <c r="P1" s="1034" t="s">
        <v>19</v>
      </c>
      <c r="Q1" s="1034"/>
      <c r="R1" s="1034"/>
    </row>
  </sheetData>
  <mergeCells count="1">
    <mergeCell ref="P1:R1"/>
  </mergeCells>
  <hyperlinks>
    <hyperlink ref="P1" location="Menu!A1" display="Return to menu" xr:uid="{00000000-0004-0000-3600-000000000000}"/>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A46F7-7C86-408D-B617-587F054D55D7}">
  <sheetPr>
    <pageSetUpPr fitToPage="1"/>
  </sheetPr>
  <dimension ref="A1:BP19"/>
  <sheetViews>
    <sheetView zoomScale="85" zoomScaleNormal="85" zoomScalePageLayoutView="90" workbookViewId="0">
      <selection activeCell="P1" sqref="P1:R1"/>
    </sheetView>
  </sheetViews>
  <sheetFormatPr defaultColWidth="11.6640625" defaultRowHeight="14.4" x14ac:dyDescent="0.3"/>
  <cols>
    <col min="1" max="1" width="47.44140625" bestFit="1" customWidth="1"/>
    <col min="67" max="67" width="12.6640625" bestFit="1" customWidth="1"/>
  </cols>
  <sheetData>
    <row r="1" spans="1:68" ht="21" x14ac:dyDescent="0.4">
      <c r="B1" s="130" t="s">
        <v>827</v>
      </c>
      <c r="P1" s="1034" t="s">
        <v>19</v>
      </c>
      <c r="Q1" s="1034"/>
      <c r="R1" s="1034"/>
    </row>
    <row r="2" spans="1:68" ht="18" x14ac:dyDescent="0.35">
      <c r="B2" s="130" t="s">
        <v>138</v>
      </c>
    </row>
    <row r="3" spans="1:68" ht="18" x14ac:dyDescent="0.35">
      <c r="B3" s="130" t="s">
        <v>139</v>
      </c>
      <c r="G3" s="554" t="s">
        <v>140</v>
      </c>
      <c r="H3" s="555" t="s">
        <v>610</v>
      </c>
      <c r="I3" s="555"/>
      <c r="J3" s="555"/>
      <c r="K3" s="555"/>
    </row>
    <row r="4" spans="1:68" ht="18" x14ac:dyDescent="0.35">
      <c r="B4" s="130" t="s">
        <v>828</v>
      </c>
    </row>
    <row r="6" spans="1:68" x14ac:dyDescent="0.3">
      <c r="B6" s="166"/>
      <c r="C6" s="762">
        <v>1</v>
      </c>
      <c r="D6" s="166"/>
      <c r="E6" s="762">
        <v>2</v>
      </c>
      <c r="F6" s="166"/>
      <c r="G6" s="762">
        <v>3</v>
      </c>
      <c r="H6" s="166"/>
      <c r="I6" s="762">
        <v>4</v>
      </c>
      <c r="J6" s="166"/>
      <c r="K6" s="762">
        <v>5</v>
      </c>
      <c r="L6" s="166"/>
      <c r="M6" s="762">
        <v>6</v>
      </c>
      <c r="N6" s="166"/>
      <c r="O6" s="762">
        <v>7</v>
      </c>
      <c r="P6" s="166"/>
      <c r="Q6" s="762">
        <v>8</v>
      </c>
      <c r="R6" s="166"/>
      <c r="S6" s="762">
        <v>9</v>
      </c>
      <c r="T6" s="166"/>
      <c r="U6" s="762">
        <v>10</v>
      </c>
      <c r="V6" s="166"/>
      <c r="W6" s="762">
        <v>11</v>
      </c>
      <c r="X6" s="166"/>
      <c r="Y6" s="762">
        <v>12</v>
      </c>
      <c r="Z6" s="166"/>
      <c r="AA6" s="762">
        <v>13</v>
      </c>
      <c r="AB6" s="166"/>
      <c r="AC6" s="762">
        <v>14</v>
      </c>
      <c r="AD6" s="166"/>
      <c r="AE6" s="762">
        <v>15</v>
      </c>
      <c r="AF6" s="166"/>
      <c r="AG6" s="762">
        <v>16</v>
      </c>
      <c r="AH6" s="166"/>
      <c r="AI6" s="762">
        <v>17</v>
      </c>
      <c r="AJ6" s="166"/>
      <c r="AK6" s="762">
        <v>18</v>
      </c>
      <c r="AL6" s="166"/>
      <c r="AM6" s="762">
        <v>19</v>
      </c>
      <c r="AN6" s="166"/>
      <c r="AO6" s="762">
        <v>20</v>
      </c>
      <c r="AP6" s="166"/>
      <c r="AQ6" s="762">
        <v>21</v>
      </c>
      <c r="AR6" s="166"/>
      <c r="AS6" s="762">
        <v>22</v>
      </c>
      <c r="AT6" s="166"/>
      <c r="AU6" s="762">
        <v>23</v>
      </c>
      <c r="AV6" s="166"/>
      <c r="AW6" s="762">
        <v>24</v>
      </c>
      <c r="AX6" s="166"/>
      <c r="AY6" s="762">
        <v>25</v>
      </c>
      <c r="AZ6" s="166"/>
      <c r="BA6" s="762">
        <v>26</v>
      </c>
      <c r="BB6" s="166"/>
      <c r="BC6" s="762">
        <v>27</v>
      </c>
      <c r="BD6" s="166"/>
      <c r="BE6" s="762">
        <v>28</v>
      </c>
      <c r="BF6" s="166"/>
      <c r="BG6" s="762">
        <v>29</v>
      </c>
      <c r="BH6" s="166"/>
      <c r="BI6" s="762">
        <v>30</v>
      </c>
      <c r="BJ6" s="166"/>
      <c r="BK6" s="762">
        <v>31</v>
      </c>
      <c r="BL6" s="166"/>
      <c r="BM6" s="762">
        <v>32</v>
      </c>
    </row>
    <row r="7" spans="1:68" ht="36.6" x14ac:dyDescent="0.7">
      <c r="A7" s="556" t="s">
        <v>611</v>
      </c>
      <c r="B7" s="167" t="s">
        <v>140</v>
      </c>
      <c r="C7" s="763"/>
      <c r="D7" s="167" t="s">
        <v>140</v>
      </c>
      <c r="E7" s="763"/>
      <c r="F7" s="167" t="s">
        <v>140</v>
      </c>
      <c r="G7" s="763"/>
      <c r="H7" s="167" t="s">
        <v>140</v>
      </c>
      <c r="I7" s="763"/>
      <c r="J7" s="167" t="s">
        <v>140</v>
      </c>
      <c r="K7" s="763"/>
      <c r="L7" s="167" t="s">
        <v>140</v>
      </c>
      <c r="M7" s="763"/>
      <c r="N7" s="167" t="s">
        <v>140</v>
      </c>
      <c r="O7" s="763"/>
      <c r="P7" s="167" t="s">
        <v>140</v>
      </c>
      <c r="Q7" s="763"/>
      <c r="R7" s="167" t="s">
        <v>140</v>
      </c>
      <c r="S7" s="763"/>
      <c r="T7" s="167" t="s">
        <v>140</v>
      </c>
      <c r="U7" s="763"/>
      <c r="V7" s="167" t="s">
        <v>140</v>
      </c>
      <c r="W7" s="763"/>
      <c r="X7" s="167" t="s">
        <v>140</v>
      </c>
      <c r="Y7" s="763"/>
      <c r="Z7" s="167" t="s">
        <v>140</v>
      </c>
      <c r="AA7" s="763"/>
      <c r="AB7" s="167" t="s">
        <v>140</v>
      </c>
      <c r="AC7" s="763"/>
      <c r="AD7" s="167" t="s">
        <v>140</v>
      </c>
      <c r="AE7" s="763"/>
      <c r="AF7" s="167" t="s">
        <v>140</v>
      </c>
      <c r="AG7" s="763"/>
      <c r="AH7" s="167" t="s">
        <v>140</v>
      </c>
      <c r="AI7" s="763"/>
      <c r="AJ7" s="167" t="s">
        <v>140</v>
      </c>
      <c r="AK7" s="763"/>
      <c r="AL7" s="167" t="s">
        <v>140</v>
      </c>
      <c r="AM7" s="763"/>
      <c r="AN7" s="167" t="s">
        <v>140</v>
      </c>
      <c r="AO7" s="763"/>
      <c r="AP7" s="167" t="s">
        <v>140</v>
      </c>
      <c r="AQ7" s="763"/>
      <c r="AR7" s="167" t="s">
        <v>140</v>
      </c>
      <c r="AS7" s="763"/>
      <c r="AT7" s="167" t="s">
        <v>140</v>
      </c>
      <c r="AU7" s="763"/>
      <c r="AV7" s="167" t="s">
        <v>140</v>
      </c>
      <c r="AW7" s="763"/>
      <c r="AX7" s="167" t="s">
        <v>140</v>
      </c>
      <c r="AY7" s="763"/>
      <c r="AZ7" s="167" t="s">
        <v>140</v>
      </c>
      <c r="BA7" s="763"/>
      <c r="BB7" s="167" t="s">
        <v>140</v>
      </c>
      <c r="BC7" s="763"/>
      <c r="BD7" s="167" t="s">
        <v>140</v>
      </c>
      <c r="BE7" s="763"/>
      <c r="BF7" s="167" t="s">
        <v>140</v>
      </c>
      <c r="BG7" s="763"/>
      <c r="BH7" s="167" t="s">
        <v>140</v>
      </c>
      <c r="BI7" s="763"/>
      <c r="BJ7" s="167" t="s">
        <v>140</v>
      </c>
      <c r="BK7" s="763"/>
      <c r="BL7" s="167" t="s">
        <v>140</v>
      </c>
      <c r="BM7" s="763"/>
    </row>
    <row r="8" spans="1:68" x14ac:dyDescent="0.3">
      <c r="C8" s="764"/>
      <c r="D8" s="166"/>
      <c r="E8" s="764"/>
      <c r="F8" s="166"/>
      <c r="G8" s="764"/>
      <c r="H8" s="166"/>
      <c r="I8" s="764"/>
      <c r="J8" s="166"/>
      <c r="K8" s="764"/>
      <c r="L8" s="166"/>
      <c r="M8" s="764"/>
      <c r="N8" s="166"/>
      <c r="O8" s="764"/>
      <c r="P8" s="166"/>
      <c r="Q8" s="764"/>
      <c r="R8" s="166"/>
      <c r="S8" s="764"/>
      <c r="T8" s="166"/>
      <c r="U8" s="764"/>
      <c r="V8" s="166"/>
      <c r="W8" s="764"/>
      <c r="X8" s="166"/>
      <c r="Y8" s="764"/>
      <c r="Z8" s="166"/>
      <c r="AA8" s="764"/>
      <c r="AB8" s="166"/>
      <c r="AC8" s="764"/>
      <c r="AD8" s="166"/>
      <c r="AE8" s="764"/>
      <c r="AF8" s="166"/>
      <c r="AG8" s="764"/>
      <c r="AH8" s="166"/>
      <c r="AI8" s="764"/>
      <c r="AJ8" s="166"/>
      <c r="AK8" s="764"/>
      <c r="AL8" s="166"/>
      <c r="AM8" s="764"/>
      <c r="AN8" s="166"/>
      <c r="AO8" s="764"/>
      <c r="AP8" s="166"/>
      <c r="AQ8" s="764"/>
      <c r="AR8" s="166"/>
      <c r="AS8" s="764"/>
      <c r="AT8" s="166"/>
      <c r="AU8" s="764"/>
      <c r="AV8" s="166"/>
      <c r="AW8" s="764"/>
      <c r="AX8" s="166"/>
      <c r="AY8" s="764"/>
      <c r="AZ8" s="166"/>
      <c r="BA8" s="764"/>
      <c r="BB8" s="166"/>
      <c r="BC8" s="764"/>
      <c r="BD8" s="166"/>
      <c r="BE8" s="764"/>
      <c r="BF8" s="166"/>
      <c r="BG8" s="764"/>
      <c r="BH8" s="166"/>
      <c r="BI8" s="764"/>
      <c r="BJ8" s="166"/>
      <c r="BK8" s="764"/>
      <c r="BL8" s="166"/>
      <c r="BM8" s="764"/>
    </row>
    <row r="9" spans="1:68" x14ac:dyDescent="0.3">
      <c r="A9" s="765" t="s">
        <v>676</v>
      </c>
      <c r="B9" s="166">
        <v>0</v>
      </c>
      <c r="D9" s="166">
        <v>0</v>
      </c>
      <c r="F9" s="166">
        <v>0</v>
      </c>
      <c r="H9" s="166">
        <v>0</v>
      </c>
      <c r="J9" s="166">
        <v>0</v>
      </c>
      <c r="L9" s="166">
        <v>0</v>
      </c>
      <c r="N9" s="166">
        <v>0</v>
      </c>
      <c r="P9" s="166">
        <v>0</v>
      </c>
      <c r="R9" s="166">
        <v>0</v>
      </c>
      <c r="T9" s="166">
        <v>0</v>
      </c>
      <c r="V9" s="166">
        <v>0</v>
      </c>
      <c r="X9" s="166">
        <v>0</v>
      </c>
      <c r="Z9" s="166">
        <v>0</v>
      </c>
      <c r="AB9" s="166">
        <v>0</v>
      </c>
      <c r="AD9" s="166">
        <v>0</v>
      </c>
      <c r="AF9" s="166">
        <v>0</v>
      </c>
      <c r="AH9" s="166">
        <v>0</v>
      </c>
      <c r="AJ9" s="166">
        <v>0</v>
      </c>
      <c r="AL9" s="166">
        <v>0</v>
      </c>
      <c r="AN9" s="166">
        <v>0</v>
      </c>
      <c r="AP9" s="166">
        <v>0</v>
      </c>
      <c r="AR9" s="166">
        <v>0</v>
      </c>
      <c r="AT9" s="166">
        <v>0</v>
      </c>
      <c r="AV9" s="166">
        <v>0</v>
      </c>
      <c r="AX9" s="166">
        <v>0</v>
      </c>
      <c r="AZ9" s="166">
        <v>0</v>
      </c>
      <c r="BB9" s="166">
        <v>0</v>
      </c>
      <c r="BD9" s="166">
        <v>0</v>
      </c>
      <c r="BF9" s="166">
        <v>0</v>
      </c>
      <c r="BH9" s="166">
        <v>0</v>
      </c>
      <c r="BJ9" s="166">
        <v>0</v>
      </c>
      <c r="BL9" s="166">
        <v>10</v>
      </c>
    </row>
    <row r="10" spans="1:68" x14ac:dyDescent="0.3">
      <c r="B10" s="168" t="s">
        <v>141</v>
      </c>
      <c r="C10" s="766">
        <v>0</v>
      </c>
      <c r="D10" s="168" t="s">
        <v>141</v>
      </c>
      <c r="E10" s="766">
        <v>0</v>
      </c>
      <c r="F10" s="168" t="s">
        <v>141</v>
      </c>
      <c r="G10" s="766">
        <v>0</v>
      </c>
      <c r="H10" s="168" t="s">
        <v>141</v>
      </c>
      <c r="I10" s="766">
        <v>0</v>
      </c>
      <c r="J10" s="168" t="s">
        <v>141</v>
      </c>
      <c r="K10" s="766">
        <v>0</v>
      </c>
      <c r="L10" s="168" t="s">
        <v>141</v>
      </c>
      <c r="M10" s="766">
        <v>0</v>
      </c>
      <c r="N10" s="168" t="s">
        <v>141</v>
      </c>
      <c r="O10" s="766">
        <v>0</v>
      </c>
      <c r="P10" s="168" t="s">
        <v>141</v>
      </c>
      <c r="Q10" s="766">
        <v>0</v>
      </c>
      <c r="R10" s="168" t="s">
        <v>141</v>
      </c>
      <c r="S10" s="766">
        <v>0</v>
      </c>
      <c r="T10" s="168" t="s">
        <v>141</v>
      </c>
      <c r="U10" s="766">
        <v>0</v>
      </c>
      <c r="V10" s="168" t="s">
        <v>141</v>
      </c>
      <c r="W10" s="766">
        <v>0</v>
      </c>
      <c r="X10" s="168" t="s">
        <v>141</v>
      </c>
      <c r="Y10" s="766">
        <v>0</v>
      </c>
      <c r="Z10" s="168" t="s">
        <v>141</v>
      </c>
      <c r="AA10" s="766">
        <v>0</v>
      </c>
      <c r="AB10" s="168" t="s">
        <v>141</v>
      </c>
      <c r="AC10" s="766">
        <v>0</v>
      </c>
      <c r="AD10" s="168" t="s">
        <v>141</v>
      </c>
      <c r="AE10" s="766">
        <v>0</v>
      </c>
      <c r="AF10" s="168" t="s">
        <v>141</v>
      </c>
      <c r="AG10" s="766">
        <v>0</v>
      </c>
      <c r="AH10" s="168" t="s">
        <v>141</v>
      </c>
      <c r="AI10" s="766">
        <v>0</v>
      </c>
      <c r="AJ10" s="168" t="s">
        <v>141</v>
      </c>
      <c r="AK10" s="766">
        <v>0</v>
      </c>
      <c r="AL10" s="168" t="s">
        <v>141</v>
      </c>
      <c r="AM10" s="766">
        <v>0</v>
      </c>
      <c r="AN10" s="168" t="s">
        <v>141</v>
      </c>
      <c r="AO10" s="766">
        <v>0</v>
      </c>
      <c r="AP10" s="168" t="s">
        <v>141</v>
      </c>
      <c r="AQ10" s="766">
        <v>0</v>
      </c>
      <c r="AR10" s="168" t="s">
        <v>141</v>
      </c>
      <c r="AS10" s="766">
        <v>0</v>
      </c>
      <c r="AT10" s="168" t="s">
        <v>141</v>
      </c>
      <c r="AU10" s="766">
        <v>0</v>
      </c>
      <c r="AV10" s="168" t="s">
        <v>141</v>
      </c>
      <c r="AW10" s="766">
        <v>0</v>
      </c>
      <c r="AX10" s="168" t="s">
        <v>141</v>
      </c>
      <c r="AY10" s="766">
        <v>0</v>
      </c>
      <c r="AZ10" s="168" t="s">
        <v>141</v>
      </c>
      <c r="BA10" s="766">
        <v>0</v>
      </c>
      <c r="BB10" s="168" t="s">
        <v>141</v>
      </c>
      <c r="BC10" s="766">
        <v>0</v>
      </c>
      <c r="BD10" s="168" t="s">
        <v>141</v>
      </c>
      <c r="BE10" s="766">
        <v>0</v>
      </c>
      <c r="BF10" s="168" t="s">
        <v>141</v>
      </c>
      <c r="BG10" s="766">
        <v>0</v>
      </c>
      <c r="BH10" s="168" t="s">
        <v>141</v>
      </c>
      <c r="BI10" s="766">
        <v>0</v>
      </c>
      <c r="BJ10" s="168" t="s">
        <v>141</v>
      </c>
      <c r="BK10" s="766">
        <v>0</v>
      </c>
      <c r="BL10" s="168" t="s">
        <v>141</v>
      </c>
      <c r="BM10" s="766">
        <v>0</v>
      </c>
    </row>
    <row r="11" spans="1:68" x14ac:dyDescent="0.3">
      <c r="B11" s="168" t="s">
        <v>142</v>
      </c>
      <c r="C11" s="766">
        <v>0</v>
      </c>
      <c r="D11" s="168" t="s">
        <v>142</v>
      </c>
      <c r="E11" s="766">
        <v>0</v>
      </c>
      <c r="F11" s="168" t="s">
        <v>142</v>
      </c>
      <c r="G11" s="766">
        <v>0</v>
      </c>
      <c r="H11" s="168" t="s">
        <v>142</v>
      </c>
      <c r="I11" s="766">
        <v>0</v>
      </c>
      <c r="J11" s="168" t="s">
        <v>142</v>
      </c>
      <c r="K11" s="766">
        <v>0</v>
      </c>
      <c r="L11" s="168" t="s">
        <v>142</v>
      </c>
      <c r="M11" s="766">
        <v>0</v>
      </c>
      <c r="N11" s="168" t="s">
        <v>142</v>
      </c>
      <c r="O11" s="766">
        <v>0</v>
      </c>
      <c r="P11" s="168" t="s">
        <v>142</v>
      </c>
      <c r="Q11" s="766">
        <v>0</v>
      </c>
      <c r="R11" s="168" t="s">
        <v>142</v>
      </c>
      <c r="S11" s="766">
        <v>0</v>
      </c>
      <c r="T11" s="168" t="s">
        <v>142</v>
      </c>
      <c r="U11" s="766">
        <v>0</v>
      </c>
      <c r="V11" s="168" t="s">
        <v>142</v>
      </c>
      <c r="W11" s="766">
        <v>0</v>
      </c>
      <c r="X11" s="168" t="s">
        <v>142</v>
      </c>
      <c r="Y11" s="766">
        <v>0</v>
      </c>
      <c r="Z11" s="168" t="s">
        <v>142</v>
      </c>
      <c r="AA11" s="766">
        <v>0</v>
      </c>
      <c r="AB11" s="168" t="s">
        <v>142</v>
      </c>
      <c r="AC11" s="766">
        <v>0</v>
      </c>
      <c r="AD11" s="168" t="s">
        <v>142</v>
      </c>
      <c r="AE11" s="766">
        <v>0</v>
      </c>
      <c r="AF11" s="168" t="s">
        <v>142</v>
      </c>
      <c r="AG11" s="766">
        <v>0</v>
      </c>
      <c r="AH11" s="168" t="s">
        <v>142</v>
      </c>
      <c r="AI11" s="766">
        <v>0</v>
      </c>
      <c r="AJ11" s="168" t="s">
        <v>142</v>
      </c>
      <c r="AK11" s="766">
        <v>0</v>
      </c>
      <c r="AL11" s="168" t="s">
        <v>142</v>
      </c>
      <c r="AM11" s="766">
        <v>0</v>
      </c>
      <c r="AN11" s="168" t="s">
        <v>142</v>
      </c>
      <c r="AO11" s="766">
        <v>0</v>
      </c>
      <c r="AP11" s="168" t="s">
        <v>142</v>
      </c>
      <c r="AQ11" s="766">
        <v>0</v>
      </c>
      <c r="AR11" s="168" t="s">
        <v>142</v>
      </c>
      <c r="AS11" s="766">
        <v>0</v>
      </c>
      <c r="AT11" s="168" t="s">
        <v>142</v>
      </c>
      <c r="AU11" s="766">
        <v>0</v>
      </c>
      <c r="AV11" s="168" t="s">
        <v>142</v>
      </c>
      <c r="AW11" s="766">
        <v>0</v>
      </c>
      <c r="AX11" s="168" t="s">
        <v>142</v>
      </c>
      <c r="AY11" s="766">
        <v>0</v>
      </c>
      <c r="AZ11" s="168" t="s">
        <v>142</v>
      </c>
      <c r="BA11" s="766">
        <v>0</v>
      </c>
      <c r="BB11" s="168" t="s">
        <v>142</v>
      </c>
      <c r="BC11" s="766">
        <v>0</v>
      </c>
      <c r="BD11" s="168" t="s">
        <v>142</v>
      </c>
      <c r="BE11" s="766">
        <v>0</v>
      </c>
      <c r="BF11" s="168" t="s">
        <v>142</v>
      </c>
      <c r="BG11" s="766">
        <v>0</v>
      </c>
      <c r="BH11" s="168" t="s">
        <v>142</v>
      </c>
      <c r="BI11" s="766">
        <v>0</v>
      </c>
      <c r="BJ11" s="168" t="s">
        <v>142</v>
      </c>
      <c r="BK11" s="766">
        <v>0</v>
      </c>
      <c r="BL11" s="168" t="s">
        <v>142</v>
      </c>
      <c r="BM11" s="766">
        <v>0</v>
      </c>
    </row>
    <row r="12" spans="1:68" x14ac:dyDescent="0.3">
      <c r="B12" s="168" t="s">
        <v>143</v>
      </c>
      <c r="C12" s="767">
        <v>1</v>
      </c>
      <c r="D12" s="168" t="s">
        <v>143</v>
      </c>
      <c r="E12" s="767">
        <v>1</v>
      </c>
      <c r="F12" s="168" t="s">
        <v>143</v>
      </c>
      <c r="G12" s="767">
        <v>1</v>
      </c>
      <c r="H12" s="168" t="s">
        <v>143</v>
      </c>
      <c r="I12" s="767">
        <v>1</v>
      </c>
      <c r="J12" s="168" t="s">
        <v>143</v>
      </c>
      <c r="K12" s="767">
        <v>1</v>
      </c>
      <c r="L12" s="168" t="s">
        <v>143</v>
      </c>
      <c r="M12" s="767">
        <v>1</v>
      </c>
      <c r="N12" s="168" t="s">
        <v>143</v>
      </c>
      <c r="O12" s="767">
        <v>1</v>
      </c>
      <c r="P12" s="168" t="s">
        <v>143</v>
      </c>
      <c r="Q12" s="767">
        <v>1</v>
      </c>
      <c r="R12" s="168" t="s">
        <v>143</v>
      </c>
      <c r="S12" s="767">
        <v>1</v>
      </c>
      <c r="T12" s="168" t="s">
        <v>143</v>
      </c>
      <c r="U12" s="767">
        <v>1</v>
      </c>
      <c r="V12" s="168" t="s">
        <v>143</v>
      </c>
      <c r="W12" s="767">
        <v>1</v>
      </c>
      <c r="X12" s="168" t="s">
        <v>143</v>
      </c>
      <c r="Y12" s="767">
        <v>1</v>
      </c>
      <c r="Z12" s="168" t="s">
        <v>143</v>
      </c>
      <c r="AA12" s="767">
        <v>1</v>
      </c>
      <c r="AB12" s="168" t="s">
        <v>143</v>
      </c>
      <c r="AC12" s="767">
        <v>1</v>
      </c>
      <c r="AD12" s="168" t="s">
        <v>143</v>
      </c>
      <c r="AE12" s="767">
        <v>1</v>
      </c>
      <c r="AF12" s="168" t="s">
        <v>143</v>
      </c>
      <c r="AG12" s="767">
        <v>1</v>
      </c>
      <c r="AH12" s="168" t="s">
        <v>143</v>
      </c>
      <c r="AI12" s="767">
        <v>1</v>
      </c>
      <c r="AJ12" s="168" t="s">
        <v>143</v>
      </c>
      <c r="AK12" s="767">
        <v>1</v>
      </c>
      <c r="AL12" s="168" t="s">
        <v>143</v>
      </c>
      <c r="AM12" s="767">
        <v>1</v>
      </c>
      <c r="AN12" s="168" t="s">
        <v>143</v>
      </c>
      <c r="AO12" s="767">
        <v>1</v>
      </c>
      <c r="AP12" s="168" t="s">
        <v>143</v>
      </c>
      <c r="AQ12" s="767">
        <v>1</v>
      </c>
      <c r="AR12" s="168" t="s">
        <v>143</v>
      </c>
      <c r="AS12" s="767">
        <v>1</v>
      </c>
      <c r="AT12" s="168" t="s">
        <v>143</v>
      </c>
      <c r="AU12" s="767">
        <v>1</v>
      </c>
      <c r="AV12" s="168" t="s">
        <v>143</v>
      </c>
      <c r="AW12" s="767">
        <v>1</v>
      </c>
      <c r="AX12" s="168" t="s">
        <v>143</v>
      </c>
      <c r="AY12" s="767">
        <v>1</v>
      </c>
      <c r="AZ12" s="168" t="s">
        <v>143</v>
      </c>
      <c r="BA12" s="767">
        <v>1</v>
      </c>
      <c r="BB12" s="168" t="s">
        <v>143</v>
      </c>
      <c r="BC12" s="767">
        <v>1</v>
      </c>
      <c r="BD12" s="168" t="s">
        <v>143</v>
      </c>
      <c r="BE12" s="767">
        <v>1</v>
      </c>
      <c r="BF12" s="168" t="s">
        <v>143</v>
      </c>
      <c r="BG12" s="767">
        <v>1</v>
      </c>
      <c r="BH12" s="168" t="s">
        <v>143</v>
      </c>
      <c r="BI12" s="767">
        <v>1</v>
      </c>
      <c r="BJ12" s="168" t="s">
        <v>143</v>
      </c>
      <c r="BK12" s="767">
        <v>1</v>
      </c>
      <c r="BL12" s="168" t="s">
        <v>143</v>
      </c>
      <c r="BM12" s="767">
        <v>1</v>
      </c>
    </row>
    <row r="13" spans="1:68" x14ac:dyDescent="0.3">
      <c r="B13" s="168" t="s">
        <v>144</v>
      </c>
      <c r="C13" s="766">
        <v>1</v>
      </c>
      <c r="D13" s="168" t="s">
        <v>144</v>
      </c>
      <c r="E13" s="766">
        <v>1</v>
      </c>
      <c r="F13" s="168" t="s">
        <v>144</v>
      </c>
      <c r="G13" s="766">
        <v>1</v>
      </c>
      <c r="H13" s="168" t="s">
        <v>144</v>
      </c>
      <c r="I13" s="766">
        <v>1</v>
      </c>
      <c r="J13" s="168" t="s">
        <v>144</v>
      </c>
      <c r="K13" s="766">
        <v>1</v>
      </c>
      <c r="L13" s="168" t="s">
        <v>144</v>
      </c>
      <c r="M13" s="766">
        <v>1</v>
      </c>
      <c r="N13" s="168" t="s">
        <v>144</v>
      </c>
      <c r="O13" s="766">
        <v>1</v>
      </c>
      <c r="P13" s="168" t="s">
        <v>144</v>
      </c>
      <c r="Q13" s="766">
        <v>1</v>
      </c>
      <c r="R13" s="168" t="s">
        <v>144</v>
      </c>
      <c r="S13" s="766">
        <v>1</v>
      </c>
      <c r="T13" s="168" t="s">
        <v>144</v>
      </c>
      <c r="U13" s="766">
        <v>1</v>
      </c>
      <c r="V13" s="168" t="s">
        <v>144</v>
      </c>
      <c r="W13" s="766">
        <v>1</v>
      </c>
      <c r="X13" s="168" t="s">
        <v>144</v>
      </c>
      <c r="Y13" s="766">
        <v>1</v>
      </c>
      <c r="Z13" s="168" t="s">
        <v>144</v>
      </c>
      <c r="AA13" s="766">
        <v>1</v>
      </c>
      <c r="AB13" s="168" t="s">
        <v>144</v>
      </c>
      <c r="AC13" s="766">
        <v>1</v>
      </c>
      <c r="AD13" s="168" t="s">
        <v>144</v>
      </c>
      <c r="AE13" s="766">
        <v>1</v>
      </c>
      <c r="AF13" s="168" t="s">
        <v>144</v>
      </c>
      <c r="AG13" s="766">
        <v>1</v>
      </c>
      <c r="AH13" s="168" t="s">
        <v>144</v>
      </c>
      <c r="AI13" s="766">
        <v>1</v>
      </c>
      <c r="AJ13" s="168" t="s">
        <v>144</v>
      </c>
      <c r="AK13" s="766">
        <v>1</v>
      </c>
      <c r="AL13" s="168" t="s">
        <v>144</v>
      </c>
      <c r="AM13" s="766">
        <v>1</v>
      </c>
      <c r="AN13" s="168" t="s">
        <v>144</v>
      </c>
      <c r="AO13" s="766">
        <v>1</v>
      </c>
      <c r="AP13" s="168" t="s">
        <v>144</v>
      </c>
      <c r="AQ13" s="766">
        <v>1</v>
      </c>
      <c r="AR13" s="168" t="s">
        <v>144</v>
      </c>
      <c r="AS13" s="766">
        <v>1</v>
      </c>
      <c r="AT13" s="168" t="s">
        <v>144</v>
      </c>
      <c r="AU13" s="766">
        <v>1</v>
      </c>
      <c r="AV13" s="168" t="s">
        <v>144</v>
      </c>
      <c r="AW13" s="766">
        <v>1</v>
      </c>
      <c r="AX13" s="168" t="s">
        <v>144</v>
      </c>
      <c r="AY13" s="766">
        <v>1</v>
      </c>
      <c r="AZ13" s="168" t="s">
        <v>144</v>
      </c>
      <c r="BA13" s="766">
        <v>1</v>
      </c>
      <c r="BB13" s="168" t="s">
        <v>144</v>
      </c>
      <c r="BC13" s="766">
        <v>1</v>
      </c>
      <c r="BD13" s="168" t="s">
        <v>144</v>
      </c>
      <c r="BE13" s="766">
        <v>1</v>
      </c>
      <c r="BF13" s="168" t="s">
        <v>144</v>
      </c>
      <c r="BG13" s="766">
        <v>1</v>
      </c>
      <c r="BH13" s="168" t="s">
        <v>144</v>
      </c>
      <c r="BI13" s="766">
        <v>1</v>
      </c>
      <c r="BJ13" s="168" t="s">
        <v>144</v>
      </c>
      <c r="BK13" s="766">
        <v>1</v>
      </c>
      <c r="BL13" s="168" t="s">
        <v>144</v>
      </c>
      <c r="BM13" s="766">
        <v>1</v>
      </c>
    </row>
    <row r="15" spans="1:68" x14ac:dyDescent="0.3">
      <c r="B15" s="768">
        <f>B9*C10/C13</f>
        <v>0</v>
      </c>
      <c r="D15" s="768">
        <f>D9*E10/E13</f>
        <v>0</v>
      </c>
      <c r="F15" s="768">
        <f>F9*G10/G13</f>
        <v>0</v>
      </c>
      <c r="H15" s="768">
        <f>H9*I10/I13</f>
        <v>0</v>
      </c>
      <c r="J15" s="768">
        <f>J9*K10/K13</f>
        <v>0</v>
      </c>
      <c r="L15" s="768">
        <f>L9*M10/M13</f>
        <v>0</v>
      </c>
      <c r="N15" s="768">
        <f>N9*O10/O13</f>
        <v>0</v>
      </c>
      <c r="P15" s="768">
        <f>P9*Q10/Q13</f>
        <v>0</v>
      </c>
      <c r="R15" s="768">
        <f>R9*S10/S13</f>
        <v>0</v>
      </c>
      <c r="T15" s="768">
        <f>T9*U10/U13</f>
        <v>0</v>
      </c>
      <c r="V15" s="768">
        <f>V9*W10/W13</f>
        <v>0</v>
      </c>
      <c r="X15" s="768">
        <f>X9*Y10/Y13</f>
        <v>0</v>
      </c>
      <c r="Z15" s="768">
        <f>Z9*AA10/AA13</f>
        <v>0</v>
      </c>
      <c r="AB15" s="768">
        <f>AB9*AC10/AC13</f>
        <v>0</v>
      </c>
      <c r="AD15" s="768">
        <f>AD9*AE10/AE13</f>
        <v>0</v>
      </c>
      <c r="AF15" s="768">
        <f>AF9*AG10/AG13</f>
        <v>0</v>
      </c>
      <c r="AH15" s="768">
        <f>AH9*AI10/AI13</f>
        <v>0</v>
      </c>
      <c r="AJ15" s="768">
        <f>AJ9*AK10/AK13</f>
        <v>0</v>
      </c>
      <c r="AL15" s="768">
        <f>AL9*AM10/AM13</f>
        <v>0</v>
      </c>
      <c r="AN15" s="768">
        <f>AN9*AO10/AO13</f>
        <v>0</v>
      </c>
      <c r="AP15" s="768">
        <f>AP9*AQ10/AQ13</f>
        <v>0</v>
      </c>
      <c r="AR15" s="768">
        <f>AR9*AS10/AS13</f>
        <v>0</v>
      </c>
      <c r="AT15" s="768">
        <f>AT9*AU10/AU13</f>
        <v>0</v>
      </c>
      <c r="AV15" s="768">
        <f>AV9*AW10/AW13</f>
        <v>0</v>
      </c>
      <c r="AX15" s="768">
        <f>AX9*AY10/AY13</f>
        <v>0</v>
      </c>
      <c r="AZ15" s="768">
        <f>AZ9*BA10/BA13</f>
        <v>0</v>
      </c>
      <c r="BB15" s="768">
        <f>BB9*BC10/BC13</f>
        <v>0</v>
      </c>
      <c r="BD15" s="768">
        <f>BD9*BE10/BE13</f>
        <v>0</v>
      </c>
      <c r="BF15" s="768">
        <f>BF9*BG10/BG13</f>
        <v>0</v>
      </c>
      <c r="BH15" s="768">
        <f>BH9*BI10/BI13</f>
        <v>0</v>
      </c>
      <c r="BJ15" s="768">
        <f>BJ9*BK10/BK13</f>
        <v>0</v>
      </c>
      <c r="BL15" s="768">
        <f>BL9*BM10/BM13</f>
        <v>0</v>
      </c>
      <c r="BO15" s="169" t="s">
        <v>145</v>
      </c>
      <c r="BP15" s="169">
        <f>SUM(B16:BM16)</f>
        <v>0</v>
      </c>
    </row>
    <row r="16" spans="1:68" x14ac:dyDescent="0.3">
      <c r="B16" s="166"/>
      <c r="C16" s="769">
        <f>C10</f>
        <v>0</v>
      </c>
      <c r="D16" s="166"/>
      <c r="E16" s="769">
        <f>E10</f>
        <v>0</v>
      </c>
      <c r="F16" s="166"/>
      <c r="G16" s="769">
        <f>G10</f>
        <v>0</v>
      </c>
      <c r="H16" s="166"/>
      <c r="I16" s="769">
        <f>I10</f>
        <v>0</v>
      </c>
      <c r="K16" s="769">
        <f>K10</f>
        <v>0</v>
      </c>
      <c r="M16" s="769">
        <f>M10</f>
        <v>0</v>
      </c>
      <c r="O16" s="769">
        <f>O10</f>
        <v>0</v>
      </c>
      <c r="Q16" s="769">
        <f>Q10</f>
        <v>0</v>
      </c>
      <c r="S16" s="769">
        <f>S10</f>
        <v>0</v>
      </c>
      <c r="U16" s="769">
        <f>U10</f>
        <v>0</v>
      </c>
      <c r="W16" s="769">
        <f>W10</f>
        <v>0</v>
      </c>
      <c r="Y16" s="769">
        <f>Y10</f>
        <v>0</v>
      </c>
      <c r="AA16" s="769">
        <f>AA10</f>
        <v>0</v>
      </c>
      <c r="AC16" s="769">
        <f>AC10</f>
        <v>0</v>
      </c>
      <c r="AE16" s="769">
        <f>AE10</f>
        <v>0</v>
      </c>
      <c r="AG16" s="769">
        <f>AG10</f>
        <v>0</v>
      </c>
      <c r="AI16" s="769">
        <f>AI10</f>
        <v>0</v>
      </c>
      <c r="AK16" s="769">
        <f>AK10</f>
        <v>0</v>
      </c>
      <c r="AM16" s="769">
        <f>AM10</f>
        <v>0</v>
      </c>
      <c r="AO16" s="769">
        <f>AO10</f>
        <v>0</v>
      </c>
      <c r="AQ16" s="769">
        <f>AQ10</f>
        <v>0</v>
      </c>
      <c r="AS16" s="769">
        <f>AS10</f>
        <v>0</v>
      </c>
      <c r="AU16" s="769">
        <f>AU10</f>
        <v>0</v>
      </c>
      <c r="AW16" s="769">
        <f>AW10</f>
        <v>0</v>
      </c>
      <c r="AY16" s="769">
        <f>AY10</f>
        <v>0</v>
      </c>
      <c r="BA16" s="769">
        <f>BA10</f>
        <v>0</v>
      </c>
      <c r="BC16" s="769">
        <f>BC10</f>
        <v>0</v>
      </c>
      <c r="BE16" s="769">
        <f>BE10</f>
        <v>0</v>
      </c>
      <c r="BG16" s="769">
        <f>BG10</f>
        <v>0</v>
      </c>
      <c r="BI16" s="769">
        <f>BI10</f>
        <v>0</v>
      </c>
      <c r="BK16" s="769">
        <f>BK10</f>
        <v>0</v>
      </c>
      <c r="BM16" s="769">
        <f>BM10</f>
        <v>0</v>
      </c>
      <c r="BO16" s="169" t="s">
        <v>146</v>
      </c>
      <c r="BP16" s="169">
        <f>SUM(B15:BM15)+BP15</f>
        <v>0</v>
      </c>
    </row>
    <row r="17" spans="3:68" x14ac:dyDescent="0.3">
      <c r="BO17" s="169" t="s">
        <v>147</v>
      </c>
      <c r="BP17" s="170" t="e">
        <f>BP15/BP16</f>
        <v>#DIV/0!</v>
      </c>
    </row>
    <row r="18" spans="3:68" x14ac:dyDescent="0.3">
      <c r="C18" s="171" t="s">
        <v>148</v>
      </c>
      <c r="D18" s="172"/>
      <c r="E18" s="172"/>
    </row>
    <row r="19" spans="3:68" x14ac:dyDescent="0.3">
      <c r="BO19" t="s">
        <v>149</v>
      </c>
      <c r="BP19" s="5">
        <v>0</v>
      </c>
    </row>
  </sheetData>
  <mergeCells count="1">
    <mergeCell ref="P1:R1"/>
  </mergeCells>
  <conditionalFormatting sqref="B16:BM16">
    <cfRule type="cellIs" dxfId="1" priority="34" operator="greaterThan">
      <formula>$BP$19</formula>
    </cfRule>
  </conditionalFormatting>
  <hyperlinks>
    <hyperlink ref="P1" location="Menu!A1" display="Return to menu" xr:uid="{24CAD449-C970-4BE7-86CC-B98FD62FB293}"/>
  </hyperlinks>
  <pageMargins left="0.70866141732283472" right="0.70866141732283472" top="0.74803149606299213" bottom="0.74803149606299213" header="0.31496062992125984" footer="0.31496062992125984"/>
  <pageSetup scale="47" fitToWidth="10" orientation="landscape" r:id="rId1"/>
  <headerFooter>
    <oddHeader xml:space="preserve">&amp;CValue Stream Mapping
Abacus Team Inc.
</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7CB5-39A3-4585-9258-B2A105961137}">
  <sheetPr>
    <pageSetUpPr fitToPage="1"/>
  </sheetPr>
  <dimension ref="A1:V19"/>
  <sheetViews>
    <sheetView zoomScale="85" zoomScaleNormal="70" zoomScalePageLayoutView="90" workbookViewId="0">
      <selection activeCell="C25" sqref="C25"/>
    </sheetView>
  </sheetViews>
  <sheetFormatPr defaultColWidth="11.6640625" defaultRowHeight="14.4" x14ac:dyDescent="0.3"/>
  <cols>
    <col min="1" max="1" width="47.44140625" bestFit="1" customWidth="1"/>
    <col min="21" max="21" width="12.6640625" bestFit="1" customWidth="1"/>
  </cols>
  <sheetData>
    <row r="1" spans="1:22" ht="21" x14ac:dyDescent="0.4">
      <c r="B1" s="130" t="s">
        <v>827</v>
      </c>
      <c r="P1" s="1034" t="s">
        <v>19</v>
      </c>
      <c r="Q1" s="1034"/>
      <c r="R1" s="1034"/>
    </row>
    <row r="2" spans="1:22" ht="18" x14ac:dyDescent="0.35">
      <c r="B2" s="130" t="s">
        <v>138</v>
      </c>
    </row>
    <row r="3" spans="1:22" ht="18" x14ac:dyDescent="0.35">
      <c r="B3" s="130" t="s">
        <v>139</v>
      </c>
      <c r="G3" s="554" t="s">
        <v>140</v>
      </c>
      <c r="H3" s="555" t="s">
        <v>610</v>
      </c>
      <c r="I3" s="555"/>
      <c r="J3" s="555"/>
      <c r="K3" s="555"/>
    </row>
    <row r="4" spans="1:22" ht="18" x14ac:dyDescent="0.35">
      <c r="B4" s="130" t="s">
        <v>828</v>
      </c>
    </row>
    <row r="6" spans="1:22" x14ac:dyDescent="0.3">
      <c r="B6" s="166"/>
      <c r="C6" s="762">
        <v>1</v>
      </c>
      <c r="D6" s="166"/>
      <c r="E6" s="762">
        <v>2</v>
      </c>
      <c r="F6" s="166"/>
      <c r="G6" s="762">
        <v>2</v>
      </c>
      <c r="H6" s="166"/>
      <c r="I6" s="762">
        <v>3</v>
      </c>
      <c r="J6" s="166"/>
      <c r="K6" s="762">
        <v>4</v>
      </c>
      <c r="L6" s="166"/>
      <c r="M6" s="762">
        <v>5</v>
      </c>
      <c r="N6" s="166"/>
      <c r="O6" s="762">
        <v>6</v>
      </c>
      <c r="P6" s="166"/>
      <c r="Q6" s="762">
        <v>7</v>
      </c>
      <c r="R6" s="166"/>
      <c r="S6" s="762">
        <v>8</v>
      </c>
    </row>
    <row r="7" spans="1:22" ht="36.6" x14ac:dyDescent="0.7">
      <c r="A7" s="556" t="s">
        <v>611</v>
      </c>
      <c r="B7" s="167" t="s">
        <v>140</v>
      </c>
      <c r="C7" s="770" t="s">
        <v>826</v>
      </c>
      <c r="D7" s="167" t="s">
        <v>140</v>
      </c>
      <c r="E7" s="770" t="s">
        <v>677</v>
      </c>
      <c r="F7" s="167" t="s">
        <v>140</v>
      </c>
      <c r="G7" s="770" t="s">
        <v>678</v>
      </c>
      <c r="H7" s="167" t="s">
        <v>140</v>
      </c>
      <c r="I7" s="770" t="s">
        <v>679</v>
      </c>
      <c r="J7" s="167" t="s">
        <v>140</v>
      </c>
      <c r="K7" s="770" t="s">
        <v>680</v>
      </c>
      <c r="L7" s="167" t="s">
        <v>140</v>
      </c>
      <c r="M7" s="770" t="s">
        <v>681</v>
      </c>
      <c r="N7" s="167" t="s">
        <v>140</v>
      </c>
      <c r="O7" s="770" t="s">
        <v>683</v>
      </c>
      <c r="P7" s="167" t="s">
        <v>140</v>
      </c>
      <c r="Q7" s="770" t="s">
        <v>682</v>
      </c>
      <c r="R7" s="167" t="s">
        <v>140</v>
      </c>
      <c r="S7" s="770" t="s">
        <v>684</v>
      </c>
    </row>
    <row r="8" spans="1:22" x14ac:dyDescent="0.3">
      <c r="B8" s="166"/>
      <c r="C8" s="764">
        <v>0</v>
      </c>
      <c r="D8" s="166"/>
      <c r="E8" s="764">
        <v>0</v>
      </c>
      <c r="F8" s="166"/>
      <c r="G8" s="764">
        <v>1</v>
      </c>
      <c r="H8" s="166"/>
      <c r="I8" s="764">
        <v>2</v>
      </c>
      <c r="J8" s="166"/>
      <c r="K8" s="764">
        <v>1</v>
      </c>
      <c r="L8" s="166"/>
      <c r="M8" s="764">
        <v>3</v>
      </c>
      <c r="N8" s="166"/>
      <c r="O8" s="764">
        <v>2</v>
      </c>
      <c r="P8" s="166"/>
      <c r="Q8" s="764">
        <v>1</v>
      </c>
      <c r="R8" s="166"/>
      <c r="S8" s="764">
        <v>3</v>
      </c>
    </row>
    <row r="9" spans="1:22" x14ac:dyDescent="0.3">
      <c r="A9" s="765" t="s">
        <v>676</v>
      </c>
      <c r="B9" s="166">
        <v>7</v>
      </c>
      <c r="D9" s="166">
        <v>5</v>
      </c>
      <c r="F9" s="166">
        <v>12</v>
      </c>
      <c r="H9" s="166">
        <v>17</v>
      </c>
      <c r="I9" s="166"/>
      <c r="J9" s="166">
        <v>14</v>
      </c>
      <c r="L9" s="166">
        <v>8</v>
      </c>
      <c r="N9" s="166">
        <v>4</v>
      </c>
      <c r="P9" s="166">
        <v>16</v>
      </c>
      <c r="Q9" s="166"/>
      <c r="R9" s="166">
        <v>4</v>
      </c>
    </row>
    <row r="10" spans="1:22" x14ac:dyDescent="0.3">
      <c r="B10" s="168" t="s">
        <v>141</v>
      </c>
      <c r="C10" s="766">
        <v>5</v>
      </c>
      <c r="D10" s="168" t="s">
        <v>141</v>
      </c>
      <c r="E10" s="766">
        <v>5</v>
      </c>
      <c r="F10" s="168" t="s">
        <v>141</v>
      </c>
      <c r="G10" s="766">
        <v>10</v>
      </c>
      <c r="H10" s="168" t="s">
        <v>141</v>
      </c>
      <c r="I10" s="766">
        <v>15</v>
      </c>
      <c r="J10" s="168" t="s">
        <v>141</v>
      </c>
      <c r="K10" s="766">
        <v>25</v>
      </c>
      <c r="L10" s="168" t="s">
        <v>141</v>
      </c>
      <c r="M10" s="766">
        <v>60</v>
      </c>
      <c r="N10" s="168" t="s">
        <v>141</v>
      </c>
      <c r="O10" s="766">
        <v>15</v>
      </c>
      <c r="P10" s="168" t="s">
        <v>141</v>
      </c>
      <c r="Q10" s="766">
        <v>20</v>
      </c>
      <c r="R10" s="168" t="s">
        <v>141</v>
      </c>
      <c r="S10" s="766">
        <v>5</v>
      </c>
    </row>
    <row r="11" spans="1:22" x14ac:dyDescent="0.3">
      <c r="B11" s="168" t="s">
        <v>142</v>
      </c>
      <c r="C11" s="766">
        <v>0</v>
      </c>
      <c r="D11" s="168" t="s">
        <v>142</v>
      </c>
      <c r="E11" s="766">
        <v>0</v>
      </c>
      <c r="F11" s="168" t="s">
        <v>142</v>
      </c>
      <c r="G11" s="766">
        <v>0</v>
      </c>
      <c r="H11" s="168" t="s">
        <v>142</v>
      </c>
      <c r="I11" s="766">
        <v>0</v>
      </c>
      <c r="J11" s="168" t="s">
        <v>142</v>
      </c>
      <c r="K11" s="766">
        <v>0</v>
      </c>
      <c r="L11" s="168" t="s">
        <v>142</v>
      </c>
      <c r="M11" s="766">
        <v>0</v>
      </c>
      <c r="N11" s="168" t="s">
        <v>142</v>
      </c>
      <c r="O11" s="766">
        <v>0</v>
      </c>
      <c r="P11" s="168" t="s">
        <v>142</v>
      </c>
      <c r="Q11" s="766">
        <v>0</v>
      </c>
      <c r="R11" s="168" t="s">
        <v>142</v>
      </c>
      <c r="S11" s="766">
        <v>0</v>
      </c>
    </row>
    <row r="12" spans="1:22" x14ac:dyDescent="0.3">
      <c r="B12" s="168" t="s">
        <v>143</v>
      </c>
      <c r="C12" s="767">
        <v>1</v>
      </c>
      <c r="D12" s="168" t="s">
        <v>143</v>
      </c>
      <c r="E12" s="767">
        <v>0.8</v>
      </c>
      <c r="F12" s="168" t="s">
        <v>143</v>
      </c>
      <c r="G12" s="767">
        <v>0.9</v>
      </c>
      <c r="H12" s="168" t="s">
        <v>143</v>
      </c>
      <c r="I12" s="767">
        <v>1</v>
      </c>
      <c r="J12" s="168" t="s">
        <v>143</v>
      </c>
      <c r="K12" s="767">
        <v>1</v>
      </c>
      <c r="L12" s="168" t="s">
        <v>143</v>
      </c>
      <c r="M12" s="767">
        <v>0.85</v>
      </c>
      <c r="N12" s="168" t="s">
        <v>143</v>
      </c>
      <c r="O12" s="767">
        <v>0.98</v>
      </c>
      <c r="P12" s="168" t="s">
        <v>143</v>
      </c>
      <c r="Q12" s="767">
        <v>0.85</v>
      </c>
      <c r="R12" s="168" t="s">
        <v>143</v>
      </c>
      <c r="S12" s="767">
        <v>0.95</v>
      </c>
    </row>
    <row r="13" spans="1:22" x14ac:dyDescent="0.3">
      <c r="B13" s="168" t="s">
        <v>144</v>
      </c>
      <c r="C13" s="766">
        <v>1</v>
      </c>
      <c r="D13" s="168" t="s">
        <v>144</v>
      </c>
      <c r="E13" s="766">
        <v>1</v>
      </c>
      <c r="F13" s="168" t="s">
        <v>144</v>
      </c>
      <c r="G13" s="766">
        <v>1</v>
      </c>
      <c r="H13" s="168" t="s">
        <v>144</v>
      </c>
      <c r="I13" s="766">
        <v>1</v>
      </c>
      <c r="J13" s="168" t="s">
        <v>144</v>
      </c>
      <c r="K13" s="766">
        <v>2</v>
      </c>
      <c r="L13" s="168" t="s">
        <v>144</v>
      </c>
      <c r="M13" s="766">
        <v>5</v>
      </c>
      <c r="N13" s="168" t="s">
        <v>144</v>
      </c>
      <c r="O13" s="766">
        <v>2</v>
      </c>
      <c r="P13" s="168" t="s">
        <v>144</v>
      </c>
      <c r="Q13" s="766">
        <v>2</v>
      </c>
      <c r="R13" s="168" t="s">
        <v>144</v>
      </c>
      <c r="S13" s="766">
        <v>2</v>
      </c>
    </row>
    <row r="15" spans="1:22" x14ac:dyDescent="0.3">
      <c r="B15" s="768">
        <f>B9*C10/C13</f>
        <v>35</v>
      </c>
      <c r="D15" s="768">
        <f>D9*E10/E13</f>
        <v>25</v>
      </c>
      <c r="F15" s="768">
        <f>F9*G10/G13</f>
        <v>120</v>
      </c>
      <c r="H15" s="768">
        <f>H9*I10/I13</f>
        <v>255</v>
      </c>
      <c r="J15" s="768">
        <f>J9*K10/K13</f>
        <v>175</v>
      </c>
      <c r="L15" s="768">
        <f>L9*M10/M13</f>
        <v>96</v>
      </c>
      <c r="N15" s="768">
        <f>N9*O10/O13</f>
        <v>30</v>
      </c>
      <c r="P15" s="768">
        <f>P9*Q10/Q13</f>
        <v>160</v>
      </c>
      <c r="R15" s="768">
        <f>R9*S10/S13</f>
        <v>10</v>
      </c>
      <c r="U15" s="169" t="s">
        <v>145</v>
      </c>
      <c r="V15" s="169">
        <f>SUM(B16:S16)</f>
        <v>160</v>
      </c>
    </row>
    <row r="16" spans="1:22" x14ac:dyDescent="0.3">
      <c r="B16" s="166"/>
      <c r="C16" s="769">
        <f>C10</f>
        <v>5</v>
      </c>
      <c r="D16" s="166"/>
      <c r="E16" s="769">
        <f>E10</f>
        <v>5</v>
      </c>
      <c r="F16" s="166"/>
      <c r="G16" s="769">
        <f>G10</f>
        <v>10</v>
      </c>
      <c r="H16" s="166"/>
      <c r="I16" s="769">
        <f>I10</f>
        <v>15</v>
      </c>
      <c r="K16" s="769">
        <f>K10</f>
        <v>25</v>
      </c>
      <c r="M16" s="769">
        <f>M10</f>
        <v>60</v>
      </c>
      <c r="O16" s="769">
        <f>O10</f>
        <v>15</v>
      </c>
      <c r="Q16" s="769">
        <f>Q10</f>
        <v>20</v>
      </c>
      <c r="S16" s="769">
        <f>S10</f>
        <v>5</v>
      </c>
      <c r="U16" s="169" t="s">
        <v>146</v>
      </c>
      <c r="V16" s="169">
        <f>SUM(B15:S15)+V15</f>
        <v>1066</v>
      </c>
    </row>
    <row r="17" spans="3:22" x14ac:dyDescent="0.3">
      <c r="U17" s="169" t="s">
        <v>147</v>
      </c>
      <c r="V17" s="170">
        <f>V15/V16</f>
        <v>0.15009380863039401</v>
      </c>
    </row>
    <row r="18" spans="3:22" x14ac:dyDescent="0.3">
      <c r="C18" s="171" t="s">
        <v>148</v>
      </c>
      <c r="D18" s="172"/>
      <c r="E18" s="172"/>
    </row>
    <row r="19" spans="3:22" x14ac:dyDescent="0.3">
      <c r="U19" t="s">
        <v>149</v>
      </c>
      <c r="V19" s="5">
        <v>18</v>
      </c>
    </row>
  </sheetData>
  <mergeCells count="1">
    <mergeCell ref="P1:R1"/>
  </mergeCells>
  <conditionalFormatting sqref="B16:S16">
    <cfRule type="cellIs" dxfId="0" priority="11" operator="greaterThan">
      <formula>$V$19</formula>
    </cfRule>
  </conditionalFormatting>
  <hyperlinks>
    <hyperlink ref="P1" location="Menu!A1" display="Return to menu" xr:uid="{ECE59819-874C-461C-872C-95A84092287B}"/>
  </hyperlinks>
  <pageMargins left="0.70866141732283472" right="0.70866141732283472" top="0.74803149606299213" bottom="0.74803149606299213" header="0.31496062992125984" footer="0.31496062992125984"/>
  <pageSetup scale="47" fitToWidth="10" orientation="landscape" r:id="rId1"/>
  <headerFooter>
    <oddHeader xml:space="preserve">&amp;CValue Stream Mapping
Abacus Team Inc.
</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5EE52-C869-4402-81B7-C654863B2BE6}">
  <dimension ref="B1:U39"/>
  <sheetViews>
    <sheetView zoomScale="85" zoomScaleNormal="85" workbookViewId="0">
      <selection activeCell="R1" sqref="R1:T1"/>
    </sheetView>
  </sheetViews>
  <sheetFormatPr defaultRowHeight="14.4" x14ac:dyDescent="0.3"/>
  <sheetData>
    <row r="1" spans="2:21" ht="23.4" x14ac:dyDescent="0.45">
      <c r="Q1" s="558"/>
      <c r="R1" s="1300" t="s">
        <v>19</v>
      </c>
      <c r="S1" s="1300"/>
      <c r="T1" s="1300"/>
      <c r="U1" s="558"/>
    </row>
    <row r="2" spans="2:21" ht="21" x14ac:dyDescent="0.4">
      <c r="B2" s="136" t="s">
        <v>1008</v>
      </c>
    </row>
    <row r="4" spans="2:21" x14ac:dyDescent="0.3">
      <c r="B4" s="854" t="s">
        <v>1009</v>
      </c>
      <c r="C4" s="855"/>
      <c r="D4" s="855"/>
      <c r="E4" s="855"/>
      <c r="F4" s="855"/>
      <c r="G4" s="855"/>
      <c r="H4" s="855"/>
      <c r="I4" s="856" t="s">
        <v>1011</v>
      </c>
      <c r="J4" s="866" t="s">
        <v>1010</v>
      </c>
      <c r="K4" s="867"/>
      <c r="L4" s="868"/>
      <c r="M4" s="868"/>
      <c r="N4" s="868"/>
      <c r="O4" s="868"/>
      <c r="P4" s="868"/>
      <c r="Q4" s="869" t="s">
        <v>1011</v>
      </c>
    </row>
    <row r="5" spans="2:21" x14ac:dyDescent="0.3">
      <c r="B5" s="857"/>
      <c r="C5" s="858"/>
      <c r="D5" s="858"/>
      <c r="E5" s="858"/>
      <c r="F5" s="858"/>
      <c r="G5" s="858"/>
      <c r="H5" s="858"/>
      <c r="I5" s="859"/>
      <c r="J5" s="870"/>
      <c r="K5" s="871"/>
      <c r="L5" s="872"/>
      <c r="M5" s="872"/>
      <c r="N5" s="872"/>
      <c r="O5" s="872"/>
      <c r="P5" s="872"/>
      <c r="Q5" s="873"/>
    </row>
    <row r="6" spans="2:21" x14ac:dyDescent="0.3">
      <c r="B6" s="860" t="s">
        <v>1019</v>
      </c>
      <c r="C6" s="861"/>
      <c r="D6" s="861"/>
      <c r="E6" s="861"/>
      <c r="F6" s="861"/>
      <c r="G6" s="861"/>
      <c r="H6" s="861"/>
      <c r="I6" s="862">
        <v>1</v>
      </c>
      <c r="J6" s="874" t="s">
        <v>1022</v>
      </c>
      <c r="K6" s="872"/>
      <c r="L6" s="872"/>
      <c r="M6" s="872"/>
      <c r="N6" s="872"/>
      <c r="O6" s="872"/>
      <c r="P6" s="872"/>
      <c r="Q6" s="873">
        <v>12</v>
      </c>
    </row>
    <row r="7" spans="2:21" x14ac:dyDescent="0.3">
      <c r="B7" s="860" t="s">
        <v>1020</v>
      </c>
      <c r="C7" s="861"/>
      <c r="D7" s="861"/>
      <c r="E7" s="861"/>
      <c r="F7" s="861"/>
      <c r="G7" s="861"/>
      <c r="H7" s="861"/>
      <c r="I7" s="862">
        <v>2</v>
      </c>
      <c r="J7" s="874" t="s">
        <v>1023</v>
      </c>
      <c r="K7" s="872"/>
      <c r="L7" s="872"/>
      <c r="M7" s="872"/>
      <c r="N7" s="872"/>
      <c r="O7" s="872"/>
      <c r="P7" s="872"/>
      <c r="Q7" s="873">
        <v>5</v>
      </c>
    </row>
    <row r="8" spans="2:21" x14ac:dyDescent="0.3">
      <c r="B8" s="860" t="s">
        <v>1021</v>
      </c>
      <c r="C8" s="861"/>
      <c r="D8" s="861"/>
      <c r="E8" s="861"/>
      <c r="F8" s="861"/>
      <c r="G8" s="861"/>
      <c r="H8" s="861"/>
      <c r="I8" s="862">
        <v>1</v>
      </c>
      <c r="J8" s="874" t="s">
        <v>1024</v>
      </c>
      <c r="K8" s="872"/>
      <c r="L8" s="872"/>
      <c r="M8" s="872"/>
      <c r="N8" s="872"/>
      <c r="O8" s="872"/>
      <c r="P8" s="872"/>
      <c r="Q8" s="873">
        <v>8</v>
      </c>
    </row>
    <row r="9" spans="2:21" x14ac:dyDescent="0.3">
      <c r="B9" s="860"/>
      <c r="C9" s="861"/>
      <c r="D9" s="861"/>
      <c r="E9" s="861"/>
      <c r="F9" s="861"/>
      <c r="G9" s="861"/>
      <c r="H9" s="861"/>
      <c r="I9" s="862"/>
      <c r="J9" s="874" t="s">
        <v>1025</v>
      </c>
      <c r="K9" s="872"/>
      <c r="L9" s="872"/>
      <c r="M9" s="872"/>
      <c r="N9" s="872"/>
      <c r="O9" s="872"/>
      <c r="P9" s="872"/>
      <c r="Q9" s="873">
        <v>2</v>
      </c>
    </row>
    <row r="10" spans="2:21" x14ac:dyDescent="0.3">
      <c r="B10" s="860"/>
      <c r="C10" s="861"/>
      <c r="D10" s="861"/>
      <c r="E10" s="861"/>
      <c r="F10" s="861"/>
      <c r="G10" s="861"/>
      <c r="H10" s="861"/>
      <c r="I10" s="862"/>
      <c r="J10" s="874"/>
      <c r="K10" s="872"/>
      <c r="L10" s="872"/>
      <c r="M10" s="872"/>
      <c r="N10" s="872"/>
      <c r="O10" s="872"/>
      <c r="P10" s="872"/>
      <c r="Q10" s="873"/>
    </row>
    <row r="11" spans="2:21" x14ac:dyDescent="0.3">
      <c r="B11" s="860"/>
      <c r="C11" s="861"/>
      <c r="D11" s="861"/>
      <c r="E11" s="861"/>
      <c r="F11" s="861"/>
      <c r="G11" s="861"/>
      <c r="H11" s="861"/>
      <c r="I11" s="862"/>
      <c r="J11" s="874"/>
      <c r="K11" s="872"/>
      <c r="L11" s="872"/>
      <c r="M11" s="872"/>
      <c r="N11" s="872"/>
      <c r="O11" s="872"/>
      <c r="P11" s="872"/>
      <c r="Q11" s="873"/>
    </row>
    <row r="12" spans="2:21" x14ac:dyDescent="0.3">
      <c r="B12" s="860"/>
      <c r="C12" s="861"/>
      <c r="D12" s="861"/>
      <c r="E12" s="861"/>
      <c r="F12" s="861"/>
      <c r="G12" s="861"/>
      <c r="H12" s="861"/>
      <c r="I12" s="862"/>
      <c r="J12" s="874"/>
      <c r="K12" s="872"/>
      <c r="L12" s="872"/>
      <c r="M12" s="872"/>
      <c r="N12" s="872"/>
      <c r="O12" s="872"/>
      <c r="P12" s="872"/>
      <c r="Q12" s="873"/>
    </row>
    <row r="13" spans="2:21" x14ac:dyDescent="0.3">
      <c r="B13" s="860"/>
      <c r="C13" s="861"/>
      <c r="D13" s="861"/>
      <c r="E13" s="861"/>
      <c r="F13" s="861"/>
      <c r="G13" s="861"/>
      <c r="H13" s="861"/>
      <c r="I13" s="862"/>
      <c r="J13" s="874"/>
      <c r="K13" s="872"/>
      <c r="L13" s="872"/>
      <c r="M13" s="872"/>
      <c r="N13" s="872"/>
      <c r="O13" s="872"/>
      <c r="P13" s="872"/>
      <c r="Q13" s="873"/>
    </row>
    <row r="14" spans="2:21" x14ac:dyDescent="0.3">
      <c r="B14" s="860"/>
      <c r="C14" s="861"/>
      <c r="D14" s="861"/>
      <c r="E14" s="861"/>
      <c r="F14" s="861"/>
      <c r="G14" s="861"/>
      <c r="H14" s="861"/>
      <c r="I14" s="862"/>
      <c r="J14" s="874"/>
      <c r="K14" s="872"/>
      <c r="L14" s="872"/>
      <c r="M14" s="872"/>
      <c r="N14" s="872"/>
      <c r="O14" s="872"/>
      <c r="P14" s="872"/>
      <c r="Q14" s="873"/>
    </row>
    <row r="15" spans="2:21" x14ac:dyDescent="0.3">
      <c r="B15" s="860"/>
      <c r="C15" s="861"/>
      <c r="D15" s="861"/>
      <c r="E15" s="861"/>
      <c r="F15" s="861"/>
      <c r="G15" s="861"/>
      <c r="H15" s="861"/>
      <c r="I15" s="862"/>
      <c r="J15" s="874"/>
      <c r="K15" s="872"/>
      <c r="L15" s="872"/>
      <c r="M15" s="872"/>
      <c r="N15" s="872"/>
      <c r="O15" s="872"/>
      <c r="P15" s="872"/>
      <c r="Q15" s="873"/>
    </row>
    <row r="16" spans="2:21" x14ac:dyDescent="0.3">
      <c r="B16" s="860"/>
      <c r="C16" s="861"/>
      <c r="D16" s="861"/>
      <c r="E16" s="861"/>
      <c r="F16" s="861"/>
      <c r="G16" s="861"/>
      <c r="H16" s="861"/>
      <c r="I16" s="862"/>
      <c r="J16" s="874"/>
      <c r="K16" s="872"/>
      <c r="L16" s="872"/>
      <c r="M16" s="872"/>
      <c r="N16" s="872"/>
      <c r="O16" s="872"/>
      <c r="P16" s="872"/>
      <c r="Q16" s="873"/>
    </row>
    <row r="17" spans="2:17" x14ac:dyDescent="0.3">
      <c r="B17" s="860"/>
      <c r="C17" s="861"/>
      <c r="D17" s="861"/>
      <c r="E17" s="861"/>
      <c r="F17" s="861"/>
      <c r="G17" s="861"/>
      <c r="H17" s="861"/>
      <c r="I17" s="862"/>
      <c r="J17" s="874"/>
      <c r="K17" s="872"/>
      <c r="L17" s="872"/>
      <c r="M17" s="872"/>
      <c r="N17" s="872"/>
      <c r="O17" s="872"/>
      <c r="P17" s="872"/>
      <c r="Q17" s="873"/>
    </row>
    <row r="18" spans="2:17" x14ac:dyDescent="0.3">
      <c r="B18" s="860"/>
      <c r="C18" s="861"/>
      <c r="D18" s="861"/>
      <c r="E18" s="861"/>
      <c r="F18" s="861"/>
      <c r="G18" s="861"/>
      <c r="H18" s="861"/>
      <c r="I18" s="862"/>
      <c r="J18" s="874"/>
      <c r="K18" s="872"/>
      <c r="L18" s="872"/>
      <c r="M18" s="872"/>
      <c r="N18" s="872"/>
      <c r="O18" s="872"/>
      <c r="P18" s="872"/>
      <c r="Q18" s="873"/>
    </row>
    <row r="19" spans="2:17" x14ac:dyDescent="0.3">
      <c r="B19" s="860"/>
      <c r="C19" s="861"/>
      <c r="D19" s="861"/>
      <c r="E19" s="861"/>
      <c r="F19" s="861"/>
      <c r="G19" s="861"/>
      <c r="H19" s="861"/>
      <c r="I19" s="862"/>
      <c r="J19" s="874"/>
      <c r="K19" s="872"/>
      <c r="L19" s="872"/>
      <c r="M19" s="872"/>
      <c r="N19" s="872"/>
      <c r="O19" s="872"/>
      <c r="P19" s="872"/>
      <c r="Q19" s="873"/>
    </row>
    <row r="20" spans="2:17" x14ac:dyDescent="0.3">
      <c r="B20" s="860"/>
      <c r="C20" s="861"/>
      <c r="D20" s="861"/>
      <c r="E20" s="861"/>
      <c r="F20" s="861"/>
      <c r="G20" s="861"/>
      <c r="H20" s="861"/>
      <c r="I20" s="862"/>
      <c r="J20" s="874"/>
      <c r="K20" s="872"/>
      <c r="L20" s="872"/>
      <c r="M20" s="872"/>
      <c r="N20" s="872"/>
      <c r="O20" s="872"/>
      <c r="P20" s="872"/>
      <c r="Q20" s="873"/>
    </row>
    <row r="21" spans="2:17" x14ac:dyDescent="0.3">
      <c r="B21" s="863"/>
      <c r="C21" s="864"/>
      <c r="D21" s="864"/>
      <c r="E21" s="864"/>
      <c r="F21" s="864"/>
      <c r="G21" s="864"/>
      <c r="H21" s="864"/>
      <c r="I21" s="865"/>
      <c r="J21" s="875"/>
      <c r="K21" s="876"/>
      <c r="L21" s="876"/>
      <c r="M21" s="876"/>
      <c r="N21" s="876"/>
      <c r="O21" s="876"/>
      <c r="P21" s="876"/>
      <c r="Q21" s="877"/>
    </row>
    <row r="22" spans="2:17" x14ac:dyDescent="0.3">
      <c r="B22" s="890" t="s">
        <v>1005</v>
      </c>
      <c r="C22" s="891"/>
      <c r="D22" s="891"/>
      <c r="E22" s="891"/>
      <c r="F22" s="891"/>
      <c r="G22" s="891"/>
      <c r="H22" s="891"/>
      <c r="I22" s="892" t="s">
        <v>1011</v>
      </c>
      <c r="J22" s="878" t="s">
        <v>1012</v>
      </c>
      <c r="K22" s="879"/>
      <c r="L22" s="880"/>
      <c r="M22" s="880"/>
      <c r="N22" s="880"/>
      <c r="O22" s="880"/>
      <c r="P22" s="880"/>
      <c r="Q22" s="881" t="s">
        <v>1011</v>
      </c>
    </row>
    <row r="23" spans="2:17" x14ac:dyDescent="0.3">
      <c r="B23" s="893"/>
      <c r="C23" s="894"/>
      <c r="D23" s="894"/>
      <c r="E23" s="894"/>
      <c r="F23" s="894"/>
      <c r="G23" s="894"/>
      <c r="H23" s="894"/>
      <c r="I23" s="895"/>
      <c r="J23" s="882"/>
      <c r="K23" s="883"/>
      <c r="L23" s="884"/>
      <c r="M23" s="884"/>
      <c r="N23" s="884"/>
      <c r="O23" s="884"/>
      <c r="P23" s="884"/>
      <c r="Q23" s="885"/>
    </row>
    <row r="24" spans="2:17" x14ac:dyDescent="0.3">
      <c r="B24" s="896" t="s">
        <v>1016</v>
      </c>
      <c r="C24" s="897"/>
      <c r="D24" s="897"/>
      <c r="E24" s="897"/>
      <c r="F24" s="897"/>
      <c r="G24" s="897"/>
      <c r="H24" s="897"/>
      <c r="I24" s="898">
        <v>8</v>
      </c>
      <c r="J24" s="886" t="s">
        <v>1013</v>
      </c>
      <c r="K24" s="884"/>
      <c r="L24" s="884"/>
      <c r="M24" s="884"/>
      <c r="N24" s="884"/>
      <c r="O24" s="884"/>
      <c r="P24" s="884"/>
      <c r="Q24" s="885">
        <v>2</v>
      </c>
    </row>
    <row r="25" spans="2:17" x14ac:dyDescent="0.3">
      <c r="B25" s="896" t="s">
        <v>1017</v>
      </c>
      <c r="C25" s="897"/>
      <c r="D25" s="897"/>
      <c r="E25" s="897"/>
      <c r="F25" s="897"/>
      <c r="G25" s="897"/>
      <c r="H25" s="897"/>
      <c r="I25" s="898">
        <v>6</v>
      </c>
      <c r="J25" s="886" t="s">
        <v>1014</v>
      </c>
      <c r="K25" s="884"/>
      <c r="L25" s="884"/>
      <c r="M25" s="884"/>
      <c r="N25" s="884"/>
      <c r="O25" s="884"/>
      <c r="P25" s="884"/>
      <c r="Q25" s="885">
        <v>5</v>
      </c>
    </row>
    <row r="26" spans="2:17" x14ac:dyDescent="0.3">
      <c r="B26" s="896" t="s">
        <v>1018</v>
      </c>
      <c r="C26" s="897"/>
      <c r="D26" s="897"/>
      <c r="E26" s="897"/>
      <c r="F26" s="897"/>
      <c r="G26" s="897"/>
      <c r="H26" s="897"/>
      <c r="I26" s="898">
        <v>3</v>
      </c>
      <c r="J26" s="886" t="s">
        <v>1015</v>
      </c>
      <c r="K26" s="884"/>
      <c r="L26" s="884"/>
      <c r="M26" s="884"/>
      <c r="N26" s="884"/>
      <c r="O26" s="884"/>
      <c r="P26" s="884"/>
      <c r="Q26" s="885">
        <v>15</v>
      </c>
    </row>
    <row r="27" spans="2:17" x14ac:dyDescent="0.3">
      <c r="B27" s="896" t="s">
        <v>1026</v>
      </c>
      <c r="C27" s="897"/>
      <c r="D27" s="897"/>
      <c r="E27" s="897"/>
      <c r="F27" s="897"/>
      <c r="G27" s="897"/>
      <c r="H27" s="897"/>
      <c r="I27" s="898">
        <v>4</v>
      </c>
      <c r="J27" s="886"/>
      <c r="K27" s="884"/>
      <c r="L27" s="884"/>
      <c r="M27" s="884"/>
      <c r="N27" s="884"/>
      <c r="O27" s="884"/>
      <c r="P27" s="884"/>
      <c r="Q27" s="885"/>
    </row>
    <row r="28" spans="2:17" x14ac:dyDescent="0.3">
      <c r="B28" s="896"/>
      <c r="C28" s="897"/>
      <c r="D28" s="897"/>
      <c r="E28" s="897"/>
      <c r="F28" s="897"/>
      <c r="G28" s="897"/>
      <c r="H28" s="897"/>
      <c r="I28" s="898"/>
      <c r="J28" s="886"/>
      <c r="K28" s="884"/>
      <c r="L28" s="884"/>
      <c r="M28" s="884"/>
      <c r="N28" s="884"/>
      <c r="O28" s="884"/>
      <c r="P28" s="884"/>
      <c r="Q28" s="885"/>
    </row>
    <row r="29" spans="2:17" x14ac:dyDescent="0.3">
      <c r="B29" s="896"/>
      <c r="C29" s="897"/>
      <c r="D29" s="897"/>
      <c r="E29" s="897"/>
      <c r="F29" s="897"/>
      <c r="G29" s="897"/>
      <c r="H29" s="897"/>
      <c r="I29" s="898"/>
      <c r="J29" s="886"/>
      <c r="K29" s="884"/>
      <c r="L29" s="884"/>
      <c r="M29" s="884"/>
      <c r="N29" s="884"/>
      <c r="O29" s="884"/>
      <c r="P29" s="884"/>
      <c r="Q29" s="885"/>
    </row>
    <row r="30" spans="2:17" x14ac:dyDescent="0.3">
      <c r="B30" s="896"/>
      <c r="C30" s="897"/>
      <c r="D30" s="897"/>
      <c r="E30" s="897"/>
      <c r="F30" s="897"/>
      <c r="G30" s="897"/>
      <c r="H30" s="897"/>
      <c r="I30" s="898"/>
      <c r="J30" s="886"/>
      <c r="K30" s="884"/>
      <c r="L30" s="884"/>
      <c r="M30" s="884"/>
      <c r="N30" s="884"/>
      <c r="O30" s="884"/>
      <c r="P30" s="884"/>
      <c r="Q30" s="885"/>
    </row>
    <row r="31" spans="2:17" x14ac:dyDescent="0.3">
      <c r="B31" s="896"/>
      <c r="C31" s="897"/>
      <c r="D31" s="897"/>
      <c r="E31" s="897"/>
      <c r="F31" s="897"/>
      <c r="G31" s="897"/>
      <c r="H31" s="897"/>
      <c r="I31" s="898"/>
      <c r="J31" s="886"/>
      <c r="K31" s="884"/>
      <c r="L31" s="884"/>
      <c r="M31" s="884"/>
      <c r="N31" s="884"/>
      <c r="O31" s="884"/>
      <c r="P31" s="884"/>
      <c r="Q31" s="885"/>
    </row>
    <row r="32" spans="2:17" x14ac:dyDescent="0.3">
      <c r="B32" s="896"/>
      <c r="C32" s="897"/>
      <c r="D32" s="897"/>
      <c r="E32" s="897"/>
      <c r="F32" s="897"/>
      <c r="G32" s="897"/>
      <c r="H32" s="897"/>
      <c r="I32" s="898"/>
      <c r="J32" s="886"/>
      <c r="K32" s="884"/>
      <c r="L32" s="884"/>
      <c r="M32" s="884"/>
      <c r="N32" s="884"/>
      <c r="O32" s="884"/>
      <c r="P32" s="884"/>
      <c r="Q32" s="885"/>
    </row>
    <row r="33" spans="2:17" x14ac:dyDescent="0.3">
      <c r="B33" s="896"/>
      <c r="C33" s="897"/>
      <c r="D33" s="897"/>
      <c r="E33" s="897"/>
      <c r="F33" s="897"/>
      <c r="G33" s="897"/>
      <c r="H33" s="897"/>
      <c r="I33" s="898"/>
      <c r="J33" s="886"/>
      <c r="K33" s="884"/>
      <c r="L33" s="884"/>
      <c r="M33" s="884"/>
      <c r="N33" s="884"/>
      <c r="O33" s="884"/>
      <c r="P33" s="884"/>
      <c r="Q33" s="885"/>
    </row>
    <row r="34" spans="2:17" x14ac:dyDescent="0.3">
      <c r="B34" s="896"/>
      <c r="C34" s="897"/>
      <c r="D34" s="897"/>
      <c r="E34" s="897"/>
      <c r="F34" s="897"/>
      <c r="G34" s="897"/>
      <c r="H34" s="897"/>
      <c r="I34" s="898"/>
      <c r="J34" s="886"/>
      <c r="K34" s="884"/>
      <c r="L34" s="884"/>
      <c r="M34" s="884"/>
      <c r="N34" s="884"/>
      <c r="O34" s="884"/>
      <c r="P34" s="884"/>
      <c r="Q34" s="885"/>
    </row>
    <row r="35" spans="2:17" x14ac:dyDescent="0.3">
      <c r="B35" s="896"/>
      <c r="C35" s="897"/>
      <c r="D35" s="897"/>
      <c r="E35" s="897"/>
      <c r="F35" s="897"/>
      <c r="G35" s="897"/>
      <c r="H35" s="897"/>
      <c r="I35" s="898"/>
      <c r="J35" s="886"/>
      <c r="K35" s="884"/>
      <c r="L35" s="884"/>
      <c r="M35" s="884"/>
      <c r="N35" s="884"/>
      <c r="O35" s="884"/>
      <c r="P35" s="884"/>
      <c r="Q35" s="885"/>
    </row>
    <row r="36" spans="2:17" x14ac:dyDescent="0.3">
      <c r="B36" s="896"/>
      <c r="C36" s="897"/>
      <c r="D36" s="897"/>
      <c r="E36" s="897"/>
      <c r="F36" s="897"/>
      <c r="G36" s="897"/>
      <c r="H36" s="897"/>
      <c r="I36" s="898"/>
      <c r="J36" s="886"/>
      <c r="K36" s="884"/>
      <c r="L36" s="884"/>
      <c r="M36" s="884"/>
      <c r="N36" s="884"/>
      <c r="O36" s="884"/>
      <c r="P36" s="884"/>
      <c r="Q36" s="885"/>
    </row>
    <row r="37" spans="2:17" x14ac:dyDescent="0.3">
      <c r="B37" s="896"/>
      <c r="C37" s="897"/>
      <c r="D37" s="897"/>
      <c r="E37" s="897"/>
      <c r="F37" s="897"/>
      <c r="G37" s="897"/>
      <c r="H37" s="897"/>
      <c r="I37" s="898"/>
      <c r="J37" s="886"/>
      <c r="K37" s="884"/>
      <c r="L37" s="884"/>
      <c r="M37" s="884"/>
      <c r="N37" s="884"/>
      <c r="O37" s="884"/>
      <c r="P37" s="884"/>
      <c r="Q37" s="885"/>
    </row>
    <row r="38" spans="2:17" x14ac:dyDescent="0.3">
      <c r="B38" s="896"/>
      <c r="C38" s="897"/>
      <c r="D38" s="897"/>
      <c r="E38" s="897"/>
      <c r="F38" s="897"/>
      <c r="G38" s="897"/>
      <c r="H38" s="897"/>
      <c r="I38" s="898"/>
      <c r="J38" s="886"/>
      <c r="K38" s="884"/>
      <c r="L38" s="884"/>
      <c r="M38" s="884"/>
      <c r="N38" s="884"/>
      <c r="O38" s="884"/>
      <c r="P38" s="884"/>
      <c r="Q38" s="885"/>
    </row>
    <row r="39" spans="2:17" x14ac:dyDescent="0.3">
      <c r="B39" s="899"/>
      <c r="C39" s="900"/>
      <c r="D39" s="900"/>
      <c r="E39" s="900"/>
      <c r="F39" s="900"/>
      <c r="G39" s="900"/>
      <c r="H39" s="900"/>
      <c r="I39" s="901"/>
      <c r="J39" s="887"/>
      <c r="K39" s="888"/>
      <c r="L39" s="888"/>
      <c r="M39" s="888"/>
      <c r="N39" s="888"/>
      <c r="O39" s="888"/>
      <c r="P39" s="888"/>
      <c r="Q39" s="889"/>
    </row>
  </sheetData>
  <mergeCells count="1">
    <mergeCell ref="R1:T1"/>
  </mergeCells>
  <hyperlinks>
    <hyperlink ref="R1" location="Menu!A1" display="Return to menu" xr:uid="{05673340-6909-41B2-A326-572E7A5A40A9}"/>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0DA56-2CE4-4334-878A-125BF4AE78B8}">
  <sheetPr>
    <pageSetUpPr fitToPage="1"/>
  </sheetPr>
  <dimension ref="A1:CF164"/>
  <sheetViews>
    <sheetView zoomScale="85" zoomScaleNormal="85" workbookViewId="0">
      <selection activeCell="A18" sqref="A18"/>
    </sheetView>
  </sheetViews>
  <sheetFormatPr defaultColWidth="9.109375" defaultRowHeight="13.2" x14ac:dyDescent="0.25"/>
  <cols>
    <col min="1" max="1" width="9.109375" style="13"/>
    <col min="2" max="2" width="9.109375" style="40"/>
    <col min="3" max="9" width="9.109375" style="13"/>
    <col min="10" max="10" width="13.21875" style="13" customWidth="1"/>
    <col min="11" max="14" width="9.109375" style="13"/>
    <col min="15" max="16" width="9.21875" style="13" customWidth="1"/>
    <col min="17" max="17" width="9.109375" style="13"/>
    <col min="18" max="18" width="18.44140625" style="13" bestFit="1" customWidth="1"/>
    <col min="19" max="22" width="9.109375" style="13"/>
    <col min="23" max="23" width="10.44140625" style="13" customWidth="1"/>
    <col min="24" max="24" width="14" style="13" customWidth="1"/>
    <col min="25" max="25" width="16.5546875" style="13" customWidth="1"/>
    <col min="26" max="26" width="12.21875" style="13" bestFit="1" customWidth="1"/>
    <col min="27" max="27" width="12" style="13" bestFit="1" customWidth="1"/>
    <col min="28" max="16384" width="9.109375" style="13"/>
  </cols>
  <sheetData>
    <row r="1" spans="1:27" ht="15.6" x14ac:dyDescent="0.3">
      <c r="A1" s="812" t="s">
        <v>497</v>
      </c>
      <c r="B1" s="813"/>
      <c r="C1" s="814"/>
      <c r="D1" s="815" t="s">
        <v>498</v>
      </c>
      <c r="E1" s="816"/>
      <c r="F1" s="496"/>
      <c r="G1" s="496"/>
      <c r="H1" s="496"/>
      <c r="I1" s="496"/>
      <c r="J1" s="817"/>
      <c r="K1" s="818" t="s">
        <v>499</v>
      </c>
      <c r="L1" s="819"/>
      <c r="R1" s="273" t="s">
        <v>500</v>
      </c>
      <c r="X1" s="40"/>
      <c r="Y1" s="40"/>
      <c r="Z1" s="40"/>
    </row>
    <row r="2" spans="1:27" ht="15.6" x14ac:dyDescent="0.25">
      <c r="A2" s="820" t="s">
        <v>501</v>
      </c>
      <c r="B2" s="821"/>
      <c r="C2" s="822" t="s">
        <v>35</v>
      </c>
      <c r="D2" s="822" t="s">
        <v>36</v>
      </c>
      <c r="E2" s="822" t="s">
        <v>37</v>
      </c>
      <c r="F2" s="823" t="s">
        <v>47</v>
      </c>
      <c r="G2" s="823" t="s">
        <v>133</v>
      </c>
      <c r="H2" s="823" t="s">
        <v>502</v>
      </c>
      <c r="I2" s="823" t="s">
        <v>503</v>
      </c>
      <c r="J2" s="823" t="s">
        <v>35</v>
      </c>
      <c r="K2" s="823" t="s">
        <v>36</v>
      </c>
      <c r="L2" s="823" t="s">
        <v>37</v>
      </c>
      <c r="M2" s="40"/>
      <c r="N2" s="817"/>
      <c r="O2" s="818" t="s">
        <v>504</v>
      </c>
      <c r="P2" s="819"/>
      <c r="R2" s="822" t="s">
        <v>315</v>
      </c>
      <c r="S2" s="822" t="s">
        <v>488</v>
      </c>
      <c r="T2" s="822" t="s">
        <v>489</v>
      </c>
      <c r="U2" s="822" t="s">
        <v>490</v>
      </c>
      <c r="V2" s="822" t="s">
        <v>40</v>
      </c>
      <c r="W2" s="822" t="s">
        <v>505</v>
      </c>
      <c r="Y2" s="497" t="s">
        <v>315</v>
      </c>
      <c r="Z2" s="40" t="s">
        <v>472</v>
      </c>
      <c r="AA2" s="498"/>
    </row>
    <row r="3" spans="1:27" x14ac:dyDescent="0.25">
      <c r="A3" s="812"/>
      <c r="B3" s="813">
        <v>1</v>
      </c>
      <c r="C3" s="824">
        <f>'GRR Calculations (2)'!G41</f>
        <v>0.52100000000000002</v>
      </c>
      <c r="D3" s="824">
        <f>'GRR Calculations (2)'!G51</f>
        <v>0.51100000000000001</v>
      </c>
      <c r="E3" s="817" t="str">
        <f>'GRR Calculations (2)'!G61</f>
        <v/>
      </c>
      <c r="F3" s="823"/>
      <c r="G3" s="823"/>
      <c r="H3" s="823"/>
      <c r="I3" s="823"/>
      <c r="J3" s="823"/>
      <c r="K3" s="823"/>
      <c r="L3" s="823"/>
      <c r="M3" s="40"/>
      <c r="N3" s="824">
        <f>IF(C3="","",C3^2)</f>
        <v>0.27144100000000004</v>
      </c>
      <c r="O3" s="824">
        <f>IF(D3="","",D3^2)</f>
        <v>0.26112099999999999</v>
      </c>
      <c r="P3" s="824" t="str">
        <f>IF(E3="","",E3^2)</f>
        <v/>
      </c>
      <c r="R3" s="825" t="s">
        <v>492</v>
      </c>
      <c r="S3" s="824">
        <f>'GRR Calculations (2)'!X13-1</f>
        <v>4</v>
      </c>
      <c r="T3" s="824">
        <f>C43</f>
        <v>1.9829999999920744E-4</v>
      </c>
      <c r="U3" s="824">
        <f>T3/S3</f>
        <v>4.9574999999801861E-5</v>
      </c>
      <c r="V3" s="824">
        <f>IF(W5&lt;0.25,U3/U5,U3/U6)</f>
        <v>2.9774774774544097</v>
      </c>
      <c r="W3" s="826">
        <f>IF(W5&lt;0.25,FDIST(V3,S3,$S$5),FDIST(V3,S3,$S$6))</f>
        <v>7.3637319810944762E-2</v>
      </c>
      <c r="Y3" s="13" t="s">
        <v>506</v>
      </c>
      <c r="Z3" s="300">
        <f>Z4+Z5</f>
        <v>2.7299999999907954E-5</v>
      </c>
      <c r="AA3" s="498"/>
    </row>
    <row r="4" spans="1:27" x14ac:dyDescent="0.25">
      <c r="A4" s="827">
        <v>1</v>
      </c>
      <c r="B4" s="499">
        <v>2</v>
      </c>
      <c r="C4" s="824">
        <f>'GRR Calculations (2)'!H41</f>
        <v>0.52100000000000002</v>
      </c>
      <c r="D4" s="824">
        <f>'GRR Calculations (2)'!H51</f>
        <v>0.51300000000000001</v>
      </c>
      <c r="E4" s="817" t="str">
        <f>'GRR Calculations (2)'!H61</f>
        <v/>
      </c>
      <c r="F4" s="828">
        <f>SUM(C3:E5)</f>
        <v>2.0659999999999998</v>
      </c>
      <c r="G4" s="828">
        <f>COUNT('GRR Calculations (2)'!G41:I41,'GRR Calculations (2)'!G51:I51,'GRR Calculations (2)'!G61:I61)</f>
        <v>4</v>
      </c>
      <c r="H4" s="828">
        <f>IF('GRR Calculations (2)'!G41="",0,AVERAGE('GRR Calculations (2)'!G41:I41,'GRR Calculations (2)'!G51:I51,'GRR Calculations (2)'!G61:I61))</f>
        <v>0.51649999999999996</v>
      </c>
      <c r="I4" s="828">
        <f>IF(F4=0,0,F4^2/G4)</f>
        <v>1.0670889999999997</v>
      </c>
      <c r="J4" s="828">
        <f>IF(COUNT('GRR Calculations (2)'!G41:I41)=0,0,(SUM('GRR Calculations (2)'!G41:I41)^2/COUNT('GRR Calculations (2)'!G41:I41)))</f>
        <v>0.54288200000000009</v>
      </c>
      <c r="K4" s="828">
        <f>IF(COUNT('GRR Calculations (2)'!G51:I51)=0,0,(SUM('GRR Calculations (2)'!G51:I51)^2)/COUNT('GRR Calculations (2)'!G51:I51))</f>
        <v>0.52428799999999998</v>
      </c>
      <c r="L4" s="828">
        <f>IF(COUNT('GRR Calculations (2)'!G61:I61)=0,0,(SUM('GRR Calculations (2)'!G61:I61)^2)/COUNT('GRR Calculations (2)'!G61:I61))</f>
        <v>0</v>
      </c>
      <c r="M4" s="40"/>
      <c r="N4" s="824">
        <f t="shared" ref="N4:P32" si="0">IF(C4="","",C4^2)</f>
        <v>0.27144100000000004</v>
      </c>
      <c r="O4" s="824">
        <f t="shared" si="0"/>
        <v>0.26316899999999999</v>
      </c>
      <c r="P4" s="824" t="str">
        <f t="shared" si="0"/>
        <v/>
      </c>
      <c r="R4" s="825" t="s">
        <v>476</v>
      </c>
      <c r="S4" s="824">
        <f>'GRR Calculations (2)'!X12-1</f>
        <v>1</v>
      </c>
      <c r="T4" s="824">
        <f>C42</f>
        <v>9.2449999998578392E-5</v>
      </c>
      <c r="U4" s="824">
        <f>T4/S4</f>
        <v>9.2449999998578392E-5</v>
      </c>
      <c r="V4" s="824">
        <f>IF(W5&lt;0.25,U4/U5,U4/U6)</f>
        <v>5.552552552446345</v>
      </c>
      <c r="W4" s="826">
        <f>IF(W5&lt;0.25,FDIST(V4,S4,$S$5),FDIST(V4,S4,$S$6))</f>
        <v>4.0200387943998411E-2</v>
      </c>
      <c r="Y4" s="13" t="s">
        <v>313</v>
      </c>
      <c r="Z4" s="300">
        <f>U6</f>
        <v>1.6650000000062448E-5</v>
      </c>
    </row>
    <row r="5" spans="1:27" x14ac:dyDescent="0.25">
      <c r="A5" s="820"/>
      <c r="B5" s="821">
        <v>3</v>
      </c>
      <c r="C5" s="824" t="str">
        <f>'GRR Calculations (2)'!I41</f>
        <v/>
      </c>
      <c r="D5" s="824" t="str">
        <f>'GRR Calculations (2)'!I51</f>
        <v/>
      </c>
      <c r="E5" s="817" t="str">
        <f>'GRR Calculations (2)'!I61</f>
        <v/>
      </c>
      <c r="F5" s="829"/>
      <c r="G5" s="829"/>
      <c r="H5" s="829"/>
      <c r="I5" s="829"/>
      <c r="J5" s="829"/>
      <c r="K5" s="829"/>
      <c r="L5" s="829"/>
      <c r="M5" s="40"/>
      <c r="N5" s="824" t="str">
        <f t="shared" si="0"/>
        <v/>
      </c>
      <c r="O5" s="824" t="str">
        <f t="shared" si="0"/>
        <v/>
      </c>
      <c r="P5" s="824" t="str">
        <f t="shared" si="0"/>
        <v/>
      </c>
      <c r="R5" s="825" t="s">
        <v>493</v>
      </c>
      <c r="S5" s="824">
        <f>S4*S3</f>
        <v>4</v>
      </c>
      <c r="T5" s="824">
        <f>C44</f>
        <v>9.7300000000188902E-5</v>
      </c>
      <c r="U5" s="824">
        <f>T5/S5</f>
        <v>2.4325000000047226E-5</v>
      </c>
      <c r="V5" s="824">
        <f>U5/$U$6</f>
        <v>1.4609609609583178</v>
      </c>
      <c r="W5" s="826">
        <f>FDIST(V5,S5,$S$6)</f>
        <v>0.28487700079063039</v>
      </c>
      <c r="Y5" s="13" t="s">
        <v>507</v>
      </c>
      <c r="Z5" s="300">
        <f>Z6+Z7</f>
        <v>1.0649999999845506E-5</v>
      </c>
    </row>
    <row r="6" spans="1:27" x14ac:dyDescent="0.25">
      <c r="A6" s="812"/>
      <c r="B6" s="813">
        <v>1</v>
      </c>
      <c r="C6" s="824">
        <f>'GRR Calculations (2)'!G42</f>
        <v>0.52200000000000002</v>
      </c>
      <c r="D6" s="824">
        <f>'GRR Calculations (2)'!G52</f>
        <v>0.52100000000000002</v>
      </c>
      <c r="E6" s="824" t="str">
        <f>'GRR Calculations (2)'!G62</f>
        <v/>
      </c>
      <c r="F6" s="823"/>
      <c r="G6" s="823"/>
      <c r="H6" s="823"/>
      <c r="I6" s="823"/>
      <c r="J6" s="823"/>
      <c r="K6" s="823"/>
      <c r="L6" s="823"/>
      <c r="M6" s="40"/>
      <c r="N6" s="824">
        <f t="shared" si="0"/>
        <v>0.272484</v>
      </c>
      <c r="O6" s="824">
        <f t="shared" si="0"/>
        <v>0.27144100000000004</v>
      </c>
      <c r="P6" s="824" t="str">
        <f t="shared" si="0"/>
        <v/>
      </c>
      <c r="R6" s="824" t="s">
        <v>494</v>
      </c>
      <c r="S6" s="824">
        <f>(C39-1)-S4-S3-S5</f>
        <v>10</v>
      </c>
      <c r="T6" s="824">
        <f>C45</f>
        <v>1.6650000000062448E-4</v>
      </c>
      <c r="U6" s="824">
        <f>T6/S6</f>
        <v>1.6650000000062448E-5</v>
      </c>
      <c r="Y6" s="274" t="s">
        <v>476</v>
      </c>
      <c r="Z6" s="300">
        <f>(U4-U5)/(X11*X13)</f>
        <v>6.8124999998531164E-6</v>
      </c>
    </row>
    <row r="7" spans="1:27" x14ac:dyDescent="0.25">
      <c r="A7" s="827">
        <v>2</v>
      </c>
      <c r="B7" s="499">
        <v>2</v>
      </c>
      <c r="C7" s="824">
        <f>'GRR Calculations (2)'!H42</f>
        <v>0.54</v>
      </c>
      <c r="D7" s="824">
        <f>'GRR Calculations (2)'!H52</f>
        <v>0.52200000000000002</v>
      </c>
      <c r="E7" s="824" t="str">
        <f>'GRR Calculations (2)'!H62</f>
        <v/>
      </c>
      <c r="F7" s="828">
        <f>SUM(C6:E8)</f>
        <v>2.1050000000000004</v>
      </c>
      <c r="G7" s="828">
        <f>COUNT('GRR Calculations (2)'!G42:I42,'GRR Calculations (2)'!G52:I52,'GRR Calculations (2)'!G62:I62)</f>
        <v>4</v>
      </c>
      <c r="H7" s="828">
        <f>IF('GRR Calculations (2)'!G42="",0,AVERAGE('GRR Calculations (2)'!G42:I42,'GRR Calculations (2)'!G52:I52,'GRR Calculations (2)'!G62:I62))</f>
        <v>0.52625000000000011</v>
      </c>
      <c r="I7" s="828">
        <f>IF(F7=0,0,F7^2/G7)</f>
        <v>1.1077562500000004</v>
      </c>
      <c r="J7" s="828">
        <f>IF(COUNT('GRR Calculations (2)'!G42:I42)=0,0,(SUM('GRR Calculations (2)'!G42:I42)^2/COUNT('GRR Calculations (2)'!G42:I42)))</f>
        <v>0.56392200000000003</v>
      </c>
      <c r="K7" s="828">
        <f>IF(COUNT('GRR Calculations (2)'!G52:I52)=0,0,(SUM('GRR Calculations (2)'!G52:I52)^2)/COUNT('GRR Calculations (2)'!G52:I52))</f>
        <v>0.54392450000000014</v>
      </c>
      <c r="L7" s="828">
        <f>IF(COUNT('GRR Calculations (2)'!G62:I62)=0,0,(SUM('GRR Calculations (2)'!G62:I62)^2)/COUNT('GRR Calculations (2)'!G62:I62))</f>
        <v>0</v>
      </c>
      <c r="M7" s="40"/>
      <c r="N7" s="824">
        <f t="shared" si="0"/>
        <v>0.29160000000000003</v>
      </c>
      <c r="O7" s="824">
        <f t="shared" si="0"/>
        <v>0.272484</v>
      </c>
      <c r="P7" s="824" t="str">
        <f t="shared" si="0"/>
        <v/>
      </c>
      <c r="R7" s="824" t="s">
        <v>495</v>
      </c>
      <c r="S7" s="824">
        <f>SUM(S3:S6)</f>
        <v>19</v>
      </c>
      <c r="T7" s="824">
        <f>SUM(T3:T6)</f>
        <v>5.5454999999859922E-4</v>
      </c>
      <c r="Y7" s="274" t="s">
        <v>478</v>
      </c>
      <c r="Z7" s="300">
        <f>(U5-U6)/X11</f>
        <v>3.8374999999923887E-6</v>
      </c>
    </row>
    <row r="8" spans="1:27" x14ac:dyDescent="0.25">
      <c r="A8" s="820"/>
      <c r="B8" s="821">
        <v>3</v>
      </c>
      <c r="C8" s="824" t="str">
        <f>'GRR Calculations (2)'!I42</f>
        <v/>
      </c>
      <c r="D8" s="824" t="str">
        <f>'GRR Calculations (2)'!I52</f>
        <v/>
      </c>
      <c r="E8" s="824" t="str">
        <f>'GRR Calculations (2)'!I62</f>
        <v/>
      </c>
      <c r="F8" s="829"/>
      <c r="G8" s="829"/>
      <c r="H8" s="829"/>
      <c r="I8" s="829"/>
      <c r="J8" s="829"/>
      <c r="K8" s="829"/>
      <c r="L8" s="829"/>
      <c r="M8" s="40"/>
      <c r="N8" s="824" t="str">
        <f t="shared" si="0"/>
        <v/>
      </c>
      <c r="O8" s="824" t="str">
        <f t="shared" si="0"/>
        <v/>
      </c>
      <c r="P8" s="824" t="str">
        <f t="shared" si="0"/>
        <v/>
      </c>
      <c r="Y8" s="13" t="s">
        <v>508</v>
      </c>
      <c r="Z8" s="300">
        <f>(U3-U5)/(X11*X12)</f>
        <v>6.3124999999386588E-6</v>
      </c>
    </row>
    <row r="9" spans="1:27" x14ac:dyDescent="0.25">
      <c r="A9" s="812"/>
      <c r="B9" s="813">
        <v>1</v>
      </c>
      <c r="C9" s="824">
        <f>'GRR Calculations (2)'!G43</f>
        <v>0.52300000000000002</v>
      </c>
      <c r="D9" s="824">
        <f>'GRR Calculations (2)'!G53</f>
        <v>0.52200000000000002</v>
      </c>
      <c r="E9" s="824" t="str">
        <f>'GRR Calculations (2)'!G63</f>
        <v/>
      </c>
      <c r="F9" s="823"/>
      <c r="G9" s="823"/>
      <c r="H9" s="823"/>
      <c r="I9" s="823"/>
      <c r="J9" s="823"/>
      <c r="K9" s="823"/>
      <c r="L9" s="823"/>
      <c r="M9" s="40"/>
      <c r="N9" s="824">
        <f t="shared" si="0"/>
        <v>0.27352900000000002</v>
      </c>
      <c r="O9" s="824">
        <f t="shared" si="0"/>
        <v>0.272484</v>
      </c>
      <c r="P9" s="824" t="str">
        <f t="shared" si="0"/>
        <v/>
      </c>
      <c r="Y9" s="13" t="s">
        <v>479</v>
      </c>
      <c r="Z9" s="300">
        <f>Z4+Z5+Z8</f>
        <v>3.361249999984661E-5</v>
      </c>
    </row>
    <row r="10" spans="1:27" x14ac:dyDescent="0.25">
      <c r="A10" s="827">
        <v>3</v>
      </c>
      <c r="B10" s="499">
        <v>2</v>
      </c>
      <c r="C10" s="824">
        <f>'GRR Calculations (2)'!H43</f>
        <v>0.52400000000000002</v>
      </c>
      <c r="D10" s="824">
        <f>'GRR Calculations (2)'!H53</f>
        <v>0.52200000000000002</v>
      </c>
      <c r="E10" s="824" t="str">
        <f>'GRR Calculations (2)'!H63</f>
        <v/>
      </c>
      <c r="F10" s="828">
        <f>SUM(C9:E11)</f>
        <v>2.0910000000000002</v>
      </c>
      <c r="G10" s="828">
        <f>COUNT('GRR Calculations (2)'!G43:I43,'GRR Calculations (2)'!G53:I53,'GRR Calculations (2)'!G63:I63)</f>
        <v>4</v>
      </c>
      <c r="H10" s="828">
        <f>IF('GRR Calculations (2)'!G43="",0,AVERAGE('GRR Calculations (2)'!G43:I43,'GRR Calculations (2)'!G53:I53,'GRR Calculations (2)'!G63:I63))</f>
        <v>0.52275000000000005</v>
      </c>
      <c r="I10" s="828">
        <f>IF(F10=0,0,F10^2/G10)</f>
        <v>1.0930702500000002</v>
      </c>
      <c r="J10" s="828">
        <f>IF(COUNT('GRR Calculations (2)'!G43:I43)=0,0,(SUM('GRR Calculations (2)'!G43:I43)^2/COUNT('GRR Calculations (2)'!G43:I43)))</f>
        <v>0.54810450000000011</v>
      </c>
      <c r="K10" s="828">
        <f>IF(COUNT('GRR Calculations (2)'!G53:I53)=0,0,(SUM('GRR Calculations (2)'!G53:I53)^2)/COUNT('GRR Calculations (2)'!G53:I53))</f>
        <v>0.54496800000000001</v>
      </c>
      <c r="L10" s="828">
        <f>IF(COUNT('GRR Calculations (2)'!G63:I63)=0,0,(SUM('GRR Calculations (2)'!G63:I63)^2)/COUNT('GRR Calculations (2)'!G63:I63))</f>
        <v>0</v>
      </c>
      <c r="M10" s="40"/>
      <c r="N10" s="824">
        <f t="shared" si="0"/>
        <v>0.27457600000000004</v>
      </c>
      <c r="O10" s="824">
        <f t="shared" si="0"/>
        <v>0.272484</v>
      </c>
      <c r="P10" s="824" t="str">
        <f t="shared" si="0"/>
        <v/>
      </c>
    </row>
    <row r="11" spans="1:27" x14ac:dyDescent="0.25">
      <c r="A11" s="820"/>
      <c r="B11" s="821">
        <v>3</v>
      </c>
      <c r="C11" s="824" t="str">
        <f>'GRR Calculations (2)'!I43</f>
        <v/>
      </c>
      <c r="D11" s="824" t="str">
        <f>'GRR Calculations (2)'!I53</f>
        <v/>
      </c>
      <c r="E11" s="824" t="str">
        <f>'GRR Calculations (2)'!I63</f>
        <v/>
      </c>
      <c r="F11" s="829"/>
      <c r="G11" s="829"/>
      <c r="H11" s="829"/>
      <c r="I11" s="829"/>
      <c r="J11" s="828"/>
      <c r="K11" s="828"/>
      <c r="L11" s="828"/>
      <c r="M11" s="40"/>
      <c r="N11" s="824" t="str">
        <f t="shared" si="0"/>
        <v/>
      </c>
      <c r="O11" s="824" t="str">
        <f t="shared" si="0"/>
        <v/>
      </c>
      <c r="P11" s="824" t="str">
        <f t="shared" si="0"/>
        <v/>
      </c>
      <c r="S11" s="13" t="s">
        <v>509</v>
      </c>
      <c r="T11" s="13" t="s">
        <v>510</v>
      </c>
      <c r="U11" s="13" t="s">
        <v>511</v>
      </c>
      <c r="V11" s="13" t="s">
        <v>508</v>
      </c>
      <c r="X11" s="830">
        <f>'GRR AIAG GR&amp;R'!F6</f>
        <v>2</v>
      </c>
      <c r="Y11" s="830" t="s">
        <v>175</v>
      </c>
    </row>
    <row r="12" spans="1:27" x14ac:dyDescent="0.25">
      <c r="A12" s="812"/>
      <c r="B12" s="813">
        <v>1</v>
      </c>
      <c r="C12" s="824">
        <f>'GRR Calculations (2)'!G44</f>
        <v>0.52100000000000002</v>
      </c>
      <c r="D12" s="824">
        <f>'GRR Calculations (2)'!G54</f>
        <v>0.52400000000000002</v>
      </c>
      <c r="E12" s="824" t="str">
        <f>'GRR Calculations (2)'!G64</f>
        <v/>
      </c>
      <c r="F12" s="823"/>
      <c r="G12" s="823"/>
      <c r="H12" s="823"/>
      <c r="I12" s="812"/>
      <c r="J12" s="831"/>
      <c r="K12" s="831"/>
      <c r="L12" s="831"/>
      <c r="M12" s="40"/>
      <c r="N12" s="824">
        <f t="shared" si="0"/>
        <v>0.27144100000000004</v>
      </c>
      <c r="O12" s="824">
        <f t="shared" si="0"/>
        <v>0.27457600000000004</v>
      </c>
      <c r="P12" s="824" t="str">
        <f t="shared" si="0"/>
        <v/>
      </c>
      <c r="R12" s="13" t="s">
        <v>512</v>
      </c>
      <c r="S12" s="500">
        <f>'GRR Numerical Summary'!Q12</f>
        <v>0.46947873799725653</v>
      </c>
      <c r="T12" s="500">
        <f>'GRR Numerical Summary'!Q13</f>
        <v>0.16598079561042522</v>
      </c>
      <c r="U12" s="500">
        <f>'GRR Numerical Summary'!Q14</f>
        <v>0.30864197530864196</v>
      </c>
      <c r="V12" s="500">
        <f>'GRR Numerical Summary'!Q15</f>
        <v>0.52160493827160481</v>
      </c>
      <c r="X12" s="830">
        <f>'GRR AIAG GR&amp;R'!F7</f>
        <v>2</v>
      </c>
      <c r="Y12" s="830" t="s">
        <v>513</v>
      </c>
    </row>
    <row r="13" spans="1:27" x14ac:dyDescent="0.25">
      <c r="A13" s="827">
        <v>4</v>
      </c>
      <c r="B13" s="499">
        <v>2</v>
      </c>
      <c r="C13" s="824">
        <f>'GRR Calculations (2)'!H44</f>
        <v>0.52200000000000002</v>
      </c>
      <c r="D13" s="824">
        <f>'GRR Calculations (2)'!H54</f>
        <v>0.52300000000000002</v>
      </c>
      <c r="E13" s="824" t="str">
        <f>'GRR Calculations (2)'!H64</f>
        <v/>
      </c>
      <c r="F13" s="828">
        <f>SUM(C12:E14)</f>
        <v>2.09</v>
      </c>
      <c r="G13" s="828">
        <f>COUNT('GRR Calculations (2)'!G44:I44,'GRR Calculations (2)'!G54:I54,'GRR Calculations (2)'!G64:I64)</f>
        <v>4</v>
      </c>
      <c r="H13" s="828">
        <f>IF('GRR Calculations (2)'!G44="",0,AVERAGE('GRR Calculations (2)'!G44:I44,'GRR Calculations (2)'!G54:I54,'GRR Calculations (2)'!G64:I64))</f>
        <v>0.52250000000000008</v>
      </c>
      <c r="I13" s="827">
        <f>IF(F13=0,0,F13^2/G13)</f>
        <v>1.0920249999999998</v>
      </c>
      <c r="J13" s="828">
        <f>IF(COUNT('GRR Calculations (2)'!G44:I44)=0,0,(SUM('GRR Calculations (2)'!G44:I44)^2/COUNT('GRR Calculations (2)'!G44:I44)))</f>
        <v>0.54392450000000014</v>
      </c>
      <c r="K13" s="828">
        <f>IF(COUNT('GRR Calculations (2)'!G54:I54)=0,0,(SUM('GRR Calculations (2)'!G54:I54)^2)/COUNT('GRR Calculations (2)'!G54:I54))</f>
        <v>0.54810450000000011</v>
      </c>
      <c r="L13" s="828">
        <f>IF(COUNT('GRR Calculations (2)'!G64:I64)=0,0,(SUM('GRR Calculations (2)'!G64:I64)^2)/COUNT('GRR Calculations (2)'!G64:I64))</f>
        <v>0</v>
      </c>
      <c r="M13" s="40"/>
      <c r="N13" s="824">
        <f t="shared" si="0"/>
        <v>0.272484</v>
      </c>
      <c r="O13" s="824">
        <f t="shared" si="0"/>
        <v>0.27352900000000002</v>
      </c>
      <c r="P13" s="824" t="str">
        <f t="shared" si="0"/>
        <v/>
      </c>
      <c r="R13" s="13" t="s">
        <v>483</v>
      </c>
      <c r="S13" s="500">
        <f>'GRR Numerical Summary'!O26</f>
        <v>0.68518518518518512</v>
      </c>
      <c r="T13" s="500">
        <f>'GRR Numerical Summary'!O27</f>
        <v>0.40740740740740738</v>
      </c>
      <c r="U13" s="500">
        <f>'GRR Numerical Summary'!O28</f>
        <v>0.55555555555555558</v>
      </c>
      <c r="V13" s="500">
        <f>'GRR Numerical Summary'!O29</f>
        <v>0.72222222222222221</v>
      </c>
      <c r="X13" s="830">
        <f>'GRR AIAG GR&amp;R'!F8</f>
        <v>5</v>
      </c>
      <c r="Y13" s="830" t="s">
        <v>433</v>
      </c>
    </row>
    <row r="14" spans="1:27" x14ac:dyDescent="0.25">
      <c r="A14" s="820"/>
      <c r="B14" s="821">
        <v>3</v>
      </c>
      <c r="C14" s="824" t="str">
        <f>'GRR Calculations (2)'!I44</f>
        <v/>
      </c>
      <c r="D14" s="824" t="str">
        <f>'GRR Calculations (2)'!I54</f>
        <v/>
      </c>
      <c r="E14" s="824" t="str">
        <f>'GRR Calculations (2)'!I64</f>
        <v/>
      </c>
      <c r="F14" s="829"/>
      <c r="G14" s="829"/>
      <c r="H14" s="829"/>
      <c r="I14" s="820"/>
      <c r="J14" s="829"/>
      <c r="K14" s="829"/>
      <c r="L14" s="829"/>
      <c r="M14" s="40"/>
      <c r="N14" s="824" t="str">
        <f t="shared" si="0"/>
        <v/>
      </c>
      <c r="O14" s="824" t="str">
        <f t="shared" si="0"/>
        <v/>
      </c>
      <c r="P14" s="824" t="str">
        <f t="shared" si="0"/>
        <v/>
      </c>
      <c r="R14" s="13" t="s">
        <v>514</v>
      </c>
      <c r="S14" s="500">
        <f>'GRR Numerical Summary'!Q26</f>
        <v>0.47637499999999966</v>
      </c>
      <c r="T14" s="500">
        <f>'GRR Numerical Summary'!Q27</f>
        <v>0.28324999999999978</v>
      </c>
      <c r="U14" s="500">
        <f>'GRR Numerical Summary'!Q28</f>
        <v>0.3862499999999997</v>
      </c>
      <c r="V14" s="500">
        <f>'GRR Numerical Summary'!Q29</f>
        <v>0.5021249999999996</v>
      </c>
    </row>
    <row r="15" spans="1:27" x14ac:dyDescent="0.25">
      <c r="A15" s="812"/>
      <c r="B15" s="813">
        <v>1</v>
      </c>
      <c r="C15" s="824">
        <f>'GRR Calculations (2)'!G45</f>
        <v>0.52500000000000002</v>
      </c>
      <c r="D15" s="824">
        <f>'GRR Calculations (2)'!G55</f>
        <v>0.52100000000000002</v>
      </c>
      <c r="E15" s="824" t="str">
        <f>'GRR Calculations (2)'!G65</f>
        <v/>
      </c>
      <c r="F15" s="823"/>
      <c r="G15" s="823"/>
      <c r="H15" s="823"/>
      <c r="I15" s="823"/>
      <c r="J15" s="828"/>
      <c r="K15" s="828"/>
      <c r="L15" s="828"/>
      <c r="M15" s="40"/>
      <c r="N15" s="824">
        <f t="shared" si="0"/>
        <v>0.27562500000000001</v>
      </c>
      <c r="O15" s="824">
        <f t="shared" si="0"/>
        <v>0.27144100000000004</v>
      </c>
      <c r="P15" s="824" t="str">
        <f t="shared" si="0"/>
        <v/>
      </c>
      <c r="R15" s="13" t="s">
        <v>515</v>
      </c>
      <c r="S15" s="500">
        <f>'GRR Numerical Summary'!Q38</f>
        <v>0.55499999999999949</v>
      </c>
      <c r="T15" s="500">
        <f>'GRR Numerical Summary'!Q39</f>
        <v>0.32999999999999968</v>
      </c>
      <c r="U15" s="500">
        <f>'GRR Numerical Summary'!Q40</f>
        <v>0.44999999999999968</v>
      </c>
      <c r="V15" s="500">
        <f>'GRR Numerical Summary'!Q41</f>
        <v>0.58499999999999941</v>
      </c>
    </row>
    <row r="16" spans="1:27" x14ac:dyDescent="0.25">
      <c r="A16" s="827">
        <v>5</v>
      </c>
      <c r="B16" s="499">
        <v>2</v>
      </c>
      <c r="C16" s="824">
        <f>'GRR Calculations (2)'!H45</f>
        <v>0.52400000000000002</v>
      </c>
      <c r="D16" s="824">
        <f>'GRR Calculations (2)'!H55</f>
        <v>0.52100000000000002</v>
      </c>
      <c r="E16" s="824" t="str">
        <f>'GRR Calculations (2)'!H65</f>
        <v/>
      </c>
      <c r="F16" s="828">
        <f>SUM(C15:E17)</f>
        <v>2.0910000000000002</v>
      </c>
      <c r="G16" s="828">
        <f>COUNT('GRR Calculations (2)'!G45:I45,'GRR Calculations (2)'!G55:I55,'GRR Calculations (2)'!G65:I65)</f>
        <v>4</v>
      </c>
      <c r="H16" s="828">
        <f>IF('GRR Calculations (2)'!G45="",0,AVERAGE('GRR Calculations (2)'!G45:I45,'GRR Calculations (2)'!G55:I55,'GRR Calculations (2)'!G65:I65))</f>
        <v>0.52274999999999994</v>
      </c>
      <c r="I16" s="828">
        <f>IF(F16=0,0,F16^2/G16)</f>
        <v>1.0930702500000002</v>
      </c>
      <c r="J16" s="828">
        <f>IF(COUNT('GRR Calculations (2)'!G45:I45)=0,0,(SUM('GRR Calculations (2)'!G45:I45)^2/COUNT('GRR Calculations (2)'!G45:I45)))</f>
        <v>0.55020049999999998</v>
      </c>
      <c r="K16" s="828">
        <f>IF(COUNT('GRR Calculations (2)'!G55:I55)=0,0,(SUM('GRR Calculations (2)'!G55:I55)^2)/COUNT('GRR Calculations (2)'!G55:I55))</f>
        <v>0.54288200000000009</v>
      </c>
      <c r="L16" s="828">
        <f>IF(COUNT('GRR Calculations (2)'!G65:I65)=0,0,(SUM('GRR Calculations (2)'!G65:I65)^2)/COUNT('GRR Calculations (2)'!G65:I65))</f>
        <v>0</v>
      </c>
      <c r="M16" s="40"/>
      <c r="N16" s="824">
        <f t="shared" si="0"/>
        <v>0.27457600000000004</v>
      </c>
      <c r="O16" s="824">
        <f t="shared" si="0"/>
        <v>0.27144100000000004</v>
      </c>
      <c r="P16" s="824" t="str">
        <f t="shared" si="0"/>
        <v/>
      </c>
    </row>
    <row r="17" spans="1:22" x14ac:dyDescent="0.25">
      <c r="A17" s="820"/>
      <c r="B17" s="821">
        <v>3</v>
      </c>
      <c r="C17" s="824" t="str">
        <f>'GRR Calculations (2)'!I45</f>
        <v/>
      </c>
      <c r="D17" s="824" t="str">
        <f>'GRR Calculations (2)'!I55</f>
        <v/>
      </c>
      <c r="E17" s="824" t="str">
        <f>'GRR Calculations (2)'!I65</f>
        <v/>
      </c>
      <c r="F17" s="829"/>
      <c r="G17" s="829"/>
      <c r="H17" s="829"/>
      <c r="I17" s="829"/>
      <c r="J17" s="829"/>
      <c r="K17" s="829"/>
      <c r="L17" s="829"/>
      <c r="M17" s="40"/>
      <c r="N17" s="824" t="str">
        <f t="shared" si="0"/>
        <v/>
      </c>
      <c r="O17" s="824" t="str">
        <f t="shared" si="0"/>
        <v/>
      </c>
      <c r="P17" s="824" t="str">
        <f t="shared" si="0"/>
        <v/>
      </c>
    </row>
    <row r="18" spans="1:22" x14ac:dyDescent="0.25">
      <c r="A18" s="812"/>
      <c r="B18" s="813">
        <v>1</v>
      </c>
      <c r="C18" s="824" t="str">
        <f>'GRR Calculations (2)'!G46</f>
        <v/>
      </c>
      <c r="D18" s="824" t="str">
        <f>'GRR Calculations (2)'!G56</f>
        <v/>
      </c>
      <c r="E18" s="824" t="str">
        <f>'GRR Calculations (2)'!G66</f>
        <v/>
      </c>
      <c r="F18" s="823"/>
      <c r="G18" s="823"/>
      <c r="H18" s="823"/>
      <c r="I18" s="823"/>
      <c r="J18" s="823"/>
      <c r="K18" s="823"/>
      <c r="L18" s="823"/>
      <c r="M18" s="40"/>
      <c r="N18" s="824" t="str">
        <f t="shared" si="0"/>
        <v/>
      </c>
      <c r="O18" s="824" t="str">
        <f t="shared" si="0"/>
        <v/>
      </c>
      <c r="P18" s="824" t="str">
        <f t="shared" si="0"/>
        <v/>
      </c>
      <c r="R18" s="13" t="s">
        <v>512</v>
      </c>
      <c r="S18" s="500">
        <f>'GRR Numerical Summary'!H12</f>
        <v>0.81219784306530418</v>
      </c>
      <c r="T18" s="500">
        <f>'GRR Numerical Summary'!H13</f>
        <v>0.49535143176313662</v>
      </c>
      <c r="U18" s="500">
        <f>'GRR Numerical Summary'!H14</f>
        <v>0.31684641130216756</v>
      </c>
      <c r="V18" s="500">
        <f>'GRR Numerical Summary'!H17</f>
        <v>0.1878021569346959</v>
      </c>
    </row>
    <row r="19" spans="1:22" x14ac:dyDescent="0.25">
      <c r="A19" s="827">
        <v>6</v>
      </c>
      <c r="B19" s="499">
        <v>2</v>
      </c>
      <c r="C19" s="824" t="str">
        <f>'GRR Calculations (2)'!H46</f>
        <v/>
      </c>
      <c r="D19" s="824" t="str">
        <f>'GRR Calculations (2)'!H56</f>
        <v/>
      </c>
      <c r="E19" s="824" t="str">
        <f>'GRR Calculations (2)'!H66</f>
        <v/>
      </c>
      <c r="F19" s="828">
        <f>SUM(C18:E20)</f>
        <v>0</v>
      </c>
      <c r="G19" s="828">
        <f>COUNT('GRR Calculations (2)'!G46:I46,'GRR Calculations (2)'!G56:I56,'GRR Calculations (2)'!G66:I66)</f>
        <v>0</v>
      </c>
      <c r="H19" s="828">
        <f>IF('GRR Calculations (2)'!G46="",0,AVERAGE('GRR Calculations (2)'!G46:I46,'GRR Calculations (2)'!G56:I56,'GRR Calculations (2)'!G66:I66))</f>
        <v>0</v>
      </c>
      <c r="I19" s="828">
        <f>IF(F19=0,0,F19^2/G19)</f>
        <v>0</v>
      </c>
      <c r="J19" s="828">
        <f>IF(COUNT('GRR Calculations (2)'!G46:I46)=0,0,(SUM('GRR Calculations (2)'!G46:I46)^2/COUNT('GRR Calculations (2)'!G46:I46)))</f>
        <v>0</v>
      </c>
      <c r="K19" s="828">
        <f>IF(COUNT('GRR Calculations (2)'!G56:I56)=0,0,(SUM('GRR Calculations (2)'!G56:I56)^2)/COUNT('GRR Calculations (2)'!G56:I56))</f>
        <v>0</v>
      </c>
      <c r="L19" s="828">
        <f>IF(COUNT('GRR Calculations (2)'!G66:I66)=0,0,(SUM('GRR Calculations (2)'!G66:I66)^2)/COUNT('GRR Calculations (2)'!G66:I66))</f>
        <v>0</v>
      </c>
      <c r="M19" s="40"/>
      <c r="N19" s="824" t="str">
        <f t="shared" si="0"/>
        <v/>
      </c>
      <c r="O19" s="824" t="str">
        <f t="shared" si="0"/>
        <v/>
      </c>
      <c r="P19" s="824" t="str">
        <f t="shared" si="0"/>
        <v/>
      </c>
      <c r="R19" s="13" t="s">
        <v>483</v>
      </c>
      <c r="S19" s="500">
        <f>'GRR Numerical Summary'!F26</f>
        <v>0.90122019676952658</v>
      </c>
      <c r="T19" s="500">
        <f>'GRR Numerical Summary'!F27</f>
        <v>0.70381207133945678</v>
      </c>
      <c r="U19" s="500">
        <f>'GRR Numerical Summary'!F28</f>
        <v>0.56289111851420037</v>
      </c>
      <c r="V19" s="500">
        <f>'GRR Numerical Summary'!F43</f>
        <v>0.43336146221681499</v>
      </c>
    </row>
    <row r="20" spans="1:22" x14ac:dyDescent="0.25">
      <c r="A20" s="820"/>
      <c r="B20" s="821">
        <v>3</v>
      </c>
      <c r="C20" s="824" t="str">
        <f>'GRR Calculations (2)'!I46</f>
        <v/>
      </c>
      <c r="D20" s="824" t="str">
        <f>'GRR Calculations (2)'!I56</f>
        <v/>
      </c>
      <c r="E20" s="824" t="str">
        <f>'GRR Calculations (2)'!I66</f>
        <v/>
      </c>
      <c r="F20" s="829"/>
      <c r="G20" s="829"/>
      <c r="H20" s="829"/>
      <c r="I20" s="829"/>
      <c r="J20" s="829"/>
      <c r="K20" s="829"/>
      <c r="L20" s="829"/>
      <c r="M20" s="40"/>
      <c r="N20" s="824" t="str">
        <f t="shared" si="0"/>
        <v/>
      </c>
      <c r="O20" s="824" t="str">
        <f t="shared" si="0"/>
        <v/>
      </c>
      <c r="P20" s="824" t="str">
        <f t="shared" si="0"/>
        <v/>
      </c>
      <c r="R20" s="13" t="s">
        <v>514</v>
      </c>
      <c r="S20" s="500">
        <f>'GRR Numerical Summary'!H26</f>
        <v>0.67271104959594163</v>
      </c>
      <c r="T20" s="500">
        <f>'GRR Numerical Summary'!H27</f>
        <v>0.52535679840089122</v>
      </c>
      <c r="U20" s="500">
        <f>'GRR Numerical Summary'!H28</f>
        <v>0.42016709845303063</v>
      </c>
      <c r="V20" s="500">
        <f>'GRR Numerical Summary'!H31</f>
        <v>0.32348037155325671</v>
      </c>
    </row>
    <row r="21" spans="1:22" x14ac:dyDescent="0.25">
      <c r="A21" s="812"/>
      <c r="B21" s="813">
        <v>1</v>
      </c>
      <c r="C21" s="824" t="str">
        <f>'GRR Calculations (2)'!G47</f>
        <v/>
      </c>
      <c r="D21" s="824" t="str">
        <f>'GRR Calculations (2)'!G57</f>
        <v/>
      </c>
      <c r="E21" s="824" t="str">
        <f>'GRR Calculations (2)'!G67</f>
        <v/>
      </c>
      <c r="F21" s="823"/>
      <c r="G21" s="823"/>
      <c r="H21" s="823"/>
      <c r="I21" s="823"/>
      <c r="J21" s="823"/>
      <c r="K21" s="823"/>
      <c r="L21" s="823"/>
      <c r="M21" s="40"/>
      <c r="N21" s="824" t="str">
        <f t="shared" si="0"/>
        <v/>
      </c>
      <c r="O21" s="824" t="str">
        <f t="shared" si="0"/>
        <v/>
      </c>
      <c r="P21" s="824" t="str">
        <f t="shared" si="0"/>
        <v/>
      </c>
      <c r="R21" s="13" t="s">
        <v>515</v>
      </c>
      <c r="S21" s="500">
        <f>'GRR Numerical Summary'!H38</f>
        <v>0.78374102865546602</v>
      </c>
      <c r="T21" s="500">
        <f>'GRR Numerical Summary'!H39</f>
        <v>0.61206617289424214</v>
      </c>
      <c r="U21" s="500">
        <f>'GRR Numerical Summary'!H40</f>
        <v>0.48951506615887058</v>
      </c>
      <c r="V21" s="500">
        <f>'GRR Numerical Summary'!H43</f>
        <v>0.37687033579020196</v>
      </c>
    </row>
    <row r="22" spans="1:22" x14ac:dyDescent="0.25">
      <c r="A22" s="827">
        <v>7</v>
      </c>
      <c r="B22" s="499">
        <v>2</v>
      </c>
      <c r="C22" s="824" t="str">
        <f>'GRR Calculations (2)'!H47</f>
        <v/>
      </c>
      <c r="D22" s="824" t="str">
        <f>'GRR Calculations (2)'!H57</f>
        <v/>
      </c>
      <c r="E22" s="824" t="str">
        <f>'GRR Calculations (2)'!H67</f>
        <v/>
      </c>
      <c r="F22" s="828">
        <f>SUM(C21:E23)</f>
        <v>0</v>
      </c>
      <c r="G22" s="828">
        <f>COUNT('GRR Calculations (2)'!G47:I47,'GRR Calculations (2)'!G57:I57,'GRR Calculations (2)'!G67:I67)</f>
        <v>0</v>
      </c>
      <c r="H22" s="828">
        <f>IF('GRR Calculations (2)'!G47="",0,AVERAGE('GRR Calculations (2)'!G47:I47,'GRR Calculations (2)'!G57:I57,'GRR Calculations (2)'!G67:I67))</f>
        <v>0</v>
      </c>
      <c r="I22" s="828">
        <f>IF(F22=0,0,F22^2/G22)</f>
        <v>0</v>
      </c>
      <c r="J22" s="828">
        <f>IF(COUNT('GRR Calculations (2)'!G47:I47)=0,0,(SUM('GRR Calculations (2)'!G47:I47)^2/COUNT('GRR Calculations (2)'!G47:I47)))</f>
        <v>0</v>
      </c>
      <c r="K22" s="828">
        <f>IF(COUNT('GRR Calculations (2)'!G57:I57)=0,0,(SUM('GRR Calculations (2)'!G57:I57)^2)/COUNT('GRR Calculations (2)'!G57:I57))</f>
        <v>0</v>
      </c>
      <c r="L22" s="828">
        <f>IF(COUNT('GRR Calculations (2)'!G67:I67)=0,0,(SUM('GRR Calculations (2)'!G67:I67)^2)/COUNT('GRR Calculations (2)'!G67:I67))</f>
        <v>0</v>
      </c>
      <c r="M22" s="40"/>
      <c r="N22" s="824" t="str">
        <f t="shared" si="0"/>
        <v/>
      </c>
      <c r="O22" s="824" t="str">
        <f t="shared" si="0"/>
        <v/>
      </c>
      <c r="P22" s="824" t="str">
        <f t="shared" si="0"/>
        <v/>
      </c>
    </row>
    <row r="23" spans="1:22" x14ac:dyDescent="0.25">
      <c r="A23" s="820"/>
      <c r="B23" s="821">
        <v>3</v>
      </c>
      <c r="C23" s="824" t="str">
        <f>'GRR Calculations (2)'!I47</f>
        <v/>
      </c>
      <c r="D23" s="824" t="str">
        <f>'GRR Calculations (2)'!I57</f>
        <v/>
      </c>
      <c r="E23" s="824" t="str">
        <f>'GRR Calculations (2)'!I67</f>
        <v/>
      </c>
      <c r="F23" s="829"/>
      <c r="G23" s="829"/>
      <c r="H23" s="829"/>
      <c r="I23" s="829"/>
      <c r="J23" s="829"/>
      <c r="K23" s="829"/>
      <c r="L23" s="829"/>
      <c r="M23" s="40"/>
      <c r="N23" s="824" t="str">
        <f t="shared" si="0"/>
        <v/>
      </c>
      <c r="O23" s="824" t="str">
        <f t="shared" si="0"/>
        <v/>
      </c>
      <c r="P23" s="824" t="str">
        <f t="shared" si="0"/>
        <v/>
      </c>
    </row>
    <row r="24" spans="1:22" x14ac:dyDescent="0.25">
      <c r="A24" s="812"/>
      <c r="B24" s="813">
        <v>1</v>
      </c>
      <c r="C24" s="824" t="str">
        <f>'GRR Calculations (2)'!G48</f>
        <v/>
      </c>
      <c r="D24" s="824" t="str">
        <f>'GRR Calculations (2)'!G58</f>
        <v/>
      </c>
      <c r="E24" s="824" t="str">
        <f>'GRR Calculations (2)'!G68</f>
        <v/>
      </c>
      <c r="F24" s="823"/>
      <c r="G24" s="823"/>
      <c r="H24" s="823"/>
      <c r="I24" s="823"/>
      <c r="J24" s="823"/>
      <c r="K24" s="823"/>
      <c r="L24" s="823"/>
      <c r="M24" s="40"/>
      <c r="N24" s="824" t="str">
        <f t="shared" si="0"/>
        <v/>
      </c>
      <c r="O24" s="824" t="str">
        <f t="shared" si="0"/>
        <v/>
      </c>
      <c r="P24" s="824" t="str">
        <f t="shared" si="0"/>
        <v/>
      </c>
    </row>
    <row r="25" spans="1:22" x14ac:dyDescent="0.25">
      <c r="A25" s="827">
        <v>8</v>
      </c>
      <c r="B25" s="499">
        <v>2</v>
      </c>
      <c r="C25" s="824" t="str">
        <f>'GRR Calculations (2)'!H48</f>
        <v/>
      </c>
      <c r="D25" s="824" t="str">
        <f>'GRR Calculations (2)'!H58</f>
        <v/>
      </c>
      <c r="E25" s="824" t="str">
        <f>'GRR Calculations (2)'!H68</f>
        <v/>
      </c>
      <c r="F25" s="828">
        <f>SUM(C24:E26)</f>
        <v>0</v>
      </c>
      <c r="G25" s="828">
        <f>COUNT('GRR Calculations (2)'!G48:I48,'GRR Calculations (2)'!G58:I58,'GRR Calculations (2)'!G68:I68)</f>
        <v>0</v>
      </c>
      <c r="H25" s="828">
        <f>IF('GRR Calculations (2)'!G48="",0,AVERAGE('GRR Calculations (2)'!G48:I48,'GRR Calculations (2)'!G58:I58,'GRR Calculations (2)'!G68:I68))</f>
        <v>0</v>
      </c>
      <c r="I25" s="828">
        <f>IF(F25=0,0,F25^2/G25)</f>
        <v>0</v>
      </c>
      <c r="J25" s="828">
        <f>IF(COUNT('GRR Calculations (2)'!G48:I48)=0,0,(SUM('GRR Calculations (2)'!G48:I48)^2/COUNT('GRR Calculations (2)'!G48:I48)))</f>
        <v>0</v>
      </c>
      <c r="K25" s="828">
        <f>IF(COUNT('GRR Calculations (2)'!G58:I58)=0,0,(SUM('GRR Calculations (2)'!G58:I58)^2)/COUNT('GRR Calculations (2)'!G58:I58))</f>
        <v>0</v>
      </c>
      <c r="L25" s="828">
        <f>IF(COUNT('GRR Calculations (2)'!G68:I68)=0,0,(SUM('GRR Calculations (2)'!G68:I68)^2)/COUNT('GRR Calculations (2)'!G68:I68))</f>
        <v>0</v>
      </c>
      <c r="M25" s="40"/>
      <c r="N25" s="824" t="str">
        <f t="shared" si="0"/>
        <v/>
      </c>
      <c r="O25" s="824" t="str">
        <f t="shared" si="0"/>
        <v/>
      </c>
      <c r="P25" s="824" t="str">
        <f t="shared" si="0"/>
        <v/>
      </c>
    </row>
    <row r="26" spans="1:22" x14ac:dyDescent="0.25">
      <c r="A26" s="820"/>
      <c r="B26" s="821">
        <v>3</v>
      </c>
      <c r="C26" s="824" t="str">
        <f>'GRR Calculations (2)'!I48</f>
        <v/>
      </c>
      <c r="D26" s="824" t="str">
        <f>'GRR Calculations (2)'!I58</f>
        <v/>
      </c>
      <c r="E26" s="824" t="str">
        <f>'GRR Calculations (2)'!I68</f>
        <v/>
      </c>
      <c r="F26" s="829"/>
      <c r="G26" s="829"/>
      <c r="H26" s="829"/>
      <c r="I26" s="829"/>
      <c r="J26" s="829"/>
      <c r="K26" s="829"/>
      <c r="L26" s="829"/>
      <c r="M26" s="40"/>
      <c r="N26" s="824" t="str">
        <f t="shared" si="0"/>
        <v/>
      </c>
      <c r="O26" s="824" t="str">
        <f>IF(D26="","",D26^2)</f>
        <v/>
      </c>
      <c r="P26" s="824" t="str">
        <f t="shared" si="0"/>
        <v/>
      </c>
    </row>
    <row r="27" spans="1:22" x14ac:dyDescent="0.25">
      <c r="A27" s="812"/>
      <c r="B27" s="813">
        <v>1</v>
      </c>
      <c r="C27" s="824" t="str">
        <f>'GRR Calculations (2)'!G49</f>
        <v/>
      </c>
      <c r="D27" s="824" t="str">
        <f>'GRR Calculations (2)'!G59</f>
        <v/>
      </c>
      <c r="E27" s="824" t="str">
        <f>'GRR Calculations (2)'!G69</f>
        <v/>
      </c>
      <c r="F27" s="823"/>
      <c r="G27" s="823"/>
      <c r="H27" s="823"/>
      <c r="I27" s="823"/>
      <c r="J27" s="823"/>
      <c r="K27" s="823"/>
      <c r="L27" s="823"/>
      <c r="M27" s="40"/>
      <c r="N27" s="824" t="str">
        <f t="shared" si="0"/>
        <v/>
      </c>
      <c r="O27" s="824" t="str">
        <f t="shared" si="0"/>
        <v/>
      </c>
      <c r="P27" s="824" t="str">
        <f t="shared" si="0"/>
        <v/>
      </c>
    </row>
    <row r="28" spans="1:22" x14ac:dyDescent="0.25">
      <c r="A28" s="827">
        <v>9</v>
      </c>
      <c r="B28" s="499">
        <v>2</v>
      </c>
      <c r="C28" s="824" t="str">
        <f>'GRR Calculations (2)'!H49</f>
        <v/>
      </c>
      <c r="D28" s="824" t="str">
        <f>'GRR Calculations (2)'!H59</f>
        <v/>
      </c>
      <c r="E28" s="824" t="str">
        <f>'GRR Calculations (2)'!H69</f>
        <v/>
      </c>
      <c r="F28" s="828">
        <f>SUM(C27:E29)</f>
        <v>0</v>
      </c>
      <c r="G28" s="828">
        <f>COUNT('GRR Calculations (2)'!G49:I49,'GRR Calculations (2)'!G59:I59,'GRR Calculations (2)'!G69:I69)</f>
        <v>0</v>
      </c>
      <c r="H28" s="828">
        <f>IF('GRR Calculations (2)'!G49="",0,AVERAGE('GRR Calculations (2)'!G49:I49,'GRR Calculations (2)'!G59:I59,'GRR Calculations (2)'!G69:I69))</f>
        <v>0</v>
      </c>
      <c r="I28" s="828">
        <f>IF(F28=0,0,F28^2/G28)</f>
        <v>0</v>
      </c>
      <c r="J28" s="828">
        <f>IF(COUNT('GRR Calculations (2)'!G49:I49)=0,0,(SUM('GRR Calculations (2)'!G49:I49)^2/COUNT('GRR Calculations (2)'!G49:I49)))</f>
        <v>0</v>
      </c>
      <c r="K28" s="828">
        <f>IF(COUNT('GRR Calculations (2)'!G59:I59)=0,0,(SUM('GRR Calculations (2)'!G59:I59)^2)/COUNT('GRR Calculations (2)'!G59:I59))</f>
        <v>0</v>
      </c>
      <c r="L28" s="828">
        <f>IF(COUNT('GRR Calculations (2)'!G69:I69)=0,0,(SUM('GRR Calculations (2)'!G69:I69)^2)/COUNT('GRR Calculations (2)'!G69:I69))</f>
        <v>0</v>
      </c>
      <c r="M28" s="40"/>
      <c r="N28" s="824" t="str">
        <f t="shared" si="0"/>
        <v/>
      </c>
      <c r="O28" s="824" t="str">
        <f t="shared" si="0"/>
        <v/>
      </c>
      <c r="P28" s="824" t="str">
        <f t="shared" si="0"/>
        <v/>
      </c>
    </row>
    <row r="29" spans="1:22" x14ac:dyDescent="0.25">
      <c r="A29" s="820"/>
      <c r="B29" s="821">
        <v>3</v>
      </c>
      <c r="C29" s="824" t="str">
        <f>'GRR Calculations (2)'!I49</f>
        <v/>
      </c>
      <c r="D29" s="824" t="str">
        <f>'GRR Calculations (2)'!I59</f>
        <v/>
      </c>
      <c r="E29" s="824" t="str">
        <f>'GRR Calculations (2)'!I69</f>
        <v/>
      </c>
      <c r="F29" s="829"/>
      <c r="G29" s="829"/>
      <c r="H29" s="829"/>
      <c r="I29" s="829"/>
      <c r="J29" s="829"/>
      <c r="K29" s="829"/>
      <c r="L29" s="829"/>
      <c r="M29" s="40"/>
      <c r="N29" s="824" t="str">
        <f t="shared" si="0"/>
        <v/>
      </c>
      <c r="O29" s="824" t="str">
        <f t="shared" si="0"/>
        <v/>
      </c>
      <c r="P29" s="824" t="str">
        <f t="shared" si="0"/>
        <v/>
      </c>
    </row>
    <row r="30" spans="1:22" x14ac:dyDescent="0.25">
      <c r="A30" s="812"/>
      <c r="B30" s="813">
        <v>1</v>
      </c>
      <c r="C30" s="824" t="str">
        <f>'GRR Calculations (2)'!G50</f>
        <v/>
      </c>
      <c r="D30" s="824" t="str">
        <f>'GRR Calculations (2)'!G60</f>
        <v/>
      </c>
      <c r="E30" s="824" t="str">
        <f>'GRR Calculations (2)'!G70</f>
        <v/>
      </c>
      <c r="F30" s="823"/>
      <c r="G30" s="823"/>
      <c r="H30" s="823"/>
      <c r="I30" s="823"/>
      <c r="J30" s="823"/>
      <c r="K30" s="823"/>
      <c r="L30" s="823"/>
      <c r="M30" s="40"/>
      <c r="N30" s="824" t="str">
        <f t="shared" si="0"/>
        <v/>
      </c>
      <c r="O30" s="824" t="str">
        <f t="shared" si="0"/>
        <v/>
      </c>
      <c r="P30" s="824" t="str">
        <f t="shared" si="0"/>
        <v/>
      </c>
    </row>
    <row r="31" spans="1:22" x14ac:dyDescent="0.25">
      <c r="A31" s="827">
        <v>10</v>
      </c>
      <c r="B31" s="499">
        <v>2</v>
      </c>
      <c r="C31" s="824" t="str">
        <f>'GRR Calculations (2)'!H50</f>
        <v/>
      </c>
      <c r="D31" s="824" t="str">
        <f>'GRR Calculations (2)'!H60</f>
        <v/>
      </c>
      <c r="E31" s="824" t="str">
        <f>'GRR Calculations (2)'!H70</f>
        <v/>
      </c>
      <c r="F31" s="828">
        <f>SUM(C30:E32)</f>
        <v>0</v>
      </c>
      <c r="G31" s="828">
        <f>COUNT('GRR Calculations (2)'!G50:I50,'GRR Calculations (2)'!G60:I60,'GRR Calculations (2)'!G70:I70)</f>
        <v>0</v>
      </c>
      <c r="H31" s="828">
        <f>IF('GRR Calculations (2)'!G50="",0,AVERAGE('GRR Calculations (2)'!G50:I50,'GRR Calculations (2)'!G60:I60,'GRR Calculations (2)'!G70:I70))</f>
        <v>0</v>
      </c>
      <c r="I31" s="828">
        <f>IF(F31=0,0,F31^2/G31)</f>
        <v>0</v>
      </c>
      <c r="J31" s="828">
        <f>IF(COUNT('GRR Calculations (2)'!G50:I50)=0,0,(SUM('GRR Calculations (2)'!G50:I50)^2/COUNT('GRR Calculations (2)'!G50:I50)))</f>
        <v>0</v>
      </c>
      <c r="K31" s="828">
        <f>IF(COUNT('GRR Calculations (2)'!G60:I60)=0,0,(SUM('GRR Calculations (2)'!G60:I60)^2)/COUNT('GRR Calculations (2)'!G60:I60))</f>
        <v>0</v>
      </c>
      <c r="L31" s="828">
        <f>IF(COUNT('GRR Calculations (2)'!G70:I70)=0,0,(SUM('GRR Calculations (2)'!G70:I70)^2)/COUNT('GRR Calculations (2)'!G70:I70))</f>
        <v>0</v>
      </c>
      <c r="M31" s="40"/>
      <c r="N31" s="824" t="str">
        <f t="shared" si="0"/>
        <v/>
      </c>
      <c r="O31" s="824" t="str">
        <f t="shared" si="0"/>
        <v/>
      </c>
      <c r="P31" s="824" t="str">
        <f t="shared" si="0"/>
        <v/>
      </c>
    </row>
    <row r="32" spans="1:22" x14ac:dyDescent="0.25">
      <c r="A32" s="827"/>
      <c r="B32" s="499">
        <v>3</v>
      </c>
      <c r="C32" s="824" t="str">
        <f>'GRR Calculations (2)'!I50</f>
        <v/>
      </c>
      <c r="D32" s="824" t="str">
        <f>'GRR Calculations (2)'!I60</f>
        <v/>
      </c>
      <c r="E32" s="824" t="str">
        <f>'GRR Calculations (2)'!I70</f>
        <v/>
      </c>
      <c r="F32" s="829"/>
      <c r="G32" s="829"/>
      <c r="H32" s="829"/>
      <c r="I32" s="829"/>
      <c r="J32" s="829"/>
      <c r="K32" s="829"/>
      <c r="L32" s="829"/>
      <c r="M32" s="40"/>
      <c r="N32" s="824" t="str">
        <f t="shared" si="0"/>
        <v/>
      </c>
      <c r="O32" s="824" t="str">
        <f t="shared" si="0"/>
        <v/>
      </c>
      <c r="P32" s="824" t="str">
        <f t="shared" si="0"/>
        <v/>
      </c>
    </row>
    <row r="33" spans="1:84" x14ac:dyDescent="0.25">
      <c r="A33" s="832" t="s">
        <v>47</v>
      </c>
      <c r="B33" s="833"/>
      <c r="C33" s="824">
        <f>SUM(C3:C32)</f>
        <v>5.2430000000000003</v>
      </c>
      <c r="D33" s="824">
        <f>SUM(D3:D32)</f>
        <v>5.2</v>
      </c>
      <c r="E33" s="824">
        <f>SUM(E3:E32)</f>
        <v>0</v>
      </c>
      <c r="F33" s="824">
        <f>SUM(C33:E33)</f>
        <v>10.443000000000001</v>
      </c>
    </row>
    <row r="34" spans="1:84" x14ac:dyDescent="0.25">
      <c r="A34" s="832" t="s">
        <v>133</v>
      </c>
      <c r="B34" s="833"/>
      <c r="C34" s="824">
        <f>COUNT('GRR Calculations (2)'!G41:I50)</f>
        <v>10</v>
      </c>
      <c r="D34" s="824">
        <f>COUNT('GRR Calculations (2)'!G51:I60)</f>
        <v>10</v>
      </c>
      <c r="E34" s="824">
        <f>COUNT('GRR Calculations (2)'!G61:I70)</f>
        <v>0</v>
      </c>
      <c r="G34" s="824">
        <f>SUM(G3:G32)</f>
        <v>20</v>
      </c>
    </row>
    <row r="35" spans="1:84" x14ac:dyDescent="0.25">
      <c r="A35" s="832" t="s">
        <v>502</v>
      </c>
      <c r="B35" s="833"/>
      <c r="C35" s="824">
        <f>IF(COUNT('GRR Calculations (2)'!G41:I50)=0,0,AVERAGE('GRR Calculations (2)'!G41:I50))</f>
        <v>0.52429999999999999</v>
      </c>
      <c r="D35" s="824">
        <f>IF(COUNT('GRR Calculations (2)'!G51:I60)=0,0,AVERAGE('GRR Calculations (2)'!G51:I60))</f>
        <v>0.52</v>
      </c>
      <c r="E35" s="824">
        <f>IF(COUNT('GRR Calculations (2)'!G61:I70)=0,0,AVERAGE('GRR Calculations (2)'!G61:I70))</f>
        <v>0</v>
      </c>
      <c r="I35" s="824">
        <f>SUM(I3:I32)</f>
        <v>5.4530107500000007</v>
      </c>
      <c r="J35" s="817"/>
      <c r="K35" s="834">
        <f>SUM(J3:L32)</f>
        <v>5.4532004999999995</v>
      </c>
      <c r="L35" s="819"/>
    </row>
    <row r="36" spans="1:84" x14ac:dyDescent="0.25">
      <c r="A36" s="832" t="s">
        <v>516</v>
      </c>
      <c r="B36" s="833"/>
      <c r="C36" s="824">
        <f>IF(C34=0,0,C33^2/C34)</f>
        <v>2.7489049000000003</v>
      </c>
      <c r="D36" s="824">
        <f>IF(D34=0,0,D33^2/D34)</f>
        <v>2.7040000000000002</v>
      </c>
      <c r="E36" s="824">
        <f>IF(E34=0,0,E33^2/E34)</f>
        <v>0</v>
      </c>
      <c r="F36" s="824">
        <f>SUM(C36:E36)</f>
        <v>5.4529049000000001</v>
      </c>
      <c r="G36" s="824" t="s">
        <v>517</v>
      </c>
      <c r="I36" s="824" t="s">
        <v>518</v>
      </c>
      <c r="J36" s="817"/>
      <c r="K36" s="818" t="s">
        <v>519</v>
      </c>
      <c r="L36" s="819"/>
    </row>
    <row r="37" spans="1:84" x14ac:dyDescent="0.25">
      <c r="A37" s="832" t="s">
        <v>520</v>
      </c>
      <c r="B37" s="833"/>
      <c r="C37" s="819">
        <f>SUM('GRR Calculations (2)'!G41:I50,'GRR Calculations (2)'!G51:I60,'GRR Calculations (2)'!G61:I70)</f>
        <v>10.443000000000001</v>
      </c>
    </row>
    <row r="38" spans="1:84" ht="15.6" x14ac:dyDescent="0.25">
      <c r="A38" s="832" t="s">
        <v>521</v>
      </c>
      <c r="B38" s="833"/>
      <c r="C38" s="819">
        <f>SUM(N3:P32)</f>
        <v>5.4533670000000001</v>
      </c>
      <c r="O38" s="835">
        <v>10</v>
      </c>
      <c r="W38" s="835">
        <f>O38-1</f>
        <v>9</v>
      </c>
      <c r="AE38" s="835">
        <f>W38-1</f>
        <v>8</v>
      </c>
      <c r="AM38" s="835">
        <f>AE38-1</f>
        <v>7</v>
      </c>
      <c r="AU38" s="835">
        <f>AM38-1</f>
        <v>6</v>
      </c>
      <c r="BC38" s="835">
        <f>AU38-1</f>
        <v>5</v>
      </c>
      <c r="BK38" s="835">
        <f>BC38-1</f>
        <v>4</v>
      </c>
      <c r="BS38" s="835">
        <f>BK38-1</f>
        <v>3</v>
      </c>
      <c r="CA38" s="835">
        <f>BS38-1</f>
        <v>2</v>
      </c>
    </row>
    <row r="39" spans="1:84" x14ac:dyDescent="0.25">
      <c r="A39" s="832" t="s">
        <v>133</v>
      </c>
      <c r="B39" s="833"/>
      <c r="C39" s="819">
        <f>COUNT('GRR Calculations (2)'!G41:I50,'GRR Calculations (2)'!G51:I60,'GRR Calculations (2)'!G61:I70)</f>
        <v>20</v>
      </c>
      <c r="E39" s="501"/>
      <c r="G39" s="275"/>
      <c r="H39" s="275"/>
      <c r="J39" s="501"/>
      <c r="K39" s="501"/>
      <c r="M39" s="501"/>
      <c r="N39" s="501"/>
      <c r="O39" s="1305" t="s">
        <v>522</v>
      </c>
      <c r="P39" s="1305"/>
      <c r="Q39" s="1305"/>
      <c r="R39" s="1305"/>
      <c r="S39" s="1305"/>
      <c r="T39" s="1305"/>
      <c r="W39" s="1301" t="s">
        <v>523</v>
      </c>
      <c r="X39" s="1301"/>
      <c r="Y39" s="1301"/>
      <c r="Z39" s="1301"/>
      <c r="AA39" s="1301"/>
      <c r="AB39" s="1301"/>
      <c r="AE39" s="1301" t="s">
        <v>524</v>
      </c>
      <c r="AF39" s="1301"/>
      <c r="AG39" s="1301"/>
      <c r="AH39" s="1301"/>
      <c r="AI39" s="1301"/>
      <c r="AJ39" s="1301"/>
      <c r="AM39" s="1301" t="s">
        <v>525</v>
      </c>
      <c r="AN39" s="1301"/>
      <c r="AO39" s="1301"/>
      <c r="AP39" s="1301"/>
      <c r="AQ39" s="1301"/>
      <c r="AR39" s="1301"/>
      <c r="AU39" s="1301" t="s">
        <v>526</v>
      </c>
      <c r="AV39" s="1301"/>
      <c r="AW39" s="1301"/>
      <c r="AX39" s="1301"/>
      <c r="AY39" s="1301"/>
      <c r="AZ39" s="1301"/>
      <c r="BC39" s="1301" t="s">
        <v>527</v>
      </c>
      <c r="BD39" s="1301"/>
      <c r="BE39" s="1301"/>
      <c r="BF39" s="1301"/>
      <c r="BG39" s="1301"/>
      <c r="BH39" s="1301"/>
      <c r="BK39" s="1301" t="s">
        <v>528</v>
      </c>
      <c r="BL39" s="1301"/>
      <c r="BM39" s="1301"/>
      <c r="BN39" s="1301"/>
      <c r="BO39" s="1301"/>
      <c r="BP39" s="1301"/>
      <c r="BS39" s="1301" t="s">
        <v>529</v>
      </c>
      <c r="BT39" s="1301"/>
      <c r="BU39" s="1301"/>
      <c r="BV39" s="1301"/>
      <c r="BW39" s="1301"/>
      <c r="BX39" s="1301"/>
      <c r="CA39" s="1301" t="s">
        <v>530</v>
      </c>
      <c r="CB39" s="1301"/>
      <c r="CC39" s="1301"/>
      <c r="CD39" s="1301"/>
      <c r="CE39" s="1301"/>
      <c r="CF39" s="1301"/>
    </row>
    <row r="40" spans="1:84" x14ac:dyDescent="0.25">
      <c r="A40" s="832" t="s">
        <v>531</v>
      </c>
      <c r="B40" s="833"/>
      <c r="C40" s="819">
        <f>C37^2/C39</f>
        <v>5.4528124500000015</v>
      </c>
      <c r="E40" s="502"/>
      <c r="F40" s="503" t="s">
        <v>385</v>
      </c>
      <c r="G40" s="503">
        <v>1</v>
      </c>
      <c r="H40" s="503">
        <v>2</v>
      </c>
      <c r="I40" s="503">
        <v>3</v>
      </c>
      <c r="J40" s="504"/>
      <c r="K40" s="503" t="s">
        <v>532</v>
      </c>
      <c r="L40" s="503" t="s">
        <v>533</v>
      </c>
      <c r="M40" s="504"/>
      <c r="O40" s="1301" t="s">
        <v>124</v>
      </c>
      <c r="P40" s="1301"/>
      <c r="Q40" s="1301"/>
      <c r="R40" s="1301" t="s">
        <v>128</v>
      </c>
      <c r="S40" s="1301"/>
      <c r="T40" s="1301"/>
      <c r="W40" s="1301" t="s">
        <v>124</v>
      </c>
      <c r="X40" s="1301"/>
      <c r="Y40" s="1301"/>
      <c r="Z40" s="1301" t="s">
        <v>128</v>
      </c>
      <c r="AA40" s="1301"/>
      <c r="AB40" s="1301"/>
      <c r="AE40" s="1301" t="s">
        <v>124</v>
      </c>
      <c r="AF40" s="1301"/>
      <c r="AG40" s="1301"/>
      <c r="AH40" s="1301" t="s">
        <v>128</v>
      </c>
      <c r="AI40" s="1301"/>
      <c r="AJ40" s="1301"/>
      <c r="AM40" s="1301" t="s">
        <v>124</v>
      </c>
      <c r="AN40" s="1301"/>
      <c r="AO40" s="1301"/>
      <c r="AP40" s="1301" t="s">
        <v>128</v>
      </c>
      <c r="AQ40" s="1301"/>
      <c r="AR40" s="1301"/>
      <c r="AU40" s="1301" t="s">
        <v>124</v>
      </c>
      <c r="AV40" s="1301"/>
      <c r="AW40" s="1301"/>
      <c r="AX40" s="1301" t="s">
        <v>128</v>
      </c>
      <c r="AY40" s="1301"/>
      <c r="AZ40" s="1301"/>
      <c r="BC40" s="1301" t="s">
        <v>124</v>
      </c>
      <c r="BD40" s="1301"/>
      <c r="BE40" s="1301"/>
      <c r="BF40" s="1301" t="s">
        <v>128</v>
      </c>
      <c r="BG40" s="1301"/>
      <c r="BH40" s="1301"/>
      <c r="BK40" s="1301" t="s">
        <v>124</v>
      </c>
      <c r="BL40" s="1301"/>
      <c r="BM40" s="1301"/>
      <c r="BN40" s="1301" t="s">
        <v>128</v>
      </c>
      <c r="BO40" s="1301"/>
      <c r="BP40" s="1301"/>
      <c r="BS40" s="1301" t="s">
        <v>124</v>
      </c>
      <c r="BT40" s="1301"/>
      <c r="BU40" s="1301"/>
      <c r="BV40" s="1301" t="s">
        <v>128</v>
      </c>
      <c r="BW40" s="1301"/>
      <c r="BX40" s="1301"/>
      <c r="CA40" s="1301" t="s">
        <v>124</v>
      </c>
      <c r="CB40" s="1301"/>
      <c r="CC40" s="1301"/>
      <c r="CD40" s="1301" t="s">
        <v>128</v>
      </c>
      <c r="CE40" s="1301"/>
      <c r="CF40" s="1301"/>
    </row>
    <row r="41" spans="1:84" x14ac:dyDescent="0.25">
      <c r="A41" s="832" t="s">
        <v>534</v>
      </c>
      <c r="B41" s="833"/>
      <c r="C41" s="819">
        <f>C38-C40</f>
        <v>5.5454999999859922E-4</v>
      </c>
      <c r="E41" s="505" t="s">
        <v>535</v>
      </c>
      <c r="F41" s="503">
        <v>1</v>
      </c>
      <c r="G41" s="836">
        <f>IF('GRR AIAG GR&amp;R'!C12="","",'GRR AIAG GR&amp;R'!C12)</f>
        <v>0.52100000000000002</v>
      </c>
      <c r="H41" s="836">
        <f>IF('GRR AIAG GR&amp;R'!C13="","",'GRR AIAG GR&amp;R'!C13)</f>
        <v>0.52100000000000002</v>
      </c>
      <c r="I41" s="836" t="str">
        <f>IF('GRR AIAG GR&amp;R'!C14="","",'GRR AIAG GR&amp;R'!C14)</f>
        <v/>
      </c>
      <c r="J41" s="13" t="s">
        <v>536</v>
      </c>
      <c r="K41" s="837">
        <f>IF(G41="","",AVERAGE(G41:I41))</f>
        <v>0.52100000000000002</v>
      </c>
      <c r="L41" s="837">
        <f>IF(G41="","",MAX(G41:I41)-MIN(G41:I41))</f>
        <v>0</v>
      </c>
      <c r="M41" s="506" t="s">
        <v>535</v>
      </c>
      <c r="N41" s="503">
        <v>1</v>
      </c>
      <c r="O41" s="835">
        <f t="shared" ref="O41:O50" si="1">IF(G41="",NA(),K41)</f>
        <v>0.52100000000000002</v>
      </c>
      <c r="P41" s="835" t="e">
        <f>NA()</f>
        <v>#N/A</v>
      </c>
      <c r="Q41" s="835" t="e">
        <f>NA()</f>
        <v>#N/A</v>
      </c>
      <c r="R41" s="835">
        <f t="shared" ref="R41:R50" si="2">IF(G41="",NA(),L41)</f>
        <v>0</v>
      </c>
      <c r="S41" s="835" t="e">
        <f>NA()</f>
        <v>#N/A</v>
      </c>
      <c r="T41" s="835" t="e">
        <f>NA()</f>
        <v>#N/A</v>
      </c>
      <c r="U41" s="506" t="s">
        <v>535</v>
      </c>
      <c r="V41" s="503">
        <v>1</v>
      </c>
      <c r="W41" s="835">
        <f t="shared" ref="W41:AB49" si="3">O41</f>
        <v>0.52100000000000002</v>
      </c>
      <c r="X41" s="835" t="e">
        <f t="shared" si="3"/>
        <v>#N/A</v>
      </c>
      <c r="Y41" s="835" t="e">
        <f t="shared" si="3"/>
        <v>#N/A</v>
      </c>
      <c r="Z41" s="835">
        <f t="shared" si="3"/>
        <v>0</v>
      </c>
      <c r="AA41" s="835" t="e">
        <f t="shared" si="3"/>
        <v>#N/A</v>
      </c>
      <c r="AB41" s="835" t="e">
        <f t="shared" si="3"/>
        <v>#N/A</v>
      </c>
      <c r="AC41" s="506" t="s">
        <v>535</v>
      </c>
      <c r="AD41" s="503">
        <v>1</v>
      </c>
      <c r="AE41" s="835">
        <f t="shared" ref="AE41:AJ48" si="4">O41</f>
        <v>0.52100000000000002</v>
      </c>
      <c r="AF41" s="835" t="e">
        <f t="shared" si="4"/>
        <v>#N/A</v>
      </c>
      <c r="AG41" s="835" t="e">
        <f t="shared" si="4"/>
        <v>#N/A</v>
      </c>
      <c r="AH41" s="835">
        <f t="shared" si="4"/>
        <v>0</v>
      </c>
      <c r="AI41" s="835" t="e">
        <f t="shared" si="4"/>
        <v>#N/A</v>
      </c>
      <c r="AJ41" s="835" t="e">
        <f t="shared" si="4"/>
        <v>#N/A</v>
      </c>
      <c r="AK41" s="506" t="s">
        <v>535</v>
      </c>
      <c r="AL41" s="502">
        <v>1</v>
      </c>
      <c r="AM41" s="835">
        <f t="shared" ref="AM41:AR47" si="5">O41</f>
        <v>0.52100000000000002</v>
      </c>
      <c r="AN41" s="835" t="e">
        <f t="shared" si="5"/>
        <v>#N/A</v>
      </c>
      <c r="AO41" s="835" t="e">
        <f t="shared" si="5"/>
        <v>#N/A</v>
      </c>
      <c r="AP41" s="835">
        <f t="shared" si="5"/>
        <v>0</v>
      </c>
      <c r="AQ41" s="835" t="e">
        <f t="shared" si="5"/>
        <v>#N/A</v>
      </c>
      <c r="AR41" s="835" t="e">
        <f t="shared" si="5"/>
        <v>#N/A</v>
      </c>
      <c r="AS41" s="506" t="s">
        <v>535</v>
      </c>
      <c r="AT41" s="502">
        <v>1</v>
      </c>
      <c r="AU41" s="835">
        <f t="shared" ref="AU41:AZ46" si="6">O41</f>
        <v>0.52100000000000002</v>
      </c>
      <c r="AV41" s="835" t="e">
        <f t="shared" si="6"/>
        <v>#N/A</v>
      </c>
      <c r="AW41" s="835" t="e">
        <f t="shared" si="6"/>
        <v>#N/A</v>
      </c>
      <c r="AX41" s="835">
        <f t="shared" si="6"/>
        <v>0</v>
      </c>
      <c r="AY41" s="835" t="e">
        <f t="shared" si="6"/>
        <v>#N/A</v>
      </c>
      <c r="AZ41" s="835" t="e">
        <f t="shared" si="6"/>
        <v>#N/A</v>
      </c>
      <c r="BA41" s="506" t="s">
        <v>535</v>
      </c>
      <c r="BB41" s="502">
        <v>1</v>
      </c>
      <c r="BC41" s="835">
        <f t="shared" ref="BC41:BH45" si="7">O41</f>
        <v>0.52100000000000002</v>
      </c>
      <c r="BD41" s="835" t="e">
        <f t="shared" si="7"/>
        <v>#N/A</v>
      </c>
      <c r="BE41" s="835" t="e">
        <f t="shared" si="7"/>
        <v>#N/A</v>
      </c>
      <c r="BF41" s="835">
        <f t="shared" si="7"/>
        <v>0</v>
      </c>
      <c r="BG41" s="835" t="e">
        <f t="shared" si="7"/>
        <v>#N/A</v>
      </c>
      <c r="BH41" s="835" t="e">
        <f t="shared" si="7"/>
        <v>#N/A</v>
      </c>
      <c r="BI41" s="506" t="s">
        <v>535</v>
      </c>
      <c r="BJ41" s="502">
        <v>1</v>
      </c>
      <c r="BK41" s="835">
        <f t="shared" ref="BK41:BP44" si="8">O41</f>
        <v>0.52100000000000002</v>
      </c>
      <c r="BL41" s="835" t="e">
        <f t="shared" si="8"/>
        <v>#N/A</v>
      </c>
      <c r="BM41" s="835" t="e">
        <f t="shared" si="8"/>
        <v>#N/A</v>
      </c>
      <c r="BN41" s="835">
        <f t="shared" si="8"/>
        <v>0</v>
      </c>
      <c r="BO41" s="835" t="e">
        <f t="shared" si="8"/>
        <v>#N/A</v>
      </c>
      <c r="BP41" s="835" t="e">
        <f t="shared" si="8"/>
        <v>#N/A</v>
      </c>
      <c r="BQ41" s="506" t="s">
        <v>535</v>
      </c>
      <c r="BR41" s="502">
        <v>1</v>
      </c>
      <c r="BS41" s="835">
        <f t="shared" ref="BS41:BX43" si="9">O41</f>
        <v>0.52100000000000002</v>
      </c>
      <c r="BT41" s="835" t="e">
        <f t="shared" si="9"/>
        <v>#N/A</v>
      </c>
      <c r="BU41" s="835" t="e">
        <f t="shared" si="9"/>
        <v>#N/A</v>
      </c>
      <c r="BV41" s="835">
        <f t="shared" si="9"/>
        <v>0</v>
      </c>
      <c r="BW41" s="835" t="e">
        <f t="shared" si="9"/>
        <v>#N/A</v>
      </c>
      <c r="BX41" s="835" t="e">
        <f t="shared" si="9"/>
        <v>#N/A</v>
      </c>
      <c r="BY41" s="506" t="s">
        <v>535</v>
      </c>
      <c r="BZ41" s="502">
        <v>1</v>
      </c>
      <c r="CA41" s="835">
        <f t="shared" ref="CA41:CF42" si="10">O41</f>
        <v>0.52100000000000002</v>
      </c>
      <c r="CB41" s="835" t="e">
        <f t="shared" si="10"/>
        <v>#N/A</v>
      </c>
      <c r="CC41" s="835" t="e">
        <f t="shared" si="10"/>
        <v>#N/A</v>
      </c>
      <c r="CD41" s="835">
        <f t="shared" si="10"/>
        <v>0</v>
      </c>
      <c r="CE41" s="835" t="e">
        <f t="shared" si="10"/>
        <v>#N/A</v>
      </c>
      <c r="CF41" s="835" t="e">
        <f t="shared" si="10"/>
        <v>#N/A</v>
      </c>
    </row>
    <row r="42" spans="1:84" x14ac:dyDescent="0.25">
      <c r="A42" s="832" t="s">
        <v>537</v>
      </c>
      <c r="B42" s="833"/>
      <c r="C42" s="819">
        <f>F36-C40</f>
        <v>9.2449999998578392E-5</v>
      </c>
      <c r="E42" s="502"/>
      <c r="F42" s="503">
        <v>2</v>
      </c>
      <c r="G42" s="836">
        <f>IF('GRR AIAG GR&amp;R'!D12="","",'GRR AIAG GR&amp;R'!D12)</f>
        <v>0.52200000000000002</v>
      </c>
      <c r="H42" s="836">
        <f>IF('GRR AIAG GR&amp;R'!D13="","",'GRR AIAG GR&amp;R'!D13)</f>
        <v>0.54</v>
      </c>
      <c r="I42" s="836" t="str">
        <f>IF('GRR AIAG GR&amp;R'!D14="","",'GRR AIAG GR&amp;R'!D14)</f>
        <v/>
      </c>
      <c r="J42" s="13" t="s">
        <v>538</v>
      </c>
      <c r="K42" s="838">
        <f t="shared" ref="K42:K70" si="11">IF(G42="","",AVERAGE(G42:I42))</f>
        <v>0.53100000000000003</v>
      </c>
      <c r="L42" s="838">
        <f t="shared" ref="L42:L70" si="12">IF(G42="","",MAX(G42:I42)-MIN(G42:I42))</f>
        <v>1.8000000000000016E-2</v>
      </c>
      <c r="M42" s="507"/>
      <c r="N42" s="503">
        <v>2</v>
      </c>
      <c r="O42" s="835">
        <f t="shared" si="1"/>
        <v>0.53100000000000003</v>
      </c>
      <c r="P42" s="835" t="e">
        <f>NA()</f>
        <v>#N/A</v>
      </c>
      <c r="Q42" s="835" t="e">
        <f>NA()</f>
        <v>#N/A</v>
      </c>
      <c r="R42" s="835">
        <f t="shared" si="2"/>
        <v>1.8000000000000016E-2</v>
      </c>
      <c r="S42" s="835" t="e">
        <f>NA()</f>
        <v>#N/A</v>
      </c>
      <c r="T42" s="835" t="e">
        <f>NA()</f>
        <v>#N/A</v>
      </c>
      <c r="U42" s="507"/>
      <c r="V42" s="503">
        <v>2</v>
      </c>
      <c r="W42" s="835">
        <f t="shared" si="3"/>
        <v>0.53100000000000003</v>
      </c>
      <c r="X42" s="835" t="e">
        <f t="shared" si="3"/>
        <v>#N/A</v>
      </c>
      <c r="Y42" s="835" t="e">
        <f t="shared" si="3"/>
        <v>#N/A</v>
      </c>
      <c r="Z42" s="835">
        <f t="shared" si="3"/>
        <v>1.8000000000000016E-2</v>
      </c>
      <c r="AA42" s="835" t="e">
        <f t="shared" si="3"/>
        <v>#N/A</v>
      </c>
      <c r="AB42" s="835" t="e">
        <f t="shared" si="3"/>
        <v>#N/A</v>
      </c>
      <c r="AC42" s="507"/>
      <c r="AD42" s="503">
        <v>2</v>
      </c>
      <c r="AE42" s="835">
        <f t="shared" si="4"/>
        <v>0.53100000000000003</v>
      </c>
      <c r="AF42" s="835" t="e">
        <f t="shared" si="4"/>
        <v>#N/A</v>
      </c>
      <c r="AG42" s="835" t="e">
        <f t="shared" si="4"/>
        <v>#N/A</v>
      </c>
      <c r="AH42" s="835">
        <f t="shared" si="4"/>
        <v>1.8000000000000016E-2</v>
      </c>
      <c r="AI42" s="835" t="e">
        <f t="shared" si="4"/>
        <v>#N/A</v>
      </c>
      <c r="AJ42" s="835" t="e">
        <f t="shared" si="4"/>
        <v>#N/A</v>
      </c>
      <c r="AK42" s="507"/>
      <c r="AL42" s="502">
        <v>2</v>
      </c>
      <c r="AM42" s="835">
        <f t="shared" si="5"/>
        <v>0.53100000000000003</v>
      </c>
      <c r="AN42" s="835" t="e">
        <f t="shared" si="5"/>
        <v>#N/A</v>
      </c>
      <c r="AO42" s="835" t="e">
        <f t="shared" si="5"/>
        <v>#N/A</v>
      </c>
      <c r="AP42" s="835">
        <f t="shared" si="5"/>
        <v>1.8000000000000016E-2</v>
      </c>
      <c r="AQ42" s="835" t="e">
        <f t="shared" si="5"/>
        <v>#N/A</v>
      </c>
      <c r="AR42" s="835" t="e">
        <f t="shared" si="5"/>
        <v>#N/A</v>
      </c>
      <c r="AS42" s="507"/>
      <c r="AT42" s="502">
        <v>2</v>
      </c>
      <c r="AU42" s="835">
        <f t="shared" si="6"/>
        <v>0.53100000000000003</v>
      </c>
      <c r="AV42" s="835" t="e">
        <f t="shared" si="6"/>
        <v>#N/A</v>
      </c>
      <c r="AW42" s="835" t="e">
        <f t="shared" si="6"/>
        <v>#N/A</v>
      </c>
      <c r="AX42" s="835">
        <f t="shared" si="6"/>
        <v>1.8000000000000016E-2</v>
      </c>
      <c r="AY42" s="835" t="e">
        <f t="shared" si="6"/>
        <v>#N/A</v>
      </c>
      <c r="AZ42" s="835" t="e">
        <f t="shared" si="6"/>
        <v>#N/A</v>
      </c>
      <c r="BA42" s="507"/>
      <c r="BB42" s="502">
        <v>2</v>
      </c>
      <c r="BC42" s="835">
        <f t="shared" si="7"/>
        <v>0.53100000000000003</v>
      </c>
      <c r="BD42" s="835" t="e">
        <f t="shared" si="7"/>
        <v>#N/A</v>
      </c>
      <c r="BE42" s="835" t="e">
        <f t="shared" si="7"/>
        <v>#N/A</v>
      </c>
      <c r="BF42" s="835">
        <f t="shared" si="7"/>
        <v>1.8000000000000016E-2</v>
      </c>
      <c r="BG42" s="835" t="e">
        <f t="shared" si="7"/>
        <v>#N/A</v>
      </c>
      <c r="BH42" s="835" t="e">
        <f t="shared" si="7"/>
        <v>#N/A</v>
      </c>
      <c r="BI42" s="507"/>
      <c r="BJ42" s="502">
        <v>2</v>
      </c>
      <c r="BK42" s="835">
        <f t="shared" si="8"/>
        <v>0.53100000000000003</v>
      </c>
      <c r="BL42" s="835" t="e">
        <f t="shared" si="8"/>
        <v>#N/A</v>
      </c>
      <c r="BM42" s="835" t="e">
        <f t="shared" si="8"/>
        <v>#N/A</v>
      </c>
      <c r="BN42" s="835">
        <f t="shared" si="8"/>
        <v>1.8000000000000016E-2</v>
      </c>
      <c r="BO42" s="835" t="e">
        <f t="shared" si="8"/>
        <v>#N/A</v>
      </c>
      <c r="BP42" s="835" t="e">
        <f t="shared" si="8"/>
        <v>#N/A</v>
      </c>
      <c r="BQ42" s="507"/>
      <c r="BR42" s="502">
        <v>2</v>
      </c>
      <c r="BS42" s="835">
        <f t="shared" si="9"/>
        <v>0.53100000000000003</v>
      </c>
      <c r="BT42" s="835" t="e">
        <f t="shared" si="9"/>
        <v>#N/A</v>
      </c>
      <c r="BU42" s="835" t="e">
        <f t="shared" si="9"/>
        <v>#N/A</v>
      </c>
      <c r="BV42" s="835">
        <f t="shared" si="9"/>
        <v>1.8000000000000016E-2</v>
      </c>
      <c r="BW42" s="835" t="e">
        <f t="shared" si="9"/>
        <v>#N/A</v>
      </c>
      <c r="BX42" s="835" t="e">
        <f t="shared" si="9"/>
        <v>#N/A</v>
      </c>
      <c r="BY42" s="507"/>
      <c r="BZ42" s="502">
        <v>2</v>
      </c>
      <c r="CA42" s="835">
        <f t="shared" si="10"/>
        <v>0.53100000000000003</v>
      </c>
      <c r="CB42" s="835" t="e">
        <f t="shared" si="10"/>
        <v>#N/A</v>
      </c>
      <c r="CC42" s="835" t="e">
        <f t="shared" si="10"/>
        <v>#N/A</v>
      </c>
      <c r="CD42" s="835">
        <f t="shared" si="10"/>
        <v>1.8000000000000016E-2</v>
      </c>
      <c r="CE42" s="835" t="e">
        <f t="shared" si="10"/>
        <v>#N/A</v>
      </c>
      <c r="CF42" s="835" t="e">
        <f t="shared" si="10"/>
        <v>#N/A</v>
      </c>
    </row>
    <row r="43" spans="1:84" x14ac:dyDescent="0.25">
      <c r="A43" s="832" t="s">
        <v>539</v>
      </c>
      <c r="B43" s="833"/>
      <c r="C43" s="819">
        <f>I35-C40</f>
        <v>1.9829999999920744E-4</v>
      </c>
      <c r="E43" s="502"/>
      <c r="F43" s="503">
        <v>3</v>
      </c>
      <c r="G43" s="836">
        <f>IF('GRR AIAG GR&amp;R'!E12="","",'GRR AIAG GR&amp;R'!E12)</f>
        <v>0.52300000000000002</v>
      </c>
      <c r="H43" s="836">
        <f>IF('GRR AIAG GR&amp;R'!E13="","",'GRR AIAG GR&amp;R'!E13)</f>
        <v>0.52400000000000002</v>
      </c>
      <c r="I43" s="836" t="str">
        <f>IF('GRR AIAG GR&amp;R'!E14="","",'GRR AIAG GR&amp;R'!E14)</f>
        <v/>
      </c>
      <c r="J43" s="13" t="s">
        <v>540</v>
      </c>
      <c r="K43" s="838">
        <f t="shared" si="11"/>
        <v>0.52350000000000008</v>
      </c>
      <c r="L43" s="838">
        <f t="shared" si="12"/>
        <v>1.0000000000000009E-3</v>
      </c>
      <c r="M43" s="507"/>
      <c r="N43" s="503">
        <v>3</v>
      </c>
      <c r="O43" s="835">
        <f t="shared" si="1"/>
        <v>0.52350000000000008</v>
      </c>
      <c r="P43" s="835" t="e">
        <f>NA()</f>
        <v>#N/A</v>
      </c>
      <c r="Q43" s="835" t="e">
        <f>NA()</f>
        <v>#N/A</v>
      </c>
      <c r="R43" s="835">
        <f t="shared" si="2"/>
        <v>1.0000000000000009E-3</v>
      </c>
      <c r="S43" s="835" t="e">
        <f>NA()</f>
        <v>#N/A</v>
      </c>
      <c r="T43" s="835" t="e">
        <f>NA()</f>
        <v>#N/A</v>
      </c>
      <c r="U43" s="507"/>
      <c r="V43" s="503">
        <v>3</v>
      </c>
      <c r="W43" s="835">
        <f t="shared" si="3"/>
        <v>0.52350000000000008</v>
      </c>
      <c r="X43" s="835" t="e">
        <f t="shared" si="3"/>
        <v>#N/A</v>
      </c>
      <c r="Y43" s="835" t="e">
        <f t="shared" si="3"/>
        <v>#N/A</v>
      </c>
      <c r="Z43" s="835">
        <f t="shared" si="3"/>
        <v>1.0000000000000009E-3</v>
      </c>
      <c r="AA43" s="835" t="e">
        <f t="shared" si="3"/>
        <v>#N/A</v>
      </c>
      <c r="AB43" s="835" t="e">
        <f t="shared" si="3"/>
        <v>#N/A</v>
      </c>
      <c r="AC43" s="507"/>
      <c r="AD43" s="503">
        <v>3</v>
      </c>
      <c r="AE43" s="835">
        <f t="shared" si="4"/>
        <v>0.52350000000000008</v>
      </c>
      <c r="AF43" s="835" t="e">
        <f t="shared" si="4"/>
        <v>#N/A</v>
      </c>
      <c r="AG43" s="835" t="e">
        <f t="shared" si="4"/>
        <v>#N/A</v>
      </c>
      <c r="AH43" s="835">
        <f t="shared" si="4"/>
        <v>1.0000000000000009E-3</v>
      </c>
      <c r="AI43" s="835" t="e">
        <f t="shared" si="4"/>
        <v>#N/A</v>
      </c>
      <c r="AJ43" s="835" t="e">
        <f t="shared" si="4"/>
        <v>#N/A</v>
      </c>
      <c r="AK43" s="507"/>
      <c r="AL43" s="502">
        <v>3</v>
      </c>
      <c r="AM43" s="835">
        <f t="shared" si="5"/>
        <v>0.52350000000000008</v>
      </c>
      <c r="AN43" s="835" t="e">
        <f t="shared" si="5"/>
        <v>#N/A</v>
      </c>
      <c r="AO43" s="835" t="e">
        <f t="shared" si="5"/>
        <v>#N/A</v>
      </c>
      <c r="AP43" s="835">
        <f t="shared" si="5"/>
        <v>1.0000000000000009E-3</v>
      </c>
      <c r="AQ43" s="835" t="e">
        <f t="shared" si="5"/>
        <v>#N/A</v>
      </c>
      <c r="AR43" s="835" t="e">
        <f t="shared" si="5"/>
        <v>#N/A</v>
      </c>
      <c r="AS43" s="507"/>
      <c r="AT43" s="502">
        <v>3</v>
      </c>
      <c r="AU43" s="835">
        <f t="shared" si="6"/>
        <v>0.52350000000000008</v>
      </c>
      <c r="AV43" s="835" t="e">
        <f t="shared" si="6"/>
        <v>#N/A</v>
      </c>
      <c r="AW43" s="835" t="e">
        <f t="shared" si="6"/>
        <v>#N/A</v>
      </c>
      <c r="AX43" s="835">
        <f t="shared" si="6"/>
        <v>1.0000000000000009E-3</v>
      </c>
      <c r="AY43" s="835" t="e">
        <f t="shared" si="6"/>
        <v>#N/A</v>
      </c>
      <c r="AZ43" s="835" t="e">
        <f t="shared" si="6"/>
        <v>#N/A</v>
      </c>
      <c r="BA43" s="507"/>
      <c r="BB43" s="502">
        <v>3</v>
      </c>
      <c r="BC43" s="835">
        <f t="shared" si="7"/>
        <v>0.52350000000000008</v>
      </c>
      <c r="BD43" s="835" t="e">
        <f t="shared" si="7"/>
        <v>#N/A</v>
      </c>
      <c r="BE43" s="835" t="e">
        <f t="shared" si="7"/>
        <v>#N/A</v>
      </c>
      <c r="BF43" s="835">
        <f t="shared" si="7"/>
        <v>1.0000000000000009E-3</v>
      </c>
      <c r="BG43" s="835" t="e">
        <f t="shared" si="7"/>
        <v>#N/A</v>
      </c>
      <c r="BH43" s="835" t="e">
        <f t="shared" si="7"/>
        <v>#N/A</v>
      </c>
      <c r="BI43" s="507"/>
      <c r="BJ43" s="502">
        <v>3</v>
      </c>
      <c r="BK43" s="835">
        <f t="shared" si="8"/>
        <v>0.52350000000000008</v>
      </c>
      <c r="BL43" s="835" t="e">
        <f t="shared" si="8"/>
        <v>#N/A</v>
      </c>
      <c r="BM43" s="835" t="e">
        <f t="shared" si="8"/>
        <v>#N/A</v>
      </c>
      <c r="BN43" s="835">
        <f t="shared" si="8"/>
        <v>1.0000000000000009E-3</v>
      </c>
      <c r="BO43" s="835" t="e">
        <f t="shared" si="8"/>
        <v>#N/A</v>
      </c>
      <c r="BP43" s="835" t="e">
        <f t="shared" si="8"/>
        <v>#N/A</v>
      </c>
      <c r="BQ43" s="507"/>
      <c r="BR43" s="502">
        <v>3</v>
      </c>
      <c r="BS43" s="835">
        <f t="shared" si="9"/>
        <v>0.52350000000000008</v>
      </c>
      <c r="BT43" s="835" t="e">
        <f t="shared" si="9"/>
        <v>#N/A</v>
      </c>
      <c r="BU43" s="835" t="e">
        <f t="shared" si="9"/>
        <v>#N/A</v>
      </c>
      <c r="BV43" s="835">
        <f t="shared" si="9"/>
        <v>1.0000000000000009E-3</v>
      </c>
      <c r="BW43" s="835" t="e">
        <f t="shared" si="9"/>
        <v>#N/A</v>
      </c>
      <c r="BX43" s="835" t="e">
        <f t="shared" si="9"/>
        <v>#N/A</v>
      </c>
      <c r="BY43" s="506" t="s">
        <v>541</v>
      </c>
      <c r="BZ43" s="502">
        <v>1</v>
      </c>
      <c r="CA43" s="835" t="e">
        <f t="shared" ref="CA43:CF44" si="13">O51</f>
        <v>#N/A</v>
      </c>
      <c r="CB43" s="835">
        <f t="shared" si="13"/>
        <v>0.51200000000000001</v>
      </c>
      <c r="CC43" s="835" t="e">
        <f t="shared" si="13"/>
        <v>#N/A</v>
      </c>
      <c r="CD43" s="835" t="e">
        <f t="shared" si="13"/>
        <v>#N/A</v>
      </c>
      <c r="CE43" s="835">
        <f t="shared" si="13"/>
        <v>2.0000000000000018E-3</v>
      </c>
      <c r="CF43" s="835" t="e">
        <f t="shared" si="13"/>
        <v>#N/A</v>
      </c>
    </row>
    <row r="44" spans="1:84" x14ac:dyDescent="0.25">
      <c r="A44" s="832" t="s">
        <v>542</v>
      </c>
      <c r="B44" s="833"/>
      <c r="C44" s="819">
        <f>K35-C40-C42-C43</f>
        <v>9.7300000000188902E-5</v>
      </c>
      <c r="E44" s="502"/>
      <c r="F44" s="503">
        <v>4</v>
      </c>
      <c r="G44" s="836">
        <f>IF('GRR AIAG GR&amp;R'!F12="","",'GRR AIAG GR&amp;R'!F12)</f>
        <v>0.52100000000000002</v>
      </c>
      <c r="H44" s="836">
        <f>IF('GRR AIAG GR&amp;R'!F13="","",'GRR AIAG GR&amp;R'!F13)</f>
        <v>0.52200000000000002</v>
      </c>
      <c r="I44" s="836" t="str">
        <f>IF('GRR AIAG GR&amp;R'!F14="","",'GRR AIAG GR&amp;R'!F14)</f>
        <v/>
      </c>
      <c r="K44" s="838">
        <f t="shared" si="11"/>
        <v>0.52150000000000007</v>
      </c>
      <c r="L44" s="838">
        <f t="shared" si="12"/>
        <v>1.0000000000000009E-3</v>
      </c>
      <c r="M44" s="507"/>
      <c r="N44" s="503">
        <v>4</v>
      </c>
      <c r="O44" s="835">
        <f t="shared" si="1"/>
        <v>0.52150000000000007</v>
      </c>
      <c r="P44" s="835" t="e">
        <f>NA()</f>
        <v>#N/A</v>
      </c>
      <c r="Q44" s="835" t="e">
        <f>NA()</f>
        <v>#N/A</v>
      </c>
      <c r="R44" s="835">
        <f t="shared" si="2"/>
        <v>1.0000000000000009E-3</v>
      </c>
      <c r="S44" s="835" t="e">
        <f>NA()</f>
        <v>#N/A</v>
      </c>
      <c r="T44" s="835" t="e">
        <f>NA()</f>
        <v>#N/A</v>
      </c>
      <c r="U44" s="507"/>
      <c r="V44" s="503">
        <v>4</v>
      </c>
      <c r="W44" s="835">
        <f t="shared" si="3"/>
        <v>0.52150000000000007</v>
      </c>
      <c r="X44" s="835" t="e">
        <f t="shared" si="3"/>
        <v>#N/A</v>
      </c>
      <c r="Y44" s="835" t="e">
        <f t="shared" si="3"/>
        <v>#N/A</v>
      </c>
      <c r="Z44" s="835">
        <f t="shared" si="3"/>
        <v>1.0000000000000009E-3</v>
      </c>
      <c r="AA44" s="835" t="e">
        <f t="shared" si="3"/>
        <v>#N/A</v>
      </c>
      <c r="AB44" s="835" t="e">
        <f t="shared" si="3"/>
        <v>#N/A</v>
      </c>
      <c r="AC44" s="507"/>
      <c r="AD44" s="503">
        <v>4</v>
      </c>
      <c r="AE44" s="835">
        <f t="shared" si="4"/>
        <v>0.52150000000000007</v>
      </c>
      <c r="AF44" s="835" t="e">
        <f t="shared" si="4"/>
        <v>#N/A</v>
      </c>
      <c r="AG44" s="835" t="e">
        <f t="shared" si="4"/>
        <v>#N/A</v>
      </c>
      <c r="AH44" s="835">
        <f t="shared" si="4"/>
        <v>1.0000000000000009E-3</v>
      </c>
      <c r="AI44" s="835" t="e">
        <f t="shared" si="4"/>
        <v>#N/A</v>
      </c>
      <c r="AJ44" s="835" t="e">
        <f t="shared" si="4"/>
        <v>#N/A</v>
      </c>
      <c r="AK44" s="507"/>
      <c r="AL44" s="502">
        <v>4</v>
      </c>
      <c r="AM44" s="835">
        <f t="shared" si="5"/>
        <v>0.52150000000000007</v>
      </c>
      <c r="AN44" s="835" t="e">
        <f t="shared" si="5"/>
        <v>#N/A</v>
      </c>
      <c r="AO44" s="835" t="e">
        <f t="shared" si="5"/>
        <v>#N/A</v>
      </c>
      <c r="AP44" s="835">
        <f t="shared" si="5"/>
        <v>1.0000000000000009E-3</v>
      </c>
      <c r="AQ44" s="835" t="e">
        <f t="shared" si="5"/>
        <v>#N/A</v>
      </c>
      <c r="AR44" s="835" t="e">
        <f t="shared" si="5"/>
        <v>#N/A</v>
      </c>
      <c r="AS44" s="507"/>
      <c r="AT44" s="502">
        <v>4</v>
      </c>
      <c r="AU44" s="835">
        <f t="shared" si="6"/>
        <v>0.52150000000000007</v>
      </c>
      <c r="AV44" s="835" t="e">
        <f t="shared" si="6"/>
        <v>#N/A</v>
      </c>
      <c r="AW44" s="835" t="e">
        <f t="shared" si="6"/>
        <v>#N/A</v>
      </c>
      <c r="AX44" s="835">
        <f t="shared" si="6"/>
        <v>1.0000000000000009E-3</v>
      </c>
      <c r="AY44" s="835" t="e">
        <f t="shared" si="6"/>
        <v>#N/A</v>
      </c>
      <c r="AZ44" s="835" t="e">
        <f t="shared" si="6"/>
        <v>#N/A</v>
      </c>
      <c r="BA44" s="507"/>
      <c r="BB44" s="502">
        <v>4</v>
      </c>
      <c r="BC44" s="835">
        <f t="shared" si="7"/>
        <v>0.52150000000000007</v>
      </c>
      <c r="BD44" s="835" t="e">
        <f t="shared" si="7"/>
        <v>#N/A</v>
      </c>
      <c r="BE44" s="835" t="e">
        <f t="shared" si="7"/>
        <v>#N/A</v>
      </c>
      <c r="BF44" s="835">
        <f t="shared" si="7"/>
        <v>1.0000000000000009E-3</v>
      </c>
      <c r="BG44" s="835" t="e">
        <f t="shared" si="7"/>
        <v>#N/A</v>
      </c>
      <c r="BH44" s="835" t="e">
        <f t="shared" si="7"/>
        <v>#N/A</v>
      </c>
      <c r="BI44" s="507"/>
      <c r="BJ44" s="502">
        <v>4</v>
      </c>
      <c r="BK44" s="835">
        <f t="shared" si="8"/>
        <v>0.52150000000000007</v>
      </c>
      <c r="BL44" s="835" t="e">
        <f t="shared" si="8"/>
        <v>#N/A</v>
      </c>
      <c r="BM44" s="835" t="e">
        <f t="shared" si="8"/>
        <v>#N/A</v>
      </c>
      <c r="BN44" s="835">
        <f t="shared" si="8"/>
        <v>1.0000000000000009E-3</v>
      </c>
      <c r="BO44" s="835" t="e">
        <f t="shared" si="8"/>
        <v>#N/A</v>
      </c>
      <c r="BP44" s="835" t="e">
        <f t="shared" si="8"/>
        <v>#N/A</v>
      </c>
      <c r="BQ44" s="506" t="s">
        <v>541</v>
      </c>
      <c r="BR44" s="502">
        <v>1</v>
      </c>
      <c r="BS44" s="835" t="e">
        <f t="shared" ref="BS44:BX46" si="14">O51</f>
        <v>#N/A</v>
      </c>
      <c r="BT44" s="835">
        <f t="shared" si="14"/>
        <v>0.51200000000000001</v>
      </c>
      <c r="BU44" s="835" t="e">
        <f t="shared" si="14"/>
        <v>#N/A</v>
      </c>
      <c r="BV44" s="835" t="e">
        <f t="shared" si="14"/>
        <v>#N/A</v>
      </c>
      <c r="BW44" s="835">
        <f t="shared" si="14"/>
        <v>2.0000000000000018E-3</v>
      </c>
      <c r="BX44" s="835" t="e">
        <f t="shared" si="14"/>
        <v>#N/A</v>
      </c>
      <c r="BY44" s="502"/>
      <c r="BZ44" s="502">
        <v>2</v>
      </c>
      <c r="CA44" s="835" t="e">
        <f t="shared" si="13"/>
        <v>#N/A</v>
      </c>
      <c r="CB44" s="835">
        <f t="shared" si="13"/>
        <v>0.52150000000000007</v>
      </c>
      <c r="CC44" s="835" t="e">
        <f t="shared" si="13"/>
        <v>#N/A</v>
      </c>
      <c r="CD44" s="835" t="e">
        <f t="shared" si="13"/>
        <v>#N/A</v>
      </c>
      <c r="CE44" s="835">
        <f t="shared" si="13"/>
        <v>1.0000000000000009E-3</v>
      </c>
      <c r="CF44" s="835" t="e">
        <f t="shared" si="13"/>
        <v>#N/A</v>
      </c>
    </row>
    <row r="45" spans="1:84" x14ac:dyDescent="0.25">
      <c r="A45" s="832" t="s">
        <v>543</v>
      </c>
      <c r="B45" s="833"/>
      <c r="C45" s="819">
        <f>C41-C42-C43-C44</f>
        <v>1.6650000000062448E-4</v>
      </c>
      <c r="E45" s="502"/>
      <c r="F45" s="503">
        <v>5</v>
      </c>
      <c r="G45" s="836">
        <f>IF('GRR AIAG GR&amp;R'!G12="","",'GRR AIAG GR&amp;R'!G12)</f>
        <v>0.52500000000000002</v>
      </c>
      <c r="H45" s="836">
        <f>IF('GRR AIAG GR&amp;R'!G13="","",'GRR AIAG GR&amp;R'!G13)</f>
        <v>0.52400000000000002</v>
      </c>
      <c r="I45" s="836" t="str">
        <f>IF('GRR AIAG GR&amp;R'!G14="","",'GRR AIAG GR&amp;R'!G14)</f>
        <v/>
      </c>
      <c r="K45" s="838">
        <f t="shared" si="11"/>
        <v>0.52449999999999997</v>
      </c>
      <c r="L45" s="838">
        <f t="shared" si="12"/>
        <v>1.0000000000000009E-3</v>
      </c>
      <c r="M45" s="507"/>
      <c r="N45" s="503">
        <v>5</v>
      </c>
      <c r="O45" s="835">
        <f t="shared" si="1"/>
        <v>0.52449999999999997</v>
      </c>
      <c r="P45" s="835" t="e">
        <f>NA()</f>
        <v>#N/A</v>
      </c>
      <c r="Q45" s="835" t="e">
        <f>NA()</f>
        <v>#N/A</v>
      </c>
      <c r="R45" s="835">
        <f t="shared" si="2"/>
        <v>1.0000000000000009E-3</v>
      </c>
      <c r="S45" s="835" t="e">
        <f>NA()</f>
        <v>#N/A</v>
      </c>
      <c r="T45" s="835" t="e">
        <f>NA()</f>
        <v>#N/A</v>
      </c>
      <c r="U45" s="507"/>
      <c r="V45" s="503">
        <v>5</v>
      </c>
      <c r="W45" s="835">
        <f t="shared" si="3"/>
        <v>0.52449999999999997</v>
      </c>
      <c r="X45" s="835" t="e">
        <f t="shared" si="3"/>
        <v>#N/A</v>
      </c>
      <c r="Y45" s="835" t="e">
        <f t="shared" si="3"/>
        <v>#N/A</v>
      </c>
      <c r="Z45" s="835">
        <f t="shared" si="3"/>
        <v>1.0000000000000009E-3</v>
      </c>
      <c r="AA45" s="835" t="e">
        <f t="shared" si="3"/>
        <v>#N/A</v>
      </c>
      <c r="AB45" s="835" t="e">
        <f t="shared" si="3"/>
        <v>#N/A</v>
      </c>
      <c r="AC45" s="507"/>
      <c r="AD45" s="503">
        <v>5</v>
      </c>
      <c r="AE45" s="835">
        <f t="shared" si="4"/>
        <v>0.52449999999999997</v>
      </c>
      <c r="AF45" s="835" t="e">
        <f t="shared" si="4"/>
        <v>#N/A</v>
      </c>
      <c r="AG45" s="835" t="e">
        <f t="shared" si="4"/>
        <v>#N/A</v>
      </c>
      <c r="AH45" s="835">
        <f t="shared" si="4"/>
        <v>1.0000000000000009E-3</v>
      </c>
      <c r="AI45" s="835" t="e">
        <f t="shared" si="4"/>
        <v>#N/A</v>
      </c>
      <c r="AJ45" s="835" t="e">
        <f t="shared" si="4"/>
        <v>#N/A</v>
      </c>
      <c r="AK45" s="507"/>
      <c r="AL45" s="502">
        <v>5</v>
      </c>
      <c r="AM45" s="835">
        <f t="shared" si="5"/>
        <v>0.52449999999999997</v>
      </c>
      <c r="AN45" s="835" t="e">
        <f t="shared" si="5"/>
        <v>#N/A</v>
      </c>
      <c r="AO45" s="835" t="e">
        <f t="shared" si="5"/>
        <v>#N/A</v>
      </c>
      <c r="AP45" s="835">
        <f t="shared" si="5"/>
        <v>1.0000000000000009E-3</v>
      </c>
      <c r="AQ45" s="835" t="e">
        <f t="shared" si="5"/>
        <v>#N/A</v>
      </c>
      <c r="AR45" s="835" t="e">
        <f t="shared" si="5"/>
        <v>#N/A</v>
      </c>
      <c r="AS45" s="507"/>
      <c r="AT45" s="502">
        <v>5</v>
      </c>
      <c r="AU45" s="835">
        <f t="shared" si="6"/>
        <v>0.52449999999999997</v>
      </c>
      <c r="AV45" s="835" t="e">
        <f t="shared" si="6"/>
        <v>#N/A</v>
      </c>
      <c r="AW45" s="835" t="e">
        <f t="shared" si="6"/>
        <v>#N/A</v>
      </c>
      <c r="AX45" s="835">
        <f t="shared" si="6"/>
        <v>1.0000000000000009E-3</v>
      </c>
      <c r="AY45" s="835" t="e">
        <f t="shared" si="6"/>
        <v>#N/A</v>
      </c>
      <c r="AZ45" s="835" t="e">
        <f t="shared" si="6"/>
        <v>#N/A</v>
      </c>
      <c r="BA45" s="507"/>
      <c r="BB45" s="502">
        <v>5</v>
      </c>
      <c r="BC45" s="835">
        <f t="shared" si="7"/>
        <v>0.52449999999999997</v>
      </c>
      <c r="BD45" s="835" t="e">
        <f t="shared" si="7"/>
        <v>#N/A</v>
      </c>
      <c r="BE45" s="835" t="e">
        <f t="shared" si="7"/>
        <v>#N/A</v>
      </c>
      <c r="BF45" s="835">
        <f t="shared" si="7"/>
        <v>1.0000000000000009E-3</v>
      </c>
      <c r="BG45" s="835" t="e">
        <f t="shared" si="7"/>
        <v>#N/A</v>
      </c>
      <c r="BH45" s="835" t="e">
        <f t="shared" si="7"/>
        <v>#N/A</v>
      </c>
      <c r="BI45" s="506" t="s">
        <v>541</v>
      </c>
      <c r="BJ45" s="502">
        <v>1</v>
      </c>
      <c r="BK45" s="835" t="e">
        <f t="shared" ref="BK45:BP48" si="15">O51</f>
        <v>#N/A</v>
      </c>
      <c r="BL45" s="835">
        <f t="shared" si="15"/>
        <v>0.51200000000000001</v>
      </c>
      <c r="BM45" s="835" t="e">
        <f t="shared" si="15"/>
        <v>#N/A</v>
      </c>
      <c r="BN45" s="835" t="e">
        <f t="shared" si="15"/>
        <v>#N/A</v>
      </c>
      <c r="BO45" s="835">
        <f t="shared" si="15"/>
        <v>2.0000000000000018E-3</v>
      </c>
      <c r="BP45" s="835" t="e">
        <f t="shared" si="15"/>
        <v>#N/A</v>
      </c>
      <c r="BQ45" s="502"/>
      <c r="BR45" s="502">
        <v>2</v>
      </c>
      <c r="BS45" s="835" t="e">
        <f t="shared" si="14"/>
        <v>#N/A</v>
      </c>
      <c r="BT45" s="835">
        <f t="shared" si="14"/>
        <v>0.52150000000000007</v>
      </c>
      <c r="BU45" s="835" t="e">
        <f t="shared" si="14"/>
        <v>#N/A</v>
      </c>
      <c r="BV45" s="835" t="e">
        <f t="shared" si="14"/>
        <v>#N/A</v>
      </c>
      <c r="BW45" s="835">
        <f t="shared" si="14"/>
        <v>1.0000000000000009E-3</v>
      </c>
      <c r="BX45" s="835" t="e">
        <f t="shared" si="14"/>
        <v>#N/A</v>
      </c>
      <c r="BY45" s="506" t="s">
        <v>544</v>
      </c>
      <c r="BZ45" s="502">
        <v>1</v>
      </c>
      <c r="CA45" s="835" t="e">
        <f t="shared" ref="CA45:CF46" si="16">O61</f>
        <v>#N/A</v>
      </c>
      <c r="CB45" s="835" t="e">
        <f t="shared" si="16"/>
        <v>#N/A</v>
      </c>
      <c r="CC45" s="835" t="e">
        <f t="shared" si="16"/>
        <v>#N/A</v>
      </c>
      <c r="CD45" s="835" t="e">
        <f t="shared" si="16"/>
        <v>#N/A</v>
      </c>
      <c r="CE45" s="835" t="e">
        <f t="shared" si="16"/>
        <v>#N/A</v>
      </c>
      <c r="CF45" s="835" t="e">
        <f t="shared" si="16"/>
        <v>#N/A</v>
      </c>
    </row>
    <row r="46" spans="1:84" x14ac:dyDescent="0.25">
      <c r="A46" s="40"/>
      <c r="E46" s="502"/>
      <c r="F46" s="503">
        <v>6</v>
      </c>
      <c r="G46" s="836" t="str">
        <f>IF('GRR AIAG GR&amp;R'!H12="","",'GRR AIAG GR&amp;R'!H12)</f>
        <v/>
      </c>
      <c r="H46" s="836" t="str">
        <f>IF('GRR AIAG GR&amp;R'!H13="","",'GRR AIAG GR&amp;R'!H13)</f>
        <v/>
      </c>
      <c r="I46" s="836" t="str">
        <f>IF('GRR AIAG GR&amp;R'!H14="","",'GRR AIAG GR&amp;R'!H14)</f>
        <v/>
      </c>
      <c r="K46" s="838" t="str">
        <f t="shared" si="11"/>
        <v/>
      </c>
      <c r="L46" s="838" t="str">
        <f t="shared" si="12"/>
        <v/>
      </c>
      <c r="M46" s="507"/>
      <c r="N46" s="503">
        <v>6</v>
      </c>
      <c r="O46" s="835" t="e">
        <f t="shared" si="1"/>
        <v>#N/A</v>
      </c>
      <c r="P46" s="835" t="e">
        <f>NA()</f>
        <v>#N/A</v>
      </c>
      <c r="Q46" s="835" t="e">
        <f>NA()</f>
        <v>#N/A</v>
      </c>
      <c r="R46" s="835" t="e">
        <f t="shared" si="2"/>
        <v>#N/A</v>
      </c>
      <c r="S46" s="835" t="e">
        <f>NA()</f>
        <v>#N/A</v>
      </c>
      <c r="T46" s="835" t="e">
        <f>NA()</f>
        <v>#N/A</v>
      </c>
      <c r="U46" s="507"/>
      <c r="V46" s="503">
        <v>6</v>
      </c>
      <c r="W46" s="835" t="e">
        <f t="shared" si="3"/>
        <v>#N/A</v>
      </c>
      <c r="X46" s="835" t="e">
        <f t="shared" si="3"/>
        <v>#N/A</v>
      </c>
      <c r="Y46" s="835" t="e">
        <f t="shared" si="3"/>
        <v>#N/A</v>
      </c>
      <c r="Z46" s="835" t="e">
        <f t="shared" si="3"/>
        <v>#N/A</v>
      </c>
      <c r="AA46" s="835" t="e">
        <f t="shared" si="3"/>
        <v>#N/A</v>
      </c>
      <c r="AB46" s="835" t="e">
        <f t="shared" si="3"/>
        <v>#N/A</v>
      </c>
      <c r="AC46" s="507"/>
      <c r="AD46" s="503">
        <v>6</v>
      </c>
      <c r="AE46" s="835" t="e">
        <f t="shared" si="4"/>
        <v>#N/A</v>
      </c>
      <c r="AF46" s="835" t="e">
        <f t="shared" si="4"/>
        <v>#N/A</v>
      </c>
      <c r="AG46" s="835" t="e">
        <f t="shared" si="4"/>
        <v>#N/A</v>
      </c>
      <c r="AH46" s="835" t="e">
        <f t="shared" si="4"/>
        <v>#N/A</v>
      </c>
      <c r="AI46" s="835" t="e">
        <f t="shared" si="4"/>
        <v>#N/A</v>
      </c>
      <c r="AJ46" s="835" t="e">
        <f t="shared" si="4"/>
        <v>#N/A</v>
      </c>
      <c r="AK46" s="507"/>
      <c r="AL46" s="502">
        <v>6</v>
      </c>
      <c r="AM46" s="835" t="e">
        <f t="shared" si="5"/>
        <v>#N/A</v>
      </c>
      <c r="AN46" s="835" t="e">
        <f t="shared" si="5"/>
        <v>#N/A</v>
      </c>
      <c r="AO46" s="835" t="e">
        <f t="shared" si="5"/>
        <v>#N/A</v>
      </c>
      <c r="AP46" s="835" t="e">
        <f t="shared" si="5"/>
        <v>#N/A</v>
      </c>
      <c r="AQ46" s="835" t="e">
        <f t="shared" si="5"/>
        <v>#N/A</v>
      </c>
      <c r="AR46" s="835" t="e">
        <f t="shared" si="5"/>
        <v>#N/A</v>
      </c>
      <c r="AS46" s="507"/>
      <c r="AT46" s="502">
        <v>6</v>
      </c>
      <c r="AU46" s="835" t="e">
        <f t="shared" si="6"/>
        <v>#N/A</v>
      </c>
      <c r="AV46" s="835" t="e">
        <f t="shared" si="6"/>
        <v>#N/A</v>
      </c>
      <c r="AW46" s="835" t="e">
        <f t="shared" si="6"/>
        <v>#N/A</v>
      </c>
      <c r="AX46" s="835" t="e">
        <f t="shared" si="6"/>
        <v>#N/A</v>
      </c>
      <c r="AY46" s="835" t="e">
        <f t="shared" si="6"/>
        <v>#N/A</v>
      </c>
      <c r="AZ46" s="835" t="e">
        <f t="shared" si="6"/>
        <v>#N/A</v>
      </c>
      <c r="BA46" s="506" t="s">
        <v>541</v>
      </c>
      <c r="BB46" s="502">
        <v>1</v>
      </c>
      <c r="BC46" s="835" t="e">
        <f t="shared" ref="BC46:BH50" si="17">O51</f>
        <v>#N/A</v>
      </c>
      <c r="BD46" s="835">
        <f t="shared" si="17"/>
        <v>0.51200000000000001</v>
      </c>
      <c r="BE46" s="835" t="e">
        <f t="shared" si="17"/>
        <v>#N/A</v>
      </c>
      <c r="BF46" s="835" t="e">
        <f t="shared" si="17"/>
        <v>#N/A</v>
      </c>
      <c r="BG46" s="835">
        <f t="shared" si="17"/>
        <v>2.0000000000000018E-3</v>
      </c>
      <c r="BH46" s="835" t="e">
        <f t="shared" si="17"/>
        <v>#N/A</v>
      </c>
      <c r="BI46" s="502"/>
      <c r="BJ46" s="502">
        <v>2</v>
      </c>
      <c r="BK46" s="835" t="e">
        <f t="shared" si="15"/>
        <v>#N/A</v>
      </c>
      <c r="BL46" s="835">
        <f t="shared" si="15"/>
        <v>0.52150000000000007</v>
      </c>
      <c r="BM46" s="835" t="e">
        <f t="shared" si="15"/>
        <v>#N/A</v>
      </c>
      <c r="BN46" s="835" t="e">
        <f t="shared" si="15"/>
        <v>#N/A</v>
      </c>
      <c r="BO46" s="835">
        <f t="shared" si="15"/>
        <v>1.0000000000000009E-3</v>
      </c>
      <c r="BP46" s="835" t="e">
        <f t="shared" si="15"/>
        <v>#N/A</v>
      </c>
      <c r="BQ46" s="502"/>
      <c r="BR46" s="502">
        <v>3</v>
      </c>
      <c r="BS46" s="835" t="e">
        <f t="shared" si="14"/>
        <v>#N/A</v>
      </c>
      <c r="BT46" s="835">
        <f t="shared" si="14"/>
        <v>0.52200000000000002</v>
      </c>
      <c r="BU46" s="835" t="e">
        <f t="shared" si="14"/>
        <v>#N/A</v>
      </c>
      <c r="BV46" s="835" t="e">
        <f t="shared" si="14"/>
        <v>#N/A</v>
      </c>
      <c r="BW46" s="835">
        <f t="shared" si="14"/>
        <v>0</v>
      </c>
      <c r="BX46" s="835" t="e">
        <f t="shared" si="14"/>
        <v>#N/A</v>
      </c>
      <c r="BY46" s="502"/>
      <c r="BZ46" s="502">
        <v>2</v>
      </c>
      <c r="CA46" s="835" t="e">
        <f t="shared" si="16"/>
        <v>#N/A</v>
      </c>
      <c r="CB46" s="835" t="e">
        <f t="shared" si="16"/>
        <v>#N/A</v>
      </c>
      <c r="CC46" s="835" t="e">
        <f t="shared" si="16"/>
        <v>#N/A</v>
      </c>
      <c r="CD46" s="835" t="e">
        <f t="shared" si="16"/>
        <v>#N/A</v>
      </c>
      <c r="CE46" s="835" t="e">
        <f t="shared" si="16"/>
        <v>#N/A</v>
      </c>
      <c r="CF46" s="835" t="e">
        <f t="shared" si="16"/>
        <v>#N/A</v>
      </c>
    </row>
    <row r="47" spans="1:84" x14ac:dyDescent="0.25">
      <c r="A47" s="40"/>
      <c r="E47" s="502"/>
      <c r="F47" s="503">
        <v>7</v>
      </c>
      <c r="G47" s="836" t="str">
        <f>IF('GRR AIAG GR&amp;R'!I12="","",'GRR AIAG GR&amp;R'!I12)</f>
        <v/>
      </c>
      <c r="H47" s="836" t="str">
        <f>IF('GRR AIAG GR&amp;R'!I13="","",'GRR AIAG GR&amp;R'!I13)</f>
        <v/>
      </c>
      <c r="I47" s="836" t="str">
        <f>IF('GRR AIAG GR&amp;R'!I14="","",'GRR AIAG GR&amp;R'!I14)</f>
        <v/>
      </c>
      <c r="K47" s="838" t="str">
        <f t="shared" si="11"/>
        <v/>
      </c>
      <c r="L47" s="838" t="str">
        <f t="shared" si="12"/>
        <v/>
      </c>
      <c r="M47" s="507"/>
      <c r="N47" s="503">
        <v>7</v>
      </c>
      <c r="O47" s="835" t="e">
        <f t="shared" si="1"/>
        <v>#N/A</v>
      </c>
      <c r="P47" s="835" t="e">
        <f>NA()</f>
        <v>#N/A</v>
      </c>
      <c r="Q47" s="835" t="e">
        <f>NA()</f>
        <v>#N/A</v>
      </c>
      <c r="R47" s="835" t="e">
        <f t="shared" si="2"/>
        <v>#N/A</v>
      </c>
      <c r="S47" s="835" t="e">
        <f>NA()</f>
        <v>#N/A</v>
      </c>
      <c r="T47" s="835" t="e">
        <f>NA()</f>
        <v>#N/A</v>
      </c>
      <c r="U47" s="507"/>
      <c r="V47" s="503">
        <v>7</v>
      </c>
      <c r="W47" s="835" t="e">
        <f t="shared" si="3"/>
        <v>#N/A</v>
      </c>
      <c r="X47" s="835" t="e">
        <f t="shared" si="3"/>
        <v>#N/A</v>
      </c>
      <c r="Y47" s="835" t="e">
        <f t="shared" si="3"/>
        <v>#N/A</v>
      </c>
      <c r="Z47" s="835" t="e">
        <f t="shared" si="3"/>
        <v>#N/A</v>
      </c>
      <c r="AA47" s="835" t="e">
        <f t="shared" si="3"/>
        <v>#N/A</v>
      </c>
      <c r="AB47" s="835" t="e">
        <f t="shared" si="3"/>
        <v>#N/A</v>
      </c>
      <c r="AC47" s="507"/>
      <c r="AD47" s="503">
        <v>7</v>
      </c>
      <c r="AE47" s="835" t="e">
        <f t="shared" si="4"/>
        <v>#N/A</v>
      </c>
      <c r="AF47" s="835" t="e">
        <f t="shared" si="4"/>
        <v>#N/A</v>
      </c>
      <c r="AG47" s="835" t="e">
        <f t="shared" si="4"/>
        <v>#N/A</v>
      </c>
      <c r="AH47" s="835" t="e">
        <f t="shared" si="4"/>
        <v>#N/A</v>
      </c>
      <c r="AI47" s="835" t="e">
        <f t="shared" si="4"/>
        <v>#N/A</v>
      </c>
      <c r="AJ47" s="835" t="e">
        <f t="shared" si="4"/>
        <v>#N/A</v>
      </c>
      <c r="AK47" s="507"/>
      <c r="AL47" s="502">
        <v>7</v>
      </c>
      <c r="AM47" s="835" t="e">
        <f t="shared" si="5"/>
        <v>#N/A</v>
      </c>
      <c r="AN47" s="835" t="e">
        <f t="shared" si="5"/>
        <v>#N/A</v>
      </c>
      <c r="AO47" s="835" t="e">
        <f t="shared" si="5"/>
        <v>#N/A</v>
      </c>
      <c r="AP47" s="835" t="e">
        <f t="shared" si="5"/>
        <v>#N/A</v>
      </c>
      <c r="AQ47" s="835" t="e">
        <f t="shared" si="5"/>
        <v>#N/A</v>
      </c>
      <c r="AR47" s="835" t="e">
        <f t="shared" si="5"/>
        <v>#N/A</v>
      </c>
      <c r="AS47" s="506" t="s">
        <v>541</v>
      </c>
      <c r="AT47" s="502">
        <v>1</v>
      </c>
      <c r="AU47" s="835" t="e">
        <f t="shared" ref="AU47:AZ52" si="18">O51</f>
        <v>#N/A</v>
      </c>
      <c r="AV47" s="835">
        <f t="shared" si="18"/>
        <v>0.51200000000000001</v>
      </c>
      <c r="AW47" s="835" t="e">
        <f t="shared" si="18"/>
        <v>#N/A</v>
      </c>
      <c r="AX47" s="835" t="e">
        <f t="shared" si="18"/>
        <v>#N/A</v>
      </c>
      <c r="AY47" s="835">
        <f t="shared" si="18"/>
        <v>2.0000000000000018E-3</v>
      </c>
      <c r="AZ47" s="835" t="e">
        <f t="shared" si="18"/>
        <v>#N/A</v>
      </c>
      <c r="BA47" s="502"/>
      <c r="BB47" s="502">
        <v>2</v>
      </c>
      <c r="BC47" s="835" t="e">
        <f t="shared" si="17"/>
        <v>#N/A</v>
      </c>
      <c r="BD47" s="835">
        <f t="shared" si="17"/>
        <v>0.52150000000000007</v>
      </c>
      <c r="BE47" s="835" t="e">
        <f t="shared" si="17"/>
        <v>#N/A</v>
      </c>
      <c r="BF47" s="835" t="e">
        <f t="shared" si="17"/>
        <v>#N/A</v>
      </c>
      <c r="BG47" s="835">
        <f t="shared" si="17"/>
        <v>1.0000000000000009E-3</v>
      </c>
      <c r="BH47" s="835" t="e">
        <f t="shared" si="17"/>
        <v>#N/A</v>
      </c>
      <c r="BI47" s="502"/>
      <c r="BJ47" s="502">
        <v>3</v>
      </c>
      <c r="BK47" s="835" t="e">
        <f t="shared" si="15"/>
        <v>#N/A</v>
      </c>
      <c r="BL47" s="835">
        <f t="shared" si="15"/>
        <v>0.52200000000000002</v>
      </c>
      <c r="BM47" s="835" t="e">
        <f t="shared" si="15"/>
        <v>#N/A</v>
      </c>
      <c r="BN47" s="835" t="e">
        <f t="shared" si="15"/>
        <v>#N/A</v>
      </c>
      <c r="BO47" s="835">
        <f t="shared" si="15"/>
        <v>0</v>
      </c>
      <c r="BP47" s="835" t="e">
        <f t="shared" si="15"/>
        <v>#N/A</v>
      </c>
      <c r="BQ47" s="506" t="s">
        <v>544</v>
      </c>
      <c r="BR47" s="502">
        <v>1</v>
      </c>
      <c r="BS47" s="835" t="e">
        <f t="shared" ref="BS47:BX49" si="19">O61</f>
        <v>#N/A</v>
      </c>
      <c r="BT47" s="835" t="e">
        <f t="shared" si="19"/>
        <v>#N/A</v>
      </c>
      <c r="BU47" s="835" t="e">
        <f t="shared" si="19"/>
        <v>#N/A</v>
      </c>
      <c r="BV47" s="835" t="e">
        <f t="shared" si="19"/>
        <v>#N/A</v>
      </c>
      <c r="BW47" s="835" t="e">
        <f t="shared" si="19"/>
        <v>#N/A</v>
      </c>
      <c r="BX47" s="835" t="e">
        <f t="shared" si="19"/>
        <v>#N/A</v>
      </c>
      <c r="BY47" s="502"/>
      <c r="BZ47" s="502"/>
      <c r="CA47" s="502" t="e">
        <f>NA()</f>
        <v>#N/A</v>
      </c>
      <c r="CB47" s="502" t="e">
        <f>NA()</f>
        <v>#N/A</v>
      </c>
      <c r="CC47" s="502" t="e">
        <f>NA()</f>
        <v>#N/A</v>
      </c>
      <c r="CD47" s="502" t="e">
        <f>NA()</f>
        <v>#N/A</v>
      </c>
      <c r="CE47" s="502" t="e">
        <f>NA()</f>
        <v>#N/A</v>
      </c>
      <c r="CF47" s="502" t="e">
        <f>NA()</f>
        <v>#N/A</v>
      </c>
    </row>
    <row r="48" spans="1:84" x14ac:dyDescent="0.25">
      <c r="A48" s="40"/>
      <c r="E48" s="502"/>
      <c r="F48" s="503">
        <v>8</v>
      </c>
      <c r="G48" s="836" t="str">
        <f>IF('GRR AIAG GR&amp;R'!J12="","",'GRR AIAG GR&amp;R'!J12)</f>
        <v/>
      </c>
      <c r="H48" s="836" t="str">
        <f>IF('GRR AIAG GR&amp;R'!J13="","",'GRR AIAG GR&amp;R'!J13)</f>
        <v/>
      </c>
      <c r="I48" s="836" t="str">
        <f>IF('GRR AIAG GR&amp;R'!J14="","",'GRR AIAG GR&amp;R'!J14)</f>
        <v/>
      </c>
      <c r="K48" s="838" t="str">
        <f t="shared" si="11"/>
        <v/>
      </c>
      <c r="L48" s="838" t="str">
        <f t="shared" si="12"/>
        <v/>
      </c>
      <c r="M48" s="507"/>
      <c r="N48" s="503">
        <v>8</v>
      </c>
      <c r="O48" s="835" t="e">
        <f t="shared" si="1"/>
        <v>#N/A</v>
      </c>
      <c r="P48" s="835" t="e">
        <f>NA()</f>
        <v>#N/A</v>
      </c>
      <c r="Q48" s="835" t="e">
        <f>NA()</f>
        <v>#N/A</v>
      </c>
      <c r="R48" s="835" t="e">
        <f t="shared" si="2"/>
        <v>#N/A</v>
      </c>
      <c r="S48" s="835" t="e">
        <f>NA()</f>
        <v>#N/A</v>
      </c>
      <c r="T48" s="835" t="e">
        <f>NA()</f>
        <v>#N/A</v>
      </c>
      <c r="U48" s="507"/>
      <c r="V48" s="503">
        <v>8</v>
      </c>
      <c r="W48" s="835" t="e">
        <f t="shared" si="3"/>
        <v>#N/A</v>
      </c>
      <c r="X48" s="835" t="e">
        <f t="shared" si="3"/>
        <v>#N/A</v>
      </c>
      <c r="Y48" s="835" t="e">
        <f t="shared" si="3"/>
        <v>#N/A</v>
      </c>
      <c r="Z48" s="835" t="e">
        <f t="shared" si="3"/>
        <v>#N/A</v>
      </c>
      <c r="AA48" s="835" t="e">
        <f t="shared" si="3"/>
        <v>#N/A</v>
      </c>
      <c r="AB48" s="835" t="e">
        <f t="shared" si="3"/>
        <v>#N/A</v>
      </c>
      <c r="AC48" s="507"/>
      <c r="AD48" s="503">
        <v>8</v>
      </c>
      <c r="AE48" s="835" t="e">
        <f t="shared" si="4"/>
        <v>#N/A</v>
      </c>
      <c r="AF48" s="835" t="e">
        <f t="shared" si="4"/>
        <v>#N/A</v>
      </c>
      <c r="AG48" s="835" t="e">
        <f t="shared" si="4"/>
        <v>#N/A</v>
      </c>
      <c r="AH48" s="835" t="e">
        <f t="shared" si="4"/>
        <v>#N/A</v>
      </c>
      <c r="AI48" s="835" t="e">
        <f t="shared" si="4"/>
        <v>#N/A</v>
      </c>
      <c r="AJ48" s="835" t="e">
        <f t="shared" si="4"/>
        <v>#N/A</v>
      </c>
      <c r="AK48" s="506" t="s">
        <v>541</v>
      </c>
      <c r="AL48" s="502">
        <v>1</v>
      </c>
      <c r="AM48" s="835" t="e">
        <f t="shared" ref="AM48:AR54" si="20">O51</f>
        <v>#N/A</v>
      </c>
      <c r="AN48" s="835">
        <f t="shared" si="20"/>
        <v>0.51200000000000001</v>
      </c>
      <c r="AO48" s="835" t="e">
        <f t="shared" si="20"/>
        <v>#N/A</v>
      </c>
      <c r="AP48" s="835" t="e">
        <f t="shared" si="20"/>
        <v>#N/A</v>
      </c>
      <c r="AQ48" s="835">
        <f t="shared" si="20"/>
        <v>2.0000000000000018E-3</v>
      </c>
      <c r="AR48" s="835" t="e">
        <f t="shared" si="20"/>
        <v>#N/A</v>
      </c>
      <c r="AS48" s="502"/>
      <c r="AT48" s="502">
        <v>2</v>
      </c>
      <c r="AU48" s="835" t="e">
        <f t="shared" si="18"/>
        <v>#N/A</v>
      </c>
      <c r="AV48" s="835">
        <f t="shared" si="18"/>
        <v>0.52150000000000007</v>
      </c>
      <c r="AW48" s="835" t="e">
        <f t="shared" si="18"/>
        <v>#N/A</v>
      </c>
      <c r="AX48" s="835" t="e">
        <f t="shared" si="18"/>
        <v>#N/A</v>
      </c>
      <c r="AY48" s="835">
        <f t="shared" si="18"/>
        <v>1.0000000000000009E-3</v>
      </c>
      <c r="AZ48" s="835" t="e">
        <f t="shared" si="18"/>
        <v>#N/A</v>
      </c>
      <c r="BA48" s="502"/>
      <c r="BB48" s="502">
        <v>3</v>
      </c>
      <c r="BC48" s="835" t="e">
        <f t="shared" si="17"/>
        <v>#N/A</v>
      </c>
      <c r="BD48" s="835">
        <f t="shared" si="17"/>
        <v>0.52200000000000002</v>
      </c>
      <c r="BE48" s="835" t="e">
        <f t="shared" si="17"/>
        <v>#N/A</v>
      </c>
      <c r="BF48" s="835" t="e">
        <f t="shared" si="17"/>
        <v>#N/A</v>
      </c>
      <c r="BG48" s="835">
        <f t="shared" si="17"/>
        <v>0</v>
      </c>
      <c r="BH48" s="835" t="e">
        <f t="shared" si="17"/>
        <v>#N/A</v>
      </c>
      <c r="BI48" s="502"/>
      <c r="BJ48" s="502">
        <v>4</v>
      </c>
      <c r="BK48" s="835" t="e">
        <f t="shared" si="15"/>
        <v>#N/A</v>
      </c>
      <c r="BL48" s="835">
        <f t="shared" si="15"/>
        <v>0.52350000000000008</v>
      </c>
      <c r="BM48" s="835" t="e">
        <f t="shared" si="15"/>
        <v>#N/A</v>
      </c>
      <c r="BN48" s="835" t="e">
        <f t="shared" si="15"/>
        <v>#N/A</v>
      </c>
      <c r="BO48" s="835">
        <f t="shared" si="15"/>
        <v>1.0000000000000009E-3</v>
      </c>
      <c r="BP48" s="835" t="e">
        <f t="shared" si="15"/>
        <v>#N/A</v>
      </c>
      <c r="BQ48" s="502"/>
      <c r="BR48" s="502">
        <v>2</v>
      </c>
      <c r="BS48" s="837" t="e">
        <f t="shared" si="19"/>
        <v>#N/A</v>
      </c>
      <c r="BT48" s="837" t="e">
        <f t="shared" si="19"/>
        <v>#N/A</v>
      </c>
      <c r="BU48" s="837" t="e">
        <f t="shared" si="19"/>
        <v>#N/A</v>
      </c>
      <c r="BV48" s="837" t="e">
        <f t="shared" si="19"/>
        <v>#N/A</v>
      </c>
      <c r="BW48" s="837" t="e">
        <f t="shared" si="19"/>
        <v>#N/A</v>
      </c>
      <c r="BX48" s="837" t="e">
        <f t="shared" si="19"/>
        <v>#N/A</v>
      </c>
      <c r="BY48" s="502"/>
      <c r="BZ48" s="502"/>
      <c r="CA48" s="502" t="e">
        <f>NA()</f>
        <v>#N/A</v>
      </c>
      <c r="CB48" s="502" t="e">
        <f>NA()</f>
        <v>#N/A</v>
      </c>
      <c r="CC48" s="502" t="e">
        <f>NA()</f>
        <v>#N/A</v>
      </c>
      <c r="CD48" s="502" t="e">
        <f>NA()</f>
        <v>#N/A</v>
      </c>
      <c r="CE48" s="502" t="e">
        <f>NA()</f>
        <v>#N/A</v>
      </c>
      <c r="CF48" s="502" t="e">
        <f>NA()</f>
        <v>#N/A</v>
      </c>
    </row>
    <row r="49" spans="1:84" x14ac:dyDescent="0.25">
      <c r="A49" s="40"/>
      <c r="E49" s="502"/>
      <c r="F49" s="503">
        <v>9</v>
      </c>
      <c r="G49" s="836" t="str">
        <f>IF('GRR AIAG GR&amp;R'!K12="","",'GRR AIAG GR&amp;R'!K12)</f>
        <v/>
      </c>
      <c r="H49" s="836" t="str">
        <f>IF('GRR AIAG GR&amp;R'!K13="","",'GRR AIAG GR&amp;R'!K13)</f>
        <v/>
      </c>
      <c r="I49" s="836" t="str">
        <f>IF('GRR AIAG GR&amp;R'!K14="","",'GRR AIAG GR&amp;R'!K14)</f>
        <v/>
      </c>
      <c r="K49" s="838" t="str">
        <f t="shared" si="11"/>
        <v/>
      </c>
      <c r="L49" s="838" t="str">
        <f t="shared" si="12"/>
        <v/>
      </c>
      <c r="M49" s="507"/>
      <c r="N49" s="503">
        <v>9</v>
      </c>
      <c r="O49" s="835" t="e">
        <f t="shared" si="1"/>
        <v>#N/A</v>
      </c>
      <c r="P49" s="835" t="e">
        <f>NA()</f>
        <v>#N/A</v>
      </c>
      <c r="Q49" s="835" t="e">
        <f>NA()</f>
        <v>#N/A</v>
      </c>
      <c r="R49" s="835" t="e">
        <f t="shared" si="2"/>
        <v>#N/A</v>
      </c>
      <c r="S49" s="835" t="e">
        <f>NA()</f>
        <v>#N/A</v>
      </c>
      <c r="T49" s="835" t="e">
        <f>NA()</f>
        <v>#N/A</v>
      </c>
      <c r="U49" s="507"/>
      <c r="V49" s="503">
        <v>9</v>
      </c>
      <c r="W49" s="835" t="e">
        <f t="shared" si="3"/>
        <v>#N/A</v>
      </c>
      <c r="X49" s="835" t="e">
        <f t="shared" si="3"/>
        <v>#N/A</v>
      </c>
      <c r="Y49" s="835" t="e">
        <f t="shared" si="3"/>
        <v>#N/A</v>
      </c>
      <c r="Z49" s="835" t="e">
        <f t="shared" si="3"/>
        <v>#N/A</v>
      </c>
      <c r="AA49" s="835" t="e">
        <f t="shared" si="3"/>
        <v>#N/A</v>
      </c>
      <c r="AB49" s="835" t="e">
        <f t="shared" si="3"/>
        <v>#N/A</v>
      </c>
      <c r="AC49" s="506" t="s">
        <v>541</v>
      </c>
      <c r="AD49" s="503">
        <v>1</v>
      </c>
      <c r="AE49" s="835" t="e">
        <f t="shared" ref="AE49:AJ56" si="21">O51</f>
        <v>#N/A</v>
      </c>
      <c r="AF49" s="835">
        <f t="shared" si="21"/>
        <v>0.51200000000000001</v>
      </c>
      <c r="AG49" s="835" t="e">
        <f t="shared" si="21"/>
        <v>#N/A</v>
      </c>
      <c r="AH49" s="835" t="e">
        <f t="shared" si="21"/>
        <v>#N/A</v>
      </c>
      <c r="AI49" s="835">
        <f t="shared" si="21"/>
        <v>2.0000000000000018E-3</v>
      </c>
      <c r="AJ49" s="835" t="e">
        <f t="shared" si="21"/>
        <v>#N/A</v>
      </c>
      <c r="AK49" s="502"/>
      <c r="AL49" s="502">
        <v>2</v>
      </c>
      <c r="AM49" s="835" t="e">
        <f t="shared" si="20"/>
        <v>#N/A</v>
      </c>
      <c r="AN49" s="835">
        <f t="shared" si="20"/>
        <v>0.52150000000000007</v>
      </c>
      <c r="AO49" s="835" t="e">
        <f t="shared" si="20"/>
        <v>#N/A</v>
      </c>
      <c r="AP49" s="835" t="e">
        <f t="shared" si="20"/>
        <v>#N/A</v>
      </c>
      <c r="AQ49" s="835">
        <f t="shared" si="20"/>
        <v>1.0000000000000009E-3</v>
      </c>
      <c r="AR49" s="835" t="e">
        <f t="shared" si="20"/>
        <v>#N/A</v>
      </c>
      <c r="AS49" s="502"/>
      <c r="AT49" s="502">
        <v>3</v>
      </c>
      <c r="AU49" s="835" t="e">
        <f t="shared" si="18"/>
        <v>#N/A</v>
      </c>
      <c r="AV49" s="835">
        <f t="shared" si="18"/>
        <v>0.52200000000000002</v>
      </c>
      <c r="AW49" s="835" t="e">
        <f t="shared" si="18"/>
        <v>#N/A</v>
      </c>
      <c r="AX49" s="835" t="e">
        <f t="shared" si="18"/>
        <v>#N/A</v>
      </c>
      <c r="AY49" s="835">
        <f t="shared" si="18"/>
        <v>0</v>
      </c>
      <c r="AZ49" s="835" t="e">
        <f t="shared" si="18"/>
        <v>#N/A</v>
      </c>
      <c r="BA49" s="502"/>
      <c r="BB49" s="502">
        <v>4</v>
      </c>
      <c r="BC49" s="835" t="e">
        <f t="shared" si="17"/>
        <v>#N/A</v>
      </c>
      <c r="BD49" s="835">
        <f t="shared" si="17"/>
        <v>0.52350000000000008</v>
      </c>
      <c r="BE49" s="835" t="e">
        <f t="shared" si="17"/>
        <v>#N/A</v>
      </c>
      <c r="BF49" s="835" t="e">
        <f t="shared" si="17"/>
        <v>#N/A</v>
      </c>
      <c r="BG49" s="835">
        <f t="shared" si="17"/>
        <v>1.0000000000000009E-3</v>
      </c>
      <c r="BH49" s="835" t="e">
        <f t="shared" si="17"/>
        <v>#N/A</v>
      </c>
      <c r="BI49" s="506" t="s">
        <v>544</v>
      </c>
      <c r="BJ49" s="502">
        <v>1</v>
      </c>
      <c r="BK49" s="835" t="e">
        <f t="shared" ref="BK49:BP52" si="22">O61</f>
        <v>#N/A</v>
      </c>
      <c r="BL49" s="835" t="e">
        <f t="shared" si="22"/>
        <v>#N/A</v>
      </c>
      <c r="BM49" s="835" t="e">
        <f t="shared" si="22"/>
        <v>#N/A</v>
      </c>
      <c r="BN49" s="835" t="e">
        <f t="shared" si="22"/>
        <v>#N/A</v>
      </c>
      <c r="BO49" s="835" t="e">
        <f t="shared" si="22"/>
        <v>#N/A</v>
      </c>
      <c r="BP49" s="835" t="e">
        <f t="shared" si="22"/>
        <v>#N/A</v>
      </c>
      <c r="BQ49" s="502"/>
      <c r="BR49" s="502">
        <v>3</v>
      </c>
      <c r="BS49" s="835" t="e">
        <f t="shared" si="19"/>
        <v>#N/A</v>
      </c>
      <c r="BT49" s="835" t="e">
        <f t="shared" si="19"/>
        <v>#N/A</v>
      </c>
      <c r="BU49" s="835" t="e">
        <f t="shared" si="19"/>
        <v>#N/A</v>
      </c>
      <c r="BV49" s="835" t="e">
        <f t="shared" si="19"/>
        <v>#N/A</v>
      </c>
      <c r="BW49" s="835" t="e">
        <f t="shared" si="19"/>
        <v>#N/A</v>
      </c>
      <c r="BX49" s="835" t="e">
        <f t="shared" si="19"/>
        <v>#N/A</v>
      </c>
      <c r="BY49" s="502"/>
      <c r="BZ49" s="502"/>
      <c r="CA49" s="502" t="e">
        <f>NA()</f>
        <v>#N/A</v>
      </c>
      <c r="CB49" s="502" t="e">
        <f>NA()</f>
        <v>#N/A</v>
      </c>
      <c r="CC49" s="502" t="e">
        <f>NA()</f>
        <v>#N/A</v>
      </c>
      <c r="CD49" s="502" t="e">
        <f>NA()</f>
        <v>#N/A</v>
      </c>
      <c r="CE49" s="502" t="e">
        <f>NA()</f>
        <v>#N/A</v>
      </c>
      <c r="CF49" s="502" t="e">
        <f>NA()</f>
        <v>#N/A</v>
      </c>
    </row>
    <row r="50" spans="1:84" x14ac:dyDescent="0.25">
      <c r="A50" s="40"/>
      <c r="E50" s="502"/>
      <c r="F50" s="503">
        <v>10</v>
      </c>
      <c r="G50" s="836" t="str">
        <f>IF('GRR AIAG GR&amp;R'!L12="","",'GRR AIAG GR&amp;R'!L12)</f>
        <v/>
      </c>
      <c r="H50" s="836" t="str">
        <f>IF('GRR AIAG GR&amp;R'!L13="","",'GRR AIAG GR&amp;R'!L13)</f>
        <v/>
      </c>
      <c r="I50" s="836" t="str">
        <f>IF('GRR AIAG GR&amp;R'!L14="","",'GRR AIAG GR&amp;R'!L14)</f>
        <v/>
      </c>
      <c r="K50" s="839" t="str">
        <f t="shared" si="11"/>
        <v/>
      </c>
      <c r="L50" s="839" t="str">
        <f t="shared" si="12"/>
        <v/>
      </c>
      <c r="M50" s="507"/>
      <c r="N50" s="503">
        <v>10</v>
      </c>
      <c r="O50" s="835" t="e">
        <f t="shared" si="1"/>
        <v>#N/A</v>
      </c>
      <c r="P50" s="835" t="e">
        <f>NA()</f>
        <v>#N/A</v>
      </c>
      <c r="Q50" s="835" t="e">
        <f>NA()</f>
        <v>#N/A</v>
      </c>
      <c r="R50" s="835" t="e">
        <f t="shared" si="2"/>
        <v>#N/A</v>
      </c>
      <c r="S50" s="835" t="e">
        <f>NA()</f>
        <v>#N/A</v>
      </c>
      <c r="T50" s="835" t="e">
        <f>NA()</f>
        <v>#N/A</v>
      </c>
      <c r="U50" s="506" t="s">
        <v>541</v>
      </c>
      <c r="V50" s="503">
        <v>1</v>
      </c>
      <c r="W50" s="835" t="e">
        <f t="shared" ref="W50:AB58" si="23">O51</f>
        <v>#N/A</v>
      </c>
      <c r="X50" s="835">
        <f t="shared" si="23"/>
        <v>0.51200000000000001</v>
      </c>
      <c r="Y50" s="835" t="e">
        <f t="shared" si="23"/>
        <v>#N/A</v>
      </c>
      <c r="Z50" s="835" t="e">
        <f t="shared" si="23"/>
        <v>#N/A</v>
      </c>
      <c r="AA50" s="835">
        <f t="shared" si="23"/>
        <v>2.0000000000000018E-3</v>
      </c>
      <c r="AB50" s="835" t="e">
        <f t="shared" si="23"/>
        <v>#N/A</v>
      </c>
      <c r="AC50" s="502"/>
      <c r="AD50" s="503">
        <v>2</v>
      </c>
      <c r="AE50" s="835" t="e">
        <f t="shared" si="21"/>
        <v>#N/A</v>
      </c>
      <c r="AF50" s="835">
        <f t="shared" si="21"/>
        <v>0.52150000000000007</v>
      </c>
      <c r="AG50" s="835" t="e">
        <f t="shared" si="21"/>
        <v>#N/A</v>
      </c>
      <c r="AH50" s="835" t="e">
        <f t="shared" si="21"/>
        <v>#N/A</v>
      </c>
      <c r="AI50" s="835">
        <f t="shared" si="21"/>
        <v>1.0000000000000009E-3</v>
      </c>
      <c r="AJ50" s="835" t="e">
        <f t="shared" si="21"/>
        <v>#N/A</v>
      </c>
      <c r="AK50" s="502"/>
      <c r="AL50" s="502">
        <v>3</v>
      </c>
      <c r="AM50" s="835" t="e">
        <f t="shared" si="20"/>
        <v>#N/A</v>
      </c>
      <c r="AN50" s="835">
        <f t="shared" si="20"/>
        <v>0.52200000000000002</v>
      </c>
      <c r="AO50" s="835" t="e">
        <f t="shared" si="20"/>
        <v>#N/A</v>
      </c>
      <c r="AP50" s="835" t="e">
        <f t="shared" si="20"/>
        <v>#N/A</v>
      </c>
      <c r="AQ50" s="835">
        <f t="shared" si="20"/>
        <v>0</v>
      </c>
      <c r="AR50" s="835" t="e">
        <f t="shared" si="20"/>
        <v>#N/A</v>
      </c>
      <c r="AS50" s="502"/>
      <c r="AT50" s="502">
        <v>4</v>
      </c>
      <c r="AU50" s="835" t="e">
        <f t="shared" si="18"/>
        <v>#N/A</v>
      </c>
      <c r="AV50" s="835">
        <f t="shared" si="18"/>
        <v>0.52350000000000008</v>
      </c>
      <c r="AW50" s="835" t="e">
        <f t="shared" si="18"/>
        <v>#N/A</v>
      </c>
      <c r="AX50" s="835" t="e">
        <f t="shared" si="18"/>
        <v>#N/A</v>
      </c>
      <c r="AY50" s="835">
        <f t="shared" si="18"/>
        <v>1.0000000000000009E-3</v>
      </c>
      <c r="AZ50" s="835" t="e">
        <f t="shared" si="18"/>
        <v>#N/A</v>
      </c>
      <c r="BA50" s="502"/>
      <c r="BB50" s="502">
        <v>5</v>
      </c>
      <c r="BC50" s="835" t="e">
        <f t="shared" si="17"/>
        <v>#N/A</v>
      </c>
      <c r="BD50" s="835">
        <f t="shared" si="17"/>
        <v>0.52100000000000002</v>
      </c>
      <c r="BE50" s="835" t="e">
        <f t="shared" si="17"/>
        <v>#N/A</v>
      </c>
      <c r="BF50" s="835" t="e">
        <f t="shared" si="17"/>
        <v>#N/A</v>
      </c>
      <c r="BG50" s="835">
        <f t="shared" si="17"/>
        <v>0</v>
      </c>
      <c r="BH50" s="835" t="e">
        <f t="shared" si="17"/>
        <v>#N/A</v>
      </c>
      <c r="BI50" s="502"/>
      <c r="BJ50" s="502">
        <v>2</v>
      </c>
      <c r="BK50" s="835" t="e">
        <f t="shared" si="22"/>
        <v>#N/A</v>
      </c>
      <c r="BL50" s="835" t="e">
        <f t="shared" si="22"/>
        <v>#N/A</v>
      </c>
      <c r="BM50" s="835" t="e">
        <f t="shared" si="22"/>
        <v>#N/A</v>
      </c>
      <c r="BN50" s="835" t="e">
        <f t="shared" si="22"/>
        <v>#N/A</v>
      </c>
      <c r="BO50" s="835" t="e">
        <f t="shared" si="22"/>
        <v>#N/A</v>
      </c>
      <c r="BP50" s="835" t="e">
        <f t="shared" si="22"/>
        <v>#N/A</v>
      </c>
      <c r="BQ50" s="502"/>
      <c r="BR50" s="502"/>
      <c r="BS50" s="502" t="e">
        <f>NA()</f>
        <v>#N/A</v>
      </c>
      <c r="BT50" s="502" t="e">
        <f>NA()</f>
        <v>#N/A</v>
      </c>
      <c r="BU50" s="502" t="e">
        <f>NA()</f>
        <v>#N/A</v>
      </c>
      <c r="BV50" s="502" t="e">
        <f>NA()</f>
        <v>#N/A</v>
      </c>
      <c r="BW50" s="502" t="e">
        <f>NA()</f>
        <v>#N/A</v>
      </c>
      <c r="BX50" s="502" t="e">
        <f>NA()</f>
        <v>#N/A</v>
      </c>
      <c r="BY50" s="502"/>
      <c r="BZ50" s="502"/>
      <c r="CA50" s="502" t="e">
        <f>NA()</f>
        <v>#N/A</v>
      </c>
      <c r="CB50" s="502" t="e">
        <f>NA()</f>
        <v>#N/A</v>
      </c>
      <c r="CC50" s="502" t="e">
        <f>NA()</f>
        <v>#N/A</v>
      </c>
      <c r="CD50" s="502" t="e">
        <f>NA()</f>
        <v>#N/A</v>
      </c>
      <c r="CE50" s="502" t="e">
        <f>NA()</f>
        <v>#N/A</v>
      </c>
      <c r="CF50" s="502" t="e">
        <f>NA()</f>
        <v>#N/A</v>
      </c>
    </row>
    <row r="51" spans="1:84" x14ac:dyDescent="0.25">
      <c r="A51" s="40"/>
      <c r="E51" s="505" t="s">
        <v>541</v>
      </c>
      <c r="F51" s="503">
        <v>1</v>
      </c>
      <c r="G51" s="836">
        <f>IF('GRR AIAG GR&amp;R'!C17="","",'GRR AIAG GR&amp;R'!C17)</f>
        <v>0.51100000000000001</v>
      </c>
      <c r="H51" s="836">
        <f>IF('GRR AIAG GR&amp;R'!C18="","",'GRR AIAG GR&amp;R'!C18)</f>
        <v>0.51300000000000001</v>
      </c>
      <c r="I51" s="836" t="str">
        <f>IF('GRR AIAG GR&amp;R'!C19="","",'GRR AIAG GR&amp;R'!C19)</f>
        <v/>
      </c>
      <c r="K51" s="837">
        <f t="shared" si="11"/>
        <v>0.51200000000000001</v>
      </c>
      <c r="L51" s="837">
        <f t="shared" si="12"/>
        <v>2.0000000000000018E-3</v>
      </c>
      <c r="M51" s="506" t="s">
        <v>541</v>
      </c>
      <c r="N51" s="503">
        <v>1</v>
      </c>
      <c r="O51" s="835" t="e">
        <f>NA()</f>
        <v>#N/A</v>
      </c>
      <c r="P51" s="835">
        <f t="shared" ref="P51:P60" si="24">IF(G51="",NA(),K51)</f>
        <v>0.51200000000000001</v>
      </c>
      <c r="Q51" s="835" t="e">
        <f>NA()</f>
        <v>#N/A</v>
      </c>
      <c r="R51" s="835" t="e">
        <f>NA()</f>
        <v>#N/A</v>
      </c>
      <c r="S51" s="835">
        <f t="shared" ref="S51:S60" si="25">IF(G51="",NA(),L51)</f>
        <v>2.0000000000000018E-3</v>
      </c>
      <c r="T51" s="835" t="e">
        <f>NA()</f>
        <v>#N/A</v>
      </c>
      <c r="U51" s="502"/>
      <c r="V51" s="503">
        <v>2</v>
      </c>
      <c r="W51" s="835" t="e">
        <f t="shared" si="23"/>
        <v>#N/A</v>
      </c>
      <c r="X51" s="835">
        <f t="shared" si="23"/>
        <v>0.52150000000000007</v>
      </c>
      <c r="Y51" s="835" t="e">
        <f t="shared" si="23"/>
        <v>#N/A</v>
      </c>
      <c r="Z51" s="835" t="e">
        <f t="shared" si="23"/>
        <v>#N/A</v>
      </c>
      <c r="AA51" s="835">
        <f t="shared" si="23"/>
        <v>1.0000000000000009E-3</v>
      </c>
      <c r="AB51" s="835" t="e">
        <f t="shared" si="23"/>
        <v>#N/A</v>
      </c>
      <c r="AC51" s="502"/>
      <c r="AD51" s="503">
        <v>3</v>
      </c>
      <c r="AE51" s="835" t="e">
        <f t="shared" si="21"/>
        <v>#N/A</v>
      </c>
      <c r="AF51" s="835">
        <f t="shared" si="21"/>
        <v>0.52200000000000002</v>
      </c>
      <c r="AG51" s="835" t="e">
        <f t="shared" si="21"/>
        <v>#N/A</v>
      </c>
      <c r="AH51" s="835" t="e">
        <f t="shared" si="21"/>
        <v>#N/A</v>
      </c>
      <c r="AI51" s="835">
        <f t="shared" si="21"/>
        <v>0</v>
      </c>
      <c r="AJ51" s="835" t="e">
        <f t="shared" si="21"/>
        <v>#N/A</v>
      </c>
      <c r="AK51" s="502"/>
      <c r="AL51" s="502">
        <v>4</v>
      </c>
      <c r="AM51" s="835" t="e">
        <f t="shared" si="20"/>
        <v>#N/A</v>
      </c>
      <c r="AN51" s="835">
        <f t="shared" si="20"/>
        <v>0.52350000000000008</v>
      </c>
      <c r="AO51" s="835" t="e">
        <f t="shared" si="20"/>
        <v>#N/A</v>
      </c>
      <c r="AP51" s="835" t="e">
        <f t="shared" si="20"/>
        <v>#N/A</v>
      </c>
      <c r="AQ51" s="835">
        <f t="shared" si="20"/>
        <v>1.0000000000000009E-3</v>
      </c>
      <c r="AR51" s="835" t="e">
        <f t="shared" si="20"/>
        <v>#N/A</v>
      </c>
      <c r="AS51" s="502"/>
      <c r="AT51" s="502">
        <v>5</v>
      </c>
      <c r="AU51" s="835" t="e">
        <f t="shared" si="18"/>
        <v>#N/A</v>
      </c>
      <c r="AV51" s="835">
        <f t="shared" si="18"/>
        <v>0.52100000000000002</v>
      </c>
      <c r="AW51" s="835" t="e">
        <f t="shared" si="18"/>
        <v>#N/A</v>
      </c>
      <c r="AX51" s="835" t="e">
        <f t="shared" si="18"/>
        <v>#N/A</v>
      </c>
      <c r="AY51" s="835">
        <f t="shared" si="18"/>
        <v>0</v>
      </c>
      <c r="AZ51" s="835" t="e">
        <f t="shared" si="18"/>
        <v>#N/A</v>
      </c>
      <c r="BA51" s="506" t="s">
        <v>544</v>
      </c>
      <c r="BB51" s="502">
        <v>1</v>
      </c>
      <c r="BC51" s="835" t="e">
        <f t="shared" ref="BC51:BH55" si="26">O61</f>
        <v>#N/A</v>
      </c>
      <c r="BD51" s="835" t="e">
        <f t="shared" si="26"/>
        <v>#N/A</v>
      </c>
      <c r="BE51" s="835" t="e">
        <f t="shared" si="26"/>
        <v>#N/A</v>
      </c>
      <c r="BF51" s="835" t="e">
        <f t="shared" si="26"/>
        <v>#N/A</v>
      </c>
      <c r="BG51" s="835" t="e">
        <f t="shared" si="26"/>
        <v>#N/A</v>
      </c>
      <c r="BH51" s="835" t="e">
        <f t="shared" si="26"/>
        <v>#N/A</v>
      </c>
      <c r="BI51" s="502"/>
      <c r="BJ51" s="502">
        <v>3</v>
      </c>
      <c r="BK51" s="835" t="e">
        <f t="shared" si="22"/>
        <v>#N/A</v>
      </c>
      <c r="BL51" s="835" t="e">
        <f t="shared" si="22"/>
        <v>#N/A</v>
      </c>
      <c r="BM51" s="835" t="e">
        <f t="shared" si="22"/>
        <v>#N/A</v>
      </c>
      <c r="BN51" s="835" t="e">
        <f t="shared" si="22"/>
        <v>#N/A</v>
      </c>
      <c r="BO51" s="835" t="e">
        <f t="shared" si="22"/>
        <v>#N/A</v>
      </c>
      <c r="BP51" s="835" t="e">
        <f t="shared" si="22"/>
        <v>#N/A</v>
      </c>
      <c r="BQ51" s="502"/>
      <c r="BR51" s="502"/>
      <c r="BS51" s="502" t="e">
        <f>NA()</f>
        <v>#N/A</v>
      </c>
      <c r="BT51" s="502" t="e">
        <f>NA()</f>
        <v>#N/A</v>
      </c>
      <c r="BU51" s="502" t="e">
        <f>NA()</f>
        <v>#N/A</v>
      </c>
      <c r="BV51" s="502" t="e">
        <f>NA()</f>
        <v>#N/A</v>
      </c>
      <c r="BW51" s="502" t="e">
        <f>NA()</f>
        <v>#N/A</v>
      </c>
      <c r="BX51" s="502" t="e">
        <f>NA()</f>
        <v>#N/A</v>
      </c>
      <c r="BY51" s="502"/>
      <c r="BZ51" s="502"/>
      <c r="CA51" s="502" t="e">
        <f>NA()</f>
        <v>#N/A</v>
      </c>
      <c r="CB51" s="502" t="e">
        <f>NA()</f>
        <v>#N/A</v>
      </c>
      <c r="CC51" s="502" t="e">
        <f>NA()</f>
        <v>#N/A</v>
      </c>
      <c r="CD51" s="502" t="e">
        <f>NA()</f>
        <v>#N/A</v>
      </c>
      <c r="CE51" s="502" t="e">
        <f>NA()</f>
        <v>#N/A</v>
      </c>
      <c r="CF51" s="502" t="e">
        <f>NA()</f>
        <v>#N/A</v>
      </c>
    </row>
    <row r="52" spans="1:84" x14ac:dyDescent="0.25">
      <c r="A52" s="40"/>
      <c r="E52" s="502"/>
      <c r="F52" s="503">
        <v>2</v>
      </c>
      <c r="G52" s="836">
        <f>IF('GRR AIAG GR&amp;R'!D17="","",'GRR AIAG GR&amp;R'!D17)</f>
        <v>0.52100000000000002</v>
      </c>
      <c r="H52" s="836">
        <f>IF('GRR AIAG GR&amp;R'!D18="","",'GRR AIAG GR&amp;R'!D18)</f>
        <v>0.52200000000000002</v>
      </c>
      <c r="I52" s="836" t="str">
        <f>IF('GRR AIAG GR&amp;R'!D19="","",'GRR AIAG GR&amp;R'!D19)</f>
        <v/>
      </c>
      <c r="K52" s="838">
        <f t="shared" si="11"/>
        <v>0.52150000000000007</v>
      </c>
      <c r="L52" s="838">
        <f t="shared" si="12"/>
        <v>1.0000000000000009E-3</v>
      </c>
      <c r="M52" s="507"/>
      <c r="N52" s="503">
        <v>2</v>
      </c>
      <c r="O52" s="835" t="e">
        <f>NA()</f>
        <v>#N/A</v>
      </c>
      <c r="P52" s="835">
        <f t="shared" si="24"/>
        <v>0.52150000000000007</v>
      </c>
      <c r="Q52" s="835" t="e">
        <f>NA()</f>
        <v>#N/A</v>
      </c>
      <c r="R52" s="835" t="e">
        <f>NA()</f>
        <v>#N/A</v>
      </c>
      <c r="S52" s="835">
        <f t="shared" si="25"/>
        <v>1.0000000000000009E-3</v>
      </c>
      <c r="T52" s="835" t="e">
        <f>NA()</f>
        <v>#N/A</v>
      </c>
      <c r="U52" s="507"/>
      <c r="V52" s="503">
        <v>3</v>
      </c>
      <c r="W52" s="835" t="e">
        <f t="shared" si="23"/>
        <v>#N/A</v>
      </c>
      <c r="X52" s="835">
        <f t="shared" si="23"/>
        <v>0.52200000000000002</v>
      </c>
      <c r="Y52" s="835" t="e">
        <f t="shared" si="23"/>
        <v>#N/A</v>
      </c>
      <c r="Z52" s="835" t="e">
        <f t="shared" si="23"/>
        <v>#N/A</v>
      </c>
      <c r="AA52" s="835">
        <f t="shared" si="23"/>
        <v>0</v>
      </c>
      <c r="AB52" s="835" t="e">
        <f t="shared" si="23"/>
        <v>#N/A</v>
      </c>
      <c r="AC52" s="507"/>
      <c r="AD52" s="503">
        <v>4</v>
      </c>
      <c r="AE52" s="835" t="e">
        <f t="shared" si="21"/>
        <v>#N/A</v>
      </c>
      <c r="AF52" s="835">
        <f t="shared" si="21"/>
        <v>0.52350000000000008</v>
      </c>
      <c r="AG52" s="835" t="e">
        <f t="shared" si="21"/>
        <v>#N/A</v>
      </c>
      <c r="AH52" s="835" t="e">
        <f t="shared" si="21"/>
        <v>#N/A</v>
      </c>
      <c r="AI52" s="835">
        <f t="shared" si="21"/>
        <v>1.0000000000000009E-3</v>
      </c>
      <c r="AJ52" s="835" t="e">
        <f t="shared" si="21"/>
        <v>#N/A</v>
      </c>
      <c r="AK52" s="507"/>
      <c r="AL52" s="502">
        <v>5</v>
      </c>
      <c r="AM52" s="835" t="e">
        <f t="shared" si="20"/>
        <v>#N/A</v>
      </c>
      <c r="AN52" s="835">
        <f t="shared" si="20"/>
        <v>0.52100000000000002</v>
      </c>
      <c r="AO52" s="835" t="e">
        <f t="shared" si="20"/>
        <v>#N/A</v>
      </c>
      <c r="AP52" s="835" t="e">
        <f t="shared" si="20"/>
        <v>#N/A</v>
      </c>
      <c r="AQ52" s="835">
        <f t="shared" si="20"/>
        <v>0</v>
      </c>
      <c r="AR52" s="835" t="e">
        <f t="shared" si="20"/>
        <v>#N/A</v>
      </c>
      <c r="AS52" s="507"/>
      <c r="AT52" s="502">
        <v>6</v>
      </c>
      <c r="AU52" s="835" t="e">
        <f t="shared" si="18"/>
        <v>#N/A</v>
      </c>
      <c r="AV52" s="835" t="e">
        <f t="shared" si="18"/>
        <v>#N/A</v>
      </c>
      <c r="AW52" s="835" t="e">
        <f t="shared" si="18"/>
        <v>#N/A</v>
      </c>
      <c r="AX52" s="835" t="e">
        <f t="shared" si="18"/>
        <v>#N/A</v>
      </c>
      <c r="AY52" s="835" t="e">
        <f t="shared" si="18"/>
        <v>#N/A</v>
      </c>
      <c r="AZ52" s="835" t="e">
        <f t="shared" si="18"/>
        <v>#N/A</v>
      </c>
      <c r="BA52" s="507"/>
      <c r="BB52" s="502">
        <v>2</v>
      </c>
      <c r="BC52" s="835" t="e">
        <f t="shared" si="26"/>
        <v>#N/A</v>
      </c>
      <c r="BD52" s="835" t="e">
        <f t="shared" si="26"/>
        <v>#N/A</v>
      </c>
      <c r="BE52" s="835" t="e">
        <f t="shared" si="26"/>
        <v>#N/A</v>
      </c>
      <c r="BF52" s="835" t="e">
        <f t="shared" si="26"/>
        <v>#N/A</v>
      </c>
      <c r="BG52" s="835" t="e">
        <f t="shared" si="26"/>
        <v>#N/A</v>
      </c>
      <c r="BH52" s="835" t="e">
        <f t="shared" si="26"/>
        <v>#N/A</v>
      </c>
      <c r="BI52" s="502"/>
      <c r="BJ52" s="502">
        <v>4</v>
      </c>
      <c r="BK52" s="835" t="e">
        <f t="shared" si="22"/>
        <v>#N/A</v>
      </c>
      <c r="BL52" s="835" t="e">
        <f t="shared" si="22"/>
        <v>#N/A</v>
      </c>
      <c r="BM52" s="835" t="e">
        <f t="shared" si="22"/>
        <v>#N/A</v>
      </c>
      <c r="BN52" s="835" t="e">
        <f t="shared" si="22"/>
        <v>#N/A</v>
      </c>
      <c r="BO52" s="835" t="e">
        <f t="shared" si="22"/>
        <v>#N/A</v>
      </c>
      <c r="BP52" s="835" t="e">
        <f t="shared" si="22"/>
        <v>#N/A</v>
      </c>
      <c r="BQ52" s="502"/>
      <c r="BR52" s="502"/>
      <c r="BS52" s="502" t="e">
        <f>NA()</f>
        <v>#N/A</v>
      </c>
      <c r="BT52" s="502" t="e">
        <f>NA()</f>
        <v>#N/A</v>
      </c>
      <c r="BU52" s="502" t="e">
        <f>NA()</f>
        <v>#N/A</v>
      </c>
      <c r="BV52" s="502" t="e">
        <f>NA()</f>
        <v>#N/A</v>
      </c>
      <c r="BW52" s="502" t="e">
        <f>NA()</f>
        <v>#N/A</v>
      </c>
      <c r="BX52" s="502" t="e">
        <f>NA()</f>
        <v>#N/A</v>
      </c>
      <c r="BY52" s="502"/>
      <c r="BZ52" s="502"/>
      <c r="CA52" s="502" t="e">
        <f>NA()</f>
        <v>#N/A</v>
      </c>
      <c r="CB52" s="502" t="e">
        <f>NA()</f>
        <v>#N/A</v>
      </c>
      <c r="CC52" s="502" t="e">
        <f>NA()</f>
        <v>#N/A</v>
      </c>
      <c r="CD52" s="502" t="e">
        <f>NA()</f>
        <v>#N/A</v>
      </c>
      <c r="CE52" s="502" t="e">
        <f>NA()</f>
        <v>#N/A</v>
      </c>
      <c r="CF52" s="502" t="e">
        <f>NA()</f>
        <v>#N/A</v>
      </c>
    </row>
    <row r="53" spans="1:84" x14ac:dyDescent="0.25">
      <c r="A53" s="40"/>
      <c r="E53" s="502"/>
      <c r="F53" s="503">
        <v>3</v>
      </c>
      <c r="G53" s="836">
        <f>IF('GRR AIAG GR&amp;R'!E17="","",'GRR AIAG GR&amp;R'!E17)</f>
        <v>0.52200000000000002</v>
      </c>
      <c r="H53" s="836">
        <f>IF('GRR AIAG GR&amp;R'!E18="","",'GRR AIAG GR&amp;R'!E18)</f>
        <v>0.52200000000000002</v>
      </c>
      <c r="I53" s="836" t="str">
        <f>IF('GRR AIAG GR&amp;R'!E19="","",'GRR AIAG GR&amp;R'!E19)</f>
        <v/>
      </c>
      <c r="K53" s="838">
        <f t="shared" si="11"/>
        <v>0.52200000000000002</v>
      </c>
      <c r="L53" s="838">
        <f t="shared" si="12"/>
        <v>0</v>
      </c>
      <c r="M53" s="507"/>
      <c r="N53" s="503">
        <v>3</v>
      </c>
      <c r="O53" s="835" t="e">
        <f>NA()</f>
        <v>#N/A</v>
      </c>
      <c r="P53" s="835">
        <f t="shared" si="24"/>
        <v>0.52200000000000002</v>
      </c>
      <c r="Q53" s="835" t="e">
        <f>NA()</f>
        <v>#N/A</v>
      </c>
      <c r="R53" s="835" t="e">
        <f>NA()</f>
        <v>#N/A</v>
      </c>
      <c r="S53" s="835">
        <f t="shared" si="25"/>
        <v>0</v>
      </c>
      <c r="T53" s="835" t="e">
        <f>NA()</f>
        <v>#N/A</v>
      </c>
      <c r="U53" s="507"/>
      <c r="V53" s="503">
        <v>4</v>
      </c>
      <c r="W53" s="835" t="e">
        <f t="shared" si="23"/>
        <v>#N/A</v>
      </c>
      <c r="X53" s="835">
        <f t="shared" si="23"/>
        <v>0.52350000000000008</v>
      </c>
      <c r="Y53" s="835" t="e">
        <f t="shared" si="23"/>
        <v>#N/A</v>
      </c>
      <c r="Z53" s="835" t="e">
        <f t="shared" si="23"/>
        <v>#N/A</v>
      </c>
      <c r="AA53" s="835">
        <f t="shared" si="23"/>
        <v>1.0000000000000009E-3</v>
      </c>
      <c r="AB53" s="835" t="e">
        <f t="shared" si="23"/>
        <v>#N/A</v>
      </c>
      <c r="AC53" s="507"/>
      <c r="AD53" s="503">
        <v>5</v>
      </c>
      <c r="AE53" s="835" t="e">
        <f t="shared" si="21"/>
        <v>#N/A</v>
      </c>
      <c r="AF53" s="835">
        <f t="shared" si="21"/>
        <v>0.52100000000000002</v>
      </c>
      <c r="AG53" s="835" t="e">
        <f t="shared" si="21"/>
        <v>#N/A</v>
      </c>
      <c r="AH53" s="835" t="e">
        <f t="shared" si="21"/>
        <v>#N/A</v>
      </c>
      <c r="AI53" s="835">
        <f t="shared" si="21"/>
        <v>0</v>
      </c>
      <c r="AJ53" s="835" t="e">
        <f t="shared" si="21"/>
        <v>#N/A</v>
      </c>
      <c r="AK53" s="507"/>
      <c r="AL53" s="502">
        <v>6</v>
      </c>
      <c r="AM53" s="835" t="e">
        <f t="shared" si="20"/>
        <v>#N/A</v>
      </c>
      <c r="AN53" s="835" t="e">
        <f t="shared" si="20"/>
        <v>#N/A</v>
      </c>
      <c r="AO53" s="835" t="e">
        <f t="shared" si="20"/>
        <v>#N/A</v>
      </c>
      <c r="AP53" s="835" t="e">
        <f t="shared" si="20"/>
        <v>#N/A</v>
      </c>
      <c r="AQ53" s="835" t="e">
        <f t="shared" si="20"/>
        <v>#N/A</v>
      </c>
      <c r="AR53" s="835" t="e">
        <f t="shared" si="20"/>
        <v>#N/A</v>
      </c>
      <c r="AS53" s="506" t="s">
        <v>544</v>
      </c>
      <c r="AT53" s="502">
        <v>1</v>
      </c>
      <c r="AU53" s="835" t="e">
        <f t="shared" ref="AU53:AZ58" si="27">O61</f>
        <v>#N/A</v>
      </c>
      <c r="AV53" s="835" t="e">
        <f t="shared" si="27"/>
        <v>#N/A</v>
      </c>
      <c r="AW53" s="835" t="e">
        <f t="shared" si="27"/>
        <v>#N/A</v>
      </c>
      <c r="AX53" s="835" t="e">
        <f t="shared" si="27"/>
        <v>#N/A</v>
      </c>
      <c r="AY53" s="835" t="e">
        <f t="shared" si="27"/>
        <v>#N/A</v>
      </c>
      <c r="AZ53" s="835" t="e">
        <f t="shared" si="27"/>
        <v>#N/A</v>
      </c>
      <c r="BA53" s="502"/>
      <c r="BB53" s="502">
        <v>3</v>
      </c>
      <c r="BC53" s="835" t="e">
        <f t="shared" si="26"/>
        <v>#N/A</v>
      </c>
      <c r="BD53" s="835" t="e">
        <f t="shared" si="26"/>
        <v>#N/A</v>
      </c>
      <c r="BE53" s="835" t="e">
        <f t="shared" si="26"/>
        <v>#N/A</v>
      </c>
      <c r="BF53" s="835" t="e">
        <f t="shared" si="26"/>
        <v>#N/A</v>
      </c>
      <c r="BG53" s="835" t="e">
        <f t="shared" si="26"/>
        <v>#N/A</v>
      </c>
      <c r="BH53" s="835" t="e">
        <f t="shared" si="26"/>
        <v>#N/A</v>
      </c>
      <c r="BI53" s="502"/>
      <c r="BJ53" s="502"/>
      <c r="BK53" s="502" t="e">
        <f>NA()</f>
        <v>#N/A</v>
      </c>
      <c r="BL53" s="502" t="e">
        <f>NA()</f>
        <v>#N/A</v>
      </c>
      <c r="BM53" s="502" t="e">
        <f>NA()</f>
        <v>#N/A</v>
      </c>
      <c r="BN53" s="502" t="e">
        <f>NA()</f>
        <v>#N/A</v>
      </c>
      <c r="BO53" s="502" t="e">
        <f>NA()</f>
        <v>#N/A</v>
      </c>
      <c r="BP53" s="502" t="e">
        <f>NA()</f>
        <v>#N/A</v>
      </c>
      <c r="BQ53" s="502"/>
      <c r="BR53" s="502"/>
      <c r="BS53" s="502" t="e">
        <f>NA()</f>
        <v>#N/A</v>
      </c>
      <c r="BT53" s="502" t="e">
        <f>NA()</f>
        <v>#N/A</v>
      </c>
      <c r="BU53" s="502" t="e">
        <f>NA()</f>
        <v>#N/A</v>
      </c>
      <c r="BV53" s="502" t="e">
        <f>NA()</f>
        <v>#N/A</v>
      </c>
      <c r="BW53" s="502" t="e">
        <f>NA()</f>
        <v>#N/A</v>
      </c>
      <c r="BX53" s="502" t="e">
        <f>NA()</f>
        <v>#N/A</v>
      </c>
      <c r="BY53" s="502"/>
      <c r="BZ53" s="502"/>
      <c r="CA53" s="502" t="e">
        <f>NA()</f>
        <v>#N/A</v>
      </c>
      <c r="CB53" s="502" t="e">
        <f>NA()</f>
        <v>#N/A</v>
      </c>
      <c r="CC53" s="502" t="e">
        <f>NA()</f>
        <v>#N/A</v>
      </c>
      <c r="CD53" s="502" t="e">
        <f>NA()</f>
        <v>#N/A</v>
      </c>
      <c r="CE53" s="502" t="e">
        <f>NA()</f>
        <v>#N/A</v>
      </c>
      <c r="CF53" s="502" t="e">
        <f>NA()</f>
        <v>#N/A</v>
      </c>
    </row>
    <row r="54" spans="1:84" x14ac:dyDescent="0.25">
      <c r="A54" s="40"/>
      <c r="E54" s="502"/>
      <c r="F54" s="503">
        <v>4</v>
      </c>
      <c r="G54" s="836">
        <f>IF('GRR AIAG GR&amp;R'!F17="","",'GRR AIAG GR&amp;R'!F17)</f>
        <v>0.52400000000000002</v>
      </c>
      <c r="H54" s="836">
        <f>IF('GRR AIAG GR&amp;R'!F18="","",'GRR AIAG GR&amp;R'!F18)</f>
        <v>0.52300000000000002</v>
      </c>
      <c r="I54" s="836" t="str">
        <f>IF('GRR AIAG GR&amp;R'!F19="","",'GRR AIAG GR&amp;R'!F19)</f>
        <v/>
      </c>
      <c r="K54" s="838">
        <f t="shared" si="11"/>
        <v>0.52350000000000008</v>
      </c>
      <c r="L54" s="838">
        <f t="shared" si="12"/>
        <v>1.0000000000000009E-3</v>
      </c>
      <c r="M54" s="507"/>
      <c r="N54" s="503">
        <v>4</v>
      </c>
      <c r="O54" s="835" t="e">
        <f>NA()</f>
        <v>#N/A</v>
      </c>
      <c r="P54" s="835">
        <f t="shared" si="24"/>
        <v>0.52350000000000008</v>
      </c>
      <c r="Q54" s="835" t="e">
        <f>NA()</f>
        <v>#N/A</v>
      </c>
      <c r="R54" s="835" t="e">
        <f>NA()</f>
        <v>#N/A</v>
      </c>
      <c r="S54" s="835">
        <f t="shared" si="25"/>
        <v>1.0000000000000009E-3</v>
      </c>
      <c r="T54" s="835" t="e">
        <f>NA()</f>
        <v>#N/A</v>
      </c>
      <c r="U54" s="507"/>
      <c r="V54" s="503">
        <v>5</v>
      </c>
      <c r="W54" s="835" t="e">
        <f t="shared" si="23"/>
        <v>#N/A</v>
      </c>
      <c r="X54" s="835">
        <f t="shared" si="23"/>
        <v>0.52100000000000002</v>
      </c>
      <c r="Y54" s="835" t="e">
        <f t="shared" si="23"/>
        <v>#N/A</v>
      </c>
      <c r="Z54" s="835" t="e">
        <f t="shared" si="23"/>
        <v>#N/A</v>
      </c>
      <c r="AA54" s="835">
        <f t="shared" si="23"/>
        <v>0</v>
      </c>
      <c r="AB54" s="835" t="e">
        <f t="shared" si="23"/>
        <v>#N/A</v>
      </c>
      <c r="AC54" s="507"/>
      <c r="AD54" s="503">
        <v>6</v>
      </c>
      <c r="AE54" s="835" t="e">
        <f t="shared" si="21"/>
        <v>#N/A</v>
      </c>
      <c r="AF54" s="835" t="e">
        <f t="shared" si="21"/>
        <v>#N/A</v>
      </c>
      <c r="AG54" s="835" t="e">
        <f t="shared" si="21"/>
        <v>#N/A</v>
      </c>
      <c r="AH54" s="835" t="e">
        <f t="shared" si="21"/>
        <v>#N/A</v>
      </c>
      <c r="AI54" s="835" t="e">
        <f t="shared" si="21"/>
        <v>#N/A</v>
      </c>
      <c r="AJ54" s="835" t="e">
        <f t="shared" si="21"/>
        <v>#N/A</v>
      </c>
      <c r="AK54" s="507"/>
      <c r="AL54" s="502">
        <v>7</v>
      </c>
      <c r="AM54" s="835" t="e">
        <f t="shared" si="20"/>
        <v>#N/A</v>
      </c>
      <c r="AN54" s="835" t="e">
        <f t="shared" si="20"/>
        <v>#N/A</v>
      </c>
      <c r="AO54" s="835" t="e">
        <f t="shared" si="20"/>
        <v>#N/A</v>
      </c>
      <c r="AP54" s="835" t="e">
        <f t="shared" si="20"/>
        <v>#N/A</v>
      </c>
      <c r="AQ54" s="835" t="e">
        <f t="shared" si="20"/>
        <v>#N/A</v>
      </c>
      <c r="AR54" s="835" t="e">
        <f t="shared" si="20"/>
        <v>#N/A</v>
      </c>
      <c r="AS54" s="507"/>
      <c r="AT54" s="502">
        <v>2</v>
      </c>
      <c r="AU54" s="835" t="e">
        <f t="shared" si="27"/>
        <v>#N/A</v>
      </c>
      <c r="AV54" s="835" t="e">
        <f t="shared" si="27"/>
        <v>#N/A</v>
      </c>
      <c r="AW54" s="835" t="e">
        <f t="shared" si="27"/>
        <v>#N/A</v>
      </c>
      <c r="AX54" s="835" t="e">
        <f t="shared" si="27"/>
        <v>#N/A</v>
      </c>
      <c r="AY54" s="835" t="e">
        <f t="shared" si="27"/>
        <v>#N/A</v>
      </c>
      <c r="AZ54" s="835" t="e">
        <f t="shared" si="27"/>
        <v>#N/A</v>
      </c>
      <c r="BA54" s="502"/>
      <c r="BB54" s="502">
        <v>4</v>
      </c>
      <c r="BC54" s="835" t="e">
        <f t="shared" si="26"/>
        <v>#N/A</v>
      </c>
      <c r="BD54" s="835" t="e">
        <f t="shared" si="26"/>
        <v>#N/A</v>
      </c>
      <c r="BE54" s="835" t="e">
        <f t="shared" si="26"/>
        <v>#N/A</v>
      </c>
      <c r="BF54" s="835" t="e">
        <f t="shared" si="26"/>
        <v>#N/A</v>
      </c>
      <c r="BG54" s="835" t="e">
        <f t="shared" si="26"/>
        <v>#N/A</v>
      </c>
      <c r="BH54" s="835" t="e">
        <f t="shared" si="26"/>
        <v>#N/A</v>
      </c>
      <c r="BI54" s="502"/>
      <c r="BJ54" s="502"/>
      <c r="BK54" s="502" t="e">
        <f>NA()</f>
        <v>#N/A</v>
      </c>
      <c r="BL54" s="502" t="e">
        <f>NA()</f>
        <v>#N/A</v>
      </c>
      <c r="BM54" s="502" t="e">
        <f>NA()</f>
        <v>#N/A</v>
      </c>
      <c r="BN54" s="502" t="e">
        <f>NA()</f>
        <v>#N/A</v>
      </c>
      <c r="BO54" s="502" t="e">
        <f>NA()</f>
        <v>#N/A</v>
      </c>
      <c r="BP54" s="502" t="e">
        <f>NA()</f>
        <v>#N/A</v>
      </c>
      <c r="BQ54" s="502"/>
      <c r="BR54" s="502"/>
      <c r="BS54" s="502" t="e">
        <f>NA()</f>
        <v>#N/A</v>
      </c>
      <c r="BT54" s="502" t="e">
        <f>NA()</f>
        <v>#N/A</v>
      </c>
      <c r="BU54" s="502" t="e">
        <f>NA()</f>
        <v>#N/A</v>
      </c>
      <c r="BV54" s="502" t="e">
        <f>NA()</f>
        <v>#N/A</v>
      </c>
      <c r="BW54" s="502" t="e">
        <f>NA()</f>
        <v>#N/A</v>
      </c>
      <c r="BX54" s="502" t="e">
        <f>NA()</f>
        <v>#N/A</v>
      </c>
      <c r="BY54" s="502"/>
      <c r="BZ54" s="502"/>
      <c r="CA54" s="502" t="e">
        <f>NA()</f>
        <v>#N/A</v>
      </c>
      <c r="CB54" s="502" t="e">
        <f>NA()</f>
        <v>#N/A</v>
      </c>
      <c r="CC54" s="502" t="e">
        <f>NA()</f>
        <v>#N/A</v>
      </c>
      <c r="CD54" s="502" t="e">
        <f>NA()</f>
        <v>#N/A</v>
      </c>
      <c r="CE54" s="502" t="e">
        <f>NA()</f>
        <v>#N/A</v>
      </c>
      <c r="CF54" s="502" t="e">
        <f>NA()</f>
        <v>#N/A</v>
      </c>
    </row>
    <row r="55" spans="1:84" x14ac:dyDescent="0.25">
      <c r="A55" s="40"/>
      <c r="E55" s="502"/>
      <c r="F55" s="503">
        <v>5</v>
      </c>
      <c r="G55" s="836">
        <f>IF('GRR AIAG GR&amp;R'!G17="","",'GRR AIAG GR&amp;R'!G17)</f>
        <v>0.52100000000000002</v>
      </c>
      <c r="H55" s="836">
        <f>IF('GRR AIAG GR&amp;R'!G18="","",'GRR AIAG GR&amp;R'!G18)</f>
        <v>0.52100000000000002</v>
      </c>
      <c r="I55" s="836" t="str">
        <f>IF('GRR AIAG GR&amp;R'!G19="","",'GRR AIAG GR&amp;R'!G19)</f>
        <v/>
      </c>
      <c r="K55" s="838">
        <f t="shared" si="11"/>
        <v>0.52100000000000002</v>
      </c>
      <c r="L55" s="838">
        <f t="shared" si="12"/>
        <v>0</v>
      </c>
      <c r="M55" s="507"/>
      <c r="N55" s="503">
        <v>5</v>
      </c>
      <c r="O55" s="835" t="e">
        <f>NA()</f>
        <v>#N/A</v>
      </c>
      <c r="P55" s="835">
        <f t="shared" si="24"/>
        <v>0.52100000000000002</v>
      </c>
      <c r="Q55" s="835" t="e">
        <f>NA()</f>
        <v>#N/A</v>
      </c>
      <c r="R55" s="835" t="e">
        <f>NA()</f>
        <v>#N/A</v>
      </c>
      <c r="S55" s="835">
        <f t="shared" si="25"/>
        <v>0</v>
      </c>
      <c r="T55" s="835" t="e">
        <f>NA()</f>
        <v>#N/A</v>
      </c>
      <c r="U55" s="507"/>
      <c r="V55" s="503">
        <v>6</v>
      </c>
      <c r="W55" s="835" t="e">
        <f t="shared" si="23"/>
        <v>#N/A</v>
      </c>
      <c r="X55" s="835" t="e">
        <f t="shared" si="23"/>
        <v>#N/A</v>
      </c>
      <c r="Y55" s="835" t="e">
        <f t="shared" si="23"/>
        <v>#N/A</v>
      </c>
      <c r="Z55" s="835" t="e">
        <f t="shared" si="23"/>
        <v>#N/A</v>
      </c>
      <c r="AA55" s="835" t="e">
        <f t="shared" si="23"/>
        <v>#N/A</v>
      </c>
      <c r="AB55" s="835" t="e">
        <f t="shared" si="23"/>
        <v>#N/A</v>
      </c>
      <c r="AC55" s="507"/>
      <c r="AD55" s="503">
        <v>7</v>
      </c>
      <c r="AE55" s="835" t="e">
        <f t="shared" si="21"/>
        <v>#N/A</v>
      </c>
      <c r="AF55" s="835" t="e">
        <f t="shared" si="21"/>
        <v>#N/A</v>
      </c>
      <c r="AG55" s="835" t="e">
        <f t="shared" si="21"/>
        <v>#N/A</v>
      </c>
      <c r="AH55" s="835" t="e">
        <f t="shared" si="21"/>
        <v>#N/A</v>
      </c>
      <c r="AI55" s="835" t="e">
        <f t="shared" si="21"/>
        <v>#N/A</v>
      </c>
      <c r="AJ55" s="835" t="e">
        <f t="shared" si="21"/>
        <v>#N/A</v>
      </c>
      <c r="AK55" s="506" t="s">
        <v>544</v>
      </c>
      <c r="AL55" s="502">
        <v>1</v>
      </c>
      <c r="AM55" s="835" t="e">
        <f t="shared" ref="AM55:AR61" si="28">O61</f>
        <v>#N/A</v>
      </c>
      <c r="AN55" s="835" t="e">
        <f t="shared" si="28"/>
        <v>#N/A</v>
      </c>
      <c r="AO55" s="835" t="e">
        <f t="shared" si="28"/>
        <v>#N/A</v>
      </c>
      <c r="AP55" s="835" t="e">
        <f t="shared" si="28"/>
        <v>#N/A</v>
      </c>
      <c r="AQ55" s="835" t="e">
        <f t="shared" si="28"/>
        <v>#N/A</v>
      </c>
      <c r="AR55" s="835" t="e">
        <f t="shared" si="28"/>
        <v>#N/A</v>
      </c>
      <c r="AS55" s="502"/>
      <c r="AT55" s="502">
        <v>3</v>
      </c>
      <c r="AU55" s="835" t="e">
        <f t="shared" si="27"/>
        <v>#N/A</v>
      </c>
      <c r="AV55" s="835" t="e">
        <f t="shared" si="27"/>
        <v>#N/A</v>
      </c>
      <c r="AW55" s="835" t="e">
        <f t="shared" si="27"/>
        <v>#N/A</v>
      </c>
      <c r="AX55" s="835" t="e">
        <f t="shared" si="27"/>
        <v>#N/A</v>
      </c>
      <c r="AY55" s="835" t="e">
        <f t="shared" si="27"/>
        <v>#N/A</v>
      </c>
      <c r="AZ55" s="835" t="e">
        <f t="shared" si="27"/>
        <v>#N/A</v>
      </c>
      <c r="BA55" s="502"/>
      <c r="BB55" s="502">
        <v>5</v>
      </c>
      <c r="BC55" s="835" t="e">
        <f t="shared" si="26"/>
        <v>#N/A</v>
      </c>
      <c r="BD55" s="835" t="e">
        <f t="shared" si="26"/>
        <v>#N/A</v>
      </c>
      <c r="BE55" s="835" t="e">
        <f t="shared" si="26"/>
        <v>#N/A</v>
      </c>
      <c r="BF55" s="835" t="e">
        <f t="shared" si="26"/>
        <v>#N/A</v>
      </c>
      <c r="BG55" s="835" t="e">
        <f t="shared" si="26"/>
        <v>#N/A</v>
      </c>
      <c r="BH55" s="835" t="e">
        <f t="shared" si="26"/>
        <v>#N/A</v>
      </c>
      <c r="BI55" s="502"/>
      <c r="BJ55" s="502"/>
      <c r="BK55" s="502" t="e">
        <f>NA()</f>
        <v>#N/A</v>
      </c>
      <c r="BL55" s="502" t="e">
        <f>NA()</f>
        <v>#N/A</v>
      </c>
      <c r="BM55" s="502" t="e">
        <f>NA()</f>
        <v>#N/A</v>
      </c>
      <c r="BN55" s="502" t="e">
        <f>NA()</f>
        <v>#N/A</v>
      </c>
      <c r="BO55" s="502" t="e">
        <f>NA()</f>
        <v>#N/A</v>
      </c>
      <c r="BP55" s="502" t="e">
        <f>NA()</f>
        <v>#N/A</v>
      </c>
      <c r="BQ55" s="502"/>
      <c r="BR55" s="502"/>
      <c r="BS55" s="502" t="e">
        <f>NA()</f>
        <v>#N/A</v>
      </c>
      <c r="BT55" s="502" t="e">
        <f>NA()</f>
        <v>#N/A</v>
      </c>
      <c r="BU55" s="502" t="e">
        <f>NA()</f>
        <v>#N/A</v>
      </c>
      <c r="BV55" s="502" t="e">
        <f>NA()</f>
        <v>#N/A</v>
      </c>
      <c r="BW55" s="502" t="e">
        <f>NA()</f>
        <v>#N/A</v>
      </c>
      <c r="BX55" s="502" t="e">
        <f>NA()</f>
        <v>#N/A</v>
      </c>
      <c r="BY55" s="502"/>
      <c r="BZ55" s="502"/>
      <c r="CA55" s="502" t="e">
        <f>NA()</f>
        <v>#N/A</v>
      </c>
      <c r="CB55" s="502" t="e">
        <f>NA()</f>
        <v>#N/A</v>
      </c>
      <c r="CC55" s="502" t="e">
        <f>NA()</f>
        <v>#N/A</v>
      </c>
      <c r="CD55" s="502" t="e">
        <f>NA()</f>
        <v>#N/A</v>
      </c>
      <c r="CE55" s="502" t="e">
        <f>NA()</f>
        <v>#N/A</v>
      </c>
      <c r="CF55" s="502" t="e">
        <f>NA()</f>
        <v>#N/A</v>
      </c>
    </row>
    <row r="56" spans="1:84" x14ac:dyDescent="0.25">
      <c r="A56" s="40"/>
      <c r="E56" s="502"/>
      <c r="F56" s="503">
        <v>6</v>
      </c>
      <c r="G56" s="836" t="str">
        <f>IF('GRR AIAG GR&amp;R'!H17="","",'GRR AIAG GR&amp;R'!H17)</f>
        <v/>
      </c>
      <c r="H56" s="836" t="str">
        <f>IF('GRR AIAG GR&amp;R'!H18="","",'GRR AIAG GR&amp;R'!H18)</f>
        <v/>
      </c>
      <c r="I56" s="836" t="str">
        <f>IF('GRR AIAG GR&amp;R'!H19="","",'GRR AIAG GR&amp;R'!H19)</f>
        <v/>
      </c>
      <c r="K56" s="838" t="str">
        <f t="shared" si="11"/>
        <v/>
      </c>
      <c r="L56" s="838" t="str">
        <f t="shared" si="12"/>
        <v/>
      </c>
      <c r="M56" s="507"/>
      <c r="N56" s="503">
        <v>6</v>
      </c>
      <c r="O56" s="835" t="e">
        <f>NA()</f>
        <v>#N/A</v>
      </c>
      <c r="P56" s="835" t="e">
        <f t="shared" si="24"/>
        <v>#N/A</v>
      </c>
      <c r="Q56" s="835" t="e">
        <f>NA()</f>
        <v>#N/A</v>
      </c>
      <c r="R56" s="835" t="e">
        <f>NA()</f>
        <v>#N/A</v>
      </c>
      <c r="S56" s="835" t="e">
        <f t="shared" si="25"/>
        <v>#N/A</v>
      </c>
      <c r="T56" s="835" t="e">
        <f>NA()</f>
        <v>#N/A</v>
      </c>
      <c r="U56" s="507"/>
      <c r="V56" s="503">
        <v>7</v>
      </c>
      <c r="W56" s="835" t="e">
        <f t="shared" si="23"/>
        <v>#N/A</v>
      </c>
      <c r="X56" s="835" t="e">
        <f t="shared" si="23"/>
        <v>#N/A</v>
      </c>
      <c r="Y56" s="835" t="e">
        <f t="shared" si="23"/>
        <v>#N/A</v>
      </c>
      <c r="Z56" s="835" t="e">
        <f t="shared" si="23"/>
        <v>#N/A</v>
      </c>
      <c r="AA56" s="835" t="e">
        <f t="shared" si="23"/>
        <v>#N/A</v>
      </c>
      <c r="AB56" s="835" t="e">
        <f t="shared" si="23"/>
        <v>#N/A</v>
      </c>
      <c r="AC56" s="507"/>
      <c r="AD56" s="503">
        <v>8</v>
      </c>
      <c r="AE56" s="835" t="e">
        <f t="shared" si="21"/>
        <v>#N/A</v>
      </c>
      <c r="AF56" s="835" t="e">
        <f t="shared" si="21"/>
        <v>#N/A</v>
      </c>
      <c r="AG56" s="835" t="e">
        <f t="shared" si="21"/>
        <v>#N/A</v>
      </c>
      <c r="AH56" s="835" t="e">
        <f t="shared" si="21"/>
        <v>#N/A</v>
      </c>
      <c r="AI56" s="835" t="e">
        <f t="shared" si="21"/>
        <v>#N/A</v>
      </c>
      <c r="AJ56" s="835" t="e">
        <f t="shared" si="21"/>
        <v>#N/A</v>
      </c>
      <c r="AK56" s="507"/>
      <c r="AL56" s="502">
        <v>2</v>
      </c>
      <c r="AM56" s="835" t="e">
        <f t="shared" si="28"/>
        <v>#N/A</v>
      </c>
      <c r="AN56" s="835" t="e">
        <f t="shared" si="28"/>
        <v>#N/A</v>
      </c>
      <c r="AO56" s="835" t="e">
        <f t="shared" si="28"/>
        <v>#N/A</v>
      </c>
      <c r="AP56" s="835" t="e">
        <f t="shared" si="28"/>
        <v>#N/A</v>
      </c>
      <c r="AQ56" s="835" t="e">
        <f t="shared" si="28"/>
        <v>#N/A</v>
      </c>
      <c r="AR56" s="835" t="e">
        <f t="shared" si="28"/>
        <v>#N/A</v>
      </c>
      <c r="AS56" s="502"/>
      <c r="AT56" s="502">
        <v>4</v>
      </c>
      <c r="AU56" s="835" t="e">
        <f t="shared" si="27"/>
        <v>#N/A</v>
      </c>
      <c r="AV56" s="835" t="e">
        <f t="shared" si="27"/>
        <v>#N/A</v>
      </c>
      <c r="AW56" s="835" t="e">
        <f t="shared" si="27"/>
        <v>#N/A</v>
      </c>
      <c r="AX56" s="835" t="e">
        <f t="shared" si="27"/>
        <v>#N/A</v>
      </c>
      <c r="AY56" s="835" t="e">
        <f t="shared" si="27"/>
        <v>#N/A</v>
      </c>
      <c r="AZ56" s="835" t="e">
        <f t="shared" si="27"/>
        <v>#N/A</v>
      </c>
      <c r="BA56" s="502"/>
      <c r="BB56" s="502"/>
      <c r="BC56" s="502" t="e">
        <f>NA()</f>
        <v>#N/A</v>
      </c>
      <c r="BD56" s="502" t="e">
        <f>NA()</f>
        <v>#N/A</v>
      </c>
      <c r="BE56" s="502" t="e">
        <f>NA()</f>
        <v>#N/A</v>
      </c>
      <c r="BF56" s="502" t="e">
        <f>NA()</f>
        <v>#N/A</v>
      </c>
      <c r="BG56" s="502" t="e">
        <f>NA()</f>
        <v>#N/A</v>
      </c>
      <c r="BH56" s="502" t="e">
        <f>NA()</f>
        <v>#N/A</v>
      </c>
      <c r="BI56" s="502"/>
      <c r="BJ56" s="502"/>
      <c r="BK56" s="502" t="e">
        <f>NA()</f>
        <v>#N/A</v>
      </c>
      <c r="BL56" s="502" t="e">
        <f>NA()</f>
        <v>#N/A</v>
      </c>
      <c r="BM56" s="502" t="e">
        <f>NA()</f>
        <v>#N/A</v>
      </c>
      <c r="BN56" s="502" t="e">
        <f>NA()</f>
        <v>#N/A</v>
      </c>
      <c r="BO56" s="502" t="e">
        <f>NA()</f>
        <v>#N/A</v>
      </c>
      <c r="BP56" s="502" t="e">
        <f>NA()</f>
        <v>#N/A</v>
      </c>
      <c r="BQ56" s="502"/>
      <c r="BR56" s="502"/>
      <c r="BS56" s="502" t="e">
        <f>NA()</f>
        <v>#N/A</v>
      </c>
      <c r="BT56" s="502" t="e">
        <f>NA()</f>
        <v>#N/A</v>
      </c>
      <c r="BU56" s="502" t="e">
        <f>NA()</f>
        <v>#N/A</v>
      </c>
      <c r="BV56" s="502" t="e">
        <f>NA()</f>
        <v>#N/A</v>
      </c>
      <c r="BW56" s="502" t="e">
        <f>NA()</f>
        <v>#N/A</v>
      </c>
      <c r="BX56" s="502" t="e">
        <f>NA()</f>
        <v>#N/A</v>
      </c>
      <c r="BY56" s="502"/>
      <c r="BZ56" s="502"/>
      <c r="CA56" s="502" t="e">
        <f>NA()</f>
        <v>#N/A</v>
      </c>
      <c r="CB56" s="502" t="e">
        <f>NA()</f>
        <v>#N/A</v>
      </c>
      <c r="CC56" s="502" t="e">
        <f>NA()</f>
        <v>#N/A</v>
      </c>
      <c r="CD56" s="502" t="e">
        <f>NA()</f>
        <v>#N/A</v>
      </c>
      <c r="CE56" s="502" t="e">
        <f>NA()</f>
        <v>#N/A</v>
      </c>
      <c r="CF56" s="502" t="e">
        <f>NA()</f>
        <v>#N/A</v>
      </c>
    </row>
    <row r="57" spans="1:84" x14ac:dyDescent="0.25">
      <c r="A57" s="40"/>
      <c r="E57" s="502"/>
      <c r="F57" s="503">
        <v>7</v>
      </c>
      <c r="G57" s="836" t="str">
        <f>IF('GRR AIAG GR&amp;R'!I17="","",'GRR AIAG GR&amp;R'!I17)</f>
        <v/>
      </c>
      <c r="H57" s="836" t="str">
        <f>IF('GRR AIAG GR&amp;R'!I18="","",'GRR AIAG GR&amp;R'!I18)</f>
        <v/>
      </c>
      <c r="I57" s="836" t="str">
        <f>IF('GRR AIAG GR&amp;R'!I19="","",'GRR AIAG GR&amp;R'!I19)</f>
        <v/>
      </c>
      <c r="K57" s="838" t="str">
        <f t="shared" si="11"/>
        <v/>
      </c>
      <c r="L57" s="838" t="str">
        <f t="shared" si="12"/>
        <v/>
      </c>
      <c r="M57" s="507"/>
      <c r="N57" s="503">
        <v>7</v>
      </c>
      <c r="O57" s="835" t="e">
        <f>NA()</f>
        <v>#N/A</v>
      </c>
      <c r="P57" s="835" t="e">
        <f t="shared" si="24"/>
        <v>#N/A</v>
      </c>
      <c r="Q57" s="835" t="e">
        <f>NA()</f>
        <v>#N/A</v>
      </c>
      <c r="R57" s="835" t="e">
        <f>NA()</f>
        <v>#N/A</v>
      </c>
      <c r="S57" s="835" t="e">
        <f t="shared" si="25"/>
        <v>#N/A</v>
      </c>
      <c r="T57" s="835" t="e">
        <f>NA()</f>
        <v>#N/A</v>
      </c>
      <c r="U57" s="507"/>
      <c r="V57" s="503">
        <v>8</v>
      </c>
      <c r="W57" s="835" t="e">
        <f t="shared" si="23"/>
        <v>#N/A</v>
      </c>
      <c r="X57" s="835" t="e">
        <f t="shared" si="23"/>
        <v>#N/A</v>
      </c>
      <c r="Y57" s="835" t="e">
        <f t="shared" si="23"/>
        <v>#N/A</v>
      </c>
      <c r="Z57" s="835" t="e">
        <f t="shared" si="23"/>
        <v>#N/A</v>
      </c>
      <c r="AA57" s="835" t="e">
        <f t="shared" si="23"/>
        <v>#N/A</v>
      </c>
      <c r="AB57" s="835" t="e">
        <f t="shared" si="23"/>
        <v>#N/A</v>
      </c>
      <c r="AC57" s="506" t="s">
        <v>544</v>
      </c>
      <c r="AD57" s="503">
        <v>1</v>
      </c>
      <c r="AE57" s="835" t="e">
        <f t="shared" ref="AE57:AJ64" si="29">O61</f>
        <v>#N/A</v>
      </c>
      <c r="AF57" s="835" t="e">
        <f t="shared" si="29"/>
        <v>#N/A</v>
      </c>
      <c r="AG57" s="835" t="e">
        <f t="shared" si="29"/>
        <v>#N/A</v>
      </c>
      <c r="AH57" s="835" t="e">
        <f t="shared" si="29"/>
        <v>#N/A</v>
      </c>
      <c r="AI57" s="835" t="e">
        <f t="shared" si="29"/>
        <v>#N/A</v>
      </c>
      <c r="AJ57" s="835" t="e">
        <f t="shared" si="29"/>
        <v>#N/A</v>
      </c>
      <c r="AK57" s="502"/>
      <c r="AL57" s="502">
        <v>3</v>
      </c>
      <c r="AM57" s="835" t="e">
        <f t="shared" si="28"/>
        <v>#N/A</v>
      </c>
      <c r="AN57" s="835" t="e">
        <f t="shared" si="28"/>
        <v>#N/A</v>
      </c>
      <c r="AO57" s="835" t="e">
        <f t="shared" si="28"/>
        <v>#N/A</v>
      </c>
      <c r="AP57" s="835" t="e">
        <f t="shared" si="28"/>
        <v>#N/A</v>
      </c>
      <c r="AQ57" s="835" t="e">
        <f t="shared" si="28"/>
        <v>#N/A</v>
      </c>
      <c r="AR57" s="835" t="e">
        <f t="shared" si="28"/>
        <v>#N/A</v>
      </c>
      <c r="AS57" s="502"/>
      <c r="AT57" s="502">
        <v>5</v>
      </c>
      <c r="AU57" s="835" t="e">
        <f t="shared" si="27"/>
        <v>#N/A</v>
      </c>
      <c r="AV57" s="835" t="e">
        <f t="shared" si="27"/>
        <v>#N/A</v>
      </c>
      <c r="AW57" s="835" t="e">
        <f t="shared" si="27"/>
        <v>#N/A</v>
      </c>
      <c r="AX57" s="835" t="e">
        <f t="shared" si="27"/>
        <v>#N/A</v>
      </c>
      <c r="AY57" s="835" t="e">
        <f t="shared" si="27"/>
        <v>#N/A</v>
      </c>
      <c r="AZ57" s="835" t="e">
        <f t="shared" si="27"/>
        <v>#N/A</v>
      </c>
      <c r="BA57" s="502"/>
      <c r="BB57" s="502"/>
      <c r="BC57" s="502" t="e">
        <f>NA()</f>
        <v>#N/A</v>
      </c>
      <c r="BD57" s="502" t="e">
        <f>NA()</f>
        <v>#N/A</v>
      </c>
      <c r="BE57" s="502" t="e">
        <f>NA()</f>
        <v>#N/A</v>
      </c>
      <c r="BF57" s="502" t="e">
        <f>NA()</f>
        <v>#N/A</v>
      </c>
      <c r="BG57" s="502" t="e">
        <f>NA()</f>
        <v>#N/A</v>
      </c>
      <c r="BH57" s="502" t="e">
        <f>NA()</f>
        <v>#N/A</v>
      </c>
      <c r="BI57" s="502"/>
      <c r="BJ57" s="502"/>
      <c r="BK57" s="502" t="e">
        <f>NA()</f>
        <v>#N/A</v>
      </c>
      <c r="BL57" s="502" t="e">
        <f>NA()</f>
        <v>#N/A</v>
      </c>
      <c r="BM57" s="502" t="e">
        <f>NA()</f>
        <v>#N/A</v>
      </c>
      <c r="BN57" s="502" t="e">
        <f>NA()</f>
        <v>#N/A</v>
      </c>
      <c r="BO57" s="502" t="e">
        <f>NA()</f>
        <v>#N/A</v>
      </c>
      <c r="BP57" s="502" t="e">
        <f>NA()</f>
        <v>#N/A</v>
      </c>
      <c r="BQ57" s="502"/>
      <c r="BR57" s="502"/>
      <c r="BS57" s="502" t="e">
        <f>NA()</f>
        <v>#N/A</v>
      </c>
      <c r="BT57" s="502" t="e">
        <f>NA()</f>
        <v>#N/A</v>
      </c>
      <c r="BU57" s="502" t="e">
        <f>NA()</f>
        <v>#N/A</v>
      </c>
      <c r="BV57" s="502" t="e">
        <f>NA()</f>
        <v>#N/A</v>
      </c>
      <c r="BW57" s="502" t="e">
        <f>NA()</f>
        <v>#N/A</v>
      </c>
      <c r="BX57" s="502" t="e">
        <f>NA()</f>
        <v>#N/A</v>
      </c>
      <c r="BY57" s="502"/>
      <c r="BZ57" s="502"/>
      <c r="CA57" s="502" t="e">
        <f>NA()</f>
        <v>#N/A</v>
      </c>
      <c r="CB57" s="502" t="e">
        <f>NA()</f>
        <v>#N/A</v>
      </c>
      <c r="CC57" s="502" t="e">
        <f>NA()</f>
        <v>#N/A</v>
      </c>
      <c r="CD57" s="502" t="e">
        <f>NA()</f>
        <v>#N/A</v>
      </c>
      <c r="CE57" s="502" t="e">
        <f>NA()</f>
        <v>#N/A</v>
      </c>
      <c r="CF57" s="502" t="e">
        <f>NA()</f>
        <v>#N/A</v>
      </c>
    </row>
    <row r="58" spans="1:84" x14ac:dyDescent="0.25">
      <c r="A58" s="40"/>
      <c r="E58" s="502"/>
      <c r="F58" s="503">
        <v>8</v>
      </c>
      <c r="G58" s="836" t="str">
        <f>IF('GRR AIAG GR&amp;R'!J17="","",'GRR AIAG GR&amp;R'!J17)</f>
        <v/>
      </c>
      <c r="H58" s="836" t="str">
        <f>IF('GRR AIAG GR&amp;R'!J18="","",'GRR AIAG GR&amp;R'!J18)</f>
        <v/>
      </c>
      <c r="I58" s="836" t="str">
        <f>IF('GRR AIAG GR&amp;R'!J19="","",'GRR AIAG GR&amp;R'!J19)</f>
        <v/>
      </c>
      <c r="K58" s="838" t="str">
        <f t="shared" si="11"/>
        <v/>
      </c>
      <c r="L58" s="838" t="str">
        <f t="shared" si="12"/>
        <v/>
      </c>
      <c r="M58" s="507"/>
      <c r="N58" s="503">
        <v>8</v>
      </c>
      <c r="O58" s="835" t="e">
        <f>NA()</f>
        <v>#N/A</v>
      </c>
      <c r="P58" s="835" t="e">
        <f t="shared" si="24"/>
        <v>#N/A</v>
      </c>
      <c r="Q58" s="835" t="e">
        <f>NA()</f>
        <v>#N/A</v>
      </c>
      <c r="R58" s="835" t="e">
        <f>NA()</f>
        <v>#N/A</v>
      </c>
      <c r="S58" s="835" t="e">
        <f t="shared" si="25"/>
        <v>#N/A</v>
      </c>
      <c r="T58" s="835" t="e">
        <f>NA()</f>
        <v>#N/A</v>
      </c>
      <c r="U58" s="507"/>
      <c r="V58" s="503">
        <v>9</v>
      </c>
      <c r="W58" s="835" t="e">
        <f t="shared" si="23"/>
        <v>#N/A</v>
      </c>
      <c r="X58" s="835" t="e">
        <f t="shared" si="23"/>
        <v>#N/A</v>
      </c>
      <c r="Y58" s="835" t="e">
        <f t="shared" si="23"/>
        <v>#N/A</v>
      </c>
      <c r="Z58" s="835" t="e">
        <f t="shared" si="23"/>
        <v>#N/A</v>
      </c>
      <c r="AA58" s="835" t="e">
        <f t="shared" si="23"/>
        <v>#N/A</v>
      </c>
      <c r="AB58" s="835" t="e">
        <f t="shared" si="23"/>
        <v>#N/A</v>
      </c>
      <c r="AC58" s="507"/>
      <c r="AD58" s="503">
        <v>2</v>
      </c>
      <c r="AE58" s="835" t="e">
        <f t="shared" si="29"/>
        <v>#N/A</v>
      </c>
      <c r="AF58" s="835" t="e">
        <f t="shared" si="29"/>
        <v>#N/A</v>
      </c>
      <c r="AG58" s="835" t="e">
        <f t="shared" si="29"/>
        <v>#N/A</v>
      </c>
      <c r="AH58" s="835" t="e">
        <f t="shared" si="29"/>
        <v>#N/A</v>
      </c>
      <c r="AI58" s="835" t="e">
        <f t="shared" si="29"/>
        <v>#N/A</v>
      </c>
      <c r="AJ58" s="835" t="e">
        <f t="shared" si="29"/>
        <v>#N/A</v>
      </c>
      <c r="AK58" s="502"/>
      <c r="AL58" s="502">
        <v>4</v>
      </c>
      <c r="AM58" s="835" t="e">
        <f t="shared" si="28"/>
        <v>#N/A</v>
      </c>
      <c r="AN58" s="835" t="e">
        <f t="shared" si="28"/>
        <v>#N/A</v>
      </c>
      <c r="AO58" s="835" t="e">
        <f t="shared" si="28"/>
        <v>#N/A</v>
      </c>
      <c r="AP58" s="835" t="e">
        <f t="shared" si="28"/>
        <v>#N/A</v>
      </c>
      <c r="AQ58" s="835" t="e">
        <f t="shared" si="28"/>
        <v>#N/A</v>
      </c>
      <c r="AR58" s="835" t="e">
        <f t="shared" si="28"/>
        <v>#N/A</v>
      </c>
      <c r="AS58" s="502"/>
      <c r="AT58" s="502">
        <v>6</v>
      </c>
      <c r="AU58" s="835" t="e">
        <f t="shared" si="27"/>
        <v>#N/A</v>
      </c>
      <c r="AV58" s="835" t="e">
        <f t="shared" si="27"/>
        <v>#N/A</v>
      </c>
      <c r="AW58" s="835" t="e">
        <f t="shared" si="27"/>
        <v>#N/A</v>
      </c>
      <c r="AX58" s="835" t="e">
        <f t="shared" si="27"/>
        <v>#N/A</v>
      </c>
      <c r="AY58" s="835" t="e">
        <f t="shared" si="27"/>
        <v>#N/A</v>
      </c>
      <c r="AZ58" s="835" t="e">
        <f t="shared" si="27"/>
        <v>#N/A</v>
      </c>
      <c r="BA58" s="502"/>
      <c r="BB58" s="502"/>
      <c r="BC58" s="502" t="e">
        <f>NA()</f>
        <v>#N/A</v>
      </c>
      <c r="BD58" s="502" t="e">
        <f>NA()</f>
        <v>#N/A</v>
      </c>
      <c r="BE58" s="502" t="e">
        <f>NA()</f>
        <v>#N/A</v>
      </c>
      <c r="BF58" s="502" t="e">
        <f>NA()</f>
        <v>#N/A</v>
      </c>
      <c r="BG58" s="502" t="e">
        <f>NA()</f>
        <v>#N/A</v>
      </c>
      <c r="BH58" s="502" t="e">
        <f>NA()</f>
        <v>#N/A</v>
      </c>
      <c r="BI58" s="502"/>
      <c r="BJ58" s="502"/>
      <c r="BK58" s="502" t="e">
        <f>NA()</f>
        <v>#N/A</v>
      </c>
      <c r="BL58" s="502" t="e">
        <f>NA()</f>
        <v>#N/A</v>
      </c>
      <c r="BM58" s="502" t="e">
        <f>NA()</f>
        <v>#N/A</v>
      </c>
      <c r="BN58" s="502" t="e">
        <f>NA()</f>
        <v>#N/A</v>
      </c>
      <c r="BO58" s="502" t="e">
        <f>NA()</f>
        <v>#N/A</v>
      </c>
      <c r="BP58" s="502" t="e">
        <f>NA()</f>
        <v>#N/A</v>
      </c>
      <c r="BQ58" s="502"/>
      <c r="BR58" s="502"/>
      <c r="BS58" s="502" t="e">
        <f>NA()</f>
        <v>#N/A</v>
      </c>
      <c r="BT58" s="502" t="e">
        <f>NA()</f>
        <v>#N/A</v>
      </c>
      <c r="BU58" s="502" t="e">
        <f>NA()</f>
        <v>#N/A</v>
      </c>
      <c r="BV58" s="502" t="e">
        <f>NA()</f>
        <v>#N/A</v>
      </c>
      <c r="BW58" s="502" t="e">
        <f>NA()</f>
        <v>#N/A</v>
      </c>
      <c r="BX58" s="502" t="e">
        <f>NA()</f>
        <v>#N/A</v>
      </c>
      <c r="BY58" s="502"/>
      <c r="BZ58" s="502"/>
      <c r="CA58" s="502" t="e">
        <f>NA()</f>
        <v>#N/A</v>
      </c>
      <c r="CB58" s="502" t="e">
        <f>NA()</f>
        <v>#N/A</v>
      </c>
      <c r="CC58" s="502" t="e">
        <f>NA()</f>
        <v>#N/A</v>
      </c>
      <c r="CD58" s="502" t="e">
        <f>NA()</f>
        <v>#N/A</v>
      </c>
      <c r="CE58" s="502" t="e">
        <f>NA()</f>
        <v>#N/A</v>
      </c>
      <c r="CF58" s="502" t="e">
        <f>NA()</f>
        <v>#N/A</v>
      </c>
    </row>
    <row r="59" spans="1:84" x14ac:dyDescent="0.25">
      <c r="A59" s="40"/>
      <c r="E59" s="502"/>
      <c r="F59" s="503">
        <v>9</v>
      </c>
      <c r="G59" s="836" t="str">
        <f>IF('GRR AIAG GR&amp;R'!K17="","",'GRR AIAG GR&amp;R'!K17)</f>
        <v/>
      </c>
      <c r="H59" s="836" t="str">
        <f>IF('GRR AIAG GR&amp;R'!K18="","",'GRR AIAG GR&amp;R'!K18)</f>
        <v/>
      </c>
      <c r="I59" s="836" t="str">
        <f>IF('GRR AIAG GR&amp;R'!K19="","",'GRR AIAG GR&amp;R'!K19)</f>
        <v/>
      </c>
      <c r="K59" s="838" t="str">
        <f t="shared" si="11"/>
        <v/>
      </c>
      <c r="L59" s="838" t="str">
        <f t="shared" si="12"/>
        <v/>
      </c>
      <c r="M59" s="507"/>
      <c r="N59" s="503">
        <v>9</v>
      </c>
      <c r="O59" s="835" t="e">
        <f>NA()</f>
        <v>#N/A</v>
      </c>
      <c r="P59" s="835" t="e">
        <f t="shared" si="24"/>
        <v>#N/A</v>
      </c>
      <c r="Q59" s="835" t="e">
        <f>NA()</f>
        <v>#N/A</v>
      </c>
      <c r="R59" s="835" t="e">
        <f>NA()</f>
        <v>#N/A</v>
      </c>
      <c r="S59" s="835" t="e">
        <f t="shared" si="25"/>
        <v>#N/A</v>
      </c>
      <c r="T59" s="835" t="e">
        <f>NA()</f>
        <v>#N/A</v>
      </c>
      <c r="U59" s="506" t="s">
        <v>544</v>
      </c>
      <c r="V59" s="503">
        <v>1</v>
      </c>
      <c r="W59" s="835" t="e">
        <f t="shared" ref="W59:AB67" si="30">O61</f>
        <v>#N/A</v>
      </c>
      <c r="X59" s="835" t="e">
        <f t="shared" si="30"/>
        <v>#N/A</v>
      </c>
      <c r="Y59" s="835" t="e">
        <f t="shared" si="30"/>
        <v>#N/A</v>
      </c>
      <c r="Z59" s="835" t="e">
        <f t="shared" si="30"/>
        <v>#N/A</v>
      </c>
      <c r="AA59" s="835" t="e">
        <f t="shared" si="30"/>
        <v>#N/A</v>
      </c>
      <c r="AB59" s="835" t="e">
        <f t="shared" si="30"/>
        <v>#N/A</v>
      </c>
      <c r="AC59" s="502"/>
      <c r="AD59" s="503">
        <v>3</v>
      </c>
      <c r="AE59" s="835" t="e">
        <f t="shared" si="29"/>
        <v>#N/A</v>
      </c>
      <c r="AF59" s="835" t="e">
        <f t="shared" si="29"/>
        <v>#N/A</v>
      </c>
      <c r="AG59" s="835" t="e">
        <f t="shared" si="29"/>
        <v>#N/A</v>
      </c>
      <c r="AH59" s="835" t="e">
        <f t="shared" si="29"/>
        <v>#N/A</v>
      </c>
      <c r="AI59" s="835" t="e">
        <f t="shared" si="29"/>
        <v>#N/A</v>
      </c>
      <c r="AJ59" s="835" t="e">
        <f t="shared" si="29"/>
        <v>#N/A</v>
      </c>
      <c r="AK59" s="502"/>
      <c r="AL59" s="502">
        <v>5</v>
      </c>
      <c r="AM59" s="835" t="e">
        <f t="shared" si="28"/>
        <v>#N/A</v>
      </c>
      <c r="AN59" s="835" t="e">
        <f t="shared" si="28"/>
        <v>#N/A</v>
      </c>
      <c r="AO59" s="835" t="e">
        <f t="shared" si="28"/>
        <v>#N/A</v>
      </c>
      <c r="AP59" s="835" t="e">
        <f t="shared" si="28"/>
        <v>#N/A</v>
      </c>
      <c r="AQ59" s="835" t="e">
        <f t="shared" si="28"/>
        <v>#N/A</v>
      </c>
      <c r="AR59" s="835" t="e">
        <f t="shared" si="28"/>
        <v>#N/A</v>
      </c>
      <c r="AS59" s="502"/>
      <c r="AT59" s="502"/>
      <c r="AU59" s="502" t="e">
        <f>NA()</f>
        <v>#N/A</v>
      </c>
      <c r="AV59" s="502" t="e">
        <f>NA()</f>
        <v>#N/A</v>
      </c>
      <c r="AW59" s="502" t="e">
        <f>NA()</f>
        <v>#N/A</v>
      </c>
      <c r="AX59" s="502" t="e">
        <f>NA()</f>
        <v>#N/A</v>
      </c>
      <c r="AY59" s="502" t="e">
        <f>NA()</f>
        <v>#N/A</v>
      </c>
      <c r="AZ59" s="502" t="e">
        <f>NA()</f>
        <v>#N/A</v>
      </c>
      <c r="BA59" s="502"/>
      <c r="BB59" s="502"/>
      <c r="BC59" s="502" t="e">
        <f>NA()</f>
        <v>#N/A</v>
      </c>
      <c r="BD59" s="502" t="e">
        <f>NA()</f>
        <v>#N/A</v>
      </c>
      <c r="BE59" s="502" t="e">
        <f>NA()</f>
        <v>#N/A</v>
      </c>
      <c r="BF59" s="502" t="e">
        <f>NA()</f>
        <v>#N/A</v>
      </c>
      <c r="BG59" s="502" t="e">
        <f>NA()</f>
        <v>#N/A</v>
      </c>
      <c r="BH59" s="502" t="e">
        <f>NA()</f>
        <v>#N/A</v>
      </c>
      <c r="BI59" s="502"/>
      <c r="BJ59" s="502"/>
      <c r="BK59" s="502" t="e">
        <f>NA()</f>
        <v>#N/A</v>
      </c>
      <c r="BL59" s="502" t="e">
        <f>NA()</f>
        <v>#N/A</v>
      </c>
      <c r="BM59" s="502" t="e">
        <f>NA()</f>
        <v>#N/A</v>
      </c>
      <c r="BN59" s="502" t="e">
        <f>NA()</f>
        <v>#N/A</v>
      </c>
      <c r="BO59" s="502" t="e">
        <f>NA()</f>
        <v>#N/A</v>
      </c>
      <c r="BP59" s="502" t="e">
        <f>NA()</f>
        <v>#N/A</v>
      </c>
      <c r="BQ59" s="502"/>
      <c r="BR59" s="502"/>
      <c r="BS59" s="502" t="e">
        <f>NA()</f>
        <v>#N/A</v>
      </c>
      <c r="BT59" s="502" t="e">
        <f>NA()</f>
        <v>#N/A</v>
      </c>
      <c r="BU59" s="502" t="e">
        <f>NA()</f>
        <v>#N/A</v>
      </c>
      <c r="BV59" s="502" t="e">
        <f>NA()</f>
        <v>#N/A</v>
      </c>
      <c r="BW59" s="502" t="e">
        <f>NA()</f>
        <v>#N/A</v>
      </c>
      <c r="BX59" s="502" t="e">
        <f>NA()</f>
        <v>#N/A</v>
      </c>
      <c r="BY59" s="502"/>
      <c r="BZ59" s="502"/>
      <c r="CA59" s="502" t="e">
        <f>NA()</f>
        <v>#N/A</v>
      </c>
      <c r="CB59" s="502" t="e">
        <f>NA()</f>
        <v>#N/A</v>
      </c>
      <c r="CC59" s="502" t="e">
        <f>NA()</f>
        <v>#N/A</v>
      </c>
      <c r="CD59" s="502" t="e">
        <f>NA()</f>
        <v>#N/A</v>
      </c>
      <c r="CE59" s="502" t="e">
        <f>NA()</f>
        <v>#N/A</v>
      </c>
      <c r="CF59" s="502" t="e">
        <f>NA()</f>
        <v>#N/A</v>
      </c>
    </row>
    <row r="60" spans="1:84" x14ac:dyDescent="0.25">
      <c r="A60" s="40"/>
      <c r="E60" s="502"/>
      <c r="F60" s="503">
        <v>10</v>
      </c>
      <c r="G60" s="836" t="str">
        <f>IF('GRR AIAG GR&amp;R'!L17="","",'GRR AIAG GR&amp;R'!L17)</f>
        <v/>
      </c>
      <c r="H60" s="836" t="str">
        <f>IF('GRR AIAG GR&amp;R'!L18="","",'GRR AIAG GR&amp;R'!L18)</f>
        <v/>
      </c>
      <c r="I60" s="836" t="str">
        <f>IF('GRR AIAG GR&amp;R'!L19="","",'GRR AIAG GR&amp;R'!L19)</f>
        <v/>
      </c>
      <c r="K60" s="839" t="str">
        <f t="shared" si="11"/>
        <v/>
      </c>
      <c r="L60" s="839" t="str">
        <f t="shared" si="12"/>
        <v/>
      </c>
      <c r="M60" s="507"/>
      <c r="N60" s="503">
        <v>10</v>
      </c>
      <c r="O60" s="835" t="e">
        <f>NA()</f>
        <v>#N/A</v>
      </c>
      <c r="P60" s="835" t="e">
        <f t="shared" si="24"/>
        <v>#N/A</v>
      </c>
      <c r="Q60" s="835" t="e">
        <f>NA()</f>
        <v>#N/A</v>
      </c>
      <c r="R60" s="835" t="e">
        <f>NA()</f>
        <v>#N/A</v>
      </c>
      <c r="S60" s="835" t="e">
        <f t="shared" si="25"/>
        <v>#N/A</v>
      </c>
      <c r="T60" s="835" t="e">
        <f>NA()</f>
        <v>#N/A</v>
      </c>
      <c r="U60" s="507"/>
      <c r="V60" s="503">
        <v>2</v>
      </c>
      <c r="W60" s="835" t="e">
        <f t="shared" si="30"/>
        <v>#N/A</v>
      </c>
      <c r="X60" s="835" t="e">
        <f t="shared" si="30"/>
        <v>#N/A</v>
      </c>
      <c r="Y60" s="835" t="e">
        <f t="shared" si="30"/>
        <v>#N/A</v>
      </c>
      <c r="Z60" s="835" t="e">
        <f t="shared" si="30"/>
        <v>#N/A</v>
      </c>
      <c r="AA60" s="835" t="e">
        <f t="shared" si="30"/>
        <v>#N/A</v>
      </c>
      <c r="AB60" s="835" t="e">
        <f t="shared" si="30"/>
        <v>#N/A</v>
      </c>
      <c r="AC60" s="502"/>
      <c r="AD60" s="503">
        <v>4</v>
      </c>
      <c r="AE60" s="835" t="e">
        <f t="shared" si="29"/>
        <v>#N/A</v>
      </c>
      <c r="AF60" s="835" t="e">
        <f t="shared" si="29"/>
        <v>#N/A</v>
      </c>
      <c r="AG60" s="835" t="e">
        <f t="shared" si="29"/>
        <v>#N/A</v>
      </c>
      <c r="AH60" s="835" t="e">
        <f t="shared" si="29"/>
        <v>#N/A</v>
      </c>
      <c r="AI60" s="835" t="e">
        <f t="shared" si="29"/>
        <v>#N/A</v>
      </c>
      <c r="AJ60" s="835" t="e">
        <f t="shared" si="29"/>
        <v>#N/A</v>
      </c>
      <c r="AK60" s="502"/>
      <c r="AL60" s="502">
        <v>6</v>
      </c>
      <c r="AM60" s="835" t="e">
        <f t="shared" si="28"/>
        <v>#N/A</v>
      </c>
      <c r="AN60" s="835" t="e">
        <f t="shared" si="28"/>
        <v>#N/A</v>
      </c>
      <c r="AO60" s="835" t="e">
        <f t="shared" si="28"/>
        <v>#N/A</v>
      </c>
      <c r="AP60" s="835" t="e">
        <f t="shared" si="28"/>
        <v>#N/A</v>
      </c>
      <c r="AQ60" s="835" t="e">
        <f t="shared" si="28"/>
        <v>#N/A</v>
      </c>
      <c r="AR60" s="835" t="e">
        <f t="shared" si="28"/>
        <v>#N/A</v>
      </c>
      <c r="AS60" s="502"/>
      <c r="AT60" s="502"/>
      <c r="AU60" s="502" t="e">
        <f>NA()</f>
        <v>#N/A</v>
      </c>
      <c r="AV60" s="502" t="e">
        <f>NA()</f>
        <v>#N/A</v>
      </c>
      <c r="AW60" s="502" t="e">
        <f>NA()</f>
        <v>#N/A</v>
      </c>
      <c r="AX60" s="502" t="e">
        <f>NA()</f>
        <v>#N/A</v>
      </c>
      <c r="AY60" s="502" t="e">
        <f>NA()</f>
        <v>#N/A</v>
      </c>
      <c r="AZ60" s="502" t="e">
        <f>NA()</f>
        <v>#N/A</v>
      </c>
      <c r="BA60" s="502"/>
      <c r="BB60" s="502"/>
      <c r="BC60" s="502" t="e">
        <f>NA()</f>
        <v>#N/A</v>
      </c>
      <c r="BD60" s="502" t="e">
        <f>NA()</f>
        <v>#N/A</v>
      </c>
      <c r="BE60" s="502" t="e">
        <f>NA()</f>
        <v>#N/A</v>
      </c>
      <c r="BF60" s="502" t="e">
        <f>NA()</f>
        <v>#N/A</v>
      </c>
      <c r="BG60" s="502" t="e">
        <f>NA()</f>
        <v>#N/A</v>
      </c>
      <c r="BH60" s="502" t="e">
        <f>NA()</f>
        <v>#N/A</v>
      </c>
      <c r="BI60" s="502"/>
      <c r="BJ60" s="502"/>
      <c r="BK60" s="502" t="e">
        <f>NA()</f>
        <v>#N/A</v>
      </c>
      <c r="BL60" s="502" t="e">
        <f>NA()</f>
        <v>#N/A</v>
      </c>
      <c r="BM60" s="502" t="e">
        <f>NA()</f>
        <v>#N/A</v>
      </c>
      <c r="BN60" s="502" t="e">
        <f>NA()</f>
        <v>#N/A</v>
      </c>
      <c r="BO60" s="502" t="e">
        <f>NA()</f>
        <v>#N/A</v>
      </c>
      <c r="BP60" s="502" t="e">
        <f>NA()</f>
        <v>#N/A</v>
      </c>
      <c r="BQ60" s="502"/>
      <c r="BR60" s="502"/>
      <c r="BS60" s="502" t="e">
        <f>NA()</f>
        <v>#N/A</v>
      </c>
      <c r="BT60" s="502" t="e">
        <f>NA()</f>
        <v>#N/A</v>
      </c>
      <c r="BU60" s="502" t="e">
        <f>NA()</f>
        <v>#N/A</v>
      </c>
      <c r="BV60" s="502" t="e">
        <f>NA()</f>
        <v>#N/A</v>
      </c>
      <c r="BW60" s="502" t="e">
        <f>NA()</f>
        <v>#N/A</v>
      </c>
      <c r="BX60" s="502" t="e">
        <f>NA()</f>
        <v>#N/A</v>
      </c>
      <c r="BY60" s="502"/>
      <c r="BZ60" s="502"/>
      <c r="CA60" s="502" t="e">
        <f>NA()</f>
        <v>#N/A</v>
      </c>
      <c r="CB60" s="502" t="e">
        <f>NA()</f>
        <v>#N/A</v>
      </c>
      <c r="CC60" s="502" t="e">
        <f>NA()</f>
        <v>#N/A</v>
      </c>
      <c r="CD60" s="502" t="e">
        <f>NA()</f>
        <v>#N/A</v>
      </c>
      <c r="CE60" s="502" t="e">
        <f>NA()</f>
        <v>#N/A</v>
      </c>
      <c r="CF60" s="502" t="e">
        <f>NA()</f>
        <v>#N/A</v>
      </c>
    </row>
    <row r="61" spans="1:84" x14ac:dyDescent="0.25">
      <c r="A61" s="40"/>
      <c r="E61" s="505" t="s">
        <v>544</v>
      </c>
      <c r="F61" s="503">
        <v>1</v>
      </c>
      <c r="G61" s="836" t="str">
        <f>IF('GRR AIAG GR&amp;R'!C22="","",'GRR AIAG GR&amp;R'!C22)</f>
        <v/>
      </c>
      <c r="H61" s="836" t="str">
        <f>IF('GRR AIAG GR&amp;R'!C23="","",'GRR AIAG GR&amp;R'!C23)</f>
        <v/>
      </c>
      <c r="I61" s="836" t="str">
        <f>IF('GRR AIAG GR&amp;R'!C24="","",'GRR AIAG GR&amp;R'!C24)</f>
        <v/>
      </c>
      <c r="K61" s="837" t="str">
        <f t="shared" si="11"/>
        <v/>
      </c>
      <c r="L61" s="837" t="str">
        <f t="shared" si="12"/>
        <v/>
      </c>
      <c r="M61" s="506" t="s">
        <v>544</v>
      </c>
      <c r="N61" s="503">
        <v>1</v>
      </c>
      <c r="O61" s="835" t="e">
        <f>NA()</f>
        <v>#N/A</v>
      </c>
      <c r="P61" s="835" t="e">
        <f>NA()</f>
        <v>#N/A</v>
      </c>
      <c r="Q61" s="835" t="e">
        <f t="shared" ref="Q61:Q70" si="31">IF(G61="",NA(),K61)</f>
        <v>#N/A</v>
      </c>
      <c r="R61" s="835" t="e">
        <f>NA()</f>
        <v>#N/A</v>
      </c>
      <c r="S61" s="835" t="e">
        <f>NA()</f>
        <v>#N/A</v>
      </c>
      <c r="T61" s="835" t="e">
        <f t="shared" ref="T61:T70" si="32">IF(G61="",NA(),L61)</f>
        <v>#N/A</v>
      </c>
      <c r="U61" s="502"/>
      <c r="V61" s="503">
        <v>3</v>
      </c>
      <c r="W61" s="835" t="e">
        <f t="shared" si="30"/>
        <v>#N/A</v>
      </c>
      <c r="X61" s="835" t="e">
        <f t="shared" si="30"/>
        <v>#N/A</v>
      </c>
      <c r="Y61" s="835" t="e">
        <f t="shared" si="30"/>
        <v>#N/A</v>
      </c>
      <c r="Z61" s="835" t="e">
        <f t="shared" si="30"/>
        <v>#N/A</v>
      </c>
      <c r="AA61" s="835" t="e">
        <f t="shared" si="30"/>
        <v>#N/A</v>
      </c>
      <c r="AB61" s="835" t="e">
        <f t="shared" si="30"/>
        <v>#N/A</v>
      </c>
      <c r="AC61" s="502"/>
      <c r="AD61" s="503">
        <v>5</v>
      </c>
      <c r="AE61" s="835" t="e">
        <f t="shared" si="29"/>
        <v>#N/A</v>
      </c>
      <c r="AF61" s="835" t="e">
        <f t="shared" si="29"/>
        <v>#N/A</v>
      </c>
      <c r="AG61" s="835" t="e">
        <f t="shared" si="29"/>
        <v>#N/A</v>
      </c>
      <c r="AH61" s="835" t="e">
        <f t="shared" si="29"/>
        <v>#N/A</v>
      </c>
      <c r="AI61" s="835" t="e">
        <f t="shared" si="29"/>
        <v>#N/A</v>
      </c>
      <c r="AJ61" s="835" t="e">
        <f t="shared" si="29"/>
        <v>#N/A</v>
      </c>
      <c r="AK61" s="502"/>
      <c r="AL61" s="502">
        <v>7</v>
      </c>
      <c r="AM61" s="835" t="e">
        <f t="shared" si="28"/>
        <v>#N/A</v>
      </c>
      <c r="AN61" s="835" t="e">
        <f t="shared" si="28"/>
        <v>#N/A</v>
      </c>
      <c r="AO61" s="835" t="e">
        <f t="shared" si="28"/>
        <v>#N/A</v>
      </c>
      <c r="AP61" s="835" t="e">
        <f t="shared" si="28"/>
        <v>#N/A</v>
      </c>
      <c r="AQ61" s="835" t="e">
        <f t="shared" si="28"/>
        <v>#N/A</v>
      </c>
      <c r="AR61" s="835" t="e">
        <f t="shared" si="28"/>
        <v>#N/A</v>
      </c>
      <c r="AS61" s="502"/>
      <c r="AT61" s="502"/>
      <c r="AU61" s="502" t="e">
        <f>NA()</f>
        <v>#N/A</v>
      </c>
      <c r="AV61" s="502" t="e">
        <f>NA()</f>
        <v>#N/A</v>
      </c>
      <c r="AW61" s="502" t="e">
        <f>NA()</f>
        <v>#N/A</v>
      </c>
      <c r="AX61" s="502" t="e">
        <f>NA()</f>
        <v>#N/A</v>
      </c>
      <c r="AY61" s="502" t="e">
        <f>NA()</f>
        <v>#N/A</v>
      </c>
      <c r="AZ61" s="502" t="e">
        <f>NA()</f>
        <v>#N/A</v>
      </c>
      <c r="BA61" s="502"/>
      <c r="BB61" s="502"/>
      <c r="BC61" s="502" t="e">
        <f>NA()</f>
        <v>#N/A</v>
      </c>
      <c r="BD61" s="502" t="e">
        <f>NA()</f>
        <v>#N/A</v>
      </c>
      <c r="BE61" s="502" t="e">
        <f>NA()</f>
        <v>#N/A</v>
      </c>
      <c r="BF61" s="502" t="e">
        <f>NA()</f>
        <v>#N/A</v>
      </c>
      <c r="BG61" s="502" t="e">
        <f>NA()</f>
        <v>#N/A</v>
      </c>
      <c r="BH61" s="502" t="e">
        <f>NA()</f>
        <v>#N/A</v>
      </c>
      <c r="BI61" s="502"/>
      <c r="BJ61" s="502"/>
      <c r="BK61" s="502" t="e">
        <f>NA()</f>
        <v>#N/A</v>
      </c>
      <c r="BL61" s="502" t="e">
        <f>NA()</f>
        <v>#N/A</v>
      </c>
      <c r="BM61" s="502" t="e">
        <f>NA()</f>
        <v>#N/A</v>
      </c>
      <c r="BN61" s="502" t="e">
        <f>NA()</f>
        <v>#N/A</v>
      </c>
      <c r="BO61" s="502" t="e">
        <f>NA()</f>
        <v>#N/A</v>
      </c>
      <c r="BP61" s="502" t="e">
        <f>NA()</f>
        <v>#N/A</v>
      </c>
      <c r="BQ61" s="502"/>
      <c r="BR61" s="502"/>
      <c r="BS61" s="502" t="e">
        <f>NA()</f>
        <v>#N/A</v>
      </c>
      <c r="BT61" s="502" t="e">
        <f>NA()</f>
        <v>#N/A</v>
      </c>
      <c r="BU61" s="502" t="e">
        <f>NA()</f>
        <v>#N/A</v>
      </c>
      <c r="BV61" s="502" t="e">
        <f>NA()</f>
        <v>#N/A</v>
      </c>
      <c r="BW61" s="502" t="e">
        <f>NA()</f>
        <v>#N/A</v>
      </c>
      <c r="BX61" s="502" t="e">
        <f>NA()</f>
        <v>#N/A</v>
      </c>
      <c r="BY61" s="502"/>
      <c r="BZ61" s="502"/>
      <c r="CA61" s="502" t="e">
        <f>NA()</f>
        <v>#N/A</v>
      </c>
      <c r="CB61" s="502" t="e">
        <f>NA()</f>
        <v>#N/A</v>
      </c>
      <c r="CC61" s="502" t="e">
        <f>NA()</f>
        <v>#N/A</v>
      </c>
      <c r="CD61" s="502" t="e">
        <f>NA()</f>
        <v>#N/A</v>
      </c>
      <c r="CE61" s="502" t="e">
        <f>NA()</f>
        <v>#N/A</v>
      </c>
      <c r="CF61" s="502" t="e">
        <f>NA()</f>
        <v>#N/A</v>
      </c>
    </row>
    <row r="62" spans="1:84" x14ac:dyDescent="0.25">
      <c r="A62" s="40"/>
      <c r="E62" s="502"/>
      <c r="F62" s="503">
        <v>2</v>
      </c>
      <c r="G62" s="836" t="str">
        <f>IF('GRR AIAG GR&amp;R'!D22="","",'GRR AIAG GR&amp;R'!D22)</f>
        <v/>
      </c>
      <c r="H62" s="836" t="str">
        <f>IF('GRR AIAG GR&amp;R'!D23="","",'GRR AIAG GR&amp;R'!D23)</f>
        <v/>
      </c>
      <c r="I62" s="836" t="str">
        <f>IF('GRR AIAG GR&amp;R'!D24="","",'GRR AIAG GR&amp;R'!D24)</f>
        <v/>
      </c>
      <c r="K62" s="838" t="str">
        <f t="shared" si="11"/>
        <v/>
      </c>
      <c r="L62" s="838" t="str">
        <f t="shared" si="12"/>
        <v/>
      </c>
      <c r="M62" s="507"/>
      <c r="N62" s="503">
        <v>2</v>
      </c>
      <c r="O62" s="835" t="e">
        <f>NA()</f>
        <v>#N/A</v>
      </c>
      <c r="P62" s="835" t="e">
        <f>NA()</f>
        <v>#N/A</v>
      </c>
      <c r="Q62" s="835" t="e">
        <f t="shared" si="31"/>
        <v>#N/A</v>
      </c>
      <c r="R62" s="835" t="e">
        <f>NA()</f>
        <v>#N/A</v>
      </c>
      <c r="S62" s="835" t="e">
        <f>NA()</f>
        <v>#N/A</v>
      </c>
      <c r="T62" s="835" t="e">
        <f t="shared" si="32"/>
        <v>#N/A</v>
      </c>
      <c r="U62" s="507"/>
      <c r="V62" s="503">
        <v>4</v>
      </c>
      <c r="W62" s="835" t="e">
        <f t="shared" si="30"/>
        <v>#N/A</v>
      </c>
      <c r="X62" s="835" t="e">
        <f t="shared" si="30"/>
        <v>#N/A</v>
      </c>
      <c r="Y62" s="835" t="e">
        <f t="shared" si="30"/>
        <v>#N/A</v>
      </c>
      <c r="Z62" s="835" t="e">
        <f t="shared" si="30"/>
        <v>#N/A</v>
      </c>
      <c r="AA62" s="835" t="e">
        <f t="shared" si="30"/>
        <v>#N/A</v>
      </c>
      <c r="AB62" s="835" t="e">
        <f t="shared" si="30"/>
        <v>#N/A</v>
      </c>
      <c r="AC62" s="502"/>
      <c r="AD62" s="503">
        <v>6</v>
      </c>
      <c r="AE62" s="835" t="e">
        <f t="shared" si="29"/>
        <v>#N/A</v>
      </c>
      <c r="AF62" s="835" t="e">
        <f t="shared" si="29"/>
        <v>#N/A</v>
      </c>
      <c r="AG62" s="835" t="e">
        <f t="shared" si="29"/>
        <v>#N/A</v>
      </c>
      <c r="AH62" s="835" t="e">
        <f t="shared" si="29"/>
        <v>#N/A</v>
      </c>
      <c r="AI62" s="835" t="e">
        <f t="shared" si="29"/>
        <v>#N/A</v>
      </c>
      <c r="AJ62" s="835" t="e">
        <f t="shared" si="29"/>
        <v>#N/A</v>
      </c>
      <c r="AK62" s="502"/>
      <c r="AL62" s="502"/>
      <c r="AM62" s="502" t="e">
        <f>NA()</f>
        <v>#N/A</v>
      </c>
      <c r="AN62" s="502" t="e">
        <f>NA()</f>
        <v>#N/A</v>
      </c>
      <c r="AO62" s="502" t="e">
        <f>NA()</f>
        <v>#N/A</v>
      </c>
      <c r="AP62" s="502" t="e">
        <f>NA()</f>
        <v>#N/A</v>
      </c>
      <c r="AQ62" s="502" t="e">
        <f>NA()</f>
        <v>#N/A</v>
      </c>
      <c r="AR62" s="502" t="e">
        <f>NA()</f>
        <v>#N/A</v>
      </c>
      <c r="AS62" s="502"/>
      <c r="AT62" s="502"/>
      <c r="AU62" s="502" t="e">
        <f>NA()</f>
        <v>#N/A</v>
      </c>
      <c r="AV62" s="502" t="e">
        <f>NA()</f>
        <v>#N/A</v>
      </c>
      <c r="AW62" s="502" t="e">
        <f>NA()</f>
        <v>#N/A</v>
      </c>
      <c r="AX62" s="502" t="e">
        <f>NA()</f>
        <v>#N/A</v>
      </c>
      <c r="AY62" s="502" t="e">
        <f>NA()</f>
        <v>#N/A</v>
      </c>
      <c r="AZ62" s="502" t="e">
        <f>NA()</f>
        <v>#N/A</v>
      </c>
      <c r="BA62" s="502"/>
      <c r="BB62" s="502"/>
      <c r="BC62" s="502" t="e">
        <f>NA()</f>
        <v>#N/A</v>
      </c>
      <c r="BD62" s="502" t="e">
        <f>NA()</f>
        <v>#N/A</v>
      </c>
      <c r="BE62" s="502" t="e">
        <f>NA()</f>
        <v>#N/A</v>
      </c>
      <c r="BF62" s="502" t="e">
        <f>NA()</f>
        <v>#N/A</v>
      </c>
      <c r="BG62" s="502" t="e">
        <f>NA()</f>
        <v>#N/A</v>
      </c>
      <c r="BH62" s="502" t="e">
        <f>NA()</f>
        <v>#N/A</v>
      </c>
      <c r="BI62" s="502"/>
      <c r="BJ62" s="502"/>
      <c r="BK62" s="502" t="e">
        <f>NA()</f>
        <v>#N/A</v>
      </c>
      <c r="BL62" s="502" t="e">
        <f>NA()</f>
        <v>#N/A</v>
      </c>
      <c r="BM62" s="502" t="e">
        <f>NA()</f>
        <v>#N/A</v>
      </c>
      <c r="BN62" s="502" t="e">
        <f>NA()</f>
        <v>#N/A</v>
      </c>
      <c r="BO62" s="502" t="e">
        <f>NA()</f>
        <v>#N/A</v>
      </c>
      <c r="BP62" s="502" t="e">
        <f>NA()</f>
        <v>#N/A</v>
      </c>
      <c r="BQ62" s="502"/>
      <c r="BR62" s="502"/>
      <c r="BS62" s="502" t="e">
        <f>NA()</f>
        <v>#N/A</v>
      </c>
      <c r="BT62" s="502" t="e">
        <f>NA()</f>
        <v>#N/A</v>
      </c>
      <c r="BU62" s="502" t="e">
        <f>NA()</f>
        <v>#N/A</v>
      </c>
      <c r="BV62" s="502" t="e">
        <f>NA()</f>
        <v>#N/A</v>
      </c>
      <c r="BW62" s="502" t="e">
        <f>NA()</f>
        <v>#N/A</v>
      </c>
      <c r="BX62" s="502" t="e">
        <f>NA()</f>
        <v>#N/A</v>
      </c>
      <c r="BY62" s="502"/>
      <c r="BZ62" s="502"/>
      <c r="CA62" s="502" t="e">
        <f>NA()</f>
        <v>#N/A</v>
      </c>
      <c r="CB62" s="502" t="e">
        <f>NA()</f>
        <v>#N/A</v>
      </c>
      <c r="CC62" s="502" t="e">
        <f>NA()</f>
        <v>#N/A</v>
      </c>
      <c r="CD62" s="502" t="e">
        <f>NA()</f>
        <v>#N/A</v>
      </c>
      <c r="CE62" s="502" t="e">
        <f>NA()</f>
        <v>#N/A</v>
      </c>
      <c r="CF62" s="502" t="e">
        <f>NA()</f>
        <v>#N/A</v>
      </c>
    </row>
    <row r="63" spans="1:84" x14ac:dyDescent="0.25">
      <c r="A63" s="40"/>
      <c r="E63" s="502"/>
      <c r="F63" s="503">
        <v>3</v>
      </c>
      <c r="G63" s="836" t="str">
        <f>IF('GRR AIAG GR&amp;R'!E22="","",'GRR AIAG GR&amp;R'!E22)</f>
        <v/>
      </c>
      <c r="H63" s="836" t="str">
        <f>IF('GRR AIAG GR&amp;R'!E23="","",'GRR AIAG GR&amp;R'!E23)</f>
        <v/>
      </c>
      <c r="I63" s="836" t="str">
        <f>IF('GRR AIAG GR&amp;R'!E24="","",'GRR AIAG GR&amp;R'!E24)</f>
        <v/>
      </c>
      <c r="K63" s="838" t="str">
        <f t="shared" si="11"/>
        <v/>
      </c>
      <c r="L63" s="838" t="str">
        <f t="shared" si="12"/>
        <v/>
      </c>
      <c r="M63" s="507"/>
      <c r="N63" s="503">
        <v>3</v>
      </c>
      <c r="O63" s="835" t="e">
        <f>NA()</f>
        <v>#N/A</v>
      </c>
      <c r="P63" s="835" t="e">
        <f>NA()</f>
        <v>#N/A</v>
      </c>
      <c r="Q63" s="835" t="e">
        <f t="shared" si="31"/>
        <v>#N/A</v>
      </c>
      <c r="R63" s="835" t="e">
        <f>NA()</f>
        <v>#N/A</v>
      </c>
      <c r="S63" s="835" t="e">
        <f>NA()</f>
        <v>#N/A</v>
      </c>
      <c r="T63" s="835" t="e">
        <f t="shared" si="32"/>
        <v>#N/A</v>
      </c>
      <c r="U63" s="507"/>
      <c r="V63" s="503">
        <v>5</v>
      </c>
      <c r="W63" s="835" t="e">
        <f t="shared" si="30"/>
        <v>#N/A</v>
      </c>
      <c r="X63" s="835" t="e">
        <f t="shared" si="30"/>
        <v>#N/A</v>
      </c>
      <c r="Y63" s="835" t="e">
        <f t="shared" si="30"/>
        <v>#N/A</v>
      </c>
      <c r="Z63" s="835" t="e">
        <f t="shared" si="30"/>
        <v>#N/A</v>
      </c>
      <c r="AA63" s="835" t="e">
        <f t="shared" si="30"/>
        <v>#N/A</v>
      </c>
      <c r="AB63" s="835" t="e">
        <f t="shared" si="30"/>
        <v>#N/A</v>
      </c>
      <c r="AC63" s="502"/>
      <c r="AD63" s="503">
        <v>7</v>
      </c>
      <c r="AE63" s="835" t="e">
        <f t="shared" si="29"/>
        <v>#N/A</v>
      </c>
      <c r="AF63" s="835" t="e">
        <f t="shared" si="29"/>
        <v>#N/A</v>
      </c>
      <c r="AG63" s="835" t="e">
        <f t="shared" si="29"/>
        <v>#N/A</v>
      </c>
      <c r="AH63" s="835" t="e">
        <f t="shared" si="29"/>
        <v>#N/A</v>
      </c>
      <c r="AI63" s="835" t="e">
        <f t="shared" si="29"/>
        <v>#N/A</v>
      </c>
      <c r="AJ63" s="835" t="e">
        <f t="shared" si="29"/>
        <v>#N/A</v>
      </c>
      <c r="AK63" s="502"/>
      <c r="AL63" s="502"/>
      <c r="AM63" s="502" t="e">
        <f>NA()</f>
        <v>#N/A</v>
      </c>
      <c r="AN63" s="502" t="e">
        <f>NA()</f>
        <v>#N/A</v>
      </c>
      <c r="AO63" s="502" t="e">
        <f>NA()</f>
        <v>#N/A</v>
      </c>
      <c r="AP63" s="502" t="e">
        <f>NA()</f>
        <v>#N/A</v>
      </c>
      <c r="AQ63" s="502" t="e">
        <f>NA()</f>
        <v>#N/A</v>
      </c>
      <c r="AR63" s="502" t="e">
        <f>NA()</f>
        <v>#N/A</v>
      </c>
      <c r="AS63" s="502"/>
      <c r="AT63" s="502"/>
      <c r="AU63" s="502" t="e">
        <f>NA()</f>
        <v>#N/A</v>
      </c>
      <c r="AV63" s="502" t="e">
        <f>NA()</f>
        <v>#N/A</v>
      </c>
      <c r="AW63" s="502" t="e">
        <f>NA()</f>
        <v>#N/A</v>
      </c>
      <c r="AX63" s="502" t="e">
        <f>NA()</f>
        <v>#N/A</v>
      </c>
      <c r="AY63" s="502" t="e">
        <f>NA()</f>
        <v>#N/A</v>
      </c>
      <c r="AZ63" s="502" t="e">
        <f>NA()</f>
        <v>#N/A</v>
      </c>
      <c r="BA63" s="502"/>
      <c r="BB63" s="502"/>
      <c r="BC63" s="502" t="e">
        <f>NA()</f>
        <v>#N/A</v>
      </c>
      <c r="BD63" s="502" t="e">
        <f>NA()</f>
        <v>#N/A</v>
      </c>
      <c r="BE63" s="502" t="e">
        <f>NA()</f>
        <v>#N/A</v>
      </c>
      <c r="BF63" s="502" t="e">
        <f>NA()</f>
        <v>#N/A</v>
      </c>
      <c r="BG63" s="502" t="e">
        <f>NA()</f>
        <v>#N/A</v>
      </c>
      <c r="BH63" s="502" t="e">
        <f>NA()</f>
        <v>#N/A</v>
      </c>
      <c r="BI63" s="502"/>
      <c r="BJ63" s="502"/>
      <c r="BK63" s="502" t="e">
        <f>NA()</f>
        <v>#N/A</v>
      </c>
      <c r="BL63" s="502" t="e">
        <f>NA()</f>
        <v>#N/A</v>
      </c>
      <c r="BM63" s="502" t="e">
        <f>NA()</f>
        <v>#N/A</v>
      </c>
      <c r="BN63" s="502" t="e">
        <f>NA()</f>
        <v>#N/A</v>
      </c>
      <c r="BO63" s="502" t="e">
        <f>NA()</f>
        <v>#N/A</v>
      </c>
      <c r="BP63" s="502" t="e">
        <f>NA()</f>
        <v>#N/A</v>
      </c>
      <c r="BQ63" s="502"/>
      <c r="BR63" s="502"/>
      <c r="BS63" s="502" t="e">
        <f>NA()</f>
        <v>#N/A</v>
      </c>
      <c r="BT63" s="502" t="e">
        <f>NA()</f>
        <v>#N/A</v>
      </c>
      <c r="BU63" s="502" t="e">
        <f>NA()</f>
        <v>#N/A</v>
      </c>
      <c r="BV63" s="502" t="e">
        <f>NA()</f>
        <v>#N/A</v>
      </c>
      <c r="BW63" s="502" t="e">
        <f>NA()</f>
        <v>#N/A</v>
      </c>
      <c r="BX63" s="502" t="e">
        <f>NA()</f>
        <v>#N/A</v>
      </c>
      <c r="BY63" s="502"/>
      <c r="BZ63" s="502"/>
      <c r="CA63" s="502" t="e">
        <f>NA()</f>
        <v>#N/A</v>
      </c>
      <c r="CB63" s="502" t="e">
        <f>NA()</f>
        <v>#N/A</v>
      </c>
      <c r="CC63" s="502" t="e">
        <f>NA()</f>
        <v>#N/A</v>
      </c>
      <c r="CD63" s="502" t="e">
        <f>NA()</f>
        <v>#N/A</v>
      </c>
      <c r="CE63" s="502" t="e">
        <f>NA()</f>
        <v>#N/A</v>
      </c>
      <c r="CF63" s="502" t="e">
        <f>NA()</f>
        <v>#N/A</v>
      </c>
    </row>
    <row r="64" spans="1:84" x14ac:dyDescent="0.25">
      <c r="A64" s="40"/>
      <c r="E64" s="502"/>
      <c r="F64" s="503">
        <v>4</v>
      </c>
      <c r="G64" s="836" t="str">
        <f>IF('GRR AIAG GR&amp;R'!F22="","",'GRR AIAG GR&amp;R'!F22)</f>
        <v/>
      </c>
      <c r="H64" s="836" t="str">
        <f>IF('GRR AIAG GR&amp;R'!F23="","",'GRR AIAG GR&amp;R'!F23)</f>
        <v/>
      </c>
      <c r="I64" s="836" t="str">
        <f>IF('GRR AIAG GR&amp;R'!F24="","",'GRR AIAG GR&amp;R'!F24)</f>
        <v/>
      </c>
      <c r="K64" s="838" t="str">
        <f t="shared" si="11"/>
        <v/>
      </c>
      <c r="L64" s="838" t="str">
        <f t="shared" si="12"/>
        <v/>
      </c>
      <c r="M64" s="507"/>
      <c r="N64" s="503">
        <v>4</v>
      </c>
      <c r="O64" s="835" t="e">
        <f>NA()</f>
        <v>#N/A</v>
      </c>
      <c r="P64" s="835" t="e">
        <f>NA()</f>
        <v>#N/A</v>
      </c>
      <c r="Q64" s="835" t="e">
        <f t="shared" si="31"/>
        <v>#N/A</v>
      </c>
      <c r="R64" s="835" t="e">
        <f>NA()</f>
        <v>#N/A</v>
      </c>
      <c r="S64" s="835" t="e">
        <f>NA()</f>
        <v>#N/A</v>
      </c>
      <c r="T64" s="835" t="e">
        <f t="shared" si="32"/>
        <v>#N/A</v>
      </c>
      <c r="U64" s="507"/>
      <c r="V64" s="503">
        <v>6</v>
      </c>
      <c r="W64" s="835" t="e">
        <f t="shared" si="30"/>
        <v>#N/A</v>
      </c>
      <c r="X64" s="835" t="e">
        <f t="shared" si="30"/>
        <v>#N/A</v>
      </c>
      <c r="Y64" s="835" t="e">
        <f t="shared" si="30"/>
        <v>#N/A</v>
      </c>
      <c r="Z64" s="835" t="e">
        <f t="shared" si="30"/>
        <v>#N/A</v>
      </c>
      <c r="AA64" s="835" t="e">
        <f t="shared" si="30"/>
        <v>#N/A</v>
      </c>
      <c r="AB64" s="835" t="e">
        <f t="shared" si="30"/>
        <v>#N/A</v>
      </c>
      <c r="AC64" s="502"/>
      <c r="AD64" s="503">
        <v>8</v>
      </c>
      <c r="AE64" s="835" t="e">
        <f t="shared" si="29"/>
        <v>#N/A</v>
      </c>
      <c r="AF64" s="835" t="e">
        <f t="shared" si="29"/>
        <v>#N/A</v>
      </c>
      <c r="AG64" s="835" t="e">
        <f t="shared" si="29"/>
        <v>#N/A</v>
      </c>
      <c r="AH64" s="835" t="e">
        <f t="shared" si="29"/>
        <v>#N/A</v>
      </c>
      <c r="AI64" s="835" t="e">
        <f t="shared" si="29"/>
        <v>#N/A</v>
      </c>
      <c r="AJ64" s="835" t="e">
        <f t="shared" si="29"/>
        <v>#N/A</v>
      </c>
      <c r="AK64" s="502"/>
      <c r="AL64" s="502"/>
      <c r="AM64" s="502" t="e">
        <f>NA()</f>
        <v>#N/A</v>
      </c>
      <c r="AN64" s="502" t="e">
        <f>NA()</f>
        <v>#N/A</v>
      </c>
      <c r="AO64" s="502" t="e">
        <f>NA()</f>
        <v>#N/A</v>
      </c>
      <c r="AP64" s="502" t="e">
        <f>NA()</f>
        <v>#N/A</v>
      </c>
      <c r="AQ64" s="502" t="e">
        <f>NA()</f>
        <v>#N/A</v>
      </c>
      <c r="AR64" s="502" t="e">
        <f>NA()</f>
        <v>#N/A</v>
      </c>
      <c r="AS64" s="502"/>
      <c r="AT64" s="502"/>
      <c r="AU64" s="502" t="e">
        <f>NA()</f>
        <v>#N/A</v>
      </c>
      <c r="AV64" s="502" t="e">
        <f>NA()</f>
        <v>#N/A</v>
      </c>
      <c r="AW64" s="502" t="e">
        <f>NA()</f>
        <v>#N/A</v>
      </c>
      <c r="AX64" s="502" t="e">
        <f>NA()</f>
        <v>#N/A</v>
      </c>
      <c r="AY64" s="502" t="e">
        <f>NA()</f>
        <v>#N/A</v>
      </c>
      <c r="AZ64" s="502" t="e">
        <f>NA()</f>
        <v>#N/A</v>
      </c>
      <c r="BA64" s="502"/>
      <c r="BB64" s="502"/>
      <c r="BC64" s="502" t="e">
        <f>NA()</f>
        <v>#N/A</v>
      </c>
      <c r="BD64" s="502" t="e">
        <f>NA()</f>
        <v>#N/A</v>
      </c>
      <c r="BE64" s="502" t="e">
        <f>NA()</f>
        <v>#N/A</v>
      </c>
      <c r="BF64" s="502" t="e">
        <f>NA()</f>
        <v>#N/A</v>
      </c>
      <c r="BG64" s="502" t="e">
        <f>NA()</f>
        <v>#N/A</v>
      </c>
      <c r="BH64" s="502" t="e">
        <f>NA()</f>
        <v>#N/A</v>
      </c>
      <c r="BI64" s="502"/>
      <c r="BJ64" s="502"/>
      <c r="BK64" s="502" t="e">
        <f>NA()</f>
        <v>#N/A</v>
      </c>
      <c r="BL64" s="502" t="e">
        <f>NA()</f>
        <v>#N/A</v>
      </c>
      <c r="BM64" s="502" t="e">
        <f>NA()</f>
        <v>#N/A</v>
      </c>
      <c r="BN64" s="502" t="e">
        <f>NA()</f>
        <v>#N/A</v>
      </c>
      <c r="BO64" s="502" t="e">
        <f>NA()</f>
        <v>#N/A</v>
      </c>
      <c r="BP64" s="502" t="e">
        <f>NA()</f>
        <v>#N/A</v>
      </c>
      <c r="BQ64" s="502"/>
      <c r="BR64" s="502"/>
      <c r="BS64" s="502" t="e">
        <f>NA()</f>
        <v>#N/A</v>
      </c>
      <c r="BT64" s="502" t="e">
        <f>NA()</f>
        <v>#N/A</v>
      </c>
      <c r="BU64" s="502" t="e">
        <f>NA()</f>
        <v>#N/A</v>
      </c>
      <c r="BV64" s="502" t="e">
        <f>NA()</f>
        <v>#N/A</v>
      </c>
      <c r="BW64" s="502" t="e">
        <f>NA()</f>
        <v>#N/A</v>
      </c>
      <c r="BX64" s="502" t="e">
        <f>NA()</f>
        <v>#N/A</v>
      </c>
      <c r="BY64" s="502"/>
      <c r="BZ64" s="502"/>
      <c r="CA64" s="502" t="e">
        <f>NA()</f>
        <v>#N/A</v>
      </c>
      <c r="CB64" s="502" t="e">
        <f>NA()</f>
        <v>#N/A</v>
      </c>
      <c r="CC64" s="502" t="e">
        <f>NA()</f>
        <v>#N/A</v>
      </c>
      <c r="CD64" s="502" t="e">
        <f>NA()</f>
        <v>#N/A</v>
      </c>
      <c r="CE64" s="502" t="e">
        <f>NA()</f>
        <v>#N/A</v>
      </c>
      <c r="CF64" s="502" t="e">
        <f>NA()</f>
        <v>#N/A</v>
      </c>
    </row>
    <row r="65" spans="1:84" x14ac:dyDescent="0.25">
      <c r="A65" s="40"/>
      <c r="E65" s="502"/>
      <c r="F65" s="503">
        <v>5</v>
      </c>
      <c r="G65" s="836" t="str">
        <f>IF('GRR AIAG GR&amp;R'!G22="","",'GRR AIAG GR&amp;R'!G22)</f>
        <v/>
      </c>
      <c r="H65" s="836" t="str">
        <f>IF('GRR AIAG GR&amp;R'!G23="","",'GRR AIAG GR&amp;R'!G23)</f>
        <v/>
      </c>
      <c r="I65" s="836" t="str">
        <f>IF('GRR AIAG GR&amp;R'!G24="","",'GRR AIAG GR&amp;R'!G24)</f>
        <v/>
      </c>
      <c r="K65" s="838" t="str">
        <f t="shared" si="11"/>
        <v/>
      </c>
      <c r="L65" s="838" t="str">
        <f t="shared" si="12"/>
        <v/>
      </c>
      <c r="M65" s="507"/>
      <c r="N65" s="503">
        <v>5</v>
      </c>
      <c r="O65" s="835" t="e">
        <f>NA()</f>
        <v>#N/A</v>
      </c>
      <c r="P65" s="835" t="e">
        <f>NA()</f>
        <v>#N/A</v>
      </c>
      <c r="Q65" s="835" t="e">
        <f t="shared" si="31"/>
        <v>#N/A</v>
      </c>
      <c r="R65" s="835" t="e">
        <f>NA()</f>
        <v>#N/A</v>
      </c>
      <c r="S65" s="835" t="e">
        <f>NA()</f>
        <v>#N/A</v>
      </c>
      <c r="T65" s="835" t="e">
        <f t="shared" si="32"/>
        <v>#N/A</v>
      </c>
      <c r="U65" s="507"/>
      <c r="V65" s="503">
        <v>7</v>
      </c>
      <c r="W65" s="835" t="e">
        <f t="shared" si="30"/>
        <v>#N/A</v>
      </c>
      <c r="X65" s="835" t="e">
        <f t="shared" si="30"/>
        <v>#N/A</v>
      </c>
      <c r="Y65" s="835" t="e">
        <f t="shared" si="30"/>
        <v>#N/A</v>
      </c>
      <c r="Z65" s="835" t="e">
        <f t="shared" si="30"/>
        <v>#N/A</v>
      </c>
      <c r="AA65" s="835" t="e">
        <f t="shared" si="30"/>
        <v>#N/A</v>
      </c>
      <c r="AB65" s="835" t="e">
        <f t="shared" si="30"/>
        <v>#N/A</v>
      </c>
      <c r="AC65" s="502"/>
      <c r="AD65" s="502"/>
      <c r="AE65" s="502" t="e">
        <f>NA()</f>
        <v>#N/A</v>
      </c>
      <c r="AF65" s="502" t="e">
        <f>NA()</f>
        <v>#N/A</v>
      </c>
      <c r="AG65" s="502" t="e">
        <f>NA()</f>
        <v>#N/A</v>
      </c>
      <c r="AH65" s="502" t="e">
        <f>NA()</f>
        <v>#N/A</v>
      </c>
      <c r="AI65" s="502" t="e">
        <f>NA()</f>
        <v>#N/A</v>
      </c>
      <c r="AJ65" s="502" t="e">
        <f>NA()</f>
        <v>#N/A</v>
      </c>
      <c r="AK65" s="502"/>
      <c r="AL65" s="502"/>
      <c r="AM65" s="502" t="e">
        <f>NA()</f>
        <v>#N/A</v>
      </c>
      <c r="AN65" s="502" t="e">
        <f>NA()</f>
        <v>#N/A</v>
      </c>
      <c r="AO65" s="502" t="e">
        <f>NA()</f>
        <v>#N/A</v>
      </c>
      <c r="AP65" s="502" t="e">
        <f>NA()</f>
        <v>#N/A</v>
      </c>
      <c r="AQ65" s="502" t="e">
        <f>NA()</f>
        <v>#N/A</v>
      </c>
      <c r="AR65" s="502" t="e">
        <f>NA()</f>
        <v>#N/A</v>
      </c>
      <c r="AS65" s="502"/>
      <c r="AT65" s="502"/>
      <c r="AU65" s="502" t="e">
        <f>NA()</f>
        <v>#N/A</v>
      </c>
      <c r="AV65" s="502" t="e">
        <f>NA()</f>
        <v>#N/A</v>
      </c>
      <c r="AW65" s="502" t="e">
        <f>NA()</f>
        <v>#N/A</v>
      </c>
      <c r="AX65" s="502" t="e">
        <f>NA()</f>
        <v>#N/A</v>
      </c>
      <c r="AY65" s="502" t="e">
        <f>NA()</f>
        <v>#N/A</v>
      </c>
      <c r="AZ65" s="502" t="e">
        <f>NA()</f>
        <v>#N/A</v>
      </c>
      <c r="BA65" s="502"/>
      <c r="BB65" s="502"/>
      <c r="BC65" s="502" t="e">
        <f>NA()</f>
        <v>#N/A</v>
      </c>
      <c r="BD65" s="502" t="e">
        <f>NA()</f>
        <v>#N/A</v>
      </c>
      <c r="BE65" s="502" t="e">
        <f>NA()</f>
        <v>#N/A</v>
      </c>
      <c r="BF65" s="502" t="e">
        <f>NA()</f>
        <v>#N/A</v>
      </c>
      <c r="BG65" s="502" t="e">
        <f>NA()</f>
        <v>#N/A</v>
      </c>
      <c r="BH65" s="502" t="e">
        <f>NA()</f>
        <v>#N/A</v>
      </c>
      <c r="BI65" s="502"/>
      <c r="BJ65" s="502"/>
      <c r="BK65" s="502" t="e">
        <f>NA()</f>
        <v>#N/A</v>
      </c>
      <c r="BL65" s="502" t="e">
        <f>NA()</f>
        <v>#N/A</v>
      </c>
      <c r="BM65" s="502" t="e">
        <f>NA()</f>
        <v>#N/A</v>
      </c>
      <c r="BN65" s="502" t="e">
        <f>NA()</f>
        <v>#N/A</v>
      </c>
      <c r="BO65" s="502" t="e">
        <f>NA()</f>
        <v>#N/A</v>
      </c>
      <c r="BP65" s="502" t="e">
        <f>NA()</f>
        <v>#N/A</v>
      </c>
      <c r="BQ65" s="502"/>
      <c r="BR65" s="502"/>
      <c r="BS65" s="502" t="e">
        <f>NA()</f>
        <v>#N/A</v>
      </c>
      <c r="BT65" s="502" t="e">
        <f>NA()</f>
        <v>#N/A</v>
      </c>
      <c r="BU65" s="502" t="e">
        <f>NA()</f>
        <v>#N/A</v>
      </c>
      <c r="BV65" s="502" t="e">
        <f>NA()</f>
        <v>#N/A</v>
      </c>
      <c r="BW65" s="502" t="e">
        <f>NA()</f>
        <v>#N/A</v>
      </c>
      <c r="BX65" s="502" t="e">
        <f>NA()</f>
        <v>#N/A</v>
      </c>
      <c r="BY65" s="502"/>
      <c r="BZ65" s="502"/>
      <c r="CA65" s="502" t="e">
        <f>NA()</f>
        <v>#N/A</v>
      </c>
      <c r="CB65" s="502" t="e">
        <f>NA()</f>
        <v>#N/A</v>
      </c>
      <c r="CC65" s="502" t="e">
        <f>NA()</f>
        <v>#N/A</v>
      </c>
      <c r="CD65" s="502" t="e">
        <f>NA()</f>
        <v>#N/A</v>
      </c>
      <c r="CE65" s="502" t="e">
        <f>NA()</f>
        <v>#N/A</v>
      </c>
      <c r="CF65" s="502" t="e">
        <f>NA()</f>
        <v>#N/A</v>
      </c>
    </row>
    <row r="66" spans="1:84" x14ac:dyDescent="0.25">
      <c r="A66" s="40"/>
      <c r="E66" s="502"/>
      <c r="F66" s="503">
        <v>6</v>
      </c>
      <c r="G66" s="836" t="str">
        <f>IF('GRR AIAG GR&amp;R'!H22="","",'GRR AIAG GR&amp;R'!H22)</f>
        <v/>
      </c>
      <c r="H66" s="836" t="str">
        <f>IF('GRR AIAG GR&amp;R'!H23="","",'GRR AIAG GR&amp;R'!H23)</f>
        <v/>
      </c>
      <c r="I66" s="836" t="str">
        <f>IF('GRR AIAG GR&amp;R'!H24="","",'GRR AIAG GR&amp;R'!H24)</f>
        <v/>
      </c>
      <c r="K66" s="838" t="str">
        <f t="shared" si="11"/>
        <v/>
      </c>
      <c r="L66" s="838" t="str">
        <f t="shared" si="12"/>
        <v/>
      </c>
      <c r="M66" s="507"/>
      <c r="N66" s="503">
        <v>6</v>
      </c>
      <c r="O66" s="835" t="e">
        <f>NA()</f>
        <v>#N/A</v>
      </c>
      <c r="P66" s="835" t="e">
        <f>NA()</f>
        <v>#N/A</v>
      </c>
      <c r="Q66" s="835" t="e">
        <f t="shared" si="31"/>
        <v>#N/A</v>
      </c>
      <c r="R66" s="835" t="e">
        <f>NA()</f>
        <v>#N/A</v>
      </c>
      <c r="S66" s="835" t="e">
        <f>NA()</f>
        <v>#N/A</v>
      </c>
      <c r="T66" s="835" t="e">
        <f t="shared" si="32"/>
        <v>#N/A</v>
      </c>
      <c r="U66" s="507"/>
      <c r="V66" s="503">
        <v>8</v>
      </c>
      <c r="W66" s="835" t="e">
        <f t="shared" si="30"/>
        <v>#N/A</v>
      </c>
      <c r="X66" s="835" t="e">
        <f t="shared" si="30"/>
        <v>#N/A</v>
      </c>
      <c r="Y66" s="835" t="e">
        <f t="shared" si="30"/>
        <v>#N/A</v>
      </c>
      <c r="Z66" s="835" t="e">
        <f t="shared" si="30"/>
        <v>#N/A</v>
      </c>
      <c r="AA66" s="835" t="e">
        <f t="shared" si="30"/>
        <v>#N/A</v>
      </c>
      <c r="AB66" s="835" t="e">
        <f t="shared" si="30"/>
        <v>#N/A</v>
      </c>
      <c r="AC66" s="502"/>
      <c r="AD66" s="502"/>
      <c r="AE66" s="502" t="e">
        <f>NA()</f>
        <v>#N/A</v>
      </c>
      <c r="AF66" s="502" t="e">
        <f>NA()</f>
        <v>#N/A</v>
      </c>
      <c r="AG66" s="502" t="e">
        <f>NA()</f>
        <v>#N/A</v>
      </c>
      <c r="AH66" s="502" t="e">
        <f>NA()</f>
        <v>#N/A</v>
      </c>
      <c r="AI66" s="502" t="e">
        <f>NA()</f>
        <v>#N/A</v>
      </c>
      <c r="AJ66" s="502" t="e">
        <f>NA()</f>
        <v>#N/A</v>
      </c>
      <c r="AK66" s="502"/>
      <c r="AL66" s="502"/>
      <c r="AM66" s="502" t="e">
        <f>NA()</f>
        <v>#N/A</v>
      </c>
      <c r="AN66" s="502" t="e">
        <f>NA()</f>
        <v>#N/A</v>
      </c>
      <c r="AO66" s="502" t="e">
        <f>NA()</f>
        <v>#N/A</v>
      </c>
      <c r="AP66" s="502" t="e">
        <f>NA()</f>
        <v>#N/A</v>
      </c>
      <c r="AQ66" s="502" t="e">
        <f>NA()</f>
        <v>#N/A</v>
      </c>
      <c r="AR66" s="502" t="e">
        <f>NA()</f>
        <v>#N/A</v>
      </c>
      <c r="AS66" s="502"/>
      <c r="AT66" s="502"/>
      <c r="AU66" s="502" t="e">
        <f>NA()</f>
        <v>#N/A</v>
      </c>
      <c r="AV66" s="502" t="e">
        <f>NA()</f>
        <v>#N/A</v>
      </c>
      <c r="AW66" s="502" t="e">
        <f>NA()</f>
        <v>#N/A</v>
      </c>
      <c r="AX66" s="502" t="e">
        <f>NA()</f>
        <v>#N/A</v>
      </c>
      <c r="AY66" s="502" t="e">
        <f>NA()</f>
        <v>#N/A</v>
      </c>
      <c r="AZ66" s="502" t="e">
        <f>NA()</f>
        <v>#N/A</v>
      </c>
      <c r="BA66" s="502"/>
      <c r="BB66" s="502"/>
      <c r="BC66" s="502" t="e">
        <f>NA()</f>
        <v>#N/A</v>
      </c>
      <c r="BD66" s="502" t="e">
        <f>NA()</f>
        <v>#N/A</v>
      </c>
      <c r="BE66" s="502" t="e">
        <f>NA()</f>
        <v>#N/A</v>
      </c>
      <c r="BF66" s="502" t="e">
        <f>NA()</f>
        <v>#N/A</v>
      </c>
      <c r="BG66" s="502" t="e">
        <f>NA()</f>
        <v>#N/A</v>
      </c>
      <c r="BH66" s="502" t="e">
        <f>NA()</f>
        <v>#N/A</v>
      </c>
      <c r="BI66" s="502"/>
      <c r="BJ66" s="502"/>
      <c r="BK66" s="502" t="e">
        <f>NA()</f>
        <v>#N/A</v>
      </c>
      <c r="BL66" s="502" t="e">
        <f>NA()</f>
        <v>#N/A</v>
      </c>
      <c r="BM66" s="502" t="e">
        <f>NA()</f>
        <v>#N/A</v>
      </c>
      <c r="BN66" s="502" t="e">
        <f>NA()</f>
        <v>#N/A</v>
      </c>
      <c r="BO66" s="502" t="e">
        <f>NA()</f>
        <v>#N/A</v>
      </c>
      <c r="BP66" s="502" t="e">
        <f>NA()</f>
        <v>#N/A</v>
      </c>
      <c r="BQ66" s="502"/>
      <c r="BR66" s="502"/>
      <c r="BS66" s="502" t="e">
        <f>NA()</f>
        <v>#N/A</v>
      </c>
      <c r="BT66" s="502" t="e">
        <f>NA()</f>
        <v>#N/A</v>
      </c>
      <c r="BU66" s="502" t="e">
        <f>NA()</f>
        <v>#N/A</v>
      </c>
      <c r="BV66" s="502" t="e">
        <f>NA()</f>
        <v>#N/A</v>
      </c>
      <c r="BW66" s="502" t="e">
        <f>NA()</f>
        <v>#N/A</v>
      </c>
      <c r="BX66" s="502" t="e">
        <f>NA()</f>
        <v>#N/A</v>
      </c>
      <c r="BY66" s="502"/>
      <c r="BZ66" s="502"/>
      <c r="CA66" s="502" t="e">
        <f>NA()</f>
        <v>#N/A</v>
      </c>
      <c r="CB66" s="502" t="e">
        <f>NA()</f>
        <v>#N/A</v>
      </c>
      <c r="CC66" s="502" t="e">
        <f>NA()</f>
        <v>#N/A</v>
      </c>
      <c r="CD66" s="502" t="e">
        <f>NA()</f>
        <v>#N/A</v>
      </c>
      <c r="CE66" s="502" t="e">
        <f>NA()</f>
        <v>#N/A</v>
      </c>
      <c r="CF66" s="502" t="e">
        <f>NA()</f>
        <v>#N/A</v>
      </c>
    </row>
    <row r="67" spans="1:84" x14ac:dyDescent="0.25">
      <c r="A67" s="40"/>
      <c r="E67" s="502"/>
      <c r="F67" s="503">
        <v>7</v>
      </c>
      <c r="G67" s="836" t="str">
        <f>IF('GRR AIAG GR&amp;R'!I22="","",'GRR AIAG GR&amp;R'!I22)</f>
        <v/>
      </c>
      <c r="H67" s="836" t="str">
        <f>IF('GRR AIAG GR&amp;R'!I23="","",'GRR AIAG GR&amp;R'!I23)</f>
        <v/>
      </c>
      <c r="I67" s="836" t="str">
        <f>IF('GRR AIAG GR&amp;R'!I24="","",'GRR AIAG GR&amp;R'!I24)</f>
        <v/>
      </c>
      <c r="K67" s="838" t="str">
        <f t="shared" si="11"/>
        <v/>
      </c>
      <c r="L67" s="838" t="str">
        <f t="shared" si="12"/>
        <v/>
      </c>
      <c r="M67" s="507"/>
      <c r="N67" s="503">
        <v>7</v>
      </c>
      <c r="O67" s="835" t="e">
        <f>NA()</f>
        <v>#N/A</v>
      </c>
      <c r="P67" s="835" t="e">
        <f>NA()</f>
        <v>#N/A</v>
      </c>
      <c r="Q67" s="835" t="e">
        <f t="shared" si="31"/>
        <v>#N/A</v>
      </c>
      <c r="R67" s="835" t="e">
        <f>NA()</f>
        <v>#N/A</v>
      </c>
      <c r="S67" s="835" t="e">
        <f>NA()</f>
        <v>#N/A</v>
      </c>
      <c r="T67" s="835" t="e">
        <f t="shared" si="32"/>
        <v>#N/A</v>
      </c>
      <c r="U67" s="507"/>
      <c r="V67" s="503">
        <v>9</v>
      </c>
      <c r="W67" s="835" t="e">
        <f t="shared" si="30"/>
        <v>#N/A</v>
      </c>
      <c r="X67" s="835" t="e">
        <f t="shared" si="30"/>
        <v>#N/A</v>
      </c>
      <c r="Y67" s="835" t="e">
        <f t="shared" si="30"/>
        <v>#N/A</v>
      </c>
      <c r="Z67" s="835" t="e">
        <f t="shared" si="30"/>
        <v>#N/A</v>
      </c>
      <c r="AA67" s="835" t="e">
        <f t="shared" si="30"/>
        <v>#N/A</v>
      </c>
      <c r="AB67" s="835" t="e">
        <f t="shared" si="30"/>
        <v>#N/A</v>
      </c>
      <c r="AC67" s="502"/>
      <c r="AD67" s="502"/>
      <c r="AE67" s="502" t="e">
        <f>NA()</f>
        <v>#N/A</v>
      </c>
      <c r="AF67" s="502" t="e">
        <f>NA()</f>
        <v>#N/A</v>
      </c>
      <c r="AG67" s="502" t="e">
        <f>NA()</f>
        <v>#N/A</v>
      </c>
      <c r="AH67" s="502" t="e">
        <f>NA()</f>
        <v>#N/A</v>
      </c>
      <c r="AI67" s="502" t="e">
        <f>NA()</f>
        <v>#N/A</v>
      </c>
      <c r="AJ67" s="502" t="e">
        <f>NA()</f>
        <v>#N/A</v>
      </c>
      <c r="AK67" s="502"/>
      <c r="AL67" s="502"/>
      <c r="AM67" s="502" t="e">
        <f>NA()</f>
        <v>#N/A</v>
      </c>
      <c r="AN67" s="502" t="e">
        <f>NA()</f>
        <v>#N/A</v>
      </c>
      <c r="AO67" s="502" t="e">
        <f>NA()</f>
        <v>#N/A</v>
      </c>
      <c r="AP67" s="502" t="e">
        <f>NA()</f>
        <v>#N/A</v>
      </c>
      <c r="AQ67" s="502" t="e">
        <f>NA()</f>
        <v>#N/A</v>
      </c>
      <c r="AR67" s="502" t="e">
        <f>NA()</f>
        <v>#N/A</v>
      </c>
      <c r="AS67" s="502"/>
      <c r="AT67" s="502"/>
      <c r="AU67" s="502" t="e">
        <f>NA()</f>
        <v>#N/A</v>
      </c>
      <c r="AV67" s="502" t="e">
        <f>NA()</f>
        <v>#N/A</v>
      </c>
      <c r="AW67" s="502" t="e">
        <f>NA()</f>
        <v>#N/A</v>
      </c>
      <c r="AX67" s="502" t="e">
        <f>NA()</f>
        <v>#N/A</v>
      </c>
      <c r="AY67" s="502" t="e">
        <f>NA()</f>
        <v>#N/A</v>
      </c>
      <c r="AZ67" s="502" t="e">
        <f>NA()</f>
        <v>#N/A</v>
      </c>
      <c r="BA67" s="502"/>
      <c r="BB67" s="502"/>
      <c r="BC67" s="502" t="e">
        <f>NA()</f>
        <v>#N/A</v>
      </c>
      <c r="BD67" s="502" t="e">
        <f>NA()</f>
        <v>#N/A</v>
      </c>
      <c r="BE67" s="502" t="e">
        <f>NA()</f>
        <v>#N/A</v>
      </c>
      <c r="BF67" s="502" t="e">
        <f>NA()</f>
        <v>#N/A</v>
      </c>
      <c r="BG67" s="502" t="e">
        <f>NA()</f>
        <v>#N/A</v>
      </c>
      <c r="BH67" s="502" t="e">
        <f>NA()</f>
        <v>#N/A</v>
      </c>
      <c r="BI67" s="502"/>
      <c r="BJ67" s="502"/>
      <c r="BK67" s="502" t="e">
        <f>NA()</f>
        <v>#N/A</v>
      </c>
      <c r="BL67" s="502" t="e">
        <f>NA()</f>
        <v>#N/A</v>
      </c>
      <c r="BM67" s="502" t="e">
        <f>NA()</f>
        <v>#N/A</v>
      </c>
      <c r="BN67" s="502" t="e">
        <f>NA()</f>
        <v>#N/A</v>
      </c>
      <c r="BO67" s="502" t="e">
        <f>NA()</f>
        <v>#N/A</v>
      </c>
      <c r="BP67" s="502" t="e">
        <f>NA()</f>
        <v>#N/A</v>
      </c>
      <c r="BQ67" s="502"/>
      <c r="BR67" s="502"/>
      <c r="BS67" s="502" t="e">
        <f>NA()</f>
        <v>#N/A</v>
      </c>
      <c r="BT67" s="502" t="e">
        <f>NA()</f>
        <v>#N/A</v>
      </c>
      <c r="BU67" s="502" t="e">
        <f>NA()</f>
        <v>#N/A</v>
      </c>
      <c r="BV67" s="502" t="e">
        <f>NA()</f>
        <v>#N/A</v>
      </c>
      <c r="BW67" s="502" t="e">
        <f>NA()</f>
        <v>#N/A</v>
      </c>
      <c r="BX67" s="502" t="e">
        <f>NA()</f>
        <v>#N/A</v>
      </c>
      <c r="BY67" s="502"/>
      <c r="BZ67" s="502"/>
      <c r="CA67" s="502" t="e">
        <f>NA()</f>
        <v>#N/A</v>
      </c>
      <c r="CB67" s="502" t="e">
        <f>NA()</f>
        <v>#N/A</v>
      </c>
      <c r="CC67" s="502" t="e">
        <f>NA()</f>
        <v>#N/A</v>
      </c>
      <c r="CD67" s="502" t="e">
        <f>NA()</f>
        <v>#N/A</v>
      </c>
      <c r="CE67" s="502" t="e">
        <f>NA()</f>
        <v>#N/A</v>
      </c>
      <c r="CF67" s="502" t="e">
        <f>NA()</f>
        <v>#N/A</v>
      </c>
    </row>
    <row r="68" spans="1:84" x14ac:dyDescent="0.25">
      <c r="A68" s="40"/>
      <c r="E68" s="502"/>
      <c r="F68" s="503">
        <v>8</v>
      </c>
      <c r="G68" s="836" t="str">
        <f>IF('GRR AIAG GR&amp;R'!J22="","",'GRR AIAG GR&amp;R'!J22)</f>
        <v/>
      </c>
      <c r="H68" s="836" t="str">
        <f>IF('GRR AIAG GR&amp;R'!J23="","",'GRR AIAG GR&amp;R'!J23)</f>
        <v/>
      </c>
      <c r="I68" s="836" t="str">
        <f>IF('GRR AIAG GR&amp;R'!J24="","",'GRR AIAG GR&amp;R'!J24)</f>
        <v/>
      </c>
      <c r="K68" s="838" t="str">
        <f t="shared" si="11"/>
        <v/>
      </c>
      <c r="L68" s="838" t="str">
        <f t="shared" si="12"/>
        <v/>
      </c>
      <c r="M68" s="507"/>
      <c r="N68" s="503">
        <v>8</v>
      </c>
      <c r="O68" s="835" t="e">
        <f>NA()</f>
        <v>#N/A</v>
      </c>
      <c r="P68" s="835" t="e">
        <f>NA()</f>
        <v>#N/A</v>
      </c>
      <c r="Q68" s="835" t="e">
        <f t="shared" si="31"/>
        <v>#N/A</v>
      </c>
      <c r="R68" s="835" t="e">
        <f>NA()</f>
        <v>#N/A</v>
      </c>
      <c r="S68" s="835" t="e">
        <f>NA()</f>
        <v>#N/A</v>
      </c>
      <c r="T68" s="835" t="e">
        <f t="shared" si="32"/>
        <v>#N/A</v>
      </c>
      <c r="U68" s="507"/>
      <c r="V68" s="502"/>
      <c r="W68" s="502" t="e">
        <f>NA()</f>
        <v>#N/A</v>
      </c>
      <c r="X68" s="502" t="e">
        <f>NA()</f>
        <v>#N/A</v>
      </c>
      <c r="Y68" s="502" t="e">
        <f>NA()</f>
        <v>#N/A</v>
      </c>
      <c r="Z68" s="502" t="e">
        <f>NA()</f>
        <v>#N/A</v>
      </c>
      <c r="AA68" s="502" t="e">
        <f>NA()</f>
        <v>#N/A</v>
      </c>
      <c r="AB68" s="502" t="e">
        <f>NA()</f>
        <v>#N/A</v>
      </c>
      <c r="AC68" s="502"/>
      <c r="AD68" s="502"/>
      <c r="AE68" s="502" t="e">
        <f>NA()</f>
        <v>#N/A</v>
      </c>
      <c r="AF68" s="502" t="e">
        <f>NA()</f>
        <v>#N/A</v>
      </c>
      <c r="AG68" s="502" t="e">
        <f>NA()</f>
        <v>#N/A</v>
      </c>
      <c r="AH68" s="502" t="e">
        <f>NA()</f>
        <v>#N/A</v>
      </c>
      <c r="AI68" s="502" t="e">
        <f>NA()</f>
        <v>#N/A</v>
      </c>
      <c r="AJ68" s="502" t="e">
        <f>NA()</f>
        <v>#N/A</v>
      </c>
      <c r="AK68" s="502"/>
      <c r="AL68" s="502"/>
      <c r="AM68" s="502" t="e">
        <f>NA()</f>
        <v>#N/A</v>
      </c>
      <c r="AN68" s="502" t="e">
        <f>NA()</f>
        <v>#N/A</v>
      </c>
      <c r="AO68" s="502" t="e">
        <f>NA()</f>
        <v>#N/A</v>
      </c>
      <c r="AP68" s="502" t="e">
        <f>NA()</f>
        <v>#N/A</v>
      </c>
      <c r="AQ68" s="502" t="e">
        <f>NA()</f>
        <v>#N/A</v>
      </c>
      <c r="AR68" s="502" t="e">
        <f>NA()</f>
        <v>#N/A</v>
      </c>
      <c r="AS68" s="502"/>
      <c r="AT68" s="502"/>
      <c r="AU68" s="502" t="e">
        <f>NA()</f>
        <v>#N/A</v>
      </c>
      <c r="AV68" s="502" t="e">
        <f>NA()</f>
        <v>#N/A</v>
      </c>
      <c r="AW68" s="502" t="e">
        <f>NA()</f>
        <v>#N/A</v>
      </c>
      <c r="AX68" s="502" t="e">
        <f>NA()</f>
        <v>#N/A</v>
      </c>
      <c r="AY68" s="502" t="e">
        <f>NA()</f>
        <v>#N/A</v>
      </c>
      <c r="AZ68" s="502" t="e">
        <f>NA()</f>
        <v>#N/A</v>
      </c>
      <c r="BA68" s="502"/>
      <c r="BB68" s="502"/>
      <c r="BC68" s="502" t="e">
        <f>NA()</f>
        <v>#N/A</v>
      </c>
      <c r="BD68" s="502" t="e">
        <f>NA()</f>
        <v>#N/A</v>
      </c>
      <c r="BE68" s="502" t="e">
        <f>NA()</f>
        <v>#N/A</v>
      </c>
      <c r="BF68" s="502" t="e">
        <f>NA()</f>
        <v>#N/A</v>
      </c>
      <c r="BG68" s="502" t="e">
        <f>NA()</f>
        <v>#N/A</v>
      </c>
      <c r="BH68" s="502" t="e">
        <f>NA()</f>
        <v>#N/A</v>
      </c>
      <c r="BI68" s="502"/>
      <c r="BJ68" s="502"/>
      <c r="BK68" s="502" t="e">
        <f>NA()</f>
        <v>#N/A</v>
      </c>
      <c r="BL68" s="502" t="e">
        <f>NA()</f>
        <v>#N/A</v>
      </c>
      <c r="BM68" s="502" t="e">
        <f>NA()</f>
        <v>#N/A</v>
      </c>
      <c r="BN68" s="502" t="e">
        <f>NA()</f>
        <v>#N/A</v>
      </c>
      <c r="BO68" s="502" t="e">
        <f>NA()</f>
        <v>#N/A</v>
      </c>
      <c r="BP68" s="502" t="e">
        <f>NA()</f>
        <v>#N/A</v>
      </c>
      <c r="BQ68" s="502"/>
      <c r="BR68" s="502"/>
      <c r="BS68" s="502" t="e">
        <f>NA()</f>
        <v>#N/A</v>
      </c>
      <c r="BT68" s="502" t="e">
        <f>NA()</f>
        <v>#N/A</v>
      </c>
      <c r="BU68" s="502" t="e">
        <f>NA()</f>
        <v>#N/A</v>
      </c>
      <c r="BV68" s="502" t="e">
        <f>NA()</f>
        <v>#N/A</v>
      </c>
      <c r="BW68" s="502" t="e">
        <f>NA()</f>
        <v>#N/A</v>
      </c>
      <c r="BX68" s="502" t="e">
        <f>NA()</f>
        <v>#N/A</v>
      </c>
      <c r="BY68" s="502"/>
      <c r="BZ68" s="502"/>
      <c r="CA68" s="502" t="e">
        <f>NA()</f>
        <v>#N/A</v>
      </c>
      <c r="CB68" s="502" t="e">
        <f>NA()</f>
        <v>#N/A</v>
      </c>
      <c r="CC68" s="502" t="e">
        <f>NA()</f>
        <v>#N/A</v>
      </c>
      <c r="CD68" s="502" t="e">
        <f>NA()</f>
        <v>#N/A</v>
      </c>
      <c r="CE68" s="502" t="e">
        <f>NA()</f>
        <v>#N/A</v>
      </c>
      <c r="CF68" s="502" t="e">
        <f>NA()</f>
        <v>#N/A</v>
      </c>
    </row>
    <row r="69" spans="1:84" x14ac:dyDescent="0.25">
      <c r="A69" s="40"/>
      <c r="E69" s="502"/>
      <c r="F69" s="503">
        <v>9</v>
      </c>
      <c r="G69" s="836" t="str">
        <f>IF('GRR AIAG GR&amp;R'!K22="","",'GRR AIAG GR&amp;R'!K22)</f>
        <v/>
      </c>
      <c r="H69" s="836" t="str">
        <f>IF('GRR AIAG GR&amp;R'!K23="","",'GRR AIAG GR&amp;R'!K23)</f>
        <v/>
      </c>
      <c r="I69" s="836" t="str">
        <f>IF('GRR AIAG GR&amp;R'!K24="","",'GRR AIAG GR&amp;R'!K24)</f>
        <v/>
      </c>
      <c r="K69" s="838" t="str">
        <f t="shared" si="11"/>
        <v/>
      </c>
      <c r="L69" s="838" t="str">
        <f t="shared" si="12"/>
        <v/>
      </c>
      <c r="M69" s="507"/>
      <c r="N69" s="503">
        <v>9</v>
      </c>
      <c r="O69" s="835" t="e">
        <f>NA()</f>
        <v>#N/A</v>
      </c>
      <c r="P69" s="835" t="e">
        <f>NA()</f>
        <v>#N/A</v>
      </c>
      <c r="Q69" s="835" t="e">
        <f t="shared" si="31"/>
        <v>#N/A</v>
      </c>
      <c r="R69" s="835" t="e">
        <f>NA()</f>
        <v>#N/A</v>
      </c>
      <c r="S69" s="835" t="e">
        <f>NA()</f>
        <v>#N/A</v>
      </c>
      <c r="T69" s="835" t="e">
        <f t="shared" si="32"/>
        <v>#N/A</v>
      </c>
      <c r="U69" s="507"/>
      <c r="V69" s="502"/>
      <c r="W69" s="502" t="e">
        <f>NA()</f>
        <v>#N/A</v>
      </c>
      <c r="X69" s="502" t="e">
        <f>NA()</f>
        <v>#N/A</v>
      </c>
      <c r="Y69" s="502" t="e">
        <f>NA()</f>
        <v>#N/A</v>
      </c>
      <c r="Z69" s="502" t="e">
        <f>NA()</f>
        <v>#N/A</v>
      </c>
      <c r="AA69" s="502" t="e">
        <f>NA()</f>
        <v>#N/A</v>
      </c>
      <c r="AB69" s="502" t="e">
        <f>NA()</f>
        <v>#N/A</v>
      </c>
      <c r="AC69" s="502"/>
      <c r="AD69" s="502"/>
      <c r="AE69" s="502" t="e">
        <f>NA()</f>
        <v>#N/A</v>
      </c>
      <c r="AF69" s="502" t="e">
        <f>NA()</f>
        <v>#N/A</v>
      </c>
      <c r="AG69" s="502" t="e">
        <f>NA()</f>
        <v>#N/A</v>
      </c>
      <c r="AH69" s="502" t="e">
        <f>NA()</f>
        <v>#N/A</v>
      </c>
      <c r="AI69" s="502" t="e">
        <f>NA()</f>
        <v>#N/A</v>
      </c>
      <c r="AJ69" s="502" t="e">
        <f>NA()</f>
        <v>#N/A</v>
      </c>
      <c r="AK69" s="502"/>
      <c r="AL69" s="502"/>
      <c r="AM69" s="502" t="e">
        <f>NA()</f>
        <v>#N/A</v>
      </c>
      <c r="AN69" s="502" t="e">
        <f>NA()</f>
        <v>#N/A</v>
      </c>
      <c r="AO69" s="502" t="e">
        <f>NA()</f>
        <v>#N/A</v>
      </c>
      <c r="AP69" s="502" t="e">
        <f>NA()</f>
        <v>#N/A</v>
      </c>
      <c r="AQ69" s="502" t="e">
        <f>NA()</f>
        <v>#N/A</v>
      </c>
      <c r="AR69" s="502" t="e">
        <f>NA()</f>
        <v>#N/A</v>
      </c>
      <c r="AS69" s="502"/>
      <c r="AT69" s="502"/>
      <c r="AU69" s="502" t="e">
        <f>NA()</f>
        <v>#N/A</v>
      </c>
      <c r="AV69" s="502" t="e">
        <f>NA()</f>
        <v>#N/A</v>
      </c>
      <c r="AW69" s="502" t="e">
        <f>NA()</f>
        <v>#N/A</v>
      </c>
      <c r="AX69" s="502" t="e">
        <f>NA()</f>
        <v>#N/A</v>
      </c>
      <c r="AY69" s="502" t="e">
        <f>NA()</f>
        <v>#N/A</v>
      </c>
      <c r="AZ69" s="502" t="e">
        <f>NA()</f>
        <v>#N/A</v>
      </c>
      <c r="BA69" s="502"/>
      <c r="BB69" s="502"/>
      <c r="BC69" s="502" t="e">
        <f>NA()</f>
        <v>#N/A</v>
      </c>
      <c r="BD69" s="502" t="e">
        <f>NA()</f>
        <v>#N/A</v>
      </c>
      <c r="BE69" s="502" t="e">
        <f>NA()</f>
        <v>#N/A</v>
      </c>
      <c r="BF69" s="502" t="e">
        <f>NA()</f>
        <v>#N/A</v>
      </c>
      <c r="BG69" s="502" t="e">
        <f>NA()</f>
        <v>#N/A</v>
      </c>
      <c r="BH69" s="502" t="e">
        <f>NA()</f>
        <v>#N/A</v>
      </c>
      <c r="BI69" s="502"/>
      <c r="BJ69" s="502"/>
      <c r="BK69" s="502" t="e">
        <f>NA()</f>
        <v>#N/A</v>
      </c>
      <c r="BL69" s="502" t="e">
        <f>NA()</f>
        <v>#N/A</v>
      </c>
      <c r="BM69" s="502" t="e">
        <f>NA()</f>
        <v>#N/A</v>
      </c>
      <c r="BN69" s="502" t="e">
        <f>NA()</f>
        <v>#N/A</v>
      </c>
      <c r="BO69" s="502" t="e">
        <f>NA()</f>
        <v>#N/A</v>
      </c>
      <c r="BP69" s="502" t="e">
        <f>NA()</f>
        <v>#N/A</v>
      </c>
      <c r="BQ69" s="502"/>
      <c r="BR69" s="502"/>
      <c r="BS69" s="502" t="e">
        <f>NA()</f>
        <v>#N/A</v>
      </c>
      <c r="BT69" s="502" t="e">
        <f>NA()</f>
        <v>#N/A</v>
      </c>
      <c r="BU69" s="502" t="e">
        <f>NA()</f>
        <v>#N/A</v>
      </c>
      <c r="BV69" s="502" t="e">
        <f>NA()</f>
        <v>#N/A</v>
      </c>
      <c r="BW69" s="502" t="e">
        <f>NA()</f>
        <v>#N/A</v>
      </c>
      <c r="BX69" s="502" t="e">
        <f>NA()</f>
        <v>#N/A</v>
      </c>
      <c r="BY69" s="502"/>
      <c r="BZ69" s="502"/>
      <c r="CA69" s="502" t="e">
        <f>NA()</f>
        <v>#N/A</v>
      </c>
      <c r="CB69" s="502" t="e">
        <f>NA()</f>
        <v>#N/A</v>
      </c>
      <c r="CC69" s="502" t="e">
        <f>NA()</f>
        <v>#N/A</v>
      </c>
      <c r="CD69" s="502" t="e">
        <f>NA()</f>
        <v>#N/A</v>
      </c>
      <c r="CE69" s="502" t="e">
        <f>NA()</f>
        <v>#N/A</v>
      </c>
      <c r="CF69" s="502" t="e">
        <f>NA()</f>
        <v>#N/A</v>
      </c>
    </row>
    <row r="70" spans="1:84" x14ac:dyDescent="0.25">
      <c r="A70" s="40"/>
      <c r="E70" s="502"/>
      <c r="F70" s="503">
        <v>10</v>
      </c>
      <c r="G70" s="836" t="str">
        <f>IF('GRR AIAG GR&amp;R'!L22="","",'GRR AIAG GR&amp;R'!L22)</f>
        <v/>
      </c>
      <c r="H70" s="836" t="str">
        <f>IF('GRR AIAG GR&amp;R'!L23="","",'GRR AIAG GR&amp;R'!L23)</f>
        <v/>
      </c>
      <c r="I70" s="836" t="str">
        <f>IF('GRR AIAG GR&amp;R'!L24="","",'GRR AIAG GR&amp;R'!L24)</f>
        <v/>
      </c>
      <c r="K70" s="839" t="str">
        <f t="shared" si="11"/>
        <v/>
      </c>
      <c r="L70" s="839" t="str">
        <f t="shared" si="12"/>
        <v/>
      </c>
      <c r="M70" s="507"/>
      <c r="N70" s="503">
        <v>10</v>
      </c>
      <c r="O70" s="835" t="e">
        <f>NA()</f>
        <v>#N/A</v>
      </c>
      <c r="P70" s="835" t="e">
        <f>NA()</f>
        <v>#N/A</v>
      </c>
      <c r="Q70" s="835" t="e">
        <f t="shared" si="31"/>
        <v>#N/A</v>
      </c>
      <c r="R70" s="835" t="e">
        <f>NA()</f>
        <v>#N/A</v>
      </c>
      <c r="S70" s="835" t="e">
        <f>NA()</f>
        <v>#N/A</v>
      </c>
      <c r="T70" s="835" t="e">
        <f t="shared" si="32"/>
        <v>#N/A</v>
      </c>
      <c r="U70" s="507"/>
      <c r="V70" s="502"/>
      <c r="W70" s="502" t="e">
        <f>NA()</f>
        <v>#N/A</v>
      </c>
      <c r="X70" s="502" t="e">
        <f>NA()</f>
        <v>#N/A</v>
      </c>
      <c r="Y70" s="502" t="e">
        <f>NA()</f>
        <v>#N/A</v>
      </c>
      <c r="Z70" s="502" t="e">
        <f>NA()</f>
        <v>#N/A</v>
      </c>
      <c r="AA70" s="502" t="e">
        <f>NA()</f>
        <v>#N/A</v>
      </c>
      <c r="AB70" s="502" t="e">
        <f>NA()</f>
        <v>#N/A</v>
      </c>
      <c r="AC70" s="502"/>
      <c r="AD70" s="502"/>
      <c r="AE70" s="502" t="e">
        <f>NA()</f>
        <v>#N/A</v>
      </c>
      <c r="AF70" s="502" t="e">
        <f>NA()</f>
        <v>#N/A</v>
      </c>
      <c r="AG70" s="502" t="e">
        <f>NA()</f>
        <v>#N/A</v>
      </c>
      <c r="AH70" s="502" t="e">
        <f>NA()</f>
        <v>#N/A</v>
      </c>
      <c r="AI70" s="502" t="e">
        <f>NA()</f>
        <v>#N/A</v>
      </c>
      <c r="AJ70" s="502" t="e">
        <f>NA()</f>
        <v>#N/A</v>
      </c>
      <c r="AK70" s="502"/>
      <c r="AL70" s="502"/>
      <c r="AM70" s="502" t="e">
        <f>NA()</f>
        <v>#N/A</v>
      </c>
      <c r="AN70" s="502" t="e">
        <f>NA()</f>
        <v>#N/A</v>
      </c>
      <c r="AO70" s="502" t="e">
        <f>NA()</f>
        <v>#N/A</v>
      </c>
      <c r="AP70" s="502" t="e">
        <f>NA()</f>
        <v>#N/A</v>
      </c>
      <c r="AQ70" s="502" t="e">
        <f>NA()</f>
        <v>#N/A</v>
      </c>
      <c r="AR70" s="502" t="e">
        <f>NA()</f>
        <v>#N/A</v>
      </c>
      <c r="AS70" s="502"/>
      <c r="AT70" s="502"/>
      <c r="AU70" s="502" t="e">
        <f>NA()</f>
        <v>#N/A</v>
      </c>
      <c r="AV70" s="502" t="e">
        <f>NA()</f>
        <v>#N/A</v>
      </c>
      <c r="AW70" s="502" t="e">
        <f>NA()</f>
        <v>#N/A</v>
      </c>
      <c r="AX70" s="502" t="e">
        <f>NA()</f>
        <v>#N/A</v>
      </c>
      <c r="AY70" s="502" t="e">
        <f>NA()</f>
        <v>#N/A</v>
      </c>
      <c r="AZ70" s="502" t="e">
        <f>NA()</f>
        <v>#N/A</v>
      </c>
      <c r="BA70" s="502"/>
      <c r="BB70" s="502"/>
      <c r="BC70" s="502" t="e">
        <f>NA()</f>
        <v>#N/A</v>
      </c>
      <c r="BD70" s="502" t="e">
        <f>NA()</f>
        <v>#N/A</v>
      </c>
      <c r="BE70" s="502" t="e">
        <f>NA()</f>
        <v>#N/A</v>
      </c>
      <c r="BF70" s="502" t="e">
        <f>NA()</f>
        <v>#N/A</v>
      </c>
      <c r="BG70" s="502" t="e">
        <f>NA()</f>
        <v>#N/A</v>
      </c>
      <c r="BH70" s="502" t="e">
        <f>NA()</f>
        <v>#N/A</v>
      </c>
      <c r="BI70" s="502"/>
      <c r="BJ70" s="502"/>
      <c r="BK70" s="502" t="e">
        <f>NA()</f>
        <v>#N/A</v>
      </c>
      <c r="BL70" s="502" t="e">
        <f>NA()</f>
        <v>#N/A</v>
      </c>
      <c r="BM70" s="502" t="e">
        <f>NA()</f>
        <v>#N/A</v>
      </c>
      <c r="BN70" s="502" t="e">
        <f>NA()</f>
        <v>#N/A</v>
      </c>
      <c r="BO70" s="502" t="e">
        <f>NA()</f>
        <v>#N/A</v>
      </c>
      <c r="BP70" s="502" t="e">
        <f>NA()</f>
        <v>#N/A</v>
      </c>
      <c r="BQ70" s="502"/>
      <c r="BR70" s="502"/>
      <c r="BS70" s="502" t="e">
        <f>NA()</f>
        <v>#N/A</v>
      </c>
      <c r="BT70" s="502" t="e">
        <f>NA()</f>
        <v>#N/A</v>
      </c>
      <c r="BU70" s="502" t="e">
        <f>NA()</f>
        <v>#N/A</v>
      </c>
      <c r="BV70" s="502" t="e">
        <f>NA()</f>
        <v>#N/A</v>
      </c>
      <c r="BW70" s="502" t="e">
        <f>NA()</f>
        <v>#N/A</v>
      </c>
      <c r="BX70" s="502" t="e">
        <f>NA()</f>
        <v>#N/A</v>
      </c>
      <c r="BY70" s="502"/>
      <c r="BZ70" s="502"/>
      <c r="CA70" s="502" t="e">
        <f>NA()</f>
        <v>#N/A</v>
      </c>
      <c r="CB70" s="502" t="e">
        <f>NA()</f>
        <v>#N/A</v>
      </c>
      <c r="CC70" s="502" t="e">
        <f>NA()</f>
        <v>#N/A</v>
      </c>
      <c r="CD70" s="502" t="e">
        <f>NA()</f>
        <v>#N/A</v>
      </c>
      <c r="CE70" s="502" t="e">
        <f>NA()</f>
        <v>#N/A</v>
      </c>
      <c r="CF70" s="502" t="e">
        <f>NA()</f>
        <v>#N/A</v>
      </c>
    </row>
    <row r="71" spans="1:84" x14ac:dyDescent="0.25">
      <c r="A71" s="40"/>
      <c r="K71" s="838">
        <f>AVERAGE(K41:K70)</f>
        <v>0.52215000000000011</v>
      </c>
      <c r="L71" s="838">
        <f>AVERAGE(L41:L70)</f>
        <v>2.5000000000000022E-3</v>
      </c>
      <c r="O71" s="837" t="str">
        <f>IF($AC$112=$O$38,O38,IF($AC$112=$W$38,W38,IF($AC$112=$AE$38,AE38,IF($AC$112=$AM$38,AM38,IF($AC$112=$AU$38,AU38,"")))))</f>
        <v/>
      </c>
      <c r="W71" s="835">
        <f>IF($AC$112=$BC$38,BC38,IF($AC$112=$BK$38,BK38,IF($AC$112=$BS$38,BS38,IF($AC$112=$CA$38,CA38,""))))</f>
        <v>5</v>
      </c>
      <c r="AR71" s="13" t="s">
        <v>545</v>
      </c>
      <c r="AS71" s="13" t="s">
        <v>546</v>
      </c>
      <c r="AT71" s="13" t="s">
        <v>547</v>
      </c>
      <c r="AU71" s="13" t="s">
        <v>548</v>
      </c>
      <c r="AV71" s="13" t="s">
        <v>549</v>
      </c>
      <c r="AW71" s="13" t="s">
        <v>550</v>
      </c>
      <c r="AX71" s="13" t="s">
        <v>551</v>
      </c>
      <c r="AY71" s="13" t="s">
        <v>552</v>
      </c>
      <c r="AZ71" s="13" t="s">
        <v>553</v>
      </c>
      <c r="BA71" s="13" t="s">
        <v>554</v>
      </c>
      <c r="BB71" s="13" t="s">
        <v>555</v>
      </c>
      <c r="BC71" s="13" t="s">
        <v>556</v>
      </c>
      <c r="BD71" s="13" t="s">
        <v>557</v>
      </c>
      <c r="BE71" s="13" t="s">
        <v>558</v>
      </c>
      <c r="BF71" s="13" t="s">
        <v>559</v>
      </c>
      <c r="BG71" s="13" t="s">
        <v>560</v>
      </c>
      <c r="BH71" s="13" t="s">
        <v>561</v>
      </c>
      <c r="BI71" s="13" t="s">
        <v>562</v>
      </c>
      <c r="BJ71" s="13" t="s">
        <v>563</v>
      </c>
      <c r="BK71" s="13" t="s">
        <v>564</v>
      </c>
      <c r="BL71" s="13" t="s">
        <v>565</v>
      </c>
      <c r="BM71" s="13" t="s">
        <v>566</v>
      </c>
      <c r="BN71" s="13" t="s">
        <v>567</v>
      </c>
      <c r="BO71" s="13" t="s">
        <v>568</v>
      </c>
      <c r="BP71" s="13" t="s">
        <v>569</v>
      </c>
      <c r="BQ71" s="13" t="s">
        <v>570</v>
      </c>
      <c r="BR71" s="13" t="s">
        <v>571</v>
      </c>
      <c r="BS71" s="13" t="s">
        <v>572</v>
      </c>
      <c r="BT71" s="13" t="s">
        <v>573</v>
      </c>
      <c r="BU71" s="13" t="s">
        <v>574</v>
      </c>
      <c r="BV71" s="13" t="s">
        <v>575</v>
      </c>
      <c r="BW71" s="13" t="s">
        <v>576</v>
      </c>
    </row>
    <row r="72" spans="1:84" x14ac:dyDescent="0.25">
      <c r="A72" s="40"/>
      <c r="O72" s="1301" t="s">
        <v>577</v>
      </c>
      <c r="P72" s="1301"/>
      <c r="Q72" s="1301"/>
      <c r="R72" s="1301"/>
      <c r="S72" s="1301"/>
      <c r="T72" s="1301"/>
      <c r="W72" s="1301" t="s">
        <v>578</v>
      </c>
      <c r="X72" s="1301"/>
      <c r="Y72" s="1301"/>
      <c r="Z72" s="1301"/>
      <c r="AA72" s="1301"/>
      <c r="AB72" s="1301"/>
      <c r="AD72" s="40"/>
      <c r="AF72" s="13" t="s">
        <v>35</v>
      </c>
      <c r="AI72" s="13" t="s">
        <v>36</v>
      </c>
      <c r="AL72" s="13" t="s">
        <v>37</v>
      </c>
      <c r="AR72" s="508" t="s">
        <v>579</v>
      </c>
      <c r="AS72" s="496">
        <f>IF(G41="",NA(),G41)</f>
        <v>0.52100000000000002</v>
      </c>
      <c r="AT72" s="496">
        <f>IF(H41="",NA(),H41)</f>
        <v>0.52100000000000002</v>
      </c>
      <c r="AU72" s="496" t="e">
        <f>IF(I41="",NA(),I41)</f>
        <v>#N/A</v>
      </c>
      <c r="AV72" s="496">
        <f>IF(G42="",NA(),G42)</f>
        <v>0.52200000000000002</v>
      </c>
      <c r="AW72" s="496">
        <f>IF(H42="",NA(),H42)</f>
        <v>0.54</v>
      </c>
      <c r="AX72" s="496" t="e">
        <f>IF(I42="",NA(),I42)</f>
        <v>#N/A</v>
      </c>
      <c r="AY72" s="496">
        <f>IF(G43="",NA(),G43)</f>
        <v>0.52300000000000002</v>
      </c>
      <c r="AZ72" s="496">
        <f>IF(H43="",NA(),H43)</f>
        <v>0.52400000000000002</v>
      </c>
      <c r="BA72" s="496" t="e">
        <f>IF(I43="",NA(),I43)</f>
        <v>#N/A</v>
      </c>
      <c r="BB72" s="496">
        <f>IF(G44="",NA(),G44)</f>
        <v>0.52100000000000002</v>
      </c>
      <c r="BC72" s="496">
        <f>IF(H44="",NA(),H44)</f>
        <v>0.52200000000000002</v>
      </c>
      <c r="BD72" s="496" t="e">
        <f>IF(I44="",NA(),I44)</f>
        <v>#N/A</v>
      </c>
      <c r="BE72" s="496">
        <f>IF(G45="",NA(),G45)</f>
        <v>0.52500000000000002</v>
      </c>
      <c r="BF72" s="496">
        <f>IF(H45="",NA(),H45)</f>
        <v>0.52400000000000002</v>
      </c>
      <c r="BG72" s="496" t="e">
        <f>IF(I45="",NA(),I45)</f>
        <v>#N/A</v>
      </c>
      <c r="BH72" s="496" t="e">
        <f>IF(G46="",NA(),G46)</f>
        <v>#N/A</v>
      </c>
      <c r="BI72" s="496" t="e">
        <f>IF(H46="",NA(),H46)</f>
        <v>#N/A</v>
      </c>
      <c r="BJ72" s="496" t="e">
        <f>IF(I46="",NA(),I46)</f>
        <v>#N/A</v>
      </c>
      <c r="BK72" s="496" t="e">
        <f>IF(G47="",NA(),G47)</f>
        <v>#N/A</v>
      </c>
      <c r="BL72" s="496" t="e">
        <f>IF(H47="",NA(),H47)</f>
        <v>#N/A</v>
      </c>
      <c r="BM72" s="496" t="e">
        <f>IF(I47="",NA(),I47)</f>
        <v>#N/A</v>
      </c>
      <c r="BN72" s="496" t="e">
        <f>IF(G48="",NA(),G48)</f>
        <v>#N/A</v>
      </c>
      <c r="BO72" s="496" t="e">
        <f>IF(H48="",NA(),H48)</f>
        <v>#N/A</v>
      </c>
      <c r="BP72" s="496" t="e">
        <f>IF(I48="",NA(),I48)</f>
        <v>#N/A</v>
      </c>
      <c r="BQ72" s="496" t="e">
        <f>IF(G49="",NA(),G49)</f>
        <v>#N/A</v>
      </c>
      <c r="BR72" s="496" t="e">
        <f>IF(H49="",NA(),H49)</f>
        <v>#N/A</v>
      </c>
      <c r="BS72" s="496" t="e">
        <f>IF(I49="",NA(),I49)</f>
        <v>#N/A</v>
      </c>
      <c r="BT72" s="496" t="e">
        <f>IF(G50="",NA(),G50)</f>
        <v>#N/A</v>
      </c>
      <c r="BU72" s="496" t="e">
        <f>IF(H50="",NA(),H50)</f>
        <v>#N/A</v>
      </c>
      <c r="BV72" s="496" t="e">
        <f>IF(I50="",NA(),I50)</f>
        <v>#N/A</v>
      </c>
      <c r="BW72" s="496" t="e">
        <f>AVERAGE(AS72:BV72)</f>
        <v>#N/A</v>
      </c>
    </row>
    <row r="73" spans="1:84" x14ac:dyDescent="0.25">
      <c r="A73" s="40"/>
      <c r="O73" s="1301" t="s">
        <v>124</v>
      </c>
      <c r="P73" s="1301"/>
      <c r="Q73" s="1301"/>
      <c r="R73" s="1301" t="s">
        <v>128</v>
      </c>
      <c r="S73" s="1301"/>
      <c r="T73" s="1301"/>
      <c r="W73" s="1301" t="s">
        <v>124</v>
      </c>
      <c r="X73" s="1301"/>
      <c r="Y73" s="1301"/>
      <c r="Z73" s="1301" t="s">
        <v>128</v>
      </c>
      <c r="AA73" s="1301"/>
      <c r="AB73" s="1301"/>
      <c r="AD73" s="40"/>
      <c r="AF73" s="13">
        <v>1</v>
      </c>
      <c r="AG73" s="13">
        <v>2</v>
      </c>
      <c r="AH73" s="13">
        <v>3</v>
      </c>
      <c r="AI73" s="13">
        <v>1</v>
      </c>
      <c r="AJ73" s="13">
        <v>2</v>
      </c>
      <c r="AK73" s="13">
        <v>3</v>
      </c>
      <c r="AL73" s="13">
        <v>1</v>
      </c>
      <c r="AM73" s="13">
        <v>2</v>
      </c>
      <c r="AN73" s="13">
        <v>3</v>
      </c>
      <c r="AO73" s="13" t="s">
        <v>579</v>
      </c>
      <c r="AP73" s="13" t="s">
        <v>580</v>
      </c>
      <c r="AQ73" s="13" t="s">
        <v>581</v>
      </c>
      <c r="AR73" s="508" t="s">
        <v>580</v>
      </c>
      <c r="AS73" s="496">
        <f>IF(G51="",NA(),G51)</f>
        <v>0.51100000000000001</v>
      </c>
      <c r="AT73" s="496">
        <f>IF(H51="",NA(),H51)</f>
        <v>0.51300000000000001</v>
      </c>
      <c r="AU73" s="496" t="e">
        <f>IF(I51="",NA(),I51)</f>
        <v>#N/A</v>
      </c>
      <c r="AV73" s="496">
        <f>IF(G52="",NA(),G52)</f>
        <v>0.52100000000000002</v>
      </c>
      <c r="AW73" s="496">
        <f>IF(H52="",NA(),H52)</f>
        <v>0.52200000000000002</v>
      </c>
      <c r="AX73" s="496" t="e">
        <f>IF(I52="",NA(),I52)</f>
        <v>#N/A</v>
      </c>
      <c r="AY73" s="496">
        <f>IF(G53="",NA(),G53)</f>
        <v>0.52200000000000002</v>
      </c>
      <c r="AZ73" s="496">
        <f>IF(H53="",NA(),H53)</f>
        <v>0.52200000000000002</v>
      </c>
      <c r="BA73" s="496" t="e">
        <f>IF(I53="",NA(),I53)</f>
        <v>#N/A</v>
      </c>
      <c r="BB73" s="496">
        <f>IF(G54="",NA(),G54)</f>
        <v>0.52400000000000002</v>
      </c>
      <c r="BC73" s="496">
        <f>IF(H54="",NA(),H54)</f>
        <v>0.52300000000000002</v>
      </c>
      <c r="BD73" s="496" t="e">
        <f>IF(I54="",NA(),I54)</f>
        <v>#N/A</v>
      </c>
      <c r="BE73" s="496">
        <f>IF(G55="",NA(),G55)</f>
        <v>0.52100000000000002</v>
      </c>
      <c r="BF73" s="496">
        <f>IF(H55="",NA(),H55)</f>
        <v>0.52100000000000002</v>
      </c>
      <c r="BG73" s="496" t="e">
        <f>IF(I55="",NA(),I55)</f>
        <v>#N/A</v>
      </c>
      <c r="BH73" s="496" t="e">
        <f>IF(G56="",NA(),G56)</f>
        <v>#N/A</v>
      </c>
      <c r="BI73" s="496" t="e">
        <f>IF(H56="",NA(),H56)</f>
        <v>#N/A</v>
      </c>
      <c r="BJ73" s="496" t="e">
        <f>IF(I56="",NA(),I56)</f>
        <v>#N/A</v>
      </c>
      <c r="BK73" s="496" t="e">
        <f>IF(G57="",NA(),G57)</f>
        <v>#N/A</v>
      </c>
      <c r="BL73" s="496" t="e">
        <f>IF(H57="",NA(),H57)</f>
        <v>#N/A</v>
      </c>
      <c r="BM73" s="496" t="e">
        <f>IF(I57="",NA(),I57)</f>
        <v>#N/A</v>
      </c>
      <c r="BN73" s="496" t="e">
        <f>IF(G58="",NA(),G58)</f>
        <v>#N/A</v>
      </c>
      <c r="BO73" s="496" t="e">
        <f>IF(H58="",NA(),H58)</f>
        <v>#N/A</v>
      </c>
      <c r="BP73" s="496" t="e">
        <f>IF(I58="",NA(),I58)</f>
        <v>#N/A</v>
      </c>
      <c r="BQ73" s="496" t="e">
        <f>IF(G59="",NA(),G59)</f>
        <v>#N/A</v>
      </c>
      <c r="BR73" s="496" t="e">
        <f>IF(H59="",NA(),H59)</f>
        <v>#N/A</v>
      </c>
      <c r="BS73" s="496" t="e">
        <f>IF(I59="",NA(),I59)</f>
        <v>#N/A</v>
      </c>
      <c r="BT73" s="496" t="e">
        <f>IF(G60="",NA(),G60)</f>
        <v>#N/A</v>
      </c>
      <c r="BU73" s="496" t="e">
        <f>IF(H60="",NA(),H60)</f>
        <v>#N/A</v>
      </c>
      <c r="BV73" s="496" t="e">
        <f>IF(I60="",NA(),I60)</f>
        <v>#N/A</v>
      </c>
      <c r="BW73" s="496" t="e">
        <f>AVERAGE(AS73:BV73)</f>
        <v>#N/A</v>
      </c>
    </row>
    <row r="74" spans="1:84" x14ac:dyDescent="0.25">
      <c r="A74" s="40"/>
      <c r="F74" s="504"/>
      <c r="G74" s="504"/>
      <c r="H74" s="504"/>
      <c r="I74" s="504"/>
      <c r="N74" s="502">
        <f t="shared" ref="N74:N103" si="33">IF($AC$111=$O$38,N41,IF($AC$111=$W$38,V41,IF($AC$111=$AE$38,AD41,IF($AC$111=$AM$38,AL41,IF($AC$111=$AU$38,AT41,"")))))</f>
        <v>1</v>
      </c>
      <c r="O74" s="835" t="str">
        <f t="shared" ref="O74:T89" si="34">IF($AC$112=$O$38,O41,IF($AC$112=$W$38,W41,IF($AC$112=$AE$38,AE41,IF($AC$112=$AM$38,AM41,IF($AC$112=$AU$38,AU41,"")))))</f>
        <v/>
      </c>
      <c r="P74" s="835" t="str">
        <f t="shared" si="34"/>
        <v/>
      </c>
      <c r="Q74" s="835" t="str">
        <f t="shared" si="34"/>
        <v/>
      </c>
      <c r="R74" s="835" t="str">
        <f t="shared" si="34"/>
        <v/>
      </c>
      <c r="S74" s="835" t="str">
        <f t="shared" si="34"/>
        <v/>
      </c>
      <c r="T74" s="835" t="str">
        <f t="shared" si="34"/>
        <v/>
      </c>
      <c r="V74" s="835">
        <f t="shared" ref="V74:AB103" si="35">IF($AC$112=$BC$38,BB41,IF($AC$112=$BK$38,BJ41,IF($AC$112=$BS$38,BR41,IF($AC$112=$CA$38,BZ41,""))))</f>
        <v>1</v>
      </c>
      <c r="W74" s="835">
        <f t="shared" si="35"/>
        <v>0.52100000000000002</v>
      </c>
      <c r="X74" s="835" t="e">
        <f t="shared" si="35"/>
        <v>#N/A</v>
      </c>
      <c r="Y74" s="835" t="e">
        <f t="shared" si="35"/>
        <v>#N/A</v>
      </c>
      <c r="Z74" s="835">
        <f t="shared" si="35"/>
        <v>0</v>
      </c>
      <c r="AA74" s="835" t="e">
        <f t="shared" si="35"/>
        <v>#N/A</v>
      </c>
      <c r="AB74" s="835" t="e">
        <f t="shared" si="35"/>
        <v>#N/A</v>
      </c>
      <c r="AD74" s="40"/>
      <c r="AE74" s="508">
        <f t="shared" ref="AE74:AE83" si="36">IF(G41="",NA(),F41)</f>
        <v>1</v>
      </c>
      <c r="AF74" s="814">
        <f t="shared" ref="AF74:AH83" si="37">IF(G41="",NA(),G41)</f>
        <v>0.52100000000000002</v>
      </c>
      <c r="AG74" s="840">
        <f t="shared" si="37"/>
        <v>0.52100000000000002</v>
      </c>
      <c r="AH74" s="816" t="e">
        <f t="shared" si="37"/>
        <v>#N/A</v>
      </c>
      <c r="AI74" s="840">
        <f t="shared" ref="AI74:AK83" si="38">IF(G51="",NA(),G51)</f>
        <v>0.51100000000000001</v>
      </c>
      <c r="AJ74" s="840">
        <f t="shared" si="38"/>
        <v>0.51300000000000001</v>
      </c>
      <c r="AK74" s="840" t="e">
        <f t="shared" si="38"/>
        <v>#N/A</v>
      </c>
      <c r="AL74" s="814" t="e">
        <f t="shared" ref="AL74:AN83" si="39">IF(G61="",NA(),G61)</f>
        <v>#N/A</v>
      </c>
      <c r="AM74" s="840" t="e">
        <f t="shared" si="39"/>
        <v>#N/A</v>
      </c>
      <c r="AN74" s="840" t="e">
        <f t="shared" si="39"/>
        <v>#N/A</v>
      </c>
      <c r="AO74" s="831">
        <f>IF('GRR AIAG GR&amp;R'!$F$7=3,AVERAGE(G41:I41,G51:I51,G61:I61),IF('GRR AIAG GR&amp;R'!$F$7=2,AVERAGE(G41:I41,G51:I51),AVERAGE(G41:I41)))</f>
        <v>0.51649999999999996</v>
      </c>
      <c r="AP74" s="831"/>
      <c r="AQ74" s="831"/>
      <c r="AR74" s="508" t="s">
        <v>581</v>
      </c>
      <c r="AS74" s="496" t="e">
        <f>IF(G61="",NA(),G61)</f>
        <v>#N/A</v>
      </c>
      <c r="AT74" s="496" t="e">
        <f>IF(H61="",NA(),H61)</f>
        <v>#N/A</v>
      </c>
      <c r="AU74" s="496" t="e">
        <f>IF(I61="",NA(),I61)</f>
        <v>#N/A</v>
      </c>
      <c r="AV74" s="496" t="e">
        <f>IF(G62="",NA(),G62)</f>
        <v>#N/A</v>
      </c>
      <c r="AW74" s="496" t="e">
        <f>IF(H62="",NA(),H62)</f>
        <v>#N/A</v>
      </c>
      <c r="AX74" s="496" t="e">
        <f>IF(I62="",NA(),I62)</f>
        <v>#N/A</v>
      </c>
      <c r="AY74" s="496" t="e">
        <f>IF(G63="",NA(),G63)</f>
        <v>#N/A</v>
      </c>
      <c r="AZ74" s="496" t="e">
        <f>IF(H63="",NA(),H63)</f>
        <v>#N/A</v>
      </c>
      <c r="BA74" s="496" t="e">
        <f>IF(I63="",NA(),I63)</f>
        <v>#N/A</v>
      </c>
      <c r="BB74" s="496" t="e">
        <f>IF(G64="",NA(),G64)</f>
        <v>#N/A</v>
      </c>
      <c r="BC74" s="496" t="e">
        <f>IF(H64="",NA(),H64)</f>
        <v>#N/A</v>
      </c>
      <c r="BD74" s="496" t="e">
        <f>IF(I64="",NA(),I64)</f>
        <v>#N/A</v>
      </c>
      <c r="BE74" s="496" t="e">
        <f>IF(G65="",NA(),G65)</f>
        <v>#N/A</v>
      </c>
      <c r="BF74" s="496" t="e">
        <f>IF(H65="",NA(),H65)</f>
        <v>#N/A</v>
      </c>
      <c r="BG74" s="496" t="e">
        <f>IF(I65="",NA(),I65)</f>
        <v>#N/A</v>
      </c>
      <c r="BH74" s="496" t="e">
        <f>IF(G66="",NA(),G66)</f>
        <v>#N/A</v>
      </c>
      <c r="BI74" s="496" t="e">
        <f>IF(H66="",NA(),H66)</f>
        <v>#N/A</v>
      </c>
      <c r="BJ74" s="496" t="e">
        <f>IF(I66="",NA(),I66)</f>
        <v>#N/A</v>
      </c>
      <c r="BK74" s="496" t="e">
        <f>IF(G67="",NA(),G67)</f>
        <v>#N/A</v>
      </c>
      <c r="BL74" s="496" t="e">
        <f>IF(H67="",NA(),H67)</f>
        <v>#N/A</v>
      </c>
      <c r="BM74" s="496" t="e">
        <f>IF(I67="",NA(),I67)</f>
        <v>#N/A</v>
      </c>
      <c r="BN74" s="496" t="e">
        <f>IF(G68="",NA(),G68)</f>
        <v>#N/A</v>
      </c>
      <c r="BO74" s="496" t="e">
        <f>IF(H68="",NA(),H68)</f>
        <v>#N/A</v>
      </c>
      <c r="BP74" s="496" t="e">
        <f>IF(I68="",NA(),I68)</f>
        <v>#N/A</v>
      </c>
      <c r="BQ74" s="496" t="e">
        <f>IF(G69="",NA(),G69)</f>
        <v>#N/A</v>
      </c>
      <c r="BR74" s="496" t="e">
        <f>IF(H69="",NA(),H69)</f>
        <v>#N/A</v>
      </c>
      <c r="BS74" s="496" t="e">
        <f>IF(I69="",NA(),I69)</f>
        <v>#N/A</v>
      </c>
      <c r="BT74" s="496" t="e">
        <f>IF(G70="",NA(),G70)</f>
        <v>#N/A</v>
      </c>
      <c r="BU74" s="496" t="e">
        <f>IF(H70="",NA(),H70)</f>
        <v>#N/A</v>
      </c>
      <c r="BV74" s="496" t="e">
        <f>IF(I70="",NA(),I70)</f>
        <v>#N/A</v>
      </c>
      <c r="BW74" s="496" t="e">
        <f>AVERAGE(AS74:BV74)</f>
        <v>#N/A</v>
      </c>
    </row>
    <row r="75" spans="1:84" x14ac:dyDescent="0.25">
      <c r="J75" s="509">
        <f t="shared" ref="J75:J84" si="40">IF(G41="",NA(),1)</f>
        <v>1</v>
      </c>
      <c r="K75" s="841">
        <f t="shared" ref="K75:K104" si="41">IF(G41="",NA(),F41)</f>
        <v>1</v>
      </c>
      <c r="L75" s="841">
        <f t="shared" ref="L75:L104" si="42">IF(G41="",NA(),G41)</f>
        <v>0.52100000000000002</v>
      </c>
      <c r="N75" s="502">
        <f t="shared" si="33"/>
        <v>2</v>
      </c>
      <c r="O75" s="835" t="str">
        <f t="shared" si="34"/>
        <v/>
      </c>
      <c r="P75" s="835" t="str">
        <f t="shared" si="34"/>
        <v/>
      </c>
      <c r="Q75" s="835" t="str">
        <f t="shared" si="34"/>
        <v/>
      </c>
      <c r="R75" s="835" t="str">
        <f t="shared" si="34"/>
        <v/>
      </c>
      <c r="S75" s="835" t="str">
        <f t="shared" si="34"/>
        <v/>
      </c>
      <c r="T75" s="835" t="str">
        <f t="shared" si="34"/>
        <v/>
      </c>
      <c r="V75" s="835">
        <f t="shared" si="35"/>
        <v>2</v>
      </c>
      <c r="W75" s="835">
        <f t="shared" si="35"/>
        <v>0.53100000000000003</v>
      </c>
      <c r="X75" s="835" t="e">
        <f t="shared" si="35"/>
        <v>#N/A</v>
      </c>
      <c r="Y75" s="835" t="e">
        <f t="shared" si="35"/>
        <v>#N/A</v>
      </c>
      <c r="Z75" s="835">
        <f t="shared" si="35"/>
        <v>1.8000000000000016E-2</v>
      </c>
      <c r="AA75" s="835" t="e">
        <f t="shared" si="35"/>
        <v>#N/A</v>
      </c>
      <c r="AB75" s="835" t="e">
        <f t="shared" si="35"/>
        <v>#N/A</v>
      </c>
      <c r="AD75" s="40"/>
      <c r="AE75" s="508">
        <f t="shared" si="36"/>
        <v>2</v>
      </c>
      <c r="AF75" s="842">
        <f t="shared" si="37"/>
        <v>0.52200000000000002</v>
      </c>
      <c r="AG75" s="496">
        <f t="shared" si="37"/>
        <v>0.54</v>
      </c>
      <c r="AH75" s="510" t="e">
        <f t="shared" si="37"/>
        <v>#N/A</v>
      </c>
      <c r="AI75" s="496">
        <f t="shared" si="38"/>
        <v>0.52100000000000002</v>
      </c>
      <c r="AJ75" s="496">
        <f t="shared" si="38"/>
        <v>0.52200000000000002</v>
      </c>
      <c r="AK75" s="496" t="e">
        <f t="shared" si="38"/>
        <v>#N/A</v>
      </c>
      <c r="AL75" s="842" t="e">
        <f t="shared" si="39"/>
        <v>#N/A</v>
      </c>
      <c r="AM75" s="496" t="e">
        <f t="shared" si="39"/>
        <v>#N/A</v>
      </c>
      <c r="AN75" s="496" t="e">
        <f t="shared" si="39"/>
        <v>#N/A</v>
      </c>
      <c r="AO75" s="831">
        <f>IF('GRR AIAG GR&amp;R'!$F$7=3,AVERAGE(G42:I42,G52:I52,G62:I62),IF('GRR AIAG GR&amp;R'!$F$7=2,AVERAGE(G42:I42,G52:I52),AVERAGE(G42:I42)))</f>
        <v>0.52625000000000011</v>
      </c>
      <c r="AP75" s="843"/>
      <c r="AQ75" s="843"/>
      <c r="AR75" s="40"/>
    </row>
    <row r="76" spans="1:84" x14ac:dyDescent="0.25">
      <c r="J76" s="509">
        <f t="shared" si="40"/>
        <v>1</v>
      </c>
      <c r="K76" s="841">
        <f t="shared" si="41"/>
        <v>2</v>
      </c>
      <c r="L76" s="841">
        <f t="shared" si="42"/>
        <v>0.52200000000000002</v>
      </c>
      <c r="N76" s="502">
        <f t="shared" si="33"/>
        <v>3</v>
      </c>
      <c r="O76" s="835" t="str">
        <f t="shared" si="34"/>
        <v/>
      </c>
      <c r="P76" s="835" t="str">
        <f t="shared" si="34"/>
        <v/>
      </c>
      <c r="Q76" s="835" t="str">
        <f t="shared" si="34"/>
        <v/>
      </c>
      <c r="R76" s="835" t="str">
        <f t="shared" si="34"/>
        <v/>
      </c>
      <c r="S76" s="835" t="str">
        <f t="shared" si="34"/>
        <v/>
      </c>
      <c r="T76" s="835" t="str">
        <f t="shared" si="34"/>
        <v/>
      </c>
      <c r="V76" s="835">
        <f t="shared" si="35"/>
        <v>3</v>
      </c>
      <c r="W76" s="835">
        <f t="shared" si="35"/>
        <v>0.52350000000000008</v>
      </c>
      <c r="X76" s="835" t="e">
        <f t="shared" si="35"/>
        <v>#N/A</v>
      </c>
      <c r="Y76" s="835" t="e">
        <f t="shared" si="35"/>
        <v>#N/A</v>
      </c>
      <c r="Z76" s="835">
        <f t="shared" si="35"/>
        <v>1.0000000000000009E-3</v>
      </c>
      <c r="AA76" s="835" t="e">
        <f t="shared" si="35"/>
        <v>#N/A</v>
      </c>
      <c r="AB76" s="835" t="e">
        <f t="shared" si="35"/>
        <v>#N/A</v>
      </c>
      <c r="AD76" s="40"/>
      <c r="AE76" s="508">
        <f t="shared" si="36"/>
        <v>3</v>
      </c>
      <c r="AF76" s="842">
        <f t="shared" si="37"/>
        <v>0.52300000000000002</v>
      </c>
      <c r="AG76" s="496">
        <f t="shared" si="37"/>
        <v>0.52400000000000002</v>
      </c>
      <c r="AH76" s="510" t="e">
        <f t="shared" si="37"/>
        <v>#N/A</v>
      </c>
      <c r="AI76" s="496">
        <f t="shared" si="38"/>
        <v>0.52200000000000002</v>
      </c>
      <c r="AJ76" s="496">
        <f t="shared" si="38"/>
        <v>0.52200000000000002</v>
      </c>
      <c r="AK76" s="496" t="e">
        <f t="shared" si="38"/>
        <v>#N/A</v>
      </c>
      <c r="AL76" s="842" t="e">
        <f t="shared" si="39"/>
        <v>#N/A</v>
      </c>
      <c r="AM76" s="496" t="e">
        <f t="shared" si="39"/>
        <v>#N/A</v>
      </c>
      <c r="AN76" s="496" t="e">
        <f t="shared" si="39"/>
        <v>#N/A</v>
      </c>
      <c r="AO76" s="831">
        <f>IF('GRR AIAG GR&amp;R'!$F$7=3,AVERAGE(G43:I43,G53:I53,G63:I63),IF('GRR AIAG GR&amp;R'!$F$7=2,AVERAGE(G43:I43,G53:I53),AVERAGE(G43:I43)))</f>
        <v>0.52275000000000005</v>
      </c>
      <c r="AP76" s="843"/>
      <c r="AQ76" s="843"/>
      <c r="AR76" s="40"/>
    </row>
    <row r="77" spans="1:84" x14ac:dyDescent="0.25">
      <c r="J77" s="509">
        <f t="shared" si="40"/>
        <v>1</v>
      </c>
      <c r="K77" s="841">
        <f t="shared" si="41"/>
        <v>3</v>
      </c>
      <c r="L77" s="841">
        <f t="shared" si="42"/>
        <v>0.52300000000000002</v>
      </c>
      <c r="N77" s="502">
        <f t="shared" si="33"/>
        <v>4</v>
      </c>
      <c r="O77" s="835" t="str">
        <f t="shared" si="34"/>
        <v/>
      </c>
      <c r="P77" s="835" t="str">
        <f t="shared" si="34"/>
        <v/>
      </c>
      <c r="Q77" s="835" t="str">
        <f t="shared" si="34"/>
        <v/>
      </c>
      <c r="R77" s="835" t="str">
        <f t="shared" si="34"/>
        <v/>
      </c>
      <c r="S77" s="835" t="str">
        <f t="shared" si="34"/>
        <v/>
      </c>
      <c r="T77" s="835" t="str">
        <f t="shared" si="34"/>
        <v/>
      </c>
      <c r="V77" s="835">
        <f t="shared" si="35"/>
        <v>4</v>
      </c>
      <c r="W77" s="835">
        <f t="shared" si="35"/>
        <v>0.52150000000000007</v>
      </c>
      <c r="X77" s="835" t="e">
        <f t="shared" si="35"/>
        <v>#N/A</v>
      </c>
      <c r="Y77" s="835" t="e">
        <f t="shared" si="35"/>
        <v>#N/A</v>
      </c>
      <c r="Z77" s="835">
        <f t="shared" si="35"/>
        <v>1.0000000000000009E-3</v>
      </c>
      <c r="AA77" s="835" t="e">
        <f t="shared" si="35"/>
        <v>#N/A</v>
      </c>
      <c r="AB77" s="835" t="e">
        <f t="shared" si="35"/>
        <v>#N/A</v>
      </c>
      <c r="AD77" s="40"/>
      <c r="AE77" s="508">
        <f t="shared" si="36"/>
        <v>4</v>
      </c>
      <c r="AF77" s="842">
        <f t="shared" si="37"/>
        <v>0.52100000000000002</v>
      </c>
      <c r="AG77" s="496">
        <f t="shared" si="37"/>
        <v>0.52200000000000002</v>
      </c>
      <c r="AH77" s="510" t="e">
        <f t="shared" si="37"/>
        <v>#N/A</v>
      </c>
      <c r="AI77" s="496">
        <f t="shared" si="38"/>
        <v>0.52400000000000002</v>
      </c>
      <c r="AJ77" s="496">
        <f t="shared" si="38"/>
        <v>0.52300000000000002</v>
      </c>
      <c r="AK77" s="496" t="e">
        <f t="shared" si="38"/>
        <v>#N/A</v>
      </c>
      <c r="AL77" s="842" t="e">
        <f t="shared" si="39"/>
        <v>#N/A</v>
      </c>
      <c r="AM77" s="496" t="e">
        <f t="shared" si="39"/>
        <v>#N/A</v>
      </c>
      <c r="AN77" s="496" t="e">
        <f t="shared" si="39"/>
        <v>#N/A</v>
      </c>
      <c r="AO77" s="831">
        <f>IF('GRR AIAG GR&amp;R'!$F$7=3,AVERAGE(G44:I44,G54:I54,G64:I64),IF('GRR AIAG GR&amp;R'!$F$7=2,AVERAGE(G44:I44,G54:I54),AVERAGE(G44:I44)))</f>
        <v>0.52250000000000008</v>
      </c>
      <c r="AP77" s="843"/>
      <c r="AQ77" s="843"/>
      <c r="AR77" s="40"/>
    </row>
    <row r="78" spans="1:84" x14ac:dyDescent="0.25">
      <c r="J78" s="509">
        <f t="shared" si="40"/>
        <v>1</v>
      </c>
      <c r="K78" s="841">
        <f t="shared" si="41"/>
        <v>4</v>
      </c>
      <c r="L78" s="841">
        <f t="shared" si="42"/>
        <v>0.52100000000000002</v>
      </c>
      <c r="N78" s="502">
        <f t="shared" si="33"/>
        <v>5</v>
      </c>
      <c r="O78" s="835" t="str">
        <f t="shared" si="34"/>
        <v/>
      </c>
      <c r="P78" s="835" t="str">
        <f t="shared" si="34"/>
        <v/>
      </c>
      <c r="Q78" s="835" t="str">
        <f t="shared" si="34"/>
        <v/>
      </c>
      <c r="R78" s="835" t="str">
        <f t="shared" si="34"/>
        <v/>
      </c>
      <c r="S78" s="835" t="str">
        <f t="shared" si="34"/>
        <v/>
      </c>
      <c r="T78" s="835" t="str">
        <f t="shared" si="34"/>
        <v/>
      </c>
      <c r="V78" s="835">
        <f t="shared" si="35"/>
        <v>5</v>
      </c>
      <c r="W78" s="835">
        <f t="shared" si="35"/>
        <v>0.52449999999999997</v>
      </c>
      <c r="X78" s="835" t="e">
        <f t="shared" si="35"/>
        <v>#N/A</v>
      </c>
      <c r="Y78" s="835" t="e">
        <f t="shared" si="35"/>
        <v>#N/A</v>
      </c>
      <c r="Z78" s="835">
        <f t="shared" si="35"/>
        <v>1.0000000000000009E-3</v>
      </c>
      <c r="AA78" s="835" t="e">
        <f t="shared" si="35"/>
        <v>#N/A</v>
      </c>
      <c r="AB78" s="835" t="e">
        <f t="shared" si="35"/>
        <v>#N/A</v>
      </c>
      <c r="AD78" s="40"/>
      <c r="AE78" s="508">
        <f t="shared" si="36"/>
        <v>5</v>
      </c>
      <c r="AF78" s="842">
        <f t="shared" si="37"/>
        <v>0.52500000000000002</v>
      </c>
      <c r="AG78" s="496">
        <f t="shared" si="37"/>
        <v>0.52400000000000002</v>
      </c>
      <c r="AH78" s="510" t="e">
        <f t="shared" si="37"/>
        <v>#N/A</v>
      </c>
      <c r="AI78" s="496">
        <f t="shared" si="38"/>
        <v>0.52100000000000002</v>
      </c>
      <c r="AJ78" s="496">
        <f t="shared" si="38"/>
        <v>0.52100000000000002</v>
      </c>
      <c r="AK78" s="496" t="e">
        <f t="shared" si="38"/>
        <v>#N/A</v>
      </c>
      <c r="AL78" s="842" t="e">
        <f t="shared" si="39"/>
        <v>#N/A</v>
      </c>
      <c r="AM78" s="496" t="e">
        <f t="shared" si="39"/>
        <v>#N/A</v>
      </c>
      <c r="AN78" s="496" t="e">
        <f t="shared" si="39"/>
        <v>#N/A</v>
      </c>
      <c r="AO78" s="831">
        <f>IF('GRR AIAG GR&amp;R'!$F$7=3,AVERAGE(G45:I45,G55:I55,G65:I65),IF('GRR AIAG GR&amp;R'!$F$7=2,AVERAGE(G45:I45,G55:I55),AVERAGE(G45:I45)))</f>
        <v>0.52274999999999994</v>
      </c>
      <c r="AP78" s="843"/>
      <c r="AQ78" s="843"/>
      <c r="AR78" s="40"/>
    </row>
    <row r="79" spans="1:84" x14ac:dyDescent="0.25">
      <c r="J79" s="509">
        <f t="shared" si="40"/>
        <v>1</v>
      </c>
      <c r="K79" s="841">
        <f t="shared" si="41"/>
        <v>5</v>
      </c>
      <c r="L79" s="841">
        <f t="shared" si="42"/>
        <v>0.52500000000000002</v>
      </c>
      <c r="N79" s="502">
        <f t="shared" si="33"/>
        <v>6</v>
      </c>
      <c r="O79" s="835" t="str">
        <f t="shared" si="34"/>
        <v/>
      </c>
      <c r="P79" s="835" t="str">
        <f t="shared" si="34"/>
        <v/>
      </c>
      <c r="Q79" s="835" t="str">
        <f t="shared" si="34"/>
        <v/>
      </c>
      <c r="R79" s="835" t="str">
        <f t="shared" si="34"/>
        <v/>
      </c>
      <c r="S79" s="835" t="str">
        <f t="shared" si="34"/>
        <v/>
      </c>
      <c r="T79" s="835" t="str">
        <f t="shared" si="34"/>
        <v/>
      </c>
      <c r="V79" s="835">
        <f t="shared" si="35"/>
        <v>1</v>
      </c>
      <c r="W79" s="835" t="e">
        <f t="shared" si="35"/>
        <v>#N/A</v>
      </c>
      <c r="X79" s="835">
        <f t="shared" si="35"/>
        <v>0.51200000000000001</v>
      </c>
      <c r="Y79" s="835" t="e">
        <f t="shared" si="35"/>
        <v>#N/A</v>
      </c>
      <c r="Z79" s="835" t="e">
        <f t="shared" si="35"/>
        <v>#N/A</v>
      </c>
      <c r="AA79" s="835">
        <f t="shared" si="35"/>
        <v>2.0000000000000018E-3</v>
      </c>
      <c r="AB79" s="835" t="e">
        <f t="shared" si="35"/>
        <v>#N/A</v>
      </c>
      <c r="AD79" s="40"/>
      <c r="AE79" s="508" t="e">
        <f t="shared" si="36"/>
        <v>#N/A</v>
      </c>
      <c r="AF79" s="842" t="e">
        <f t="shared" si="37"/>
        <v>#N/A</v>
      </c>
      <c r="AG79" s="496" t="e">
        <f t="shared" si="37"/>
        <v>#N/A</v>
      </c>
      <c r="AH79" s="510" t="e">
        <f t="shared" si="37"/>
        <v>#N/A</v>
      </c>
      <c r="AI79" s="496" t="e">
        <f t="shared" si="38"/>
        <v>#N/A</v>
      </c>
      <c r="AJ79" s="496" t="e">
        <f t="shared" si="38"/>
        <v>#N/A</v>
      </c>
      <c r="AK79" s="496" t="e">
        <f t="shared" si="38"/>
        <v>#N/A</v>
      </c>
      <c r="AL79" s="842" t="e">
        <f t="shared" si="39"/>
        <v>#N/A</v>
      </c>
      <c r="AM79" s="496" t="e">
        <f t="shared" si="39"/>
        <v>#N/A</v>
      </c>
      <c r="AN79" s="496" t="e">
        <f t="shared" si="39"/>
        <v>#N/A</v>
      </c>
      <c r="AO79" s="831" t="e">
        <f>IF('GRR AIAG GR&amp;R'!$F$7=3,AVERAGE(G46:I46,G56:I56,G66:I66),IF('GRR AIAG GR&amp;R'!$F$7=2,AVERAGE(G46:I46,G56:I56),AVERAGE(G46:I46)))</f>
        <v>#DIV/0!</v>
      </c>
      <c r="AP79" s="843"/>
      <c r="AQ79" s="843"/>
      <c r="AR79" s="40"/>
    </row>
    <row r="80" spans="1:84" x14ac:dyDescent="0.25">
      <c r="J80" s="509" t="e">
        <f t="shared" si="40"/>
        <v>#N/A</v>
      </c>
      <c r="K80" s="841" t="e">
        <f t="shared" si="41"/>
        <v>#N/A</v>
      </c>
      <c r="L80" s="841" t="e">
        <f t="shared" si="42"/>
        <v>#N/A</v>
      </c>
      <c r="N80" s="502">
        <f t="shared" si="33"/>
        <v>7</v>
      </c>
      <c r="O80" s="835" t="str">
        <f t="shared" si="34"/>
        <v/>
      </c>
      <c r="P80" s="835" t="str">
        <f t="shared" si="34"/>
        <v/>
      </c>
      <c r="Q80" s="835" t="str">
        <f t="shared" si="34"/>
        <v/>
      </c>
      <c r="R80" s="835" t="str">
        <f t="shared" si="34"/>
        <v/>
      </c>
      <c r="S80" s="835" t="str">
        <f t="shared" si="34"/>
        <v/>
      </c>
      <c r="T80" s="835" t="str">
        <f t="shared" si="34"/>
        <v/>
      </c>
      <c r="V80" s="835">
        <f t="shared" si="35"/>
        <v>2</v>
      </c>
      <c r="W80" s="835" t="e">
        <f t="shared" si="35"/>
        <v>#N/A</v>
      </c>
      <c r="X80" s="835">
        <f t="shared" si="35"/>
        <v>0.52150000000000007</v>
      </c>
      <c r="Y80" s="835" t="e">
        <f t="shared" si="35"/>
        <v>#N/A</v>
      </c>
      <c r="Z80" s="835" t="e">
        <f t="shared" si="35"/>
        <v>#N/A</v>
      </c>
      <c r="AA80" s="835">
        <f t="shared" si="35"/>
        <v>1.0000000000000009E-3</v>
      </c>
      <c r="AB80" s="835" t="e">
        <f t="shared" si="35"/>
        <v>#N/A</v>
      </c>
      <c r="AD80" s="40"/>
      <c r="AE80" s="508" t="e">
        <f t="shared" si="36"/>
        <v>#N/A</v>
      </c>
      <c r="AF80" s="842" t="e">
        <f t="shared" si="37"/>
        <v>#N/A</v>
      </c>
      <c r="AG80" s="496" t="e">
        <f t="shared" si="37"/>
        <v>#N/A</v>
      </c>
      <c r="AH80" s="510" t="e">
        <f t="shared" si="37"/>
        <v>#N/A</v>
      </c>
      <c r="AI80" s="496" t="e">
        <f t="shared" si="38"/>
        <v>#N/A</v>
      </c>
      <c r="AJ80" s="496" t="e">
        <f t="shared" si="38"/>
        <v>#N/A</v>
      </c>
      <c r="AK80" s="496" t="e">
        <f t="shared" si="38"/>
        <v>#N/A</v>
      </c>
      <c r="AL80" s="842" t="e">
        <f t="shared" si="39"/>
        <v>#N/A</v>
      </c>
      <c r="AM80" s="496" t="e">
        <f t="shared" si="39"/>
        <v>#N/A</v>
      </c>
      <c r="AN80" s="496" t="e">
        <f t="shared" si="39"/>
        <v>#N/A</v>
      </c>
      <c r="AO80" s="831" t="e">
        <f>IF('GRR AIAG GR&amp;R'!$F$7=3,AVERAGE(G47:I47,G57:I57,G67:I67),IF('GRR AIAG GR&amp;R'!$F$7=2,AVERAGE(G47:I47,G57:I57),AVERAGE(G47:I47)))</f>
        <v>#DIV/0!</v>
      </c>
      <c r="AP80" s="843"/>
      <c r="AQ80" s="843"/>
      <c r="AR80" s="40"/>
    </row>
    <row r="81" spans="10:44" x14ac:dyDescent="0.25">
      <c r="J81" s="509" t="e">
        <f t="shared" si="40"/>
        <v>#N/A</v>
      </c>
      <c r="K81" s="841" t="e">
        <f t="shared" si="41"/>
        <v>#N/A</v>
      </c>
      <c r="L81" s="841" t="e">
        <f t="shared" si="42"/>
        <v>#N/A</v>
      </c>
      <c r="N81" s="502">
        <f t="shared" si="33"/>
        <v>8</v>
      </c>
      <c r="O81" s="835" t="str">
        <f t="shared" si="34"/>
        <v/>
      </c>
      <c r="P81" s="835" t="str">
        <f t="shared" si="34"/>
        <v/>
      </c>
      <c r="Q81" s="835" t="str">
        <f t="shared" si="34"/>
        <v/>
      </c>
      <c r="R81" s="835" t="str">
        <f t="shared" si="34"/>
        <v/>
      </c>
      <c r="S81" s="835" t="str">
        <f t="shared" si="34"/>
        <v/>
      </c>
      <c r="T81" s="835" t="str">
        <f t="shared" si="34"/>
        <v/>
      </c>
      <c r="V81" s="835">
        <f t="shared" si="35"/>
        <v>3</v>
      </c>
      <c r="W81" s="835" t="e">
        <f t="shared" si="35"/>
        <v>#N/A</v>
      </c>
      <c r="X81" s="835">
        <f t="shared" si="35"/>
        <v>0.52200000000000002</v>
      </c>
      <c r="Y81" s="835" t="e">
        <f t="shared" si="35"/>
        <v>#N/A</v>
      </c>
      <c r="Z81" s="835" t="e">
        <f t="shared" si="35"/>
        <v>#N/A</v>
      </c>
      <c r="AA81" s="835">
        <f t="shared" si="35"/>
        <v>0</v>
      </c>
      <c r="AB81" s="835" t="e">
        <f t="shared" si="35"/>
        <v>#N/A</v>
      </c>
      <c r="AD81" s="40"/>
      <c r="AE81" s="508" t="e">
        <f t="shared" si="36"/>
        <v>#N/A</v>
      </c>
      <c r="AF81" s="842" t="e">
        <f t="shared" si="37"/>
        <v>#N/A</v>
      </c>
      <c r="AG81" s="496" t="e">
        <f t="shared" si="37"/>
        <v>#N/A</v>
      </c>
      <c r="AH81" s="510" t="e">
        <f t="shared" si="37"/>
        <v>#N/A</v>
      </c>
      <c r="AI81" s="496" t="e">
        <f t="shared" si="38"/>
        <v>#N/A</v>
      </c>
      <c r="AJ81" s="496" t="e">
        <f t="shared" si="38"/>
        <v>#N/A</v>
      </c>
      <c r="AK81" s="496" t="e">
        <f t="shared" si="38"/>
        <v>#N/A</v>
      </c>
      <c r="AL81" s="842" t="e">
        <f t="shared" si="39"/>
        <v>#N/A</v>
      </c>
      <c r="AM81" s="496" t="e">
        <f t="shared" si="39"/>
        <v>#N/A</v>
      </c>
      <c r="AN81" s="496" t="e">
        <f t="shared" si="39"/>
        <v>#N/A</v>
      </c>
      <c r="AO81" s="831" t="e">
        <f>IF('GRR AIAG GR&amp;R'!$F$7=3,AVERAGE(G48:I48,G58:I58,G68:I68),IF('GRR AIAG GR&amp;R'!$F$7=2,AVERAGE(G48:I48,G58:I58),AVERAGE(G48:I48)))</f>
        <v>#DIV/0!</v>
      </c>
      <c r="AP81" s="843"/>
      <c r="AQ81" s="843"/>
      <c r="AR81" s="40"/>
    </row>
    <row r="82" spans="10:44" x14ac:dyDescent="0.25">
      <c r="J82" s="509" t="e">
        <f t="shared" si="40"/>
        <v>#N/A</v>
      </c>
      <c r="K82" s="841" t="e">
        <f t="shared" si="41"/>
        <v>#N/A</v>
      </c>
      <c r="L82" s="841" t="e">
        <f t="shared" si="42"/>
        <v>#N/A</v>
      </c>
      <c r="N82" s="502">
        <f t="shared" si="33"/>
        <v>9</v>
      </c>
      <c r="O82" s="835" t="str">
        <f t="shared" si="34"/>
        <v/>
      </c>
      <c r="P82" s="835" t="str">
        <f t="shared" si="34"/>
        <v/>
      </c>
      <c r="Q82" s="835" t="str">
        <f t="shared" si="34"/>
        <v/>
      </c>
      <c r="R82" s="835" t="str">
        <f t="shared" si="34"/>
        <v/>
      </c>
      <c r="S82" s="835" t="str">
        <f t="shared" si="34"/>
        <v/>
      </c>
      <c r="T82" s="835" t="str">
        <f t="shared" si="34"/>
        <v/>
      </c>
      <c r="V82" s="835">
        <f t="shared" si="35"/>
        <v>4</v>
      </c>
      <c r="W82" s="835" t="e">
        <f t="shared" si="35"/>
        <v>#N/A</v>
      </c>
      <c r="X82" s="835">
        <f t="shared" si="35"/>
        <v>0.52350000000000008</v>
      </c>
      <c r="Y82" s="835" t="e">
        <f t="shared" si="35"/>
        <v>#N/A</v>
      </c>
      <c r="Z82" s="835" t="e">
        <f t="shared" si="35"/>
        <v>#N/A</v>
      </c>
      <c r="AA82" s="835">
        <f t="shared" si="35"/>
        <v>1.0000000000000009E-3</v>
      </c>
      <c r="AB82" s="835" t="e">
        <f t="shared" si="35"/>
        <v>#N/A</v>
      </c>
      <c r="AD82" s="40"/>
      <c r="AE82" s="508" t="e">
        <f t="shared" si="36"/>
        <v>#N/A</v>
      </c>
      <c r="AF82" s="842" t="e">
        <f t="shared" si="37"/>
        <v>#N/A</v>
      </c>
      <c r="AG82" s="496" t="e">
        <f t="shared" si="37"/>
        <v>#N/A</v>
      </c>
      <c r="AH82" s="510" t="e">
        <f t="shared" si="37"/>
        <v>#N/A</v>
      </c>
      <c r="AI82" s="496" t="e">
        <f t="shared" si="38"/>
        <v>#N/A</v>
      </c>
      <c r="AJ82" s="496" t="e">
        <f t="shared" si="38"/>
        <v>#N/A</v>
      </c>
      <c r="AK82" s="496" t="e">
        <f t="shared" si="38"/>
        <v>#N/A</v>
      </c>
      <c r="AL82" s="842" t="e">
        <f t="shared" si="39"/>
        <v>#N/A</v>
      </c>
      <c r="AM82" s="496" t="e">
        <f t="shared" si="39"/>
        <v>#N/A</v>
      </c>
      <c r="AN82" s="496" t="e">
        <f t="shared" si="39"/>
        <v>#N/A</v>
      </c>
      <c r="AO82" s="831" t="e">
        <f>IF('GRR AIAG GR&amp;R'!$F$7=3,AVERAGE(G49:I49,G59:I59,G69:I69),IF('GRR AIAG GR&amp;R'!$F$7=2,AVERAGE(G49:I49,G59:I59),AVERAGE(G49:I49)))</f>
        <v>#DIV/0!</v>
      </c>
      <c r="AP82" s="843"/>
      <c r="AQ82" s="843"/>
      <c r="AR82" s="40"/>
    </row>
    <row r="83" spans="10:44" x14ac:dyDescent="0.25">
      <c r="J83" s="509" t="e">
        <f t="shared" si="40"/>
        <v>#N/A</v>
      </c>
      <c r="K83" s="841" t="e">
        <f t="shared" si="41"/>
        <v>#N/A</v>
      </c>
      <c r="L83" s="841" t="e">
        <f t="shared" si="42"/>
        <v>#N/A</v>
      </c>
      <c r="N83" s="502">
        <f t="shared" si="33"/>
        <v>10</v>
      </c>
      <c r="O83" s="835" t="str">
        <f t="shared" si="34"/>
        <v/>
      </c>
      <c r="P83" s="835" t="str">
        <f t="shared" si="34"/>
        <v/>
      </c>
      <c r="Q83" s="835" t="str">
        <f t="shared" si="34"/>
        <v/>
      </c>
      <c r="R83" s="835" t="str">
        <f t="shared" si="34"/>
        <v/>
      </c>
      <c r="S83" s="835" t="str">
        <f t="shared" si="34"/>
        <v/>
      </c>
      <c r="T83" s="835" t="str">
        <f t="shared" si="34"/>
        <v/>
      </c>
      <c r="V83" s="835">
        <f t="shared" si="35"/>
        <v>5</v>
      </c>
      <c r="W83" s="835" t="e">
        <f t="shared" si="35"/>
        <v>#N/A</v>
      </c>
      <c r="X83" s="835">
        <f t="shared" si="35"/>
        <v>0.52100000000000002</v>
      </c>
      <c r="Y83" s="835" t="e">
        <f t="shared" si="35"/>
        <v>#N/A</v>
      </c>
      <c r="Z83" s="835" t="e">
        <f t="shared" si="35"/>
        <v>#N/A</v>
      </c>
      <c r="AA83" s="835">
        <f t="shared" si="35"/>
        <v>0</v>
      </c>
      <c r="AB83" s="835" t="e">
        <f t="shared" si="35"/>
        <v>#N/A</v>
      </c>
      <c r="AD83" s="40"/>
      <c r="AE83" s="508" t="e">
        <f t="shared" si="36"/>
        <v>#N/A</v>
      </c>
      <c r="AF83" s="844" t="e">
        <f t="shared" si="37"/>
        <v>#N/A</v>
      </c>
      <c r="AG83" s="845" t="e">
        <f t="shared" si="37"/>
        <v>#N/A</v>
      </c>
      <c r="AH83" s="846" t="e">
        <f t="shared" si="37"/>
        <v>#N/A</v>
      </c>
      <c r="AI83" s="845" t="e">
        <f t="shared" si="38"/>
        <v>#N/A</v>
      </c>
      <c r="AJ83" s="845" t="e">
        <f t="shared" si="38"/>
        <v>#N/A</v>
      </c>
      <c r="AK83" s="845" t="e">
        <f t="shared" si="38"/>
        <v>#N/A</v>
      </c>
      <c r="AL83" s="844" t="e">
        <f t="shared" si="39"/>
        <v>#N/A</v>
      </c>
      <c r="AM83" s="845" t="e">
        <f t="shared" si="39"/>
        <v>#N/A</v>
      </c>
      <c r="AN83" s="845" t="e">
        <f t="shared" si="39"/>
        <v>#N/A</v>
      </c>
      <c r="AO83" s="831" t="e">
        <f>IF('GRR AIAG GR&amp;R'!$F$7=3,AVERAGE(G50:I50,G60:I60,G70:I70),IF('GRR AIAG GR&amp;R'!$F$7=2,AVERAGE(G50:I50,G60:I60),AVERAGE(G50:I50)))</f>
        <v>#DIV/0!</v>
      </c>
      <c r="AP83" s="847"/>
      <c r="AQ83" s="847"/>
      <c r="AR83" s="40"/>
    </row>
    <row r="84" spans="10:44" x14ac:dyDescent="0.25">
      <c r="J84" s="509" t="e">
        <f t="shared" si="40"/>
        <v>#N/A</v>
      </c>
      <c r="K84" s="841" t="e">
        <f t="shared" si="41"/>
        <v>#N/A</v>
      </c>
      <c r="L84" s="841" t="e">
        <f t="shared" si="42"/>
        <v>#N/A</v>
      </c>
      <c r="N84" s="502">
        <f t="shared" si="33"/>
        <v>1</v>
      </c>
      <c r="O84" s="835" t="str">
        <f t="shared" si="34"/>
        <v/>
      </c>
      <c r="P84" s="835" t="str">
        <f t="shared" si="34"/>
        <v/>
      </c>
      <c r="Q84" s="835" t="str">
        <f t="shared" si="34"/>
        <v/>
      </c>
      <c r="R84" s="835" t="str">
        <f t="shared" si="34"/>
        <v/>
      </c>
      <c r="S84" s="835" t="str">
        <f t="shared" si="34"/>
        <v/>
      </c>
      <c r="T84" s="835" t="str">
        <f t="shared" si="34"/>
        <v/>
      </c>
      <c r="V84" s="835">
        <f t="shared" si="35"/>
        <v>1</v>
      </c>
      <c r="W84" s="835" t="e">
        <f t="shared" si="35"/>
        <v>#N/A</v>
      </c>
      <c r="X84" s="835" t="e">
        <f t="shared" si="35"/>
        <v>#N/A</v>
      </c>
      <c r="Y84" s="835" t="e">
        <f t="shared" si="35"/>
        <v>#N/A</v>
      </c>
      <c r="Z84" s="835" t="e">
        <f t="shared" si="35"/>
        <v>#N/A</v>
      </c>
      <c r="AA84" s="835" t="e">
        <f t="shared" si="35"/>
        <v>#N/A</v>
      </c>
      <c r="AB84" s="835" t="e">
        <f t="shared" si="35"/>
        <v>#N/A</v>
      </c>
      <c r="AD84" s="40"/>
      <c r="AE84" s="40"/>
      <c r="AF84" s="814">
        <f>IF(G41="","",G41)</f>
        <v>0.52100000000000002</v>
      </c>
      <c r="AG84" s="840">
        <f>IF(H41="","",H41)</f>
        <v>0.52100000000000002</v>
      </c>
      <c r="AH84" s="816" t="str">
        <f>IF(I41="","",I41)</f>
        <v/>
      </c>
      <c r="AI84" s="840">
        <f>IF(G51="","",G51)</f>
        <v>0.51100000000000001</v>
      </c>
      <c r="AJ84" s="840">
        <f>IF(H51="","",H51)</f>
        <v>0.51300000000000001</v>
      </c>
      <c r="AK84" s="840" t="str">
        <f>IF(I51="","",I51)</f>
        <v/>
      </c>
      <c r="AL84" s="814" t="str">
        <f>IF(G61="","",G61)</f>
        <v/>
      </c>
      <c r="AM84" s="840" t="str">
        <f>IF(H61="","",H61)</f>
        <v/>
      </c>
      <c r="AN84" s="840" t="str">
        <f>IF(I61="","",I61)</f>
        <v/>
      </c>
      <c r="AO84" s="831">
        <f>IF(AF84="",NA(),AVERAGE(AF84:AH84))</f>
        <v>0.52100000000000002</v>
      </c>
      <c r="AP84" s="831">
        <f>IF(AI84="",NA(),AVERAGE(AI84:AK84))</f>
        <v>0.51200000000000001</v>
      </c>
      <c r="AQ84" s="831" t="e">
        <f>IF(AL84="",NA(),AVERAGE(AL84:AN84))</f>
        <v>#N/A</v>
      </c>
    </row>
    <row r="85" spans="10:44" s="13" customFormat="1" x14ac:dyDescent="0.25">
      <c r="J85" s="509">
        <f t="shared" ref="J85:J94" si="43">IF(G51="",NA(),2)</f>
        <v>2</v>
      </c>
      <c r="K85" s="841">
        <f t="shared" si="41"/>
        <v>1</v>
      </c>
      <c r="L85" s="841">
        <f t="shared" si="42"/>
        <v>0.51100000000000001</v>
      </c>
      <c r="N85" s="502">
        <f t="shared" si="33"/>
        <v>2</v>
      </c>
      <c r="O85" s="835" t="str">
        <f t="shared" si="34"/>
        <v/>
      </c>
      <c r="P85" s="835" t="str">
        <f t="shared" si="34"/>
        <v/>
      </c>
      <c r="Q85" s="835" t="str">
        <f t="shared" si="34"/>
        <v/>
      </c>
      <c r="R85" s="835" t="str">
        <f t="shared" si="34"/>
        <v/>
      </c>
      <c r="S85" s="835" t="str">
        <f t="shared" si="34"/>
        <v/>
      </c>
      <c r="T85" s="835" t="str">
        <f t="shared" si="34"/>
        <v/>
      </c>
      <c r="V85" s="835">
        <f t="shared" si="35"/>
        <v>2</v>
      </c>
      <c r="W85" s="835" t="e">
        <f t="shared" si="35"/>
        <v>#N/A</v>
      </c>
      <c r="X85" s="835" t="e">
        <f t="shared" si="35"/>
        <v>#N/A</v>
      </c>
      <c r="Y85" s="835" t="e">
        <f t="shared" si="35"/>
        <v>#N/A</v>
      </c>
      <c r="Z85" s="835" t="e">
        <f t="shared" si="35"/>
        <v>#N/A</v>
      </c>
      <c r="AA85" s="835" t="e">
        <f t="shared" si="35"/>
        <v>#N/A</v>
      </c>
      <c r="AB85" s="835" t="e">
        <f t="shared" si="35"/>
        <v>#N/A</v>
      </c>
      <c r="AD85" s="40"/>
      <c r="AE85" s="40"/>
      <c r="AF85" s="842">
        <f t="shared" ref="AF85:AH93" si="44">IF(G42="","",G42)</f>
        <v>0.52200000000000002</v>
      </c>
      <c r="AG85" s="496">
        <f t="shared" si="44"/>
        <v>0.54</v>
      </c>
      <c r="AH85" s="510" t="str">
        <f t="shared" si="44"/>
        <v/>
      </c>
      <c r="AI85" s="496">
        <f t="shared" ref="AI85:AK93" si="45">IF(G52="","",G52)</f>
        <v>0.52100000000000002</v>
      </c>
      <c r="AJ85" s="496">
        <f t="shared" si="45"/>
        <v>0.52200000000000002</v>
      </c>
      <c r="AK85" s="496" t="str">
        <f t="shared" si="45"/>
        <v/>
      </c>
      <c r="AL85" s="842" t="str">
        <f t="shared" ref="AL85:AN93" si="46">IF(G62="","",G62)</f>
        <v/>
      </c>
      <c r="AM85" s="496" t="str">
        <f t="shared" si="46"/>
        <v/>
      </c>
      <c r="AN85" s="496" t="str">
        <f t="shared" si="46"/>
        <v/>
      </c>
      <c r="AO85" s="831">
        <f t="shared" ref="AO85:AO93" si="47">IF(AF85="",NA(),AVERAGE(AF85:AH85))</f>
        <v>0.53100000000000003</v>
      </c>
      <c r="AP85" s="831">
        <f t="shared" ref="AP85:AP93" si="48">IF(AI85="",NA(),AVERAGE(AI85:AK85))</f>
        <v>0.52150000000000007</v>
      </c>
      <c r="AQ85" s="831" t="e">
        <f t="shared" ref="AQ85:AQ93" si="49">IF(AL85="",NA(),AVERAGE(AL85:AN85))</f>
        <v>#N/A</v>
      </c>
    </row>
    <row r="86" spans="10:44" s="13" customFormat="1" x14ac:dyDescent="0.25">
      <c r="J86" s="509">
        <f t="shared" si="43"/>
        <v>2</v>
      </c>
      <c r="K86" s="841">
        <f t="shared" si="41"/>
        <v>2</v>
      </c>
      <c r="L86" s="841">
        <f t="shared" si="42"/>
        <v>0.52100000000000002</v>
      </c>
      <c r="N86" s="502">
        <f t="shared" si="33"/>
        <v>3</v>
      </c>
      <c r="O86" s="835" t="str">
        <f t="shared" si="34"/>
        <v/>
      </c>
      <c r="P86" s="835" t="str">
        <f t="shared" si="34"/>
        <v/>
      </c>
      <c r="Q86" s="835" t="str">
        <f t="shared" si="34"/>
        <v/>
      </c>
      <c r="R86" s="835" t="str">
        <f t="shared" si="34"/>
        <v/>
      </c>
      <c r="S86" s="835" t="str">
        <f t="shared" si="34"/>
        <v/>
      </c>
      <c r="T86" s="835" t="str">
        <f t="shared" si="34"/>
        <v/>
      </c>
      <c r="V86" s="835">
        <f t="shared" si="35"/>
        <v>3</v>
      </c>
      <c r="W86" s="835" t="e">
        <f t="shared" si="35"/>
        <v>#N/A</v>
      </c>
      <c r="X86" s="835" t="e">
        <f t="shared" si="35"/>
        <v>#N/A</v>
      </c>
      <c r="Y86" s="835" t="e">
        <f t="shared" si="35"/>
        <v>#N/A</v>
      </c>
      <c r="Z86" s="835" t="e">
        <f t="shared" si="35"/>
        <v>#N/A</v>
      </c>
      <c r="AA86" s="835" t="e">
        <f t="shared" si="35"/>
        <v>#N/A</v>
      </c>
      <c r="AB86" s="835" t="e">
        <f t="shared" si="35"/>
        <v>#N/A</v>
      </c>
      <c r="AD86" s="40"/>
      <c r="AE86" s="40"/>
      <c r="AF86" s="842">
        <f t="shared" si="44"/>
        <v>0.52300000000000002</v>
      </c>
      <c r="AG86" s="496">
        <f t="shared" si="44"/>
        <v>0.52400000000000002</v>
      </c>
      <c r="AH86" s="510" t="str">
        <f t="shared" si="44"/>
        <v/>
      </c>
      <c r="AI86" s="496">
        <f t="shared" si="45"/>
        <v>0.52200000000000002</v>
      </c>
      <c r="AJ86" s="496">
        <f t="shared" si="45"/>
        <v>0.52200000000000002</v>
      </c>
      <c r="AK86" s="496" t="str">
        <f t="shared" si="45"/>
        <v/>
      </c>
      <c r="AL86" s="842" t="str">
        <f t="shared" si="46"/>
        <v/>
      </c>
      <c r="AM86" s="496" t="str">
        <f t="shared" si="46"/>
        <v/>
      </c>
      <c r="AN86" s="496" t="str">
        <f t="shared" si="46"/>
        <v/>
      </c>
      <c r="AO86" s="831">
        <f t="shared" si="47"/>
        <v>0.52350000000000008</v>
      </c>
      <c r="AP86" s="831">
        <f t="shared" si="48"/>
        <v>0.52200000000000002</v>
      </c>
      <c r="AQ86" s="831" t="e">
        <f t="shared" si="49"/>
        <v>#N/A</v>
      </c>
    </row>
    <row r="87" spans="10:44" s="13" customFormat="1" x14ac:dyDescent="0.25">
      <c r="J87" s="509">
        <f t="shared" si="43"/>
        <v>2</v>
      </c>
      <c r="K87" s="841">
        <f t="shared" si="41"/>
        <v>3</v>
      </c>
      <c r="L87" s="841">
        <f t="shared" si="42"/>
        <v>0.52200000000000002</v>
      </c>
      <c r="N87" s="502">
        <f t="shared" si="33"/>
        <v>4</v>
      </c>
      <c r="O87" s="835" t="str">
        <f t="shared" si="34"/>
        <v/>
      </c>
      <c r="P87" s="835" t="str">
        <f t="shared" si="34"/>
        <v/>
      </c>
      <c r="Q87" s="835" t="str">
        <f t="shared" si="34"/>
        <v/>
      </c>
      <c r="R87" s="835" t="str">
        <f t="shared" si="34"/>
        <v/>
      </c>
      <c r="S87" s="835" t="str">
        <f t="shared" si="34"/>
        <v/>
      </c>
      <c r="T87" s="835" t="str">
        <f t="shared" si="34"/>
        <v/>
      </c>
      <c r="V87" s="835">
        <f t="shared" si="35"/>
        <v>4</v>
      </c>
      <c r="W87" s="835" t="e">
        <f t="shared" si="35"/>
        <v>#N/A</v>
      </c>
      <c r="X87" s="835" t="e">
        <f t="shared" si="35"/>
        <v>#N/A</v>
      </c>
      <c r="Y87" s="835" t="e">
        <f t="shared" si="35"/>
        <v>#N/A</v>
      </c>
      <c r="Z87" s="835" t="e">
        <f t="shared" si="35"/>
        <v>#N/A</v>
      </c>
      <c r="AA87" s="835" t="e">
        <f t="shared" si="35"/>
        <v>#N/A</v>
      </c>
      <c r="AB87" s="835" t="e">
        <f t="shared" si="35"/>
        <v>#N/A</v>
      </c>
      <c r="AD87" s="40"/>
      <c r="AE87" s="40"/>
      <c r="AF87" s="842">
        <f t="shared" si="44"/>
        <v>0.52100000000000002</v>
      </c>
      <c r="AG87" s="496">
        <f t="shared" si="44"/>
        <v>0.52200000000000002</v>
      </c>
      <c r="AH87" s="510" t="str">
        <f t="shared" si="44"/>
        <v/>
      </c>
      <c r="AI87" s="496">
        <f t="shared" si="45"/>
        <v>0.52400000000000002</v>
      </c>
      <c r="AJ87" s="496">
        <f t="shared" si="45"/>
        <v>0.52300000000000002</v>
      </c>
      <c r="AK87" s="496" t="str">
        <f t="shared" si="45"/>
        <v/>
      </c>
      <c r="AL87" s="842" t="str">
        <f t="shared" si="46"/>
        <v/>
      </c>
      <c r="AM87" s="496" t="str">
        <f t="shared" si="46"/>
        <v/>
      </c>
      <c r="AN87" s="496" t="str">
        <f t="shared" si="46"/>
        <v/>
      </c>
      <c r="AO87" s="831">
        <f t="shared" si="47"/>
        <v>0.52150000000000007</v>
      </c>
      <c r="AP87" s="831">
        <f t="shared" si="48"/>
        <v>0.52350000000000008</v>
      </c>
      <c r="AQ87" s="831" t="e">
        <f t="shared" si="49"/>
        <v>#N/A</v>
      </c>
    </row>
    <row r="88" spans="10:44" s="13" customFormat="1" x14ac:dyDescent="0.25">
      <c r="J88" s="509">
        <f t="shared" si="43"/>
        <v>2</v>
      </c>
      <c r="K88" s="841">
        <f t="shared" si="41"/>
        <v>4</v>
      </c>
      <c r="L88" s="841">
        <f t="shared" si="42"/>
        <v>0.52400000000000002</v>
      </c>
      <c r="N88" s="502">
        <f t="shared" si="33"/>
        <v>5</v>
      </c>
      <c r="O88" s="835" t="str">
        <f t="shared" si="34"/>
        <v/>
      </c>
      <c r="P88" s="835" t="str">
        <f t="shared" si="34"/>
        <v/>
      </c>
      <c r="Q88" s="835" t="str">
        <f t="shared" si="34"/>
        <v/>
      </c>
      <c r="R88" s="835" t="str">
        <f t="shared" si="34"/>
        <v/>
      </c>
      <c r="S88" s="835" t="str">
        <f t="shared" si="34"/>
        <v/>
      </c>
      <c r="T88" s="835" t="str">
        <f t="shared" si="34"/>
        <v/>
      </c>
      <c r="V88" s="835">
        <f t="shared" si="35"/>
        <v>5</v>
      </c>
      <c r="W88" s="835" t="e">
        <f t="shared" si="35"/>
        <v>#N/A</v>
      </c>
      <c r="X88" s="835" t="e">
        <f t="shared" si="35"/>
        <v>#N/A</v>
      </c>
      <c r="Y88" s="835" t="e">
        <f t="shared" si="35"/>
        <v>#N/A</v>
      </c>
      <c r="Z88" s="835" t="e">
        <f t="shared" si="35"/>
        <v>#N/A</v>
      </c>
      <c r="AA88" s="835" t="e">
        <f t="shared" si="35"/>
        <v>#N/A</v>
      </c>
      <c r="AB88" s="835" t="e">
        <f t="shared" si="35"/>
        <v>#N/A</v>
      </c>
      <c r="AD88" s="40"/>
      <c r="AE88" s="40"/>
      <c r="AF88" s="842">
        <f t="shared" si="44"/>
        <v>0.52500000000000002</v>
      </c>
      <c r="AG88" s="496">
        <f t="shared" si="44"/>
        <v>0.52400000000000002</v>
      </c>
      <c r="AH88" s="510" t="str">
        <f t="shared" si="44"/>
        <v/>
      </c>
      <c r="AI88" s="496">
        <f t="shared" si="45"/>
        <v>0.52100000000000002</v>
      </c>
      <c r="AJ88" s="496">
        <f t="shared" si="45"/>
        <v>0.52100000000000002</v>
      </c>
      <c r="AK88" s="496" t="str">
        <f t="shared" si="45"/>
        <v/>
      </c>
      <c r="AL88" s="842" t="str">
        <f t="shared" si="46"/>
        <v/>
      </c>
      <c r="AM88" s="496" t="str">
        <f t="shared" si="46"/>
        <v/>
      </c>
      <c r="AN88" s="496" t="str">
        <f t="shared" si="46"/>
        <v/>
      </c>
      <c r="AO88" s="831">
        <f t="shared" si="47"/>
        <v>0.52449999999999997</v>
      </c>
      <c r="AP88" s="831">
        <f t="shared" si="48"/>
        <v>0.52100000000000002</v>
      </c>
      <c r="AQ88" s="831" t="e">
        <f t="shared" si="49"/>
        <v>#N/A</v>
      </c>
    </row>
    <row r="89" spans="10:44" s="13" customFormat="1" x14ac:dyDescent="0.25">
      <c r="J89" s="509">
        <f t="shared" si="43"/>
        <v>2</v>
      </c>
      <c r="K89" s="841">
        <f t="shared" si="41"/>
        <v>5</v>
      </c>
      <c r="L89" s="841">
        <f t="shared" si="42"/>
        <v>0.52100000000000002</v>
      </c>
      <c r="N89" s="502">
        <f t="shared" si="33"/>
        <v>6</v>
      </c>
      <c r="O89" s="835" t="str">
        <f t="shared" si="34"/>
        <v/>
      </c>
      <c r="P89" s="835" t="str">
        <f t="shared" si="34"/>
        <v/>
      </c>
      <c r="Q89" s="835" t="str">
        <f t="shared" si="34"/>
        <v/>
      </c>
      <c r="R89" s="835" t="str">
        <f t="shared" si="34"/>
        <v/>
      </c>
      <c r="S89" s="835" t="str">
        <f t="shared" si="34"/>
        <v/>
      </c>
      <c r="T89" s="835" t="str">
        <f t="shared" si="34"/>
        <v/>
      </c>
      <c r="V89" s="835">
        <f t="shared" si="35"/>
        <v>0</v>
      </c>
      <c r="W89" s="835" t="e">
        <f t="shared" si="35"/>
        <v>#N/A</v>
      </c>
      <c r="X89" s="835" t="e">
        <f t="shared" si="35"/>
        <v>#N/A</v>
      </c>
      <c r="Y89" s="835" t="e">
        <f t="shared" si="35"/>
        <v>#N/A</v>
      </c>
      <c r="Z89" s="835" t="e">
        <f t="shared" si="35"/>
        <v>#N/A</v>
      </c>
      <c r="AA89" s="835" t="e">
        <f t="shared" si="35"/>
        <v>#N/A</v>
      </c>
      <c r="AB89" s="835" t="e">
        <f t="shared" si="35"/>
        <v>#N/A</v>
      </c>
      <c r="AD89" s="40"/>
      <c r="AE89" s="40"/>
      <c r="AF89" s="842" t="str">
        <f t="shared" si="44"/>
        <v/>
      </c>
      <c r="AG89" s="496" t="str">
        <f t="shared" si="44"/>
        <v/>
      </c>
      <c r="AH89" s="510" t="str">
        <f t="shared" si="44"/>
        <v/>
      </c>
      <c r="AI89" s="496" t="str">
        <f t="shared" si="45"/>
        <v/>
      </c>
      <c r="AJ89" s="496" t="str">
        <f t="shared" si="45"/>
        <v/>
      </c>
      <c r="AK89" s="496" t="str">
        <f t="shared" si="45"/>
        <v/>
      </c>
      <c r="AL89" s="842" t="str">
        <f t="shared" si="46"/>
        <v/>
      </c>
      <c r="AM89" s="496" t="str">
        <f t="shared" si="46"/>
        <v/>
      </c>
      <c r="AN89" s="496" t="str">
        <f t="shared" si="46"/>
        <v/>
      </c>
      <c r="AO89" s="831" t="e">
        <f t="shared" si="47"/>
        <v>#N/A</v>
      </c>
      <c r="AP89" s="831" t="e">
        <f t="shared" si="48"/>
        <v>#N/A</v>
      </c>
      <c r="AQ89" s="831" t="e">
        <f t="shared" si="49"/>
        <v>#N/A</v>
      </c>
    </row>
    <row r="90" spans="10:44" s="275" customFormat="1" x14ac:dyDescent="0.25">
      <c r="J90" s="509" t="e">
        <f t="shared" si="43"/>
        <v>#N/A</v>
      </c>
      <c r="K90" s="841" t="e">
        <f t="shared" si="41"/>
        <v>#N/A</v>
      </c>
      <c r="L90" s="841" t="e">
        <f t="shared" si="42"/>
        <v>#N/A</v>
      </c>
      <c r="M90" s="13"/>
      <c r="N90" s="502">
        <f t="shared" si="33"/>
        <v>7</v>
      </c>
      <c r="O90" s="835" t="str">
        <f t="shared" ref="O90:T103" si="50">IF($AC$112=$O$38,O57,IF($AC$112=$W$38,W57,IF($AC$112=$AE$38,AE57,IF($AC$112=$AM$38,AM57,IF($AC$112=$AU$38,AU57,"")))))</f>
        <v/>
      </c>
      <c r="P90" s="835" t="str">
        <f t="shared" si="50"/>
        <v/>
      </c>
      <c r="Q90" s="835" t="str">
        <f t="shared" si="50"/>
        <v/>
      </c>
      <c r="R90" s="835" t="str">
        <f t="shared" si="50"/>
        <v/>
      </c>
      <c r="S90" s="835" t="str">
        <f t="shared" si="50"/>
        <v/>
      </c>
      <c r="T90" s="835" t="str">
        <f t="shared" si="50"/>
        <v/>
      </c>
      <c r="V90" s="835">
        <f t="shared" si="35"/>
        <v>0</v>
      </c>
      <c r="W90" s="835" t="e">
        <f t="shared" si="35"/>
        <v>#N/A</v>
      </c>
      <c r="X90" s="835" t="e">
        <f t="shared" si="35"/>
        <v>#N/A</v>
      </c>
      <c r="Y90" s="835" t="e">
        <f t="shared" si="35"/>
        <v>#N/A</v>
      </c>
      <c r="Z90" s="835" t="e">
        <f t="shared" si="35"/>
        <v>#N/A</v>
      </c>
      <c r="AA90" s="835" t="e">
        <f t="shared" si="35"/>
        <v>#N/A</v>
      </c>
      <c r="AB90" s="835" t="e">
        <f t="shared" si="35"/>
        <v>#N/A</v>
      </c>
      <c r="AD90" s="40"/>
      <c r="AE90" s="40"/>
      <c r="AF90" s="842" t="str">
        <f t="shared" si="44"/>
        <v/>
      </c>
      <c r="AG90" s="496" t="str">
        <f t="shared" si="44"/>
        <v/>
      </c>
      <c r="AH90" s="510" t="str">
        <f t="shared" si="44"/>
        <v/>
      </c>
      <c r="AI90" s="496" t="str">
        <f t="shared" si="45"/>
        <v/>
      </c>
      <c r="AJ90" s="496" t="str">
        <f t="shared" si="45"/>
        <v/>
      </c>
      <c r="AK90" s="496" t="str">
        <f t="shared" si="45"/>
        <v/>
      </c>
      <c r="AL90" s="842" t="str">
        <f t="shared" si="46"/>
        <v/>
      </c>
      <c r="AM90" s="496" t="str">
        <f t="shared" si="46"/>
        <v/>
      </c>
      <c r="AN90" s="496" t="str">
        <f t="shared" si="46"/>
        <v/>
      </c>
      <c r="AO90" s="831" t="e">
        <f t="shared" si="47"/>
        <v>#N/A</v>
      </c>
      <c r="AP90" s="831" t="e">
        <f t="shared" si="48"/>
        <v>#N/A</v>
      </c>
      <c r="AQ90" s="831" t="e">
        <f t="shared" si="49"/>
        <v>#N/A</v>
      </c>
    </row>
    <row r="91" spans="10:44" x14ac:dyDescent="0.25">
      <c r="J91" s="509" t="e">
        <f t="shared" si="43"/>
        <v>#N/A</v>
      </c>
      <c r="K91" s="841" t="e">
        <f t="shared" si="41"/>
        <v>#N/A</v>
      </c>
      <c r="L91" s="841" t="e">
        <f t="shared" si="42"/>
        <v>#N/A</v>
      </c>
      <c r="N91" s="502">
        <f t="shared" si="33"/>
        <v>8</v>
      </c>
      <c r="O91" s="835" t="str">
        <f t="shared" si="50"/>
        <v/>
      </c>
      <c r="P91" s="835" t="str">
        <f t="shared" si="50"/>
        <v/>
      </c>
      <c r="Q91" s="835" t="str">
        <f t="shared" si="50"/>
        <v/>
      </c>
      <c r="R91" s="835" t="str">
        <f t="shared" si="50"/>
        <v/>
      </c>
      <c r="S91" s="835" t="str">
        <f t="shared" si="50"/>
        <v/>
      </c>
      <c r="T91" s="835" t="str">
        <f t="shared" si="50"/>
        <v/>
      </c>
      <c r="V91" s="835">
        <f t="shared" si="35"/>
        <v>0</v>
      </c>
      <c r="W91" s="835" t="e">
        <f t="shared" si="35"/>
        <v>#N/A</v>
      </c>
      <c r="X91" s="835" t="e">
        <f t="shared" si="35"/>
        <v>#N/A</v>
      </c>
      <c r="Y91" s="835" t="e">
        <f t="shared" si="35"/>
        <v>#N/A</v>
      </c>
      <c r="Z91" s="835" t="e">
        <f t="shared" si="35"/>
        <v>#N/A</v>
      </c>
      <c r="AA91" s="835" t="e">
        <f t="shared" si="35"/>
        <v>#N/A</v>
      </c>
      <c r="AB91" s="835" t="e">
        <f t="shared" si="35"/>
        <v>#N/A</v>
      </c>
      <c r="AD91" s="40"/>
      <c r="AE91" s="40"/>
      <c r="AF91" s="842" t="str">
        <f t="shared" si="44"/>
        <v/>
      </c>
      <c r="AG91" s="496" t="str">
        <f t="shared" si="44"/>
        <v/>
      </c>
      <c r="AH91" s="510" t="str">
        <f t="shared" si="44"/>
        <v/>
      </c>
      <c r="AI91" s="496" t="str">
        <f t="shared" si="45"/>
        <v/>
      </c>
      <c r="AJ91" s="496" t="str">
        <f t="shared" si="45"/>
        <v/>
      </c>
      <c r="AK91" s="496" t="str">
        <f t="shared" si="45"/>
        <v/>
      </c>
      <c r="AL91" s="842" t="str">
        <f t="shared" si="46"/>
        <v/>
      </c>
      <c r="AM91" s="496" t="str">
        <f t="shared" si="46"/>
        <v/>
      </c>
      <c r="AN91" s="496" t="str">
        <f t="shared" si="46"/>
        <v/>
      </c>
      <c r="AO91" s="831" t="e">
        <f t="shared" si="47"/>
        <v>#N/A</v>
      </c>
      <c r="AP91" s="831" t="e">
        <f t="shared" si="48"/>
        <v>#N/A</v>
      </c>
      <c r="AQ91" s="831" t="e">
        <f t="shared" si="49"/>
        <v>#N/A</v>
      </c>
    </row>
    <row r="92" spans="10:44" x14ac:dyDescent="0.25">
      <c r="J92" s="509" t="e">
        <f t="shared" si="43"/>
        <v>#N/A</v>
      </c>
      <c r="K92" s="841" t="e">
        <f t="shared" si="41"/>
        <v>#N/A</v>
      </c>
      <c r="L92" s="841" t="e">
        <f t="shared" si="42"/>
        <v>#N/A</v>
      </c>
      <c r="N92" s="502">
        <f t="shared" si="33"/>
        <v>9</v>
      </c>
      <c r="O92" s="835" t="str">
        <f t="shared" si="50"/>
        <v/>
      </c>
      <c r="P92" s="835" t="str">
        <f t="shared" si="50"/>
        <v/>
      </c>
      <c r="Q92" s="835" t="str">
        <f t="shared" si="50"/>
        <v/>
      </c>
      <c r="R92" s="835" t="str">
        <f t="shared" si="50"/>
        <v/>
      </c>
      <c r="S92" s="835" t="str">
        <f t="shared" si="50"/>
        <v/>
      </c>
      <c r="T92" s="835" t="str">
        <f t="shared" si="50"/>
        <v/>
      </c>
      <c r="V92" s="835">
        <f t="shared" si="35"/>
        <v>0</v>
      </c>
      <c r="W92" s="835" t="e">
        <f t="shared" si="35"/>
        <v>#N/A</v>
      </c>
      <c r="X92" s="835" t="e">
        <f t="shared" si="35"/>
        <v>#N/A</v>
      </c>
      <c r="Y92" s="835" t="e">
        <f t="shared" si="35"/>
        <v>#N/A</v>
      </c>
      <c r="Z92" s="835" t="e">
        <f t="shared" si="35"/>
        <v>#N/A</v>
      </c>
      <c r="AA92" s="835" t="e">
        <f t="shared" si="35"/>
        <v>#N/A</v>
      </c>
      <c r="AB92" s="835" t="e">
        <f t="shared" si="35"/>
        <v>#N/A</v>
      </c>
      <c r="AD92" s="40"/>
      <c r="AE92" s="40"/>
      <c r="AF92" s="842" t="str">
        <f t="shared" si="44"/>
        <v/>
      </c>
      <c r="AG92" s="496" t="str">
        <f t="shared" si="44"/>
        <v/>
      </c>
      <c r="AH92" s="510" t="str">
        <f t="shared" si="44"/>
        <v/>
      </c>
      <c r="AI92" s="496" t="str">
        <f t="shared" si="45"/>
        <v/>
      </c>
      <c r="AJ92" s="496" t="str">
        <f t="shared" si="45"/>
        <v/>
      </c>
      <c r="AK92" s="496" t="str">
        <f t="shared" si="45"/>
        <v/>
      </c>
      <c r="AL92" s="842" t="str">
        <f t="shared" si="46"/>
        <v/>
      </c>
      <c r="AM92" s="496" t="str">
        <f t="shared" si="46"/>
        <v/>
      </c>
      <c r="AN92" s="496" t="str">
        <f t="shared" si="46"/>
        <v/>
      </c>
      <c r="AO92" s="831" t="e">
        <f t="shared" si="47"/>
        <v>#N/A</v>
      </c>
      <c r="AP92" s="831" t="e">
        <f t="shared" si="48"/>
        <v>#N/A</v>
      </c>
      <c r="AQ92" s="831" t="e">
        <f t="shared" si="49"/>
        <v>#N/A</v>
      </c>
    </row>
    <row r="93" spans="10:44" x14ac:dyDescent="0.25">
      <c r="J93" s="509" t="e">
        <f t="shared" si="43"/>
        <v>#N/A</v>
      </c>
      <c r="K93" s="841" t="e">
        <f t="shared" si="41"/>
        <v>#N/A</v>
      </c>
      <c r="L93" s="841" t="e">
        <f t="shared" si="42"/>
        <v>#N/A</v>
      </c>
      <c r="N93" s="502">
        <f t="shared" si="33"/>
        <v>10</v>
      </c>
      <c r="O93" s="835" t="str">
        <f t="shared" si="50"/>
        <v/>
      </c>
      <c r="P93" s="835" t="str">
        <f t="shared" si="50"/>
        <v/>
      </c>
      <c r="Q93" s="835" t="str">
        <f t="shared" si="50"/>
        <v/>
      </c>
      <c r="R93" s="835" t="str">
        <f t="shared" si="50"/>
        <v/>
      </c>
      <c r="S93" s="835" t="str">
        <f t="shared" si="50"/>
        <v/>
      </c>
      <c r="T93" s="835" t="str">
        <f t="shared" si="50"/>
        <v/>
      </c>
      <c r="V93" s="835">
        <f t="shared" si="35"/>
        <v>0</v>
      </c>
      <c r="W93" s="835" t="e">
        <f t="shared" si="35"/>
        <v>#N/A</v>
      </c>
      <c r="X93" s="835" t="e">
        <f t="shared" si="35"/>
        <v>#N/A</v>
      </c>
      <c r="Y93" s="835" t="e">
        <f t="shared" si="35"/>
        <v>#N/A</v>
      </c>
      <c r="Z93" s="835" t="e">
        <f t="shared" si="35"/>
        <v>#N/A</v>
      </c>
      <c r="AA93" s="835" t="e">
        <f t="shared" si="35"/>
        <v>#N/A</v>
      </c>
      <c r="AB93" s="835" t="e">
        <f t="shared" si="35"/>
        <v>#N/A</v>
      </c>
      <c r="AD93" s="40"/>
      <c r="AE93" s="40"/>
      <c r="AF93" s="844" t="str">
        <f t="shared" si="44"/>
        <v/>
      </c>
      <c r="AG93" s="845" t="str">
        <f t="shared" si="44"/>
        <v/>
      </c>
      <c r="AH93" s="846" t="str">
        <f t="shared" si="44"/>
        <v/>
      </c>
      <c r="AI93" s="845" t="str">
        <f t="shared" si="45"/>
        <v/>
      </c>
      <c r="AJ93" s="845" t="str">
        <f t="shared" si="45"/>
        <v/>
      </c>
      <c r="AK93" s="845" t="str">
        <f t="shared" si="45"/>
        <v/>
      </c>
      <c r="AL93" s="844" t="str">
        <f t="shared" si="46"/>
        <v/>
      </c>
      <c r="AM93" s="845" t="str">
        <f t="shared" si="46"/>
        <v/>
      </c>
      <c r="AN93" s="845" t="str">
        <f t="shared" si="46"/>
        <v/>
      </c>
      <c r="AO93" s="831" t="e">
        <f t="shared" si="47"/>
        <v>#N/A</v>
      </c>
      <c r="AP93" s="831" t="e">
        <f t="shared" si="48"/>
        <v>#N/A</v>
      </c>
      <c r="AQ93" s="831" t="e">
        <f t="shared" si="49"/>
        <v>#N/A</v>
      </c>
    </row>
    <row r="94" spans="10:44" x14ac:dyDescent="0.25">
      <c r="J94" s="509" t="e">
        <f t="shared" si="43"/>
        <v>#N/A</v>
      </c>
      <c r="K94" s="841" t="e">
        <f t="shared" si="41"/>
        <v>#N/A</v>
      </c>
      <c r="L94" s="841" t="e">
        <f t="shared" si="42"/>
        <v>#N/A</v>
      </c>
      <c r="N94" s="502">
        <f t="shared" si="33"/>
        <v>1</v>
      </c>
      <c r="O94" s="835" t="str">
        <f t="shared" si="50"/>
        <v/>
      </c>
      <c r="P94" s="835" t="str">
        <f t="shared" si="50"/>
        <v/>
      </c>
      <c r="Q94" s="835" t="str">
        <f t="shared" si="50"/>
        <v/>
      </c>
      <c r="R94" s="835" t="str">
        <f t="shared" si="50"/>
        <v/>
      </c>
      <c r="S94" s="835" t="str">
        <f t="shared" si="50"/>
        <v/>
      </c>
      <c r="T94" s="835" t="str">
        <f t="shared" si="50"/>
        <v/>
      </c>
      <c r="V94" s="835">
        <f t="shared" si="35"/>
        <v>0</v>
      </c>
      <c r="W94" s="835" t="e">
        <f t="shared" si="35"/>
        <v>#N/A</v>
      </c>
      <c r="X94" s="835" t="e">
        <f t="shared" si="35"/>
        <v>#N/A</v>
      </c>
      <c r="Y94" s="835" t="e">
        <f t="shared" si="35"/>
        <v>#N/A</v>
      </c>
      <c r="Z94" s="835" t="e">
        <f t="shared" si="35"/>
        <v>#N/A</v>
      </c>
      <c r="AA94" s="835" t="e">
        <f t="shared" si="35"/>
        <v>#N/A</v>
      </c>
      <c r="AB94" s="835" t="e">
        <f t="shared" si="35"/>
        <v>#N/A</v>
      </c>
      <c r="AD94" s="40"/>
      <c r="AE94" s="40"/>
    </row>
    <row r="95" spans="10:44" x14ac:dyDescent="0.25">
      <c r="J95" s="509" t="e">
        <f t="shared" ref="J95:J104" si="51">IF(G61="",NA(),3)</f>
        <v>#N/A</v>
      </c>
      <c r="K95" s="841" t="e">
        <f t="shared" si="41"/>
        <v>#N/A</v>
      </c>
      <c r="L95" s="841" t="e">
        <f t="shared" si="42"/>
        <v>#N/A</v>
      </c>
      <c r="N95" s="502">
        <f t="shared" si="33"/>
        <v>2</v>
      </c>
      <c r="O95" s="835" t="str">
        <f t="shared" si="50"/>
        <v/>
      </c>
      <c r="P95" s="835" t="str">
        <f t="shared" si="50"/>
        <v/>
      </c>
      <c r="Q95" s="835" t="str">
        <f t="shared" si="50"/>
        <v/>
      </c>
      <c r="R95" s="835" t="str">
        <f t="shared" si="50"/>
        <v/>
      </c>
      <c r="S95" s="835" t="str">
        <f t="shared" si="50"/>
        <v/>
      </c>
      <c r="T95" s="835" t="str">
        <f t="shared" si="50"/>
        <v/>
      </c>
      <c r="V95" s="835">
        <f t="shared" si="35"/>
        <v>0</v>
      </c>
      <c r="W95" s="835" t="e">
        <f t="shared" si="35"/>
        <v>#N/A</v>
      </c>
      <c r="X95" s="835" t="e">
        <f t="shared" si="35"/>
        <v>#N/A</v>
      </c>
      <c r="Y95" s="835" t="e">
        <f t="shared" si="35"/>
        <v>#N/A</v>
      </c>
      <c r="Z95" s="835" t="e">
        <f t="shared" si="35"/>
        <v>#N/A</v>
      </c>
      <c r="AA95" s="835" t="e">
        <f t="shared" si="35"/>
        <v>#N/A</v>
      </c>
      <c r="AB95" s="835" t="e">
        <f t="shared" si="35"/>
        <v>#N/A</v>
      </c>
      <c r="AD95" s="40"/>
      <c r="AE95" s="40"/>
    </row>
    <row r="96" spans="10:44" x14ac:dyDescent="0.25">
      <c r="J96" s="509" t="e">
        <f t="shared" si="51"/>
        <v>#N/A</v>
      </c>
      <c r="K96" s="841" t="e">
        <f t="shared" si="41"/>
        <v>#N/A</v>
      </c>
      <c r="L96" s="841" t="e">
        <f t="shared" si="42"/>
        <v>#N/A</v>
      </c>
      <c r="N96" s="502">
        <f t="shared" si="33"/>
        <v>3</v>
      </c>
      <c r="O96" s="835" t="str">
        <f t="shared" si="50"/>
        <v/>
      </c>
      <c r="P96" s="835" t="str">
        <f t="shared" si="50"/>
        <v/>
      </c>
      <c r="Q96" s="835" t="str">
        <f t="shared" si="50"/>
        <v/>
      </c>
      <c r="R96" s="835" t="str">
        <f t="shared" si="50"/>
        <v/>
      </c>
      <c r="S96" s="835" t="str">
        <f t="shared" si="50"/>
        <v/>
      </c>
      <c r="T96" s="835" t="str">
        <f t="shared" si="50"/>
        <v/>
      </c>
      <c r="V96" s="835">
        <f t="shared" si="35"/>
        <v>0</v>
      </c>
      <c r="W96" s="835" t="e">
        <f t="shared" si="35"/>
        <v>#N/A</v>
      </c>
      <c r="X96" s="835" t="e">
        <f t="shared" si="35"/>
        <v>#N/A</v>
      </c>
      <c r="Y96" s="835" t="e">
        <f t="shared" si="35"/>
        <v>#N/A</v>
      </c>
      <c r="Z96" s="835" t="e">
        <f t="shared" si="35"/>
        <v>#N/A</v>
      </c>
      <c r="AA96" s="835" t="e">
        <f t="shared" si="35"/>
        <v>#N/A</v>
      </c>
      <c r="AB96" s="835" t="e">
        <f t="shared" si="35"/>
        <v>#N/A</v>
      </c>
      <c r="AD96" s="40"/>
      <c r="AE96" s="40"/>
    </row>
    <row r="97" spans="10:47" x14ac:dyDescent="0.25">
      <c r="J97" s="509" t="e">
        <f t="shared" si="51"/>
        <v>#N/A</v>
      </c>
      <c r="K97" s="841" t="e">
        <f t="shared" si="41"/>
        <v>#N/A</v>
      </c>
      <c r="L97" s="841" t="e">
        <f t="shared" si="42"/>
        <v>#N/A</v>
      </c>
      <c r="N97" s="502">
        <f t="shared" si="33"/>
        <v>4</v>
      </c>
      <c r="O97" s="835" t="str">
        <f t="shared" si="50"/>
        <v/>
      </c>
      <c r="P97" s="835" t="str">
        <f t="shared" si="50"/>
        <v/>
      </c>
      <c r="Q97" s="835" t="str">
        <f t="shared" si="50"/>
        <v/>
      </c>
      <c r="R97" s="835" t="str">
        <f t="shared" si="50"/>
        <v/>
      </c>
      <c r="S97" s="835" t="str">
        <f t="shared" si="50"/>
        <v/>
      </c>
      <c r="T97" s="835" t="str">
        <f t="shared" si="50"/>
        <v/>
      </c>
      <c r="V97" s="835">
        <f t="shared" si="35"/>
        <v>0</v>
      </c>
      <c r="W97" s="835" t="e">
        <f t="shared" si="35"/>
        <v>#N/A</v>
      </c>
      <c r="X97" s="835" t="e">
        <f t="shared" si="35"/>
        <v>#N/A</v>
      </c>
      <c r="Y97" s="835" t="e">
        <f t="shared" si="35"/>
        <v>#N/A</v>
      </c>
      <c r="Z97" s="835" t="e">
        <f t="shared" si="35"/>
        <v>#N/A</v>
      </c>
      <c r="AA97" s="835" t="e">
        <f t="shared" si="35"/>
        <v>#N/A</v>
      </c>
      <c r="AB97" s="835" t="e">
        <f t="shared" si="35"/>
        <v>#N/A</v>
      </c>
      <c r="AD97" s="40"/>
      <c r="AE97" s="40"/>
    </row>
    <row r="98" spans="10:47" x14ac:dyDescent="0.25">
      <c r="J98" s="509" t="e">
        <f t="shared" si="51"/>
        <v>#N/A</v>
      </c>
      <c r="K98" s="841" t="e">
        <f t="shared" si="41"/>
        <v>#N/A</v>
      </c>
      <c r="L98" s="841" t="e">
        <f t="shared" si="42"/>
        <v>#N/A</v>
      </c>
      <c r="N98" s="502">
        <f t="shared" si="33"/>
        <v>5</v>
      </c>
      <c r="O98" s="835" t="str">
        <f t="shared" si="50"/>
        <v/>
      </c>
      <c r="P98" s="835" t="str">
        <f t="shared" si="50"/>
        <v/>
      </c>
      <c r="Q98" s="835" t="str">
        <f t="shared" si="50"/>
        <v/>
      </c>
      <c r="R98" s="835" t="str">
        <f t="shared" si="50"/>
        <v/>
      </c>
      <c r="S98" s="835" t="str">
        <f t="shared" si="50"/>
        <v/>
      </c>
      <c r="T98" s="835" t="str">
        <f t="shared" si="50"/>
        <v/>
      </c>
      <c r="V98" s="835">
        <f t="shared" si="35"/>
        <v>0</v>
      </c>
      <c r="W98" s="835" t="e">
        <f t="shared" si="35"/>
        <v>#N/A</v>
      </c>
      <c r="X98" s="835" t="e">
        <f t="shared" si="35"/>
        <v>#N/A</v>
      </c>
      <c r="Y98" s="835" t="e">
        <f t="shared" si="35"/>
        <v>#N/A</v>
      </c>
      <c r="Z98" s="835" t="e">
        <f t="shared" si="35"/>
        <v>#N/A</v>
      </c>
      <c r="AA98" s="835" t="e">
        <f t="shared" si="35"/>
        <v>#N/A</v>
      </c>
      <c r="AB98" s="835" t="e">
        <f t="shared" si="35"/>
        <v>#N/A</v>
      </c>
      <c r="AD98" s="40"/>
      <c r="AE98" s="40"/>
    </row>
    <row r="99" spans="10:47" x14ac:dyDescent="0.25">
      <c r="J99" s="509" t="e">
        <f t="shared" si="51"/>
        <v>#N/A</v>
      </c>
      <c r="K99" s="841" t="e">
        <f t="shared" si="41"/>
        <v>#N/A</v>
      </c>
      <c r="L99" s="841" t="e">
        <f t="shared" si="42"/>
        <v>#N/A</v>
      </c>
      <c r="N99" s="502">
        <f t="shared" si="33"/>
        <v>6</v>
      </c>
      <c r="O99" s="835" t="str">
        <f t="shared" si="50"/>
        <v/>
      </c>
      <c r="P99" s="835" t="str">
        <f t="shared" si="50"/>
        <v/>
      </c>
      <c r="Q99" s="835" t="str">
        <f t="shared" si="50"/>
        <v/>
      </c>
      <c r="R99" s="835" t="str">
        <f t="shared" si="50"/>
        <v/>
      </c>
      <c r="S99" s="835" t="str">
        <f t="shared" si="50"/>
        <v/>
      </c>
      <c r="T99" s="835" t="str">
        <f t="shared" si="50"/>
        <v/>
      </c>
      <c r="V99" s="835">
        <f t="shared" si="35"/>
        <v>0</v>
      </c>
      <c r="W99" s="835" t="e">
        <f t="shared" si="35"/>
        <v>#N/A</v>
      </c>
      <c r="X99" s="835" t="e">
        <f t="shared" si="35"/>
        <v>#N/A</v>
      </c>
      <c r="Y99" s="835" t="e">
        <f t="shared" si="35"/>
        <v>#N/A</v>
      </c>
      <c r="Z99" s="835" t="e">
        <f t="shared" si="35"/>
        <v>#N/A</v>
      </c>
      <c r="AA99" s="835" t="e">
        <f t="shared" si="35"/>
        <v>#N/A</v>
      </c>
      <c r="AB99" s="835" t="e">
        <f t="shared" si="35"/>
        <v>#N/A</v>
      </c>
      <c r="AD99" s="40"/>
      <c r="AE99" s="40"/>
    </row>
    <row r="100" spans="10:47" x14ac:dyDescent="0.25">
      <c r="J100" s="509" t="e">
        <f t="shared" si="51"/>
        <v>#N/A</v>
      </c>
      <c r="K100" s="841" t="e">
        <f t="shared" si="41"/>
        <v>#N/A</v>
      </c>
      <c r="L100" s="841" t="e">
        <f t="shared" si="42"/>
        <v>#N/A</v>
      </c>
      <c r="N100" s="502">
        <f t="shared" si="33"/>
        <v>7</v>
      </c>
      <c r="O100" s="835" t="str">
        <f t="shared" si="50"/>
        <v/>
      </c>
      <c r="P100" s="835" t="str">
        <f t="shared" si="50"/>
        <v/>
      </c>
      <c r="Q100" s="835" t="str">
        <f t="shared" si="50"/>
        <v/>
      </c>
      <c r="R100" s="835" t="str">
        <f t="shared" si="50"/>
        <v/>
      </c>
      <c r="S100" s="835" t="str">
        <f t="shared" si="50"/>
        <v/>
      </c>
      <c r="T100" s="835" t="str">
        <f t="shared" si="50"/>
        <v/>
      </c>
      <c r="V100" s="835">
        <f t="shared" si="35"/>
        <v>0</v>
      </c>
      <c r="W100" s="835" t="e">
        <f t="shared" si="35"/>
        <v>#N/A</v>
      </c>
      <c r="X100" s="835" t="e">
        <f t="shared" si="35"/>
        <v>#N/A</v>
      </c>
      <c r="Y100" s="835" t="e">
        <f t="shared" si="35"/>
        <v>#N/A</v>
      </c>
      <c r="Z100" s="835" t="e">
        <f t="shared" si="35"/>
        <v>#N/A</v>
      </c>
      <c r="AA100" s="835" t="e">
        <f t="shared" si="35"/>
        <v>#N/A</v>
      </c>
      <c r="AB100" s="835" t="e">
        <f t="shared" si="35"/>
        <v>#N/A</v>
      </c>
      <c r="AD100" s="40"/>
      <c r="AE100" s="40"/>
    </row>
    <row r="101" spans="10:47" x14ac:dyDescent="0.25">
      <c r="J101" s="509" t="e">
        <f t="shared" si="51"/>
        <v>#N/A</v>
      </c>
      <c r="K101" s="841" t="e">
        <f t="shared" si="41"/>
        <v>#N/A</v>
      </c>
      <c r="L101" s="841" t="e">
        <f t="shared" si="42"/>
        <v>#N/A</v>
      </c>
      <c r="N101" s="502">
        <f t="shared" si="33"/>
        <v>8</v>
      </c>
      <c r="O101" s="835" t="str">
        <f t="shared" si="50"/>
        <v/>
      </c>
      <c r="P101" s="835" t="str">
        <f t="shared" si="50"/>
        <v/>
      </c>
      <c r="Q101" s="835" t="str">
        <f t="shared" si="50"/>
        <v/>
      </c>
      <c r="R101" s="835" t="str">
        <f t="shared" si="50"/>
        <v/>
      </c>
      <c r="S101" s="835" t="str">
        <f t="shared" si="50"/>
        <v/>
      </c>
      <c r="T101" s="835" t="str">
        <f t="shared" si="50"/>
        <v/>
      </c>
      <c r="V101" s="835">
        <f t="shared" si="35"/>
        <v>0</v>
      </c>
      <c r="W101" s="835" t="e">
        <f t="shared" si="35"/>
        <v>#N/A</v>
      </c>
      <c r="X101" s="835" t="e">
        <f t="shared" si="35"/>
        <v>#N/A</v>
      </c>
      <c r="Y101" s="835" t="e">
        <f t="shared" si="35"/>
        <v>#N/A</v>
      </c>
      <c r="Z101" s="835" t="e">
        <f t="shared" si="35"/>
        <v>#N/A</v>
      </c>
      <c r="AA101" s="835" t="e">
        <f t="shared" si="35"/>
        <v>#N/A</v>
      </c>
      <c r="AB101" s="835" t="e">
        <f t="shared" si="35"/>
        <v>#N/A</v>
      </c>
      <c r="AD101" s="40"/>
      <c r="AE101" s="40"/>
    </row>
    <row r="102" spans="10:47" s="13" customFormat="1" x14ac:dyDescent="0.25">
      <c r="J102" s="509" t="e">
        <f t="shared" si="51"/>
        <v>#N/A</v>
      </c>
      <c r="K102" s="841" t="e">
        <f t="shared" si="41"/>
        <v>#N/A</v>
      </c>
      <c r="L102" s="841" t="e">
        <f t="shared" si="42"/>
        <v>#N/A</v>
      </c>
      <c r="N102" s="502">
        <f t="shared" si="33"/>
        <v>9</v>
      </c>
      <c r="O102" s="835" t="str">
        <f t="shared" si="50"/>
        <v/>
      </c>
      <c r="P102" s="835" t="str">
        <f t="shared" si="50"/>
        <v/>
      </c>
      <c r="Q102" s="835" t="str">
        <f t="shared" si="50"/>
        <v/>
      </c>
      <c r="R102" s="835" t="str">
        <f t="shared" si="50"/>
        <v/>
      </c>
      <c r="S102" s="835" t="str">
        <f t="shared" si="50"/>
        <v/>
      </c>
      <c r="T102" s="835" t="str">
        <f t="shared" si="50"/>
        <v/>
      </c>
      <c r="V102" s="835">
        <f t="shared" si="35"/>
        <v>0</v>
      </c>
      <c r="W102" s="835" t="e">
        <f t="shared" si="35"/>
        <v>#N/A</v>
      </c>
      <c r="X102" s="835" t="e">
        <f t="shared" si="35"/>
        <v>#N/A</v>
      </c>
      <c r="Y102" s="835" t="e">
        <f t="shared" si="35"/>
        <v>#N/A</v>
      </c>
      <c r="Z102" s="835" t="e">
        <f t="shared" si="35"/>
        <v>#N/A</v>
      </c>
      <c r="AA102" s="835" t="e">
        <f t="shared" si="35"/>
        <v>#N/A</v>
      </c>
      <c r="AB102" s="835" t="e">
        <f t="shared" si="35"/>
        <v>#N/A</v>
      </c>
      <c r="AE102" s="40"/>
    </row>
    <row r="103" spans="10:47" x14ac:dyDescent="0.25">
      <c r="J103" s="509" t="e">
        <f t="shared" si="51"/>
        <v>#N/A</v>
      </c>
      <c r="K103" s="841" t="e">
        <f t="shared" si="41"/>
        <v>#N/A</v>
      </c>
      <c r="L103" s="841" t="e">
        <f t="shared" si="42"/>
        <v>#N/A</v>
      </c>
      <c r="N103" s="502">
        <f t="shared" si="33"/>
        <v>10</v>
      </c>
      <c r="O103" s="835" t="str">
        <f t="shared" si="50"/>
        <v/>
      </c>
      <c r="P103" s="835" t="str">
        <f t="shared" si="50"/>
        <v/>
      </c>
      <c r="Q103" s="835" t="str">
        <f t="shared" si="50"/>
        <v/>
      </c>
      <c r="R103" s="835" t="str">
        <f t="shared" si="50"/>
        <v/>
      </c>
      <c r="S103" s="835" t="str">
        <f t="shared" si="50"/>
        <v/>
      </c>
      <c r="T103" s="835" t="str">
        <f t="shared" si="50"/>
        <v/>
      </c>
      <c r="V103" s="835">
        <f t="shared" si="35"/>
        <v>0</v>
      </c>
      <c r="W103" s="835" t="e">
        <f t="shared" si="35"/>
        <v>#N/A</v>
      </c>
      <c r="X103" s="835" t="e">
        <f t="shared" si="35"/>
        <v>#N/A</v>
      </c>
      <c r="Y103" s="835" t="e">
        <f t="shared" si="35"/>
        <v>#N/A</v>
      </c>
      <c r="Z103" s="835" t="e">
        <f t="shared" si="35"/>
        <v>#N/A</v>
      </c>
      <c r="AA103" s="835" t="e">
        <f t="shared" si="35"/>
        <v>#N/A</v>
      </c>
      <c r="AB103" s="835" t="e">
        <f t="shared" si="35"/>
        <v>#N/A</v>
      </c>
    </row>
    <row r="104" spans="10:47" x14ac:dyDescent="0.25">
      <c r="J104" s="509" t="e">
        <f t="shared" si="51"/>
        <v>#N/A</v>
      </c>
      <c r="K104" s="841" t="e">
        <f t="shared" si="41"/>
        <v>#N/A</v>
      </c>
      <c r="L104" s="841" t="e">
        <f t="shared" si="42"/>
        <v>#N/A</v>
      </c>
    </row>
    <row r="105" spans="10:47" x14ac:dyDescent="0.25">
      <c r="J105" s="509">
        <f t="shared" ref="J105:J114" si="52">IF(G41="",NA(),1)</f>
        <v>1</v>
      </c>
      <c r="K105" s="848">
        <f t="shared" ref="K105:K134" si="53">IF(G41="",NA(),F41)</f>
        <v>1</v>
      </c>
      <c r="L105" s="841">
        <f t="shared" ref="L105:L134" si="54">IF(H41="",NA(),H41)</f>
        <v>0.52100000000000002</v>
      </c>
      <c r="O105" s="1301" t="s">
        <v>582</v>
      </c>
      <c r="P105" s="1301"/>
      <c r="Q105" s="1301"/>
      <c r="R105" s="1301"/>
      <c r="S105" s="1301"/>
      <c r="T105" s="1301"/>
      <c r="AQ105" s="508">
        <f t="shared" ref="AQ105:AQ114" si="55">IF(G41="",NA(),1)</f>
        <v>1</v>
      </c>
      <c r="AR105" s="508">
        <f t="shared" ref="AR105:AR134" si="56">IF(G41="",NA(),F41)</f>
        <v>1</v>
      </c>
      <c r="AS105" s="496">
        <f t="shared" ref="AS105:AU134" si="57">IF(G41="",NA(),G41)</f>
        <v>0.52100000000000002</v>
      </c>
      <c r="AT105" s="496">
        <f t="shared" si="57"/>
        <v>0.52100000000000002</v>
      </c>
      <c r="AU105" s="496" t="e">
        <f t="shared" si="57"/>
        <v>#N/A</v>
      </c>
    </row>
    <row r="106" spans="10:47" x14ac:dyDescent="0.25">
      <c r="J106" s="509">
        <f t="shared" si="52"/>
        <v>1</v>
      </c>
      <c r="K106" s="848">
        <f t="shared" si="53"/>
        <v>2</v>
      </c>
      <c r="L106" s="841">
        <f t="shared" si="54"/>
        <v>0.54</v>
      </c>
      <c r="O106" s="849" t="s">
        <v>535</v>
      </c>
      <c r="P106" s="849" t="s">
        <v>541</v>
      </c>
      <c r="Q106" s="849" t="s">
        <v>544</v>
      </c>
      <c r="R106" s="849" t="s">
        <v>535</v>
      </c>
      <c r="S106" s="849" t="s">
        <v>541</v>
      </c>
      <c r="T106" s="849" t="s">
        <v>544</v>
      </c>
      <c r="AQ106" s="508">
        <f t="shared" si="55"/>
        <v>1</v>
      </c>
      <c r="AR106" s="508">
        <f t="shared" si="56"/>
        <v>2</v>
      </c>
      <c r="AS106" s="496">
        <f t="shared" si="57"/>
        <v>0.52200000000000002</v>
      </c>
      <c r="AT106" s="496">
        <f t="shared" si="57"/>
        <v>0.54</v>
      </c>
      <c r="AU106" s="496" t="e">
        <f t="shared" si="57"/>
        <v>#N/A</v>
      </c>
    </row>
    <row r="107" spans="10:47" x14ac:dyDescent="0.25">
      <c r="J107" s="509">
        <f t="shared" si="52"/>
        <v>1</v>
      </c>
      <c r="K107" s="848">
        <f t="shared" si="53"/>
        <v>3</v>
      </c>
      <c r="L107" s="841">
        <f t="shared" si="54"/>
        <v>0.52400000000000002</v>
      </c>
      <c r="O107" s="1301" t="s">
        <v>124</v>
      </c>
      <c r="P107" s="1301"/>
      <c r="Q107" s="1301"/>
      <c r="R107" s="1301" t="s">
        <v>128</v>
      </c>
      <c r="S107" s="1301"/>
      <c r="T107" s="1301"/>
      <c r="V107" s="835" t="s">
        <v>124</v>
      </c>
      <c r="W107" s="835" t="s">
        <v>124</v>
      </c>
      <c r="X107" s="835" t="s">
        <v>583</v>
      </c>
      <c r="Y107" s="835" t="s">
        <v>584</v>
      </c>
      <c r="Z107" s="835" t="s">
        <v>585</v>
      </c>
      <c r="AB107" s="1302" t="s">
        <v>132</v>
      </c>
      <c r="AC107" s="1303"/>
      <c r="AD107" s="1304"/>
      <c r="AQ107" s="508">
        <f t="shared" si="55"/>
        <v>1</v>
      </c>
      <c r="AR107" s="508">
        <f t="shared" si="56"/>
        <v>3</v>
      </c>
      <c r="AS107" s="496">
        <f t="shared" si="57"/>
        <v>0.52300000000000002</v>
      </c>
      <c r="AT107" s="496">
        <f t="shared" si="57"/>
        <v>0.52400000000000002</v>
      </c>
      <c r="AU107" s="496" t="e">
        <f t="shared" si="57"/>
        <v>#N/A</v>
      </c>
    </row>
    <row r="108" spans="10:47" x14ac:dyDescent="0.25">
      <c r="J108" s="509">
        <f t="shared" si="52"/>
        <v>1</v>
      </c>
      <c r="K108" s="848">
        <f t="shared" si="53"/>
        <v>4</v>
      </c>
      <c r="L108" s="841">
        <f t="shared" si="54"/>
        <v>0.52200000000000002</v>
      </c>
      <c r="N108" s="502">
        <f t="shared" ref="N108:N137" si="58">IF($AC$111&gt;17,N74,V74)</f>
        <v>1</v>
      </c>
      <c r="O108" s="835">
        <f t="shared" ref="O108:T123" si="59">IF($AC$112&gt;5,O74,W74)</f>
        <v>0.52100000000000002</v>
      </c>
      <c r="P108" s="835" t="e">
        <f t="shared" si="59"/>
        <v>#N/A</v>
      </c>
      <c r="Q108" s="835" t="e">
        <f t="shared" si="59"/>
        <v>#N/A</v>
      </c>
      <c r="R108" s="835">
        <f t="shared" si="59"/>
        <v>0</v>
      </c>
      <c r="S108" s="835" t="e">
        <f t="shared" si="59"/>
        <v>#N/A</v>
      </c>
      <c r="T108" s="835" t="e">
        <f t="shared" si="59"/>
        <v>#N/A</v>
      </c>
      <c r="V108" s="835">
        <f>$K$71</f>
        <v>0.52215000000000011</v>
      </c>
      <c r="W108" s="835">
        <f>$L$71</f>
        <v>2.5000000000000022E-3</v>
      </c>
      <c r="X108" s="835">
        <f>IF('GRR AIAG GR&amp;R'!$F$7=3,'GRR Calculations (2)'!V108+('GRR Calculations (2)'!$AC$110*'GRR Calculations (2)'!W108),IF('GRR AIAG GR&amp;R'!$F$7=2,'GRR Calculations (2)'!V108+('GRR Calculations (2)'!$AC$109*'GRR Calculations (2)'!W108)))</f>
        <v>0.52685000000000015</v>
      </c>
      <c r="Y108" s="835">
        <f>IF('GRR AIAG GR&amp;R'!$F$7=3,'GRR Calculations (2)'!V108-('GRR Calculations (2)'!$AC$110*'GRR Calculations (2)'!W108),IF('GRR AIAG GR&amp;R'!$F$7=2,'GRR Calculations (2)'!V108-('GRR Calculations (2)'!$AC$109*'GRR Calculations (2)'!W108)))</f>
        <v>0.51745000000000008</v>
      </c>
      <c r="Z108" s="835">
        <f>IF('GRR AIAG GR&amp;R'!$F$7=3,('GRR Calculations (2)'!$AD$110*'GRR Calculations (2)'!W108),IF('GRR AIAG GR&amp;R'!$F$7=2,('GRR Calculations (2)'!$AD$109*'GRR Calculations (2)'!W108)))</f>
        <v>8.1750000000000069E-3</v>
      </c>
      <c r="AB108" s="850" t="s">
        <v>133</v>
      </c>
      <c r="AC108" s="850" t="s">
        <v>119</v>
      </c>
      <c r="AD108" s="850" t="s">
        <v>121</v>
      </c>
      <c r="AQ108" s="508">
        <f t="shared" si="55"/>
        <v>1</v>
      </c>
      <c r="AR108" s="508">
        <f t="shared" si="56"/>
        <v>4</v>
      </c>
      <c r="AS108" s="496">
        <f t="shared" si="57"/>
        <v>0.52100000000000002</v>
      </c>
      <c r="AT108" s="496">
        <f t="shared" si="57"/>
        <v>0.52200000000000002</v>
      </c>
      <c r="AU108" s="496" t="e">
        <f t="shared" si="57"/>
        <v>#N/A</v>
      </c>
    </row>
    <row r="109" spans="10:47" x14ac:dyDescent="0.25">
      <c r="J109" s="509">
        <f t="shared" si="52"/>
        <v>1</v>
      </c>
      <c r="K109" s="848">
        <f t="shared" si="53"/>
        <v>5</v>
      </c>
      <c r="L109" s="841">
        <f t="shared" si="54"/>
        <v>0.52400000000000002</v>
      </c>
      <c r="N109" s="502">
        <f t="shared" si="58"/>
        <v>2</v>
      </c>
      <c r="O109" s="835">
        <f t="shared" si="59"/>
        <v>0.53100000000000003</v>
      </c>
      <c r="P109" s="835" t="e">
        <f t="shared" si="59"/>
        <v>#N/A</v>
      </c>
      <c r="Q109" s="835" t="e">
        <f t="shared" si="59"/>
        <v>#N/A</v>
      </c>
      <c r="R109" s="835">
        <f t="shared" si="59"/>
        <v>1.8000000000000016E-2</v>
      </c>
      <c r="S109" s="835" t="e">
        <f t="shared" si="59"/>
        <v>#N/A</v>
      </c>
      <c r="T109" s="835" t="e">
        <f t="shared" si="59"/>
        <v>#N/A</v>
      </c>
      <c r="V109" s="835">
        <f t="shared" ref="V109:V137" si="60">$K$71</f>
        <v>0.52215000000000011</v>
      </c>
      <c r="W109" s="835">
        <f t="shared" ref="W109:W137" si="61">$L$71</f>
        <v>2.5000000000000022E-3</v>
      </c>
      <c r="X109" s="835">
        <f>IF('GRR AIAG GR&amp;R'!$F$7=3,'GRR Calculations (2)'!V109+('GRR Calculations (2)'!$AC$110*'GRR Calculations (2)'!W109),IF('GRR AIAG GR&amp;R'!$F$7=2,'GRR Calculations (2)'!V109+('GRR Calculations (2)'!$AC$109*'GRR Calculations (2)'!W109)))</f>
        <v>0.52685000000000015</v>
      </c>
      <c r="Y109" s="835">
        <f>IF('GRR AIAG GR&amp;R'!$F$7=3,'GRR Calculations (2)'!V109-('GRR Calculations (2)'!$AC$110*'GRR Calculations (2)'!W109),IF('GRR AIAG GR&amp;R'!$F$7=2,'GRR Calculations (2)'!V109-('GRR Calculations (2)'!$AC$109*'GRR Calculations (2)'!W109)))</f>
        <v>0.51745000000000008</v>
      </c>
      <c r="Z109" s="835">
        <f>IF('GRR AIAG GR&amp;R'!$F$7=3,('GRR Calculations (2)'!$AD$110*'GRR Calculations (2)'!W109),IF('GRR AIAG GR&amp;R'!$F$7=2,('GRR Calculations (2)'!$AD$109*'GRR Calculations (2)'!W109)))</f>
        <v>8.1750000000000069E-3</v>
      </c>
      <c r="AB109" s="850">
        <v>2</v>
      </c>
      <c r="AC109" s="850">
        <v>1.88</v>
      </c>
      <c r="AD109" s="850">
        <v>3.27</v>
      </c>
      <c r="AQ109" s="508">
        <f t="shared" si="55"/>
        <v>1</v>
      </c>
      <c r="AR109" s="508">
        <f t="shared" si="56"/>
        <v>5</v>
      </c>
      <c r="AS109" s="496">
        <f t="shared" si="57"/>
        <v>0.52500000000000002</v>
      </c>
      <c r="AT109" s="496">
        <f t="shared" si="57"/>
        <v>0.52400000000000002</v>
      </c>
      <c r="AU109" s="496" t="e">
        <f t="shared" si="57"/>
        <v>#N/A</v>
      </c>
    </row>
    <row r="110" spans="10:47" x14ac:dyDescent="0.25">
      <c r="J110" s="509" t="e">
        <f t="shared" si="52"/>
        <v>#N/A</v>
      </c>
      <c r="K110" s="848" t="e">
        <f t="shared" si="53"/>
        <v>#N/A</v>
      </c>
      <c r="L110" s="841" t="e">
        <f t="shared" si="54"/>
        <v>#N/A</v>
      </c>
      <c r="N110" s="502">
        <f t="shared" si="58"/>
        <v>3</v>
      </c>
      <c r="O110" s="835">
        <f t="shared" si="59"/>
        <v>0.52350000000000008</v>
      </c>
      <c r="P110" s="835" t="e">
        <f t="shared" si="59"/>
        <v>#N/A</v>
      </c>
      <c r="Q110" s="835" t="e">
        <f t="shared" si="59"/>
        <v>#N/A</v>
      </c>
      <c r="R110" s="835">
        <f t="shared" si="59"/>
        <v>1.0000000000000009E-3</v>
      </c>
      <c r="S110" s="835" t="e">
        <f t="shared" si="59"/>
        <v>#N/A</v>
      </c>
      <c r="T110" s="835" t="e">
        <f t="shared" si="59"/>
        <v>#N/A</v>
      </c>
      <c r="V110" s="835">
        <f t="shared" si="60"/>
        <v>0.52215000000000011</v>
      </c>
      <c r="W110" s="835">
        <f t="shared" si="61"/>
        <v>2.5000000000000022E-3</v>
      </c>
      <c r="X110" s="835">
        <f>IF('GRR AIAG GR&amp;R'!$F$7=3,'GRR Calculations (2)'!V110+('GRR Calculations (2)'!$AC$110*'GRR Calculations (2)'!W110),IF('GRR AIAG GR&amp;R'!$F$7=2,'GRR Calculations (2)'!V110+('GRR Calculations (2)'!$AC$109*'GRR Calculations (2)'!W110)))</f>
        <v>0.52685000000000015</v>
      </c>
      <c r="Y110" s="835">
        <f>IF('GRR AIAG GR&amp;R'!$F$7=3,'GRR Calculations (2)'!V110-('GRR Calculations (2)'!$AC$110*'GRR Calculations (2)'!W110),IF('GRR AIAG GR&amp;R'!$F$7=2,'GRR Calculations (2)'!V110-('GRR Calculations (2)'!$AC$109*'GRR Calculations (2)'!W110)))</f>
        <v>0.51745000000000008</v>
      </c>
      <c r="Z110" s="835">
        <f>IF('GRR AIAG GR&amp;R'!$F$7=3,('GRR Calculations (2)'!$AD$110*'GRR Calculations (2)'!W110),IF('GRR AIAG GR&amp;R'!$F$7=2,('GRR Calculations (2)'!$AD$109*'GRR Calculations (2)'!W110)))</f>
        <v>8.1750000000000069E-3</v>
      </c>
      <c r="AB110" s="850">
        <v>3</v>
      </c>
      <c r="AC110" s="850">
        <v>1.0229999999999999</v>
      </c>
      <c r="AD110" s="850">
        <v>2.5750000000000002</v>
      </c>
      <c r="AQ110" s="508" t="e">
        <f t="shared" si="55"/>
        <v>#N/A</v>
      </c>
      <c r="AR110" s="508" t="e">
        <f t="shared" si="56"/>
        <v>#N/A</v>
      </c>
      <c r="AS110" s="496" t="e">
        <f t="shared" si="57"/>
        <v>#N/A</v>
      </c>
      <c r="AT110" s="496" t="e">
        <f t="shared" si="57"/>
        <v>#N/A</v>
      </c>
      <c r="AU110" s="496" t="e">
        <f t="shared" si="57"/>
        <v>#N/A</v>
      </c>
    </row>
    <row r="111" spans="10:47" x14ac:dyDescent="0.25">
      <c r="J111" s="509" t="e">
        <f t="shared" si="52"/>
        <v>#N/A</v>
      </c>
      <c r="K111" s="848" t="e">
        <f t="shared" si="53"/>
        <v>#N/A</v>
      </c>
      <c r="L111" s="841" t="e">
        <f t="shared" si="54"/>
        <v>#N/A</v>
      </c>
      <c r="N111" s="502">
        <f t="shared" si="58"/>
        <v>4</v>
      </c>
      <c r="O111" s="835">
        <f t="shared" si="59"/>
        <v>0.52150000000000007</v>
      </c>
      <c r="P111" s="835" t="e">
        <f t="shared" si="59"/>
        <v>#N/A</v>
      </c>
      <c r="Q111" s="835" t="e">
        <f t="shared" si="59"/>
        <v>#N/A</v>
      </c>
      <c r="R111" s="835">
        <f t="shared" si="59"/>
        <v>1.0000000000000009E-3</v>
      </c>
      <c r="S111" s="835" t="e">
        <f t="shared" si="59"/>
        <v>#N/A</v>
      </c>
      <c r="T111" s="835" t="e">
        <f t="shared" si="59"/>
        <v>#N/A</v>
      </c>
      <c r="V111" s="835">
        <f t="shared" si="60"/>
        <v>0.52215000000000011</v>
      </c>
      <c r="W111" s="835">
        <f t="shared" si="61"/>
        <v>2.5000000000000022E-3</v>
      </c>
      <c r="X111" s="835">
        <f>IF('GRR AIAG GR&amp;R'!$F$7=3,'GRR Calculations (2)'!V111+('GRR Calculations (2)'!$AC$110*'GRR Calculations (2)'!W111),IF('GRR AIAG GR&amp;R'!$F$7=2,'GRR Calculations (2)'!V111+('GRR Calculations (2)'!$AC$109*'GRR Calculations (2)'!W111)))</f>
        <v>0.52685000000000015</v>
      </c>
      <c r="Y111" s="835">
        <f>IF('GRR AIAG GR&amp;R'!$F$7=3,'GRR Calculations (2)'!V111-('GRR Calculations (2)'!$AC$110*'GRR Calculations (2)'!W111),IF('GRR AIAG GR&amp;R'!$F$7=2,'GRR Calculations (2)'!V111-('GRR Calculations (2)'!$AC$109*'GRR Calculations (2)'!W111)))</f>
        <v>0.51745000000000008</v>
      </c>
      <c r="Z111" s="835">
        <f>IF('GRR AIAG GR&amp;R'!$F$7=3,('GRR Calculations (2)'!$AD$110*'GRR Calculations (2)'!W111),IF('GRR AIAG GR&amp;R'!$F$7=2,('GRR Calculations (2)'!$AD$109*'GRR Calculations (2)'!W111)))</f>
        <v>8.1750000000000069E-3</v>
      </c>
      <c r="AB111" s="851" t="s">
        <v>586</v>
      </c>
      <c r="AC111" s="835">
        <f>'GRR AIAG GR&amp;R'!F7*'GRR AIAG GR&amp;R'!F8</f>
        <v>10</v>
      </c>
      <c r="AQ111" s="508" t="e">
        <f t="shared" si="55"/>
        <v>#N/A</v>
      </c>
      <c r="AR111" s="508" t="e">
        <f t="shared" si="56"/>
        <v>#N/A</v>
      </c>
      <c r="AS111" s="496" t="e">
        <f t="shared" si="57"/>
        <v>#N/A</v>
      </c>
      <c r="AT111" s="496" t="e">
        <f t="shared" si="57"/>
        <v>#N/A</v>
      </c>
      <c r="AU111" s="496" t="e">
        <f t="shared" si="57"/>
        <v>#N/A</v>
      </c>
    </row>
    <row r="112" spans="10:47" x14ac:dyDescent="0.25">
      <c r="J112" s="509" t="e">
        <f t="shared" si="52"/>
        <v>#N/A</v>
      </c>
      <c r="K112" s="848" t="e">
        <f t="shared" si="53"/>
        <v>#N/A</v>
      </c>
      <c r="L112" s="841" t="e">
        <f t="shared" si="54"/>
        <v>#N/A</v>
      </c>
      <c r="N112" s="502">
        <f t="shared" si="58"/>
        <v>5</v>
      </c>
      <c r="O112" s="835">
        <f t="shared" si="59"/>
        <v>0.52449999999999997</v>
      </c>
      <c r="P112" s="835" t="e">
        <f t="shared" si="59"/>
        <v>#N/A</v>
      </c>
      <c r="Q112" s="835" t="e">
        <f t="shared" si="59"/>
        <v>#N/A</v>
      </c>
      <c r="R112" s="835">
        <f t="shared" si="59"/>
        <v>1.0000000000000009E-3</v>
      </c>
      <c r="S112" s="835" t="e">
        <f t="shared" si="59"/>
        <v>#N/A</v>
      </c>
      <c r="T112" s="835" t="e">
        <f t="shared" si="59"/>
        <v>#N/A</v>
      </c>
      <c r="V112" s="835">
        <f t="shared" si="60"/>
        <v>0.52215000000000011</v>
      </c>
      <c r="W112" s="835">
        <f t="shared" si="61"/>
        <v>2.5000000000000022E-3</v>
      </c>
      <c r="X112" s="835">
        <f>IF('GRR AIAG GR&amp;R'!$F$7=3,'GRR Calculations (2)'!V112+('GRR Calculations (2)'!$AC$110*'GRR Calculations (2)'!W112),IF('GRR AIAG GR&amp;R'!$F$7=2,'GRR Calculations (2)'!V112+('GRR Calculations (2)'!$AC$109*'GRR Calculations (2)'!W112)))</f>
        <v>0.52685000000000015</v>
      </c>
      <c r="Y112" s="835">
        <f>IF('GRR AIAG GR&amp;R'!$F$7=3,'GRR Calculations (2)'!V112-('GRR Calculations (2)'!$AC$110*'GRR Calculations (2)'!W112),IF('GRR AIAG GR&amp;R'!$F$7=2,'GRR Calculations (2)'!V112-('GRR Calculations (2)'!$AC$109*'GRR Calculations (2)'!W112)))</f>
        <v>0.51745000000000008</v>
      </c>
      <c r="Z112" s="835">
        <f>IF('GRR AIAG GR&amp;R'!$F$7=3,('GRR Calculations (2)'!$AD$110*'GRR Calculations (2)'!W112),IF('GRR AIAG GR&amp;R'!$F$7=2,('GRR Calculations (2)'!$AD$109*'GRR Calculations (2)'!W112)))</f>
        <v>8.1750000000000069E-3</v>
      </c>
      <c r="AB112" s="851" t="s">
        <v>587</v>
      </c>
      <c r="AC112" s="835">
        <f>'GRR AIAG GR&amp;R'!F8</f>
        <v>5</v>
      </c>
      <c r="AQ112" s="508" t="e">
        <f t="shared" si="55"/>
        <v>#N/A</v>
      </c>
      <c r="AR112" s="508" t="e">
        <f t="shared" si="56"/>
        <v>#N/A</v>
      </c>
      <c r="AS112" s="496" t="e">
        <f t="shared" si="57"/>
        <v>#N/A</v>
      </c>
      <c r="AT112" s="496" t="e">
        <f t="shared" si="57"/>
        <v>#N/A</v>
      </c>
      <c r="AU112" s="496" t="e">
        <f t="shared" si="57"/>
        <v>#N/A</v>
      </c>
    </row>
    <row r="113" spans="10:47" x14ac:dyDescent="0.25">
      <c r="J113" s="509" t="e">
        <f t="shared" si="52"/>
        <v>#N/A</v>
      </c>
      <c r="K113" s="848" t="e">
        <f t="shared" si="53"/>
        <v>#N/A</v>
      </c>
      <c r="L113" s="841" t="e">
        <f t="shared" si="54"/>
        <v>#N/A</v>
      </c>
      <c r="N113" s="502">
        <f t="shared" si="58"/>
        <v>1</v>
      </c>
      <c r="O113" s="835" t="e">
        <f t="shared" si="59"/>
        <v>#N/A</v>
      </c>
      <c r="P113" s="835">
        <f t="shared" si="59"/>
        <v>0.51200000000000001</v>
      </c>
      <c r="Q113" s="835" t="e">
        <f t="shared" si="59"/>
        <v>#N/A</v>
      </c>
      <c r="R113" s="835" t="e">
        <f t="shared" si="59"/>
        <v>#N/A</v>
      </c>
      <c r="S113" s="835">
        <f t="shared" si="59"/>
        <v>2.0000000000000018E-3</v>
      </c>
      <c r="T113" s="835" t="e">
        <f t="shared" si="59"/>
        <v>#N/A</v>
      </c>
      <c r="V113" s="835">
        <f t="shared" si="60"/>
        <v>0.52215000000000011</v>
      </c>
      <c r="W113" s="835">
        <f t="shared" si="61"/>
        <v>2.5000000000000022E-3</v>
      </c>
      <c r="X113" s="835">
        <f>IF('GRR AIAG GR&amp;R'!$F$7=3,'GRR Calculations (2)'!V113+('GRR Calculations (2)'!$AC$110*'GRR Calculations (2)'!W113),IF('GRR AIAG GR&amp;R'!$F$7=2,'GRR Calculations (2)'!V113+('GRR Calculations (2)'!$AC$109*'GRR Calculations (2)'!W113)))</f>
        <v>0.52685000000000015</v>
      </c>
      <c r="Y113" s="835">
        <f>IF('GRR AIAG GR&amp;R'!$F$7=3,'GRR Calculations (2)'!V113-('GRR Calculations (2)'!$AC$110*'GRR Calculations (2)'!W113),IF('GRR AIAG GR&amp;R'!$F$7=2,'GRR Calculations (2)'!V113-('GRR Calculations (2)'!$AC$109*'GRR Calculations (2)'!W113)))</f>
        <v>0.51745000000000008</v>
      </c>
      <c r="Z113" s="835">
        <f>IF('GRR AIAG GR&amp;R'!$F$7=3,('GRR Calculations (2)'!$AD$110*'GRR Calculations (2)'!W113),IF('GRR AIAG GR&amp;R'!$F$7=2,('GRR Calculations (2)'!$AD$109*'GRR Calculations (2)'!W113)))</f>
        <v>8.1750000000000069E-3</v>
      </c>
      <c r="AQ113" s="508" t="e">
        <f t="shared" si="55"/>
        <v>#N/A</v>
      </c>
      <c r="AR113" s="508" t="e">
        <f t="shared" si="56"/>
        <v>#N/A</v>
      </c>
      <c r="AS113" s="496" t="e">
        <f t="shared" si="57"/>
        <v>#N/A</v>
      </c>
      <c r="AT113" s="496" t="e">
        <f t="shared" si="57"/>
        <v>#N/A</v>
      </c>
      <c r="AU113" s="496" t="e">
        <f t="shared" si="57"/>
        <v>#N/A</v>
      </c>
    </row>
    <row r="114" spans="10:47" x14ac:dyDescent="0.25">
      <c r="J114" s="509" t="e">
        <f t="shared" si="52"/>
        <v>#N/A</v>
      </c>
      <c r="K114" s="848" t="e">
        <f t="shared" si="53"/>
        <v>#N/A</v>
      </c>
      <c r="L114" s="841" t="e">
        <f t="shared" si="54"/>
        <v>#N/A</v>
      </c>
      <c r="N114" s="502">
        <f t="shared" si="58"/>
        <v>2</v>
      </c>
      <c r="O114" s="835" t="e">
        <f t="shared" si="59"/>
        <v>#N/A</v>
      </c>
      <c r="P114" s="835">
        <f t="shared" si="59"/>
        <v>0.52150000000000007</v>
      </c>
      <c r="Q114" s="835" t="e">
        <f t="shared" si="59"/>
        <v>#N/A</v>
      </c>
      <c r="R114" s="835" t="e">
        <f t="shared" si="59"/>
        <v>#N/A</v>
      </c>
      <c r="S114" s="835">
        <f t="shared" si="59"/>
        <v>1.0000000000000009E-3</v>
      </c>
      <c r="T114" s="835" t="e">
        <f t="shared" si="59"/>
        <v>#N/A</v>
      </c>
      <c r="V114" s="835">
        <f t="shared" si="60"/>
        <v>0.52215000000000011</v>
      </c>
      <c r="W114" s="835">
        <f t="shared" si="61"/>
        <v>2.5000000000000022E-3</v>
      </c>
      <c r="X114" s="835">
        <f>IF('GRR AIAG GR&amp;R'!$F$7=3,'GRR Calculations (2)'!V114+('GRR Calculations (2)'!$AC$110*'GRR Calculations (2)'!W114),IF('GRR AIAG GR&amp;R'!$F$7=2,'GRR Calculations (2)'!V114+('GRR Calculations (2)'!$AC$109*'GRR Calculations (2)'!W114)))</f>
        <v>0.52685000000000015</v>
      </c>
      <c r="Y114" s="835">
        <f>IF('GRR AIAG GR&amp;R'!$F$7=3,'GRR Calculations (2)'!V114-('GRR Calculations (2)'!$AC$110*'GRR Calculations (2)'!W114),IF('GRR AIAG GR&amp;R'!$F$7=2,'GRR Calculations (2)'!V114-('GRR Calculations (2)'!$AC$109*'GRR Calculations (2)'!W114)))</f>
        <v>0.51745000000000008</v>
      </c>
      <c r="Z114" s="835">
        <f>IF('GRR AIAG GR&amp;R'!$F$7=3,('GRR Calculations (2)'!$AD$110*'GRR Calculations (2)'!W114),IF('GRR AIAG GR&amp;R'!$F$7=2,('GRR Calculations (2)'!$AD$109*'GRR Calculations (2)'!W114)))</f>
        <v>8.1750000000000069E-3</v>
      </c>
      <c r="AQ114" s="508" t="e">
        <f t="shared" si="55"/>
        <v>#N/A</v>
      </c>
      <c r="AR114" s="508" t="e">
        <f t="shared" si="56"/>
        <v>#N/A</v>
      </c>
      <c r="AS114" s="496" t="e">
        <f t="shared" si="57"/>
        <v>#N/A</v>
      </c>
      <c r="AT114" s="496" t="e">
        <f t="shared" si="57"/>
        <v>#N/A</v>
      </c>
      <c r="AU114" s="496" t="e">
        <f t="shared" si="57"/>
        <v>#N/A</v>
      </c>
    </row>
    <row r="115" spans="10:47" x14ac:dyDescent="0.25">
      <c r="J115" s="509">
        <f t="shared" ref="J115:J124" si="62">IF(G51="",NA(),2)</f>
        <v>2</v>
      </c>
      <c r="K115" s="848">
        <f t="shared" si="53"/>
        <v>1</v>
      </c>
      <c r="L115" s="841">
        <f t="shared" si="54"/>
        <v>0.51300000000000001</v>
      </c>
      <c r="N115" s="502">
        <f t="shared" si="58"/>
        <v>3</v>
      </c>
      <c r="O115" s="835" t="e">
        <f t="shared" si="59"/>
        <v>#N/A</v>
      </c>
      <c r="P115" s="835">
        <f t="shared" si="59"/>
        <v>0.52200000000000002</v>
      </c>
      <c r="Q115" s="835" t="e">
        <f t="shared" si="59"/>
        <v>#N/A</v>
      </c>
      <c r="R115" s="835" t="e">
        <f t="shared" si="59"/>
        <v>#N/A</v>
      </c>
      <c r="S115" s="835">
        <f t="shared" si="59"/>
        <v>0</v>
      </c>
      <c r="T115" s="835" t="e">
        <f t="shared" si="59"/>
        <v>#N/A</v>
      </c>
      <c r="V115" s="835">
        <f t="shared" si="60"/>
        <v>0.52215000000000011</v>
      </c>
      <c r="W115" s="835">
        <f t="shared" si="61"/>
        <v>2.5000000000000022E-3</v>
      </c>
      <c r="X115" s="835">
        <f>IF('GRR AIAG GR&amp;R'!$F$7=3,'GRR Calculations (2)'!V115+('GRR Calculations (2)'!$AC$110*'GRR Calculations (2)'!W115),IF('GRR AIAG GR&amp;R'!$F$7=2,'GRR Calculations (2)'!V115+('GRR Calculations (2)'!$AC$109*'GRR Calculations (2)'!W115)))</f>
        <v>0.52685000000000015</v>
      </c>
      <c r="Y115" s="835">
        <f>IF('GRR AIAG GR&amp;R'!$F$7=3,'GRR Calculations (2)'!V115-('GRR Calculations (2)'!$AC$110*'GRR Calculations (2)'!W115),IF('GRR AIAG GR&amp;R'!$F$7=2,'GRR Calculations (2)'!V115-('GRR Calculations (2)'!$AC$109*'GRR Calculations (2)'!W115)))</f>
        <v>0.51745000000000008</v>
      </c>
      <c r="Z115" s="835">
        <f>IF('GRR AIAG GR&amp;R'!$F$7=3,('GRR Calculations (2)'!$AD$110*'GRR Calculations (2)'!W115),IF('GRR AIAG GR&amp;R'!$F$7=2,('GRR Calculations (2)'!$AD$109*'GRR Calculations (2)'!W115)))</f>
        <v>8.1750000000000069E-3</v>
      </c>
      <c r="AQ115" s="508">
        <f t="shared" ref="AQ115:AQ124" si="63">IF(G51="",NA(),2)</f>
        <v>2</v>
      </c>
      <c r="AR115" s="508">
        <f t="shared" si="56"/>
        <v>1</v>
      </c>
      <c r="AS115" s="496">
        <f t="shared" si="57"/>
        <v>0.51100000000000001</v>
      </c>
      <c r="AT115" s="496">
        <f t="shared" si="57"/>
        <v>0.51300000000000001</v>
      </c>
      <c r="AU115" s="496" t="e">
        <f t="shared" si="57"/>
        <v>#N/A</v>
      </c>
    </row>
    <row r="116" spans="10:47" x14ac:dyDescent="0.25">
      <c r="J116" s="509">
        <f t="shared" si="62"/>
        <v>2</v>
      </c>
      <c r="K116" s="848">
        <f t="shared" si="53"/>
        <v>2</v>
      </c>
      <c r="L116" s="841">
        <f t="shared" si="54"/>
        <v>0.52200000000000002</v>
      </c>
      <c r="N116" s="502">
        <f t="shared" si="58"/>
        <v>4</v>
      </c>
      <c r="O116" s="835" t="e">
        <f t="shared" si="59"/>
        <v>#N/A</v>
      </c>
      <c r="P116" s="835">
        <f t="shared" si="59"/>
        <v>0.52350000000000008</v>
      </c>
      <c r="Q116" s="835" t="e">
        <f t="shared" si="59"/>
        <v>#N/A</v>
      </c>
      <c r="R116" s="835" t="e">
        <f t="shared" si="59"/>
        <v>#N/A</v>
      </c>
      <c r="S116" s="835">
        <f t="shared" si="59"/>
        <v>1.0000000000000009E-3</v>
      </c>
      <c r="T116" s="835" t="e">
        <f t="shared" si="59"/>
        <v>#N/A</v>
      </c>
      <c r="V116" s="835">
        <f t="shared" si="60"/>
        <v>0.52215000000000011</v>
      </c>
      <c r="W116" s="835">
        <f t="shared" si="61"/>
        <v>2.5000000000000022E-3</v>
      </c>
      <c r="X116" s="835">
        <f>IF('GRR AIAG GR&amp;R'!$F$7=3,'GRR Calculations (2)'!V116+('GRR Calculations (2)'!$AC$110*'GRR Calculations (2)'!W116),IF('GRR AIAG GR&amp;R'!$F$7=2,'GRR Calculations (2)'!V116+('GRR Calculations (2)'!$AC$109*'GRR Calculations (2)'!W116)))</f>
        <v>0.52685000000000015</v>
      </c>
      <c r="Y116" s="835">
        <f>IF('GRR AIAG GR&amp;R'!$F$7=3,'GRR Calculations (2)'!V116-('GRR Calculations (2)'!$AC$110*'GRR Calculations (2)'!W116),IF('GRR AIAG GR&amp;R'!$F$7=2,'GRR Calculations (2)'!V116-('GRR Calculations (2)'!$AC$109*'GRR Calculations (2)'!W116)))</f>
        <v>0.51745000000000008</v>
      </c>
      <c r="Z116" s="835">
        <f>IF('GRR AIAG GR&amp;R'!$F$7=3,('GRR Calculations (2)'!$AD$110*'GRR Calculations (2)'!W116),IF('GRR AIAG GR&amp;R'!$F$7=2,('GRR Calculations (2)'!$AD$109*'GRR Calculations (2)'!W116)))</f>
        <v>8.1750000000000069E-3</v>
      </c>
      <c r="AQ116" s="508">
        <f t="shared" si="63"/>
        <v>2</v>
      </c>
      <c r="AR116" s="508">
        <f t="shared" si="56"/>
        <v>2</v>
      </c>
      <c r="AS116" s="496">
        <f t="shared" si="57"/>
        <v>0.52100000000000002</v>
      </c>
      <c r="AT116" s="496">
        <f t="shared" si="57"/>
        <v>0.52200000000000002</v>
      </c>
      <c r="AU116" s="496" t="e">
        <f t="shared" si="57"/>
        <v>#N/A</v>
      </c>
    </row>
    <row r="117" spans="10:47" x14ac:dyDescent="0.25">
      <c r="J117" s="509">
        <f t="shared" si="62"/>
        <v>2</v>
      </c>
      <c r="K117" s="848">
        <f t="shared" si="53"/>
        <v>3</v>
      </c>
      <c r="L117" s="841">
        <f t="shared" si="54"/>
        <v>0.52200000000000002</v>
      </c>
      <c r="N117" s="502">
        <f t="shared" si="58"/>
        <v>5</v>
      </c>
      <c r="O117" s="835" t="e">
        <f t="shared" si="59"/>
        <v>#N/A</v>
      </c>
      <c r="P117" s="835">
        <f t="shared" si="59"/>
        <v>0.52100000000000002</v>
      </c>
      <c r="Q117" s="835" t="e">
        <f t="shared" si="59"/>
        <v>#N/A</v>
      </c>
      <c r="R117" s="835" t="e">
        <f t="shared" si="59"/>
        <v>#N/A</v>
      </c>
      <c r="S117" s="835">
        <f t="shared" si="59"/>
        <v>0</v>
      </c>
      <c r="T117" s="835" t="e">
        <f t="shared" si="59"/>
        <v>#N/A</v>
      </c>
      <c r="V117" s="835">
        <f t="shared" si="60"/>
        <v>0.52215000000000011</v>
      </c>
      <c r="W117" s="835">
        <f t="shared" si="61"/>
        <v>2.5000000000000022E-3</v>
      </c>
      <c r="X117" s="835">
        <f>IF('GRR AIAG GR&amp;R'!$F$7=3,'GRR Calculations (2)'!V117+('GRR Calculations (2)'!$AC$110*'GRR Calculations (2)'!W117),IF('GRR AIAG GR&amp;R'!$F$7=2,'GRR Calculations (2)'!V117+('GRR Calculations (2)'!$AC$109*'GRR Calculations (2)'!W117)))</f>
        <v>0.52685000000000015</v>
      </c>
      <c r="Y117" s="835">
        <f>IF('GRR AIAG GR&amp;R'!$F$7=3,'GRR Calculations (2)'!V117-('GRR Calculations (2)'!$AC$110*'GRR Calculations (2)'!W117),IF('GRR AIAG GR&amp;R'!$F$7=2,'GRR Calculations (2)'!V117-('GRR Calculations (2)'!$AC$109*'GRR Calculations (2)'!W117)))</f>
        <v>0.51745000000000008</v>
      </c>
      <c r="Z117" s="835">
        <f>IF('GRR AIAG GR&amp;R'!$F$7=3,('GRR Calculations (2)'!$AD$110*'GRR Calculations (2)'!W117),IF('GRR AIAG GR&amp;R'!$F$7=2,('GRR Calculations (2)'!$AD$109*'GRR Calculations (2)'!W117)))</f>
        <v>8.1750000000000069E-3</v>
      </c>
      <c r="AQ117" s="508">
        <f t="shared" si="63"/>
        <v>2</v>
      </c>
      <c r="AR117" s="508">
        <f t="shared" si="56"/>
        <v>3</v>
      </c>
      <c r="AS117" s="496">
        <f t="shared" si="57"/>
        <v>0.52200000000000002</v>
      </c>
      <c r="AT117" s="496">
        <f t="shared" si="57"/>
        <v>0.52200000000000002</v>
      </c>
      <c r="AU117" s="496" t="e">
        <f t="shared" si="57"/>
        <v>#N/A</v>
      </c>
    </row>
    <row r="118" spans="10:47" x14ac:dyDescent="0.25">
      <c r="J118" s="509">
        <f t="shared" si="62"/>
        <v>2</v>
      </c>
      <c r="K118" s="848">
        <f t="shared" si="53"/>
        <v>4</v>
      </c>
      <c r="L118" s="841">
        <f t="shared" si="54"/>
        <v>0.52300000000000002</v>
      </c>
      <c r="N118" s="502">
        <f t="shared" si="58"/>
        <v>1</v>
      </c>
      <c r="O118" s="835" t="e">
        <f t="shared" si="59"/>
        <v>#N/A</v>
      </c>
      <c r="P118" s="835" t="e">
        <f t="shared" si="59"/>
        <v>#N/A</v>
      </c>
      <c r="Q118" s="835" t="e">
        <f t="shared" si="59"/>
        <v>#N/A</v>
      </c>
      <c r="R118" s="835" t="e">
        <f t="shared" si="59"/>
        <v>#N/A</v>
      </c>
      <c r="S118" s="835" t="e">
        <f t="shared" si="59"/>
        <v>#N/A</v>
      </c>
      <c r="T118" s="835" t="e">
        <f t="shared" si="59"/>
        <v>#N/A</v>
      </c>
      <c r="V118" s="835">
        <f t="shared" si="60"/>
        <v>0.52215000000000011</v>
      </c>
      <c r="W118" s="835">
        <f t="shared" si="61"/>
        <v>2.5000000000000022E-3</v>
      </c>
      <c r="X118" s="835">
        <f>IF('GRR AIAG GR&amp;R'!$F$7=3,'GRR Calculations (2)'!V118+('GRR Calculations (2)'!$AC$110*'GRR Calculations (2)'!W118),IF('GRR AIAG GR&amp;R'!$F$7=2,'GRR Calculations (2)'!V118+('GRR Calculations (2)'!$AC$109*'GRR Calculations (2)'!W118)))</f>
        <v>0.52685000000000015</v>
      </c>
      <c r="Y118" s="835">
        <f>IF('GRR AIAG GR&amp;R'!$F$7=3,'GRR Calculations (2)'!V118-('GRR Calculations (2)'!$AC$110*'GRR Calculations (2)'!W118),IF('GRR AIAG GR&amp;R'!$F$7=2,'GRR Calculations (2)'!V118-('GRR Calculations (2)'!$AC$109*'GRR Calculations (2)'!W118)))</f>
        <v>0.51745000000000008</v>
      </c>
      <c r="Z118" s="835">
        <f>IF('GRR AIAG GR&amp;R'!$F$7=3,('GRR Calculations (2)'!$AD$110*'GRR Calculations (2)'!W118),IF('GRR AIAG GR&amp;R'!$F$7=2,('GRR Calculations (2)'!$AD$109*'GRR Calculations (2)'!W118)))</f>
        <v>8.1750000000000069E-3</v>
      </c>
      <c r="AQ118" s="508">
        <f t="shared" si="63"/>
        <v>2</v>
      </c>
      <c r="AR118" s="508">
        <f t="shared" si="56"/>
        <v>4</v>
      </c>
      <c r="AS118" s="496">
        <f t="shared" si="57"/>
        <v>0.52400000000000002</v>
      </c>
      <c r="AT118" s="496">
        <f t="shared" si="57"/>
        <v>0.52300000000000002</v>
      </c>
      <c r="AU118" s="496" t="e">
        <f t="shared" si="57"/>
        <v>#N/A</v>
      </c>
    </row>
    <row r="119" spans="10:47" x14ac:dyDescent="0.25">
      <c r="J119" s="509">
        <f t="shared" si="62"/>
        <v>2</v>
      </c>
      <c r="K119" s="848">
        <f t="shared" si="53"/>
        <v>5</v>
      </c>
      <c r="L119" s="841">
        <f t="shared" si="54"/>
        <v>0.52100000000000002</v>
      </c>
      <c r="N119" s="502">
        <f t="shared" si="58"/>
        <v>2</v>
      </c>
      <c r="O119" s="835" t="e">
        <f t="shared" si="59"/>
        <v>#N/A</v>
      </c>
      <c r="P119" s="835" t="e">
        <f t="shared" si="59"/>
        <v>#N/A</v>
      </c>
      <c r="Q119" s="835" t="e">
        <f t="shared" si="59"/>
        <v>#N/A</v>
      </c>
      <c r="R119" s="835" t="e">
        <f t="shared" si="59"/>
        <v>#N/A</v>
      </c>
      <c r="S119" s="835" t="e">
        <f t="shared" si="59"/>
        <v>#N/A</v>
      </c>
      <c r="T119" s="835" t="e">
        <f t="shared" si="59"/>
        <v>#N/A</v>
      </c>
      <c r="V119" s="835">
        <f t="shared" si="60"/>
        <v>0.52215000000000011</v>
      </c>
      <c r="W119" s="835">
        <f t="shared" si="61"/>
        <v>2.5000000000000022E-3</v>
      </c>
      <c r="X119" s="835">
        <f>IF('GRR AIAG GR&amp;R'!$F$7=3,'GRR Calculations (2)'!V119+('GRR Calculations (2)'!$AC$110*'GRR Calculations (2)'!W119),IF('GRR AIAG GR&amp;R'!$F$7=2,'GRR Calculations (2)'!V119+('GRR Calculations (2)'!$AC$109*'GRR Calculations (2)'!W119)))</f>
        <v>0.52685000000000015</v>
      </c>
      <c r="Y119" s="835">
        <f>IF('GRR AIAG GR&amp;R'!$F$7=3,'GRR Calculations (2)'!V119-('GRR Calculations (2)'!$AC$110*'GRR Calculations (2)'!W119),IF('GRR AIAG GR&amp;R'!$F$7=2,'GRR Calculations (2)'!V119-('GRR Calculations (2)'!$AC$109*'GRR Calculations (2)'!W119)))</f>
        <v>0.51745000000000008</v>
      </c>
      <c r="Z119" s="835">
        <f>IF('GRR AIAG GR&amp;R'!$F$7=3,('GRR Calculations (2)'!$AD$110*'GRR Calculations (2)'!W119),IF('GRR AIAG GR&amp;R'!$F$7=2,('GRR Calculations (2)'!$AD$109*'GRR Calculations (2)'!W119)))</f>
        <v>8.1750000000000069E-3</v>
      </c>
      <c r="AQ119" s="508">
        <f t="shared" si="63"/>
        <v>2</v>
      </c>
      <c r="AR119" s="508">
        <f t="shared" si="56"/>
        <v>5</v>
      </c>
      <c r="AS119" s="496">
        <f t="shared" si="57"/>
        <v>0.52100000000000002</v>
      </c>
      <c r="AT119" s="496">
        <f t="shared" si="57"/>
        <v>0.52100000000000002</v>
      </c>
      <c r="AU119" s="496" t="e">
        <f t="shared" si="57"/>
        <v>#N/A</v>
      </c>
    </row>
    <row r="120" spans="10:47" x14ac:dyDescent="0.25">
      <c r="J120" s="509" t="e">
        <f t="shared" si="62"/>
        <v>#N/A</v>
      </c>
      <c r="K120" s="848" t="e">
        <f t="shared" si="53"/>
        <v>#N/A</v>
      </c>
      <c r="L120" s="841" t="e">
        <f t="shared" si="54"/>
        <v>#N/A</v>
      </c>
      <c r="N120" s="502">
        <f t="shared" si="58"/>
        <v>3</v>
      </c>
      <c r="O120" s="835" t="e">
        <f t="shared" si="59"/>
        <v>#N/A</v>
      </c>
      <c r="P120" s="835" t="e">
        <f t="shared" si="59"/>
        <v>#N/A</v>
      </c>
      <c r="Q120" s="835" t="e">
        <f t="shared" si="59"/>
        <v>#N/A</v>
      </c>
      <c r="R120" s="835" t="e">
        <f t="shared" si="59"/>
        <v>#N/A</v>
      </c>
      <c r="S120" s="835" t="e">
        <f t="shared" si="59"/>
        <v>#N/A</v>
      </c>
      <c r="T120" s="835" t="e">
        <f t="shared" si="59"/>
        <v>#N/A</v>
      </c>
      <c r="V120" s="835">
        <f t="shared" si="60"/>
        <v>0.52215000000000011</v>
      </c>
      <c r="W120" s="835">
        <f t="shared" si="61"/>
        <v>2.5000000000000022E-3</v>
      </c>
      <c r="X120" s="835">
        <f>IF('GRR AIAG GR&amp;R'!$F$7=3,'GRR Calculations (2)'!V120+('GRR Calculations (2)'!$AC$110*'GRR Calculations (2)'!W120),IF('GRR AIAG GR&amp;R'!$F$7=2,'GRR Calculations (2)'!V120+('GRR Calculations (2)'!$AC$109*'GRR Calculations (2)'!W120)))</f>
        <v>0.52685000000000015</v>
      </c>
      <c r="Y120" s="835">
        <f>IF('GRR AIAG GR&amp;R'!$F$7=3,'GRR Calculations (2)'!V120-('GRR Calculations (2)'!$AC$110*'GRR Calculations (2)'!W120),IF('GRR AIAG GR&amp;R'!$F$7=2,'GRR Calculations (2)'!V120-('GRR Calculations (2)'!$AC$109*'GRR Calculations (2)'!W120)))</f>
        <v>0.51745000000000008</v>
      </c>
      <c r="Z120" s="835">
        <f>IF('GRR AIAG GR&amp;R'!$F$7=3,('GRR Calculations (2)'!$AD$110*'GRR Calculations (2)'!W120),IF('GRR AIAG GR&amp;R'!$F$7=2,('GRR Calculations (2)'!$AD$109*'GRR Calculations (2)'!W120)))</f>
        <v>8.1750000000000069E-3</v>
      </c>
      <c r="AQ120" s="508" t="e">
        <f t="shared" si="63"/>
        <v>#N/A</v>
      </c>
      <c r="AR120" s="508" t="e">
        <f t="shared" si="56"/>
        <v>#N/A</v>
      </c>
      <c r="AS120" s="496" t="e">
        <f t="shared" si="57"/>
        <v>#N/A</v>
      </c>
      <c r="AT120" s="496" t="e">
        <f t="shared" si="57"/>
        <v>#N/A</v>
      </c>
      <c r="AU120" s="496" t="e">
        <f t="shared" si="57"/>
        <v>#N/A</v>
      </c>
    </row>
    <row r="121" spans="10:47" x14ac:dyDescent="0.25">
      <c r="J121" s="509" t="e">
        <f t="shared" si="62"/>
        <v>#N/A</v>
      </c>
      <c r="K121" s="848" t="e">
        <f t="shared" si="53"/>
        <v>#N/A</v>
      </c>
      <c r="L121" s="841" t="e">
        <f t="shared" si="54"/>
        <v>#N/A</v>
      </c>
      <c r="N121" s="502">
        <f t="shared" si="58"/>
        <v>4</v>
      </c>
      <c r="O121" s="835" t="e">
        <f t="shared" si="59"/>
        <v>#N/A</v>
      </c>
      <c r="P121" s="835" t="e">
        <f t="shared" si="59"/>
        <v>#N/A</v>
      </c>
      <c r="Q121" s="835" t="e">
        <f t="shared" si="59"/>
        <v>#N/A</v>
      </c>
      <c r="R121" s="835" t="e">
        <f t="shared" si="59"/>
        <v>#N/A</v>
      </c>
      <c r="S121" s="835" t="e">
        <f t="shared" si="59"/>
        <v>#N/A</v>
      </c>
      <c r="T121" s="835" t="e">
        <f t="shared" si="59"/>
        <v>#N/A</v>
      </c>
      <c r="V121" s="835">
        <f t="shared" si="60"/>
        <v>0.52215000000000011</v>
      </c>
      <c r="W121" s="835">
        <f t="shared" si="61"/>
        <v>2.5000000000000022E-3</v>
      </c>
      <c r="X121" s="835">
        <f>IF('GRR AIAG GR&amp;R'!$F$7=3,'GRR Calculations (2)'!V121+('GRR Calculations (2)'!$AC$110*'GRR Calculations (2)'!W121),IF('GRR AIAG GR&amp;R'!$F$7=2,'GRR Calculations (2)'!V121+('GRR Calculations (2)'!$AC$109*'GRR Calculations (2)'!W121)))</f>
        <v>0.52685000000000015</v>
      </c>
      <c r="Y121" s="835">
        <f>IF('GRR AIAG GR&amp;R'!$F$7=3,'GRR Calculations (2)'!V121-('GRR Calculations (2)'!$AC$110*'GRR Calculations (2)'!W121),IF('GRR AIAG GR&amp;R'!$F$7=2,'GRR Calculations (2)'!V121-('GRR Calculations (2)'!$AC$109*'GRR Calculations (2)'!W121)))</f>
        <v>0.51745000000000008</v>
      </c>
      <c r="Z121" s="835">
        <f>IF('GRR AIAG GR&amp;R'!$F$7=3,('GRR Calculations (2)'!$AD$110*'GRR Calculations (2)'!W121),IF('GRR AIAG GR&amp;R'!$F$7=2,('GRR Calculations (2)'!$AD$109*'GRR Calculations (2)'!W121)))</f>
        <v>8.1750000000000069E-3</v>
      </c>
      <c r="AQ121" s="508" t="e">
        <f t="shared" si="63"/>
        <v>#N/A</v>
      </c>
      <c r="AR121" s="508" t="e">
        <f t="shared" si="56"/>
        <v>#N/A</v>
      </c>
      <c r="AS121" s="496" t="e">
        <f t="shared" si="57"/>
        <v>#N/A</v>
      </c>
      <c r="AT121" s="496" t="e">
        <f t="shared" si="57"/>
        <v>#N/A</v>
      </c>
      <c r="AU121" s="496" t="e">
        <f t="shared" si="57"/>
        <v>#N/A</v>
      </c>
    </row>
    <row r="122" spans="10:47" x14ac:dyDescent="0.25">
      <c r="J122" s="509" t="e">
        <f t="shared" si="62"/>
        <v>#N/A</v>
      </c>
      <c r="K122" s="848" t="e">
        <f t="shared" si="53"/>
        <v>#N/A</v>
      </c>
      <c r="L122" s="841" t="e">
        <f t="shared" si="54"/>
        <v>#N/A</v>
      </c>
      <c r="N122" s="502">
        <f t="shared" si="58"/>
        <v>5</v>
      </c>
      <c r="O122" s="835" t="e">
        <f t="shared" si="59"/>
        <v>#N/A</v>
      </c>
      <c r="P122" s="835" t="e">
        <f t="shared" si="59"/>
        <v>#N/A</v>
      </c>
      <c r="Q122" s="835" t="e">
        <f t="shared" si="59"/>
        <v>#N/A</v>
      </c>
      <c r="R122" s="835" t="e">
        <f t="shared" si="59"/>
        <v>#N/A</v>
      </c>
      <c r="S122" s="835" t="e">
        <f t="shared" si="59"/>
        <v>#N/A</v>
      </c>
      <c r="T122" s="835" t="e">
        <f t="shared" si="59"/>
        <v>#N/A</v>
      </c>
      <c r="V122" s="835">
        <f t="shared" si="60"/>
        <v>0.52215000000000011</v>
      </c>
      <c r="W122" s="835">
        <f t="shared" si="61"/>
        <v>2.5000000000000022E-3</v>
      </c>
      <c r="X122" s="835">
        <f>IF('GRR AIAG GR&amp;R'!$F$7=3,'GRR Calculations (2)'!V122+('GRR Calculations (2)'!$AC$110*'GRR Calculations (2)'!W122),IF('GRR AIAG GR&amp;R'!$F$7=2,'GRR Calculations (2)'!V122+('GRR Calculations (2)'!$AC$109*'GRR Calculations (2)'!W122)))</f>
        <v>0.52685000000000015</v>
      </c>
      <c r="Y122" s="835">
        <f>IF('GRR AIAG GR&amp;R'!$F$7=3,'GRR Calculations (2)'!V122-('GRR Calculations (2)'!$AC$110*'GRR Calculations (2)'!W122),IF('GRR AIAG GR&amp;R'!$F$7=2,'GRR Calculations (2)'!V122-('GRR Calculations (2)'!$AC$109*'GRR Calculations (2)'!W122)))</f>
        <v>0.51745000000000008</v>
      </c>
      <c r="Z122" s="835">
        <f>IF('GRR AIAG GR&amp;R'!$F$7=3,('GRR Calculations (2)'!$AD$110*'GRR Calculations (2)'!W122),IF('GRR AIAG GR&amp;R'!$F$7=2,('GRR Calculations (2)'!$AD$109*'GRR Calculations (2)'!W122)))</f>
        <v>8.1750000000000069E-3</v>
      </c>
      <c r="AQ122" s="508" t="e">
        <f t="shared" si="63"/>
        <v>#N/A</v>
      </c>
      <c r="AR122" s="508" t="e">
        <f t="shared" si="56"/>
        <v>#N/A</v>
      </c>
      <c r="AS122" s="496" t="e">
        <f t="shared" si="57"/>
        <v>#N/A</v>
      </c>
      <c r="AT122" s="496" t="e">
        <f t="shared" si="57"/>
        <v>#N/A</v>
      </c>
      <c r="AU122" s="496" t="e">
        <f t="shared" si="57"/>
        <v>#N/A</v>
      </c>
    </row>
    <row r="123" spans="10:47" x14ac:dyDescent="0.25">
      <c r="J123" s="509" t="e">
        <f t="shared" si="62"/>
        <v>#N/A</v>
      </c>
      <c r="K123" s="848" t="e">
        <f t="shared" si="53"/>
        <v>#N/A</v>
      </c>
      <c r="L123" s="841" t="e">
        <f t="shared" si="54"/>
        <v>#N/A</v>
      </c>
      <c r="N123" s="502">
        <f t="shared" si="58"/>
        <v>0</v>
      </c>
      <c r="O123" s="835" t="e">
        <f t="shared" si="59"/>
        <v>#N/A</v>
      </c>
      <c r="P123" s="835" t="e">
        <f t="shared" si="59"/>
        <v>#N/A</v>
      </c>
      <c r="Q123" s="835" t="e">
        <f t="shared" si="59"/>
        <v>#N/A</v>
      </c>
      <c r="R123" s="835" t="e">
        <f t="shared" si="59"/>
        <v>#N/A</v>
      </c>
      <c r="S123" s="835" t="e">
        <f t="shared" si="59"/>
        <v>#N/A</v>
      </c>
      <c r="T123" s="835" t="e">
        <f t="shared" si="59"/>
        <v>#N/A</v>
      </c>
      <c r="V123" s="835">
        <f t="shared" si="60"/>
        <v>0.52215000000000011</v>
      </c>
      <c r="W123" s="835">
        <f t="shared" si="61"/>
        <v>2.5000000000000022E-3</v>
      </c>
      <c r="X123" s="835">
        <f>IF('GRR AIAG GR&amp;R'!$F$7=3,'GRR Calculations (2)'!V123+('GRR Calculations (2)'!$AC$110*'GRR Calculations (2)'!W123),IF('GRR AIAG GR&amp;R'!$F$7=2,'GRR Calculations (2)'!V123+('GRR Calculations (2)'!$AC$109*'GRR Calculations (2)'!W123)))</f>
        <v>0.52685000000000015</v>
      </c>
      <c r="Y123" s="835">
        <f>IF('GRR AIAG GR&amp;R'!$F$7=3,'GRR Calculations (2)'!V123-('GRR Calculations (2)'!$AC$110*'GRR Calculations (2)'!W123),IF('GRR AIAG GR&amp;R'!$F$7=2,'GRR Calculations (2)'!V123-('GRR Calculations (2)'!$AC$109*'GRR Calculations (2)'!W123)))</f>
        <v>0.51745000000000008</v>
      </c>
      <c r="Z123" s="835">
        <f>IF('GRR AIAG GR&amp;R'!$F$7=3,('GRR Calculations (2)'!$AD$110*'GRR Calculations (2)'!W123),IF('GRR AIAG GR&amp;R'!$F$7=2,('GRR Calculations (2)'!$AD$109*'GRR Calculations (2)'!W123)))</f>
        <v>8.1750000000000069E-3</v>
      </c>
      <c r="AQ123" s="508" t="e">
        <f t="shared" si="63"/>
        <v>#N/A</v>
      </c>
      <c r="AR123" s="508" t="e">
        <f t="shared" si="56"/>
        <v>#N/A</v>
      </c>
      <c r="AS123" s="496" t="e">
        <f t="shared" si="57"/>
        <v>#N/A</v>
      </c>
      <c r="AT123" s="496" t="e">
        <f t="shared" si="57"/>
        <v>#N/A</v>
      </c>
      <c r="AU123" s="496" t="e">
        <f t="shared" si="57"/>
        <v>#N/A</v>
      </c>
    </row>
    <row r="124" spans="10:47" x14ac:dyDescent="0.25">
      <c r="J124" s="509" t="e">
        <f t="shared" si="62"/>
        <v>#N/A</v>
      </c>
      <c r="K124" s="848" t="e">
        <f t="shared" si="53"/>
        <v>#N/A</v>
      </c>
      <c r="L124" s="841" t="e">
        <f t="shared" si="54"/>
        <v>#N/A</v>
      </c>
      <c r="N124" s="502">
        <f t="shared" si="58"/>
        <v>0</v>
      </c>
      <c r="O124" s="835" t="e">
        <f t="shared" ref="O124:T137" si="64">IF($AC$112&gt;5,O90,W90)</f>
        <v>#N/A</v>
      </c>
      <c r="P124" s="835" t="e">
        <f t="shared" si="64"/>
        <v>#N/A</v>
      </c>
      <c r="Q124" s="835" t="e">
        <f t="shared" si="64"/>
        <v>#N/A</v>
      </c>
      <c r="R124" s="835" t="e">
        <f t="shared" si="64"/>
        <v>#N/A</v>
      </c>
      <c r="S124" s="835" t="e">
        <f t="shared" si="64"/>
        <v>#N/A</v>
      </c>
      <c r="T124" s="835" t="e">
        <f t="shared" si="64"/>
        <v>#N/A</v>
      </c>
      <c r="V124" s="835">
        <f t="shared" si="60"/>
        <v>0.52215000000000011</v>
      </c>
      <c r="W124" s="835">
        <f t="shared" si="61"/>
        <v>2.5000000000000022E-3</v>
      </c>
      <c r="X124" s="835">
        <f>IF('GRR AIAG GR&amp;R'!$F$7=3,'GRR Calculations (2)'!V124+('GRR Calculations (2)'!$AC$110*'GRR Calculations (2)'!W124),IF('GRR AIAG GR&amp;R'!$F$7=2,'GRR Calculations (2)'!V124+('GRR Calculations (2)'!$AC$109*'GRR Calculations (2)'!W124)))</f>
        <v>0.52685000000000015</v>
      </c>
      <c r="Y124" s="835">
        <f>IF('GRR AIAG GR&amp;R'!$F$7=3,'GRR Calculations (2)'!V124-('GRR Calculations (2)'!$AC$110*'GRR Calculations (2)'!W124),IF('GRR AIAG GR&amp;R'!$F$7=2,'GRR Calculations (2)'!V124-('GRR Calculations (2)'!$AC$109*'GRR Calculations (2)'!W124)))</f>
        <v>0.51745000000000008</v>
      </c>
      <c r="Z124" s="835">
        <f>IF('GRR AIAG GR&amp;R'!$F$7=3,('GRR Calculations (2)'!$AD$110*'GRR Calculations (2)'!W124),IF('GRR AIAG GR&amp;R'!$F$7=2,('GRR Calculations (2)'!$AD$109*'GRR Calculations (2)'!W124)))</f>
        <v>8.1750000000000069E-3</v>
      </c>
      <c r="AQ124" s="508" t="e">
        <f t="shared" si="63"/>
        <v>#N/A</v>
      </c>
      <c r="AR124" s="508" t="e">
        <f t="shared" si="56"/>
        <v>#N/A</v>
      </c>
      <c r="AS124" s="496" t="e">
        <f t="shared" si="57"/>
        <v>#N/A</v>
      </c>
      <c r="AT124" s="496" t="e">
        <f t="shared" si="57"/>
        <v>#N/A</v>
      </c>
      <c r="AU124" s="496" t="e">
        <f t="shared" si="57"/>
        <v>#N/A</v>
      </c>
    </row>
    <row r="125" spans="10:47" x14ac:dyDescent="0.25">
      <c r="J125" s="509" t="e">
        <f t="shared" ref="J125:J134" si="65">IF(G61="",NA(),3)</f>
        <v>#N/A</v>
      </c>
      <c r="K125" s="848" t="e">
        <f t="shared" si="53"/>
        <v>#N/A</v>
      </c>
      <c r="L125" s="841" t="e">
        <f t="shared" si="54"/>
        <v>#N/A</v>
      </c>
      <c r="N125" s="502">
        <f t="shared" si="58"/>
        <v>0</v>
      </c>
      <c r="O125" s="835" t="e">
        <f t="shared" si="64"/>
        <v>#N/A</v>
      </c>
      <c r="P125" s="835" t="e">
        <f t="shared" si="64"/>
        <v>#N/A</v>
      </c>
      <c r="Q125" s="835" t="e">
        <f t="shared" si="64"/>
        <v>#N/A</v>
      </c>
      <c r="R125" s="835" t="e">
        <f t="shared" si="64"/>
        <v>#N/A</v>
      </c>
      <c r="S125" s="835" t="e">
        <f t="shared" si="64"/>
        <v>#N/A</v>
      </c>
      <c r="T125" s="835" t="e">
        <f t="shared" si="64"/>
        <v>#N/A</v>
      </c>
      <c r="V125" s="835">
        <f t="shared" si="60"/>
        <v>0.52215000000000011</v>
      </c>
      <c r="W125" s="835">
        <f t="shared" si="61"/>
        <v>2.5000000000000022E-3</v>
      </c>
      <c r="X125" s="835">
        <f>IF('GRR AIAG GR&amp;R'!$F$7=3,'GRR Calculations (2)'!V125+('GRR Calculations (2)'!$AC$110*'GRR Calculations (2)'!W125),IF('GRR AIAG GR&amp;R'!$F$7=2,'GRR Calculations (2)'!V125+('GRR Calculations (2)'!$AC$109*'GRR Calculations (2)'!W125)))</f>
        <v>0.52685000000000015</v>
      </c>
      <c r="Y125" s="835">
        <f>IF('GRR AIAG GR&amp;R'!$F$7=3,'GRR Calculations (2)'!V125-('GRR Calculations (2)'!$AC$110*'GRR Calculations (2)'!W125),IF('GRR AIAG GR&amp;R'!$F$7=2,'GRR Calculations (2)'!V125-('GRR Calculations (2)'!$AC$109*'GRR Calculations (2)'!W125)))</f>
        <v>0.51745000000000008</v>
      </c>
      <c r="Z125" s="835">
        <f>IF('GRR AIAG GR&amp;R'!$F$7=3,('GRR Calculations (2)'!$AD$110*'GRR Calculations (2)'!W125),IF('GRR AIAG GR&amp;R'!$F$7=2,('GRR Calculations (2)'!$AD$109*'GRR Calculations (2)'!W125)))</f>
        <v>8.1750000000000069E-3</v>
      </c>
      <c r="AQ125" s="508" t="e">
        <f t="shared" ref="AQ125:AQ134" si="66">IF(G61="",NA(),3)</f>
        <v>#N/A</v>
      </c>
      <c r="AR125" s="508" t="e">
        <f t="shared" si="56"/>
        <v>#N/A</v>
      </c>
      <c r="AS125" s="496" t="e">
        <f t="shared" si="57"/>
        <v>#N/A</v>
      </c>
      <c r="AT125" s="496" t="e">
        <f t="shared" si="57"/>
        <v>#N/A</v>
      </c>
      <c r="AU125" s="496" t="e">
        <f t="shared" si="57"/>
        <v>#N/A</v>
      </c>
    </row>
    <row r="126" spans="10:47" x14ac:dyDescent="0.25">
      <c r="J126" s="509" t="e">
        <f t="shared" si="65"/>
        <v>#N/A</v>
      </c>
      <c r="K126" s="848" t="e">
        <f t="shared" si="53"/>
        <v>#N/A</v>
      </c>
      <c r="L126" s="841" t="e">
        <f t="shared" si="54"/>
        <v>#N/A</v>
      </c>
      <c r="N126" s="502">
        <f t="shared" si="58"/>
        <v>0</v>
      </c>
      <c r="O126" s="835" t="e">
        <f t="shared" si="64"/>
        <v>#N/A</v>
      </c>
      <c r="P126" s="835" t="e">
        <f t="shared" si="64"/>
        <v>#N/A</v>
      </c>
      <c r="Q126" s="835" t="e">
        <f t="shared" si="64"/>
        <v>#N/A</v>
      </c>
      <c r="R126" s="835" t="e">
        <f t="shared" si="64"/>
        <v>#N/A</v>
      </c>
      <c r="S126" s="835" t="e">
        <f t="shared" si="64"/>
        <v>#N/A</v>
      </c>
      <c r="T126" s="835" t="e">
        <f t="shared" si="64"/>
        <v>#N/A</v>
      </c>
      <c r="V126" s="835">
        <f t="shared" si="60"/>
        <v>0.52215000000000011</v>
      </c>
      <c r="W126" s="835">
        <f t="shared" si="61"/>
        <v>2.5000000000000022E-3</v>
      </c>
      <c r="X126" s="835">
        <f>IF('GRR AIAG GR&amp;R'!$F$7=3,'GRR Calculations (2)'!V126+('GRR Calculations (2)'!$AC$110*'GRR Calculations (2)'!W126),IF('GRR AIAG GR&amp;R'!$F$7=2,'GRR Calculations (2)'!V126+('GRR Calculations (2)'!$AC$109*'GRR Calculations (2)'!W126)))</f>
        <v>0.52685000000000015</v>
      </c>
      <c r="Y126" s="835">
        <f>IF('GRR AIAG GR&amp;R'!$F$7=3,'GRR Calculations (2)'!V126-('GRR Calculations (2)'!$AC$110*'GRR Calculations (2)'!W126),IF('GRR AIAG GR&amp;R'!$F$7=2,'GRR Calculations (2)'!V126-('GRR Calculations (2)'!$AC$109*'GRR Calculations (2)'!W126)))</f>
        <v>0.51745000000000008</v>
      </c>
      <c r="Z126" s="835">
        <f>IF('GRR AIAG GR&amp;R'!$F$7=3,('GRR Calculations (2)'!$AD$110*'GRR Calculations (2)'!W126),IF('GRR AIAG GR&amp;R'!$F$7=2,('GRR Calculations (2)'!$AD$109*'GRR Calculations (2)'!W126)))</f>
        <v>8.1750000000000069E-3</v>
      </c>
      <c r="AQ126" s="508" t="e">
        <f t="shared" si="66"/>
        <v>#N/A</v>
      </c>
      <c r="AR126" s="508" t="e">
        <f t="shared" si="56"/>
        <v>#N/A</v>
      </c>
      <c r="AS126" s="496" t="e">
        <f t="shared" si="57"/>
        <v>#N/A</v>
      </c>
      <c r="AT126" s="496" t="e">
        <f t="shared" si="57"/>
        <v>#N/A</v>
      </c>
      <c r="AU126" s="496" t="e">
        <f t="shared" si="57"/>
        <v>#N/A</v>
      </c>
    </row>
    <row r="127" spans="10:47" x14ac:dyDescent="0.25">
      <c r="J127" s="509" t="e">
        <f t="shared" si="65"/>
        <v>#N/A</v>
      </c>
      <c r="K127" s="848" t="e">
        <f t="shared" si="53"/>
        <v>#N/A</v>
      </c>
      <c r="L127" s="841" t="e">
        <f t="shared" si="54"/>
        <v>#N/A</v>
      </c>
      <c r="N127" s="502">
        <f t="shared" si="58"/>
        <v>0</v>
      </c>
      <c r="O127" s="835" t="e">
        <f t="shared" si="64"/>
        <v>#N/A</v>
      </c>
      <c r="P127" s="835" t="e">
        <f t="shared" si="64"/>
        <v>#N/A</v>
      </c>
      <c r="Q127" s="835" t="e">
        <f t="shared" si="64"/>
        <v>#N/A</v>
      </c>
      <c r="R127" s="835" t="e">
        <f t="shared" si="64"/>
        <v>#N/A</v>
      </c>
      <c r="S127" s="835" t="e">
        <f t="shared" si="64"/>
        <v>#N/A</v>
      </c>
      <c r="T127" s="835" t="e">
        <f t="shared" si="64"/>
        <v>#N/A</v>
      </c>
      <c r="V127" s="835">
        <f t="shared" si="60"/>
        <v>0.52215000000000011</v>
      </c>
      <c r="W127" s="835">
        <f t="shared" si="61"/>
        <v>2.5000000000000022E-3</v>
      </c>
      <c r="X127" s="835">
        <f>IF('GRR AIAG GR&amp;R'!$F$7=3,'GRR Calculations (2)'!V127+('GRR Calculations (2)'!$AC$110*'GRR Calculations (2)'!W127),IF('GRR AIAG GR&amp;R'!$F$7=2,'GRR Calculations (2)'!V127+('GRR Calculations (2)'!$AC$109*'GRR Calculations (2)'!W127)))</f>
        <v>0.52685000000000015</v>
      </c>
      <c r="Y127" s="835">
        <f>IF('GRR AIAG GR&amp;R'!$F$7=3,'GRR Calculations (2)'!V127-('GRR Calculations (2)'!$AC$110*'GRR Calculations (2)'!W127),IF('GRR AIAG GR&amp;R'!$F$7=2,'GRR Calculations (2)'!V127-('GRR Calculations (2)'!$AC$109*'GRR Calculations (2)'!W127)))</f>
        <v>0.51745000000000008</v>
      </c>
      <c r="Z127" s="835">
        <f>IF('GRR AIAG GR&amp;R'!$F$7=3,('GRR Calculations (2)'!$AD$110*'GRR Calculations (2)'!W127),IF('GRR AIAG GR&amp;R'!$F$7=2,('GRR Calculations (2)'!$AD$109*'GRR Calculations (2)'!W127)))</f>
        <v>8.1750000000000069E-3</v>
      </c>
      <c r="AQ127" s="508" t="e">
        <f t="shared" si="66"/>
        <v>#N/A</v>
      </c>
      <c r="AR127" s="508" t="e">
        <f t="shared" si="56"/>
        <v>#N/A</v>
      </c>
      <c r="AS127" s="496" t="e">
        <f t="shared" si="57"/>
        <v>#N/A</v>
      </c>
      <c r="AT127" s="496" t="e">
        <f t="shared" si="57"/>
        <v>#N/A</v>
      </c>
      <c r="AU127" s="496" t="e">
        <f t="shared" si="57"/>
        <v>#N/A</v>
      </c>
    </row>
    <row r="128" spans="10:47" x14ac:dyDescent="0.25">
      <c r="J128" s="509" t="e">
        <f t="shared" si="65"/>
        <v>#N/A</v>
      </c>
      <c r="K128" s="848" t="e">
        <f t="shared" si="53"/>
        <v>#N/A</v>
      </c>
      <c r="L128" s="841" t="e">
        <f t="shared" si="54"/>
        <v>#N/A</v>
      </c>
      <c r="N128" s="502">
        <f t="shared" si="58"/>
        <v>0</v>
      </c>
      <c r="O128" s="835" t="e">
        <f t="shared" si="64"/>
        <v>#N/A</v>
      </c>
      <c r="P128" s="835" t="e">
        <f t="shared" si="64"/>
        <v>#N/A</v>
      </c>
      <c r="Q128" s="835" t="e">
        <f t="shared" si="64"/>
        <v>#N/A</v>
      </c>
      <c r="R128" s="835" t="e">
        <f t="shared" si="64"/>
        <v>#N/A</v>
      </c>
      <c r="S128" s="835" t="e">
        <f t="shared" si="64"/>
        <v>#N/A</v>
      </c>
      <c r="T128" s="835" t="e">
        <f t="shared" si="64"/>
        <v>#N/A</v>
      </c>
      <c r="V128" s="835">
        <f t="shared" si="60"/>
        <v>0.52215000000000011</v>
      </c>
      <c r="W128" s="835">
        <f t="shared" si="61"/>
        <v>2.5000000000000022E-3</v>
      </c>
      <c r="X128" s="835">
        <f>IF('GRR AIAG GR&amp;R'!$F$7=3,'GRR Calculations (2)'!V128+('GRR Calculations (2)'!$AC$110*'GRR Calculations (2)'!W128),IF('GRR AIAG GR&amp;R'!$F$7=2,'GRR Calculations (2)'!V128+('GRR Calculations (2)'!$AC$109*'GRR Calculations (2)'!W128)))</f>
        <v>0.52685000000000015</v>
      </c>
      <c r="Y128" s="835">
        <f>IF('GRR AIAG GR&amp;R'!$F$7=3,'GRR Calculations (2)'!V128-('GRR Calculations (2)'!$AC$110*'GRR Calculations (2)'!W128),IF('GRR AIAG GR&amp;R'!$F$7=2,'GRR Calculations (2)'!V128-('GRR Calculations (2)'!$AC$109*'GRR Calculations (2)'!W128)))</f>
        <v>0.51745000000000008</v>
      </c>
      <c r="Z128" s="835">
        <f>IF('GRR AIAG GR&amp;R'!$F$7=3,('GRR Calculations (2)'!$AD$110*'GRR Calculations (2)'!W128),IF('GRR AIAG GR&amp;R'!$F$7=2,('GRR Calculations (2)'!$AD$109*'GRR Calculations (2)'!W128)))</f>
        <v>8.1750000000000069E-3</v>
      </c>
      <c r="AQ128" s="508" t="e">
        <f t="shared" si="66"/>
        <v>#N/A</v>
      </c>
      <c r="AR128" s="508" t="e">
        <f t="shared" si="56"/>
        <v>#N/A</v>
      </c>
      <c r="AS128" s="496" t="e">
        <f t="shared" si="57"/>
        <v>#N/A</v>
      </c>
      <c r="AT128" s="496" t="e">
        <f t="shared" si="57"/>
        <v>#N/A</v>
      </c>
      <c r="AU128" s="496" t="e">
        <f t="shared" si="57"/>
        <v>#N/A</v>
      </c>
    </row>
    <row r="129" spans="10:47" x14ac:dyDescent="0.25">
      <c r="J129" s="509" t="e">
        <f t="shared" si="65"/>
        <v>#N/A</v>
      </c>
      <c r="K129" s="848" t="e">
        <f t="shared" si="53"/>
        <v>#N/A</v>
      </c>
      <c r="L129" s="841" t="e">
        <f t="shared" si="54"/>
        <v>#N/A</v>
      </c>
      <c r="N129" s="502">
        <f t="shared" si="58"/>
        <v>0</v>
      </c>
      <c r="O129" s="835" t="e">
        <f t="shared" si="64"/>
        <v>#N/A</v>
      </c>
      <c r="P129" s="835" t="e">
        <f t="shared" si="64"/>
        <v>#N/A</v>
      </c>
      <c r="Q129" s="835" t="e">
        <f t="shared" si="64"/>
        <v>#N/A</v>
      </c>
      <c r="R129" s="835" t="e">
        <f t="shared" si="64"/>
        <v>#N/A</v>
      </c>
      <c r="S129" s="835" t="e">
        <f t="shared" si="64"/>
        <v>#N/A</v>
      </c>
      <c r="T129" s="835" t="e">
        <f t="shared" si="64"/>
        <v>#N/A</v>
      </c>
      <c r="V129" s="835">
        <f t="shared" si="60"/>
        <v>0.52215000000000011</v>
      </c>
      <c r="W129" s="835">
        <f t="shared" si="61"/>
        <v>2.5000000000000022E-3</v>
      </c>
      <c r="X129" s="835">
        <f>IF('GRR AIAG GR&amp;R'!$F$7=3,'GRR Calculations (2)'!V129+('GRR Calculations (2)'!$AC$110*'GRR Calculations (2)'!W129),IF('GRR AIAG GR&amp;R'!$F$7=2,'GRR Calculations (2)'!V129+('GRR Calculations (2)'!$AC$109*'GRR Calculations (2)'!W129)))</f>
        <v>0.52685000000000015</v>
      </c>
      <c r="Y129" s="835">
        <f>IF('GRR AIAG GR&amp;R'!$F$7=3,'GRR Calculations (2)'!V129-('GRR Calculations (2)'!$AC$110*'GRR Calculations (2)'!W129),IF('GRR AIAG GR&amp;R'!$F$7=2,'GRR Calculations (2)'!V129-('GRR Calculations (2)'!$AC$109*'GRR Calculations (2)'!W129)))</f>
        <v>0.51745000000000008</v>
      </c>
      <c r="Z129" s="835">
        <f>IF('GRR AIAG GR&amp;R'!$F$7=3,('GRR Calculations (2)'!$AD$110*'GRR Calculations (2)'!W129),IF('GRR AIAG GR&amp;R'!$F$7=2,('GRR Calculations (2)'!$AD$109*'GRR Calculations (2)'!W129)))</f>
        <v>8.1750000000000069E-3</v>
      </c>
      <c r="AQ129" s="508" t="e">
        <f t="shared" si="66"/>
        <v>#N/A</v>
      </c>
      <c r="AR129" s="508" t="e">
        <f t="shared" si="56"/>
        <v>#N/A</v>
      </c>
      <c r="AS129" s="496" t="e">
        <f t="shared" si="57"/>
        <v>#N/A</v>
      </c>
      <c r="AT129" s="496" t="e">
        <f t="shared" si="57"/>
        <v>#N/A</v>
      </c>
      <c r="AU129" s="496" t="e">
        <f t="shared" si="57"/>
        <v>#N/A</v>
      </c>
    </row>
    <row r="130" spans="10:47" x14ac:dyDescent="0.25">
      <c r="J130" s="509" t="e">
        <f t="shared" si="65"/>
        <v>#N/A</v>
      </c>
      <c r="K130" s="848" t="e">
        <f t="shared" si="53"/>
        <v>#N/A</v>
      </c>
      <c r="L130" s="841" t="e">
        <f t="shared" si="54"/>
        <v>#N/A</v>
      </c>
      <c r="N130" s="502">
        <f t="shared" si="58"/>
        <v>0</v>
      </c>
      <c r="O130" s="835" t="e">
        <f t="shared" si="64"/>
        <v>#N/A</v>
      </c>
      <c r="P130" s="835" t="e">
        <f t="shared" si="64"/>
        <v>#N/A</v>
      </c>
      <c r="Q130" s="835" t="e">
        <f t="shared" si="64"/>
        <v>#N/A</v>
      </c>
      <c r="R130" s="835" t="e">
        <f t="shared" si="64"/>
        <v>#N/A</v>
      </c>
      <c r="S130" s="835" t="e">
        <f t="shared" si="64"/>
        <v>#N/A</v>
      </c>
      <c r="T130" s="835" t="e">
        <f t="shared" si="64"/>
        <v>#N/A</v>
      </c>
      <c r="V130" s="835">
        <f t="shared" si="60"/>
        <v>0.52215000000000011</v>
      </c>
      <c r="W130" s="835">
        <f t="shared" si="61"/>
        <v>2.5000000000000022E-3</v>
      </c>
      <c r="X130" s="835">
        <f>IF('GRR AIAG GR&amp;R'!$F$7=3,'GRR Calculations (2)'!V130+('GRR Calculations (2)'!$AC$110*'GRR Calculations (2)'!W130),IF('GRR AIAG GR&amp;R'!$F$7=2,'GRR Calculations (2)'!V130+('GRR Calculations (2)'!$AC$109*'GRR Calculations (2)'!W130)))</f>
        <v>0.52685000000000015</v>
      </c>
      <c r="Y130" s="835">
        <f>IF('GRR AIAG GR&amp;R'!$F$7=3,'GRR Calculations (2)'!V130-('GRR Calculations (2)'!$AC$110*'GRR Calculations (2)'!W130),IF('GRR AIAG GR&amp;R'!$F$7=2,'GRR Calculations (2)'!V130-('GRR Calculations (2)'!$AC$109*'GRR Calculations (2)'!W130)))</f>
        <v>0.51745000000000008</v>
      </c>
      <c r="Z130" s="835">
        <f>IF('GRR AIAG GR&amp;R'!$F$7=3,('GRR Calculations (2)'!$AD$110*'GRR Calculations (2)'!W130),IF('GRR AIAG GR&amp;R'!$F$7=2,('GRR Calculations (2)'!$AD$109*'GRR Calculations (2)'!W130)))</f>
        <v>8.1750000000000069E-3</v>
      </c>
      <c r="AQ130" s="508" t="e">
        <f t="shared" si="66"/>
        <v>#N/A</v>
      </c>
      <c r="AR130" s="508" t="e">
        <f t="shared" si="56"/>
        <v>#N/A</v>
      </c>
      <c r="AS130" s="496" t="e">
        <f t="shared" si="57"/>
        <v>#N/A</v>
      </c>
      <c r="AT130" s="496" t="e">
        <f t="shared" si="57"/>
        <v>#N/A</v>
      </c>
      <c r="AU130" s="496" t="e">
        <f t="shared" si="57"/>
        <v>#N/A</v>
      </c>
    </row>
    <row r="131" spans="10:47" x14ac:dyDescent="0.25">
      <c r="J131" s="509" t="e">
        <f t="shared" si="65"/>
        <v>#N/A</v>
      </c>
      <c r="K131" s="848" t="e">
        <f t="shared" si="53"/>
        <v>#N/A</v>
      </c>
      <c r="L131" s="841" t="e">
        <f t="shared" si="54"/>
        <v>#N/A</v>
      </c>
      <c r="N131" s="502">
        <f t="shared" si="58"/>
        <v>0</v>
      </c>
      <c r="O131" s="835" t="e">
        <f t="shared" si="64"/>
        <v>#N/A</v>
      </c>
      <c r="P131" s="835" t="e">
        <f t="shared" si="64"/>
        <v>#N/A</v>
      </c>
      <c r="Q131" s="835" t="e">
        <f t="shared" si="64"/>
        <v>#N/A</v>
      </c>
      <c r="R131" s="835" t="e">
        <f t="shared" si="64"/>
        <v>#N/A</v>
      </c>
      <c r="S131" s="835" t="e">
        <f t="shared" si="64"/>
        <v>#N/A</v>
      </c>
      <c r="T131" s="835" t="e">
        <f t="shared" si="64"/>
        <v>#N/A</v>
      </c>
      <c r="V131" s="835">
        <f t="shared" si="60"/>
        <v>0.52215000000000011</v>
      </c>
      <c r="W131" s="835">
        <f t="shared" si="61"/>
        <v>2.5000000000000022E-3</v>
      </c>
      <c r="X131" s="835">
        <f>IF('GRR AIAG GR&amp;R'!$F$7=3,'GRR Calculations (2)'!V131+('GRR Calculations (2)'!$AC$110*'GRR Calculations (2)'!W131),IF('GRR AIAG GR&amp;R'!$F$7=2,'GRR Calculations (2)'!V131+('GRR Calculations (2)'!$AC$109*'GRR Calculations (2)'!W131)))</f>
        <v>0.52685000000000015</v>
      </c>
      <c r="Y131" s="835">
        <f>IF('GRR AIAG GR&amp;R'!$F$7=3,'GRR Calculations (2)'!V131-('GRR Calculations (2)'!$AC$110*'GRR Calculations (2)'!W131),IF('GRR AIAG GR&amp;R'!$F$7=2,'GRR Calculations (2)'!V131-('GRR Calculations (2)'!$AC$109*'GRR Calculations (2)'!W131)))</f>
        <v>0.51745000000000008</v>
      </c>
      <c r="Z131" s="835">
        <f>IF('GRR AIAG GR&amp;R'!$F$7=3,('GRR Calculations (2)'!$AD$110*'GRR Calculations (2)'!W131),IF('GRR AIAG GR&amp;R'!$F$7=2,('GRR Calculations (2)'!$AD$109*'GRR Calculations (2)'!W131)))</f>
        <v>8.1750000000000069E-3</v>
      </c>
      <c r="AQ131" s="508" t="e">
        <f t="shared" si="66"/>
        <v>#N/A</v>
      </c>
      <c r="AR131" s="508" t="e">
        <f t="shared" si="56"/>
        <v>#N/A</v>
      </c>
      <c r="AS131" s="496" t="e">
        <f t="shared" si="57"/>
        <v>#N/A</v>
      </c>
      <c r="AT131" s="496" t="e">
        <f t="shared" si="57"/>
        <v>#N/A</v>
      </c>
      <c r="AU131" s="496" t="e">
        <f t="shared" si="57"/>
        <v>#N/A</v>
      </c>
    </row>
    <row r="132" spans="10:47" x14ac:dyDescent="0.25">
      <c r="J132" s="509" t="e">
        <f t="shared" si="65"/>
        <v>#N/A</v>
      </c>
      <c r="K132" s="848" t="e">
        <f t="shared" si="53"/>
        <v>#N/A</v>
      </c>
      <c r="L132" s="841" t="e">
        <f t="shared" si="54"/>
        <v>#N/A</v>
      </c>
      <c r="N132" s="502">
        <f t="shared" si="58"/>
        <v>0</v>
      </c>
      <c r="O132" s="835" t="e">
        <f t="shared" si="64"/>
        <v>#N/A</v>
      </c>
      <c r="P132" s="835" t="e">
        <f t="shared" si="64"/>
        <v>#N/A</v>
      </c>
      <c r="Q132" s="835" t="e">
        <f t="shared" si="64"/>
        <v>#N/A</v>
      </c>
      <c r="R132" s="835" t="e">
        <f t="shared" si="64"/>
        <v>#N/A</v>
      </c>
      <c r="S132" s="835" t="e">
        <f t="shared" si="64"/>
        <v>#N/A</v>
      </c>
      <c r="T132" s="835" t="e">
        <f t="shared" si="64"/>
        <v>#N/A</v>
      </c>
      <c r="V132" s="835">
        <f t="shared" si="60"/>
        <v>0.52215000000000011</v>
      </c>
      <c r="W132" s="835">
        <f t="shared" si="61"/>
        <v>2.5000000000000022E-3</v>
      </c>
      <c r="X132" s="835">
        <f>IF('GRR AIAG GR&amp;R'!$F$7=3,'GRR Calculations (2)'!V132+('GRR Calculations (2)'!$AC$110*'GRR Calculations (2)'!W132),IF('GRR AIAG GR&amp;R'!$F$7=2,'GRR Calculations (2)'!V132+('GRR Calculations (2)'!$AC$109*'GRR Calculations (2)'!W132)))</f>
        <v>0.52685000000000015</v>
      </c>
      <c r="Y132" s="835">
        <f>IF('GRR AIAG GR&amp;R'!$F$7=3,'GRR Calculations (2)'!V132-('GRR Calculations (2)'!$AC$110*'GRR Calculations (2)'!W132),IF('GRR AIAG GR&amp;R'!$F$7=2,'GRR Calculations (2)'!V132-('GRR Calculations (2)'!$AC$109*'GRR Calculations (2)'!W132)))</f>
        <v>0.51745000000000008</v>
      </c>
      <c r="Z132" s="835">
        <f>IF('GRR AIAG GR&amp;R'!$F$7=3,('GRR Calculations (2)'!$AD$110*'GRR Calculations (2)'!W132),IF('GRR AIAG GR&amp;R'!$F$7=2,('GRR Calculations (2)'!$AD$109*'GRR Calculations (2)'!W132)))</f>
        <v>8.1750000000000069E-3</v>
      </c>
      <c r="AQ132" s="508" t="e">
        <f t="shared" si="66"/>
        <v>#N/A</v>
      </c>
      <c r="AR132" s="508" t="e">
        <f t="shared" si="56"/>
        <v>#N/A</v>
      </c>
      <c r="AS132" s="496" t="e">
        <f t="shared" si="57"/>
        <v>#N/A</v>
      </c>
      <c r="AT132" s="496" t="e">
        <f t="shared" si="57"/>
        <v>#N/A</v>
      </c>
      <c r="AU132" s="496" t="e">
        <f t="shared" si="57"/>
        <v>#N/A</v>
      </c>
    </row>
    <row r="133" spans="10:47" x14ac:dyDescent="0.25">
      <c r="J133" s="509" t="e">
        <f t="shared" si="65"/>
        <v>#N/A</v>
      </c>
      <c r="K133" s="848" t="e">
        <f t="shared" si="53"/>
        <v>#N/A</v>
      </c>
      <c r="L133" s="841" t="e">
        <f t="shared" si="54"/>
        <v>#N/A</v>
      </c>
      <c r="N133" s="502">
        <f t="shared" si="58"/>
        <v>0</v>
      </c>
      <c r="O133" s="835" t="e">
        <f t="shared" si="64"/>
        <v>#N/A</v>
      </c>
      <c r="P133" s="835" t="e">
        <f t="shared" si="64"/>
        <v>#N/A</v>
      </c>
      <c r="Q133" s="835" t="e">
        <f t="shared" si="64"/>
        <v>#N/A</v>
      </c>
      <c r="R133" s="835" t="e">
        <f t="shared" si="64"/>
        <v>#N/A</v>
      </c>
      <c r="S133" s="835" t="e">
        <f t="shared" si="64"/>
        <v>#N/A</v>
      </c>
      <c r="T133" s="835" t="e">
        <f t="shared" si="64"/>
        <v>#N/A</v>
      </c>
      <c r="V133" s="835">
        <f t="shared" si="60"/>
        <v>0.52215000000000011</v>
      </c>
      <c r="W133" s="835">
        <f t="shared" si="61"/>
        <v>2.5000000000000022E-3</v>
      </c>
      <c r="X133" s="835">
        <f>IF('GRR AIAG GR&amp;R'!$F$7=3,'GRR Calculations (2)'!V133+('GRR Calculations (2)'!$AC$110*'GRR Calculations (2)'!W133),IF('GRR AIAG GR&amp;R'!$F$7=2,'GRR Calculations (2)'!V133+('GRR Calculations (2)'!$AC$109*'GRR Calculations (2)'!W133)))</f>
        <v>0.52685000000000015</v>
      </c>
      <c r="Y133" s="835">
        <f>IF('GRR AIAG GR&amp;R'!$F$7=3,'GRR Calculations (2)'!V133-('GRR Calculations (2)'!$AC$110*'GRR Calculations (2)'!W133),IF('GRR AIAG GR&amp;R'!$F$7=2,'GRR Calculations (2)'!V133-('GRR Calculations (2)'!$AC$109*'GRR Calculations (2)'!W133)))</f>
        <v>0.51745000000000008</v>
      </c>
      <c r="Z133" s="835">
        <f>IF('GRR AIAG GR&amp;R'!$F$7=3,('GRR Calculations (2)'!$AD$110*'GRR Calculations (2)'!W133),IF('GRR AIAG GR&amp;R'!$F$7=2,('GRR Calculations (2)'!$AD$109*'GRR Calculations (2)'!W133)))</f>
        <v>8.1750000000000069E-3</v>
      </c>
      <c r="AQ133" s="508" t="e">
        <f t="shared" si="66"/>
        <v>#N/A</v>
      </c>
      <c r="AR133" s="508" t="e">
        <f t="shared" si="56"/>
        <v>#N/A</v>
      </c>
      <c r="AS133" s="496" t="e">
        <f t="shared" si="57"/>
        <v>#N/A</v>
      </c>
      <c r="AT133" s="496" t="e">
        <f t="shared" si="57"/>
        <v>#N/A</v>
      </c>
      <c r="AU133" s="496" t="e">
        <f t="shared" si="57"/>
        <v>#N/A</v>
      </c>
    </row>
    <row r="134" spans="10:47" x14ac:dyDescent="0.25">
      <c r="J134" s="509" t="e">
        <f t="shared" si="65"/>
        <v>#N/A</v>
      </c>
      <c r="K134" s="848" t="e">
        <f t="shared" si="53"/>
        <v>#N/A</v>
      </c>
      <c r="L134" s="841" t="e">
        <f t="shared" si="54"/>
        <v>#N/A</v>
      </c>
      <c r="N134" s="502">
        <f t="shared" si="58"/>
        <v>0</v>
      </c>
      <c r="O134" s="835" t="e">
        <f t="shared" si="64"/>
        <v>#N/A</v>
      </c>
      <c r="P134" s="835" t="e">
        <f t="shared" si="64"/>
        <v>#N/A</v>
      </c>
      <c r="Q134" s="835" t="e">
        <f t="shared" si="64"/>
        <v>#N/A</v>
      </c>
      <c r="R134" s="835" t="e">
        <f t="shared" si="64"/>
        <v>#N/A</v>
      </c>
      <c r="S134" s="835" t="e">
        <f t="shared" si="64"/>
        <v>#N/A</v>
      </c>
      <c r="T134" s="835" t="e">
        <f t="shared" si="64"/>
        <v>#N/A</v>
      </c>
      <c r="V134" s="835">
        <f t="shared" si="60"/>
        <v>0.52215000000000011</v>
      </c>
      <c r="W134" s="835">
        <f t="shared" si="61"/>
        <v>2.5000000000000022E-3</v>
      </c>
      <c r="X134" s="835">
        <f>IF('GRR AIAG GR&amp;R'!$F$7=3,'GRR Calculations (2)'!V134+('GRR Calculations (2)'!$AC$110*'GRR Calculations (2)'!W134),IF('GRR AIAG GR&amp;R'!$F$7=2,'GRR Calculations (2)'!V134+('GRR Calculations (2)'!$AC$109*'GRR Calculations (2)'!W134)))</f>
        <v>0.52685000000000015</v>
      </c>
      <c r="Y134" s="835">
        <f>IF('GRR AIAG GR&amp;R'!$F$7=3,'GRR Calculations (2)'!V134-('GRR Calculations (2)'!$AC$110*'GRR Calculations (2)'!W134),IF('GRR AIAG GR&amp;R'!$F$7=2,'GRR Calculations (2)'!V134-('GRR Calculations (2)'!$AC$109*'GRR Calculations (2)'!W134)))</f>
        <v>0.51745000000000008</v>
      </c>
      <c r="Z134" s="835">
        <f>IF('GRR AIAG GR&amp;R'!$F$7=3,('GRR Calculations (2)'!$AD$110*'GRR Calculations (2)'!W134),IF('GRR AIAG GR&amp;R'!$F$7=2,('GRR Calculations (2)'!$AD$109*'GRR Calculations (2)'!W134)))</f>
        <v>8.1750000000000069E-3</v>
      </c>
      <c r="AQ134" s="508" t="e">
        <f t="shared" si="66"/>
        <v>#N/A</v>
      </c>
      <c r="AR134" s="508" t="e">
        <f t="shared" si="56"/>
        <v>#N/A</v>
      </c>
      <c r="AS134" s="496" t="e">
        <f t="shared" si="57"/>
        <v>#N/A</v>
      </c>
      <c r="AT134" s="496" t="e">
        <f t="shared" si="57"/>
        <v>#N/A</v>
      </c>
      <c r="AU134" s="496" t="e">
        <f t="shared" si="57"/>
        <v>#N/A</v>
      </c>
    </row>
    <row r="135" spans="10:47" x14ac:dyDescent="0.25">
      <c r="J135" s="509">
        <f t="shared" ref="J135:J144" si="67">IF(G41="",NA(),1)</f>
        <v>1</v>
      </c>
      <c r="K135" s="511">
        <f t="shared" ref="K135:K164" si="68">IF(G41="",NA(),F41)</f>
        <v>1</v>
      </c>
      <c r="L135" s="841" t="e">
        <f t="shared" ref="L135:L164" si="69">IF(I41="",NA(),I41)</f>
        <v>#N/A</v>
      </c>
      <c r="N135" s="502">
        <f t="shared" si="58"/>
        <v>0</v>
      </c>
      <c r="O135" s="835" t="e">
        <f t="shared" si="64"/>
        <v>#N/A</v>
      </c>
      <c r="P135" s="835" t="e">
        <f t="shared" si="64"/>
        <v>#N/A</v>
      </c>
      <c r="Q135" s="835" t="e">
        <f t="shared" si="64"/>
        <v>#N/A</v>
      </c>
      <c r="R135" s="835" t="e">
        <f t="shared" si="64"/>
        <v>#N/A</v>
      </c>
      <c r="S135" s="835" t="e">
        <f t="shared" si="64"/>
        <v>#N/A</v>
      </c>
      <c r="T135" s="835" t="e">
        <f t="shared" si="64"/>
        <v>#N/A</v>
      </c>
      <c r="V135" s="835">
        <f t="shared" si="60"/>
        <v>0.52215000000000011</v>
      </c>
      <c r="W135" s="835">
        <f t="shared" si="61"/>
        <v>2.5000000000000022E-3</v>
      </c>
      <c r="X135" s="835">
        <f>IF('GRR AIAG GR&amp;R'!$F$7=3,'GRR Calculations (2)'!V135+('GRR Calculations (2)'!$AC$110*'GRR Calculations (2)'!W135),IF('GRR AIAG GR&amp;R'!$F$7=2,'GRR Calculations (2)'!V135+('GRR Calculations (2)'!$AC$109*'GRR Calculations (2)'!W135)))</f>
        <v>0.52685000000000015</v>
      </c>
      <c r="Y135" s="835">
        <f>IF('GRR AIAG GR&amp;R'!$F$7=3,'GRR Calculations (2)'!V135-('GRR Calculations (2)'!$AC$110*'GRR Calculations (2)'!W135),IF('GRR AIAG GR&amp;R'!$F$7=2,'GRR Calculations (2)'!V135-('GRR Calculations (2)'!$AC$109*'GRR Calculations (2)'!W135)))</f>
        <v>0.51745000000000008</v>
      </c>
      <c r="Z135" s="835">
        <f>IF('GRR AIAG GR&amp;R'!$F$7=3,('GRR Calculations (2)'!$AD$110*'GRR Calculations (2)'!W135),IF('GRR AIAG GR&amp;R'!$F$7=2,('GRR Calculations (2)'!$AD$109*'GRR Calculations (2)'!W135)))</f>
        <v>8.1750000000000069E-3</v>
      </c>
    </row>
    <row r="136" spans="10:47" x14ac:dyDescent="0.25">
      <c r="J136" s="509">
        <f t="shared" si="67"/>
        <v>1</v>
      </c>
      <c r="K136" s="511">
        <f t="shared" si="68"/>
        <v>2</v>
      </c>
      <c r="L136" s="841" t="e">
        <f t="shared" si="69"/>
        <v>#N/A</v>
      </c>
      <c r="N136" s="502">
        <f t="shared" si="58"/>
        <v>0</v>
      </c>
      <c r="O136" s="835" t="e">
        <f t="shared" si="64"/>
        <v>#N/A</v>
      </c>
      <c r="P136" s="835" t="e">
        <f t="shared" si="64"/>
        <v>#N/A</v>
      </c>
      <c r="Q136" s="835" t="e">
        <f t="shared" si="64"/>
        <v>#N/A</v>
      </c>
      <c r="R136" s="835" t="e">
        <f t="shared" si="64"/>
        <v>#N/A</v>
      </c>
      <c r="S136" s="835" t="e">
        <f t="shared" si="64"/>
        <v>#N/A</v>
      </c>
      <c r="T136" s="835" t="e">
        <f t="shared" si="64"/>
        <v>#N/A</v>
      </c>
      <c r="V136" s="835">
        <f t="shared" si="60"/>
        <v>0.52215000000000011</v>
      </c>
      <c r="W136" s="835">
        <f t="shared" si="61"/>
        <v>2.5000000000000022E-3</v>
      </c>
      <c r="X136" s="835">
        <f>IF('GRR AIAG GR&amp;R'!$F$7=3,'GRR Calculations (2)'!V136+('GRR Calculations (2)'!$AC$110*'GRR Calculations (2)'!W136),IF('GRR AIAG GR&amp;R'!$F$7=2,'GRR Calculations (2)'!V136+('GRR Calculations (2)'!$AC$109*'GRR Calculations (2)'!W136)))</f>
        <v>0.52685000000000015</v>
      </c>
      <c r="Y136" s="835">
        <f>IF('GRR AIAG GR&amp;R'!$F$7=3,'GRR Calculations (2)'!V136-('GRR Calculations (2)'!$AC$110*'GRR Calculations (2)'!W136),IF('GRR AIAG GR&amp;R'!$F$7=2,'GRR Calculations (2)'!V136-('GRR Calculations (2)'!$AC$109*'GRR Calculations (2)'!W136)))</f>
        <v>0.51745000000000008</v>
      </c>
      <c r="Z136" s="835">
        <f>IF('GRR AIAG GR&amp;R'!$F$7=3,('GRR Calculations (2)'!$AD$110*'GRR Calculations (2)'!W136),IF('GRR AIAG GR&amp;R'!$F$7=2,('GRR Calculations (2)'!$AD$109*'GRR Calculations (2)'!W136)))</f>
        <v>8.1750000000000069E-3</v>
      </c>
    </row>
    <row r="137" spans="10:47" x14ac:dyDescent="0.25">
      <c r="J137" s="509">
        <f t="shared" si="67"/>
        <v>1</v>
      </c>
      <c r="K137" s="511">
        <f t="shared" si="68"/>
        <v>3</v>
      </c>
      <c r="L137" s="841" t="e">
        <f t="shared" si="69"/>
        <v>#N/A</v>
      </c>
      <c r="N137" s="502">
        <f t="shared" si="58"/>
        <v>0</v>
      </c>
      <c r="O137" s="835" t="e">
        <f t="shared" si="64"/>
        <v>#N/A</v>
      </c>
      <c r="P137" s="835" t="e">
        <f t="shared" si="64"/>
        <v>#N/A</v>
      </c>
      <c r="Q137" s="835" t="e">
        <f t="shared" si="64"/>
        <v>#N/A</v>
      </c>
      <c r="R137" s="835" t="e">
        <f t="shared" si="64"/>
        <v>#N/A</v>
      </c>
      <c r="S137" s="835" t="e">
        <f t="shared" si="64"/>
        <v>#N/A</v>
      </c>
      <c r="T137" s="835" t="e">
        <f t="shared" si="64"/>
        <v>#N/A</v>
      </c>
      <c r="V137" s="835">
        <f t="shared" si="60"/>
        <v>0.52215000000000011</v>
      </c>
      <c r="W137" s="835">
        <f t="shared" si="61"/>
        <v>2.5000000000000022E-3</v>
      </c>
      <c r="X137" s="835">
        <f>IF('GRR AIAG GR&amp;R'!$F$7=3,'GRR Calculations (2)'!V137+('GRR Calculations (2)'!$AC$110*'GRR Calculations (2)'!W137),IF('GRR AIAG GR&amp;R'!$F$7=2,'GRR Calculations (2)'!V137+('GRR Calculations (2)'!$AC$109*'GRR Calculations (2)'!W137)))</f>
        <v>0.52685000000000015</v>
      </c>
      <c r="Y137" s="835">
        <f>IF('GRR AIAG GR&amp;R'!$F$7=3,'GRR Calculations (2)'!V137-('GRR Calculations (2)'!$AC$110*'GRR Calculations (2)'!W137),IF('GRR AIAG GR&amp;R'!$F$7=2,'GRR Calculations (2)'!V137-('GRR Calculations (2)'!$AC$109*'GRR Calculations (2)'!W137)))</f>
        <v>0.51745000000000008</v>
      </c>
      <c r="Z137" s="835">
        <f>IF('GRR AIAG GR&amp;R'!$F$7=3,('GRR Calculations (2)'!$AD$110*'GRR Calculations (2)'!W137),IF('GRR AIAG GR&amp;R'!$F$7=2,('GRR Calculations (2)'!$AD$109*'GRR Calculations (2)'!W137)))</f>
        <v>8.1750000000000069E-3</v>
      </c>
    </row>
    <row r="138" spans="10:47" x14ac:dyDescent="0.25">
      <c r="J138" s="509">
        <f t="shared" si="67"/>
        <v>1</v>
      </c>
      <c r="K138" s="511">
        <f t="shared" si="68"/>
        <v>4</v>
      </c>
      <c r="L138" s="841" t="e">
        <f t="shared" si="69"/>
        <v>#N/A</v>
      </c>
    </row>
    <row r="139" spans="10:47" x14ac:dyDescent="0.25">
      <c r="J139" s="509">
        <f t="shared" si="67"/>
        <v>1</v>
      </c>
      <c r="K139" s="511">
        <f t="shared" si="68"/>
        <v>5</v>
      </c>
      <c r="L139" s="841" t="e">
        <f t="shared" si="69"/>
        <v>#N/A</v>
      </c>
    </row>
    <row r="140" spans="10:47" x14ac:dyDescent="0.25">
      <c r="J140" s="509" t="e">
        <f t="shared" si="67"/>
        <v>#N/A</v>
      </c>
      <c r="K140" s="511" t="e">
        <f t="shared" si="68"/>
        <v>#N/A</v>
      </c>
      <c r="L140" s="841" t="e">
        <f t="shared" si="69"/>
        <v>#N/A</v>
      </c>
    </row>
    <row r="141" spans="10:47" x14ac:dyDescent="0.25">
      <c r="J141" s="509" t="e">
        <f t="shared" si="67"/>
        <v>#N/A</v>
      </c>
      <c r="K141" s="511" t="e">
        <f t="shared" si="68"/>
        <v>#N/A</v>
      </c>
      <c r="L141" s="841" t="e">
        <f t="shared" si="69"/>
        <v>#N/A</v>
      </c>
    </row>
    <row r="142" spans="10:47" x14ac:dyDescent="0.25">
      <c r="J142" s="509" t="e">
        <f t="shared" si="67"/>
        <v>#N/A</v>
      </c>
      <c r="K142" s="511" t="e">
        <f t="shared" si="68"/>
        <v>#N/A</v>
      </c>
      <c r="L142" s="841" t="e">
        <f t="shared" si="69"/>
        <v>#N/A</v>
      </c>
    </row>
    <row r="143" spans="10:47" x14ac:dyDescent="0.25">
      <c r="J143" s="509" t="e">
        <f t="shared" si="67"/>
        <v>#N/A</v>
      </c>
      <c r="K143" s="511" t="e">
        <f t="shared" si="68"/>
        <v>#N/A</v>
      </c>
      <c r="L143" s="841" t="e">
        <f t="shared" si="69"/>
        <v>#N/A</v>
      </c>
    </row>
    <row r="144" spans="10:47" x14ac:dyDescent="0.25">
      <c r="J144" s="509" t="e">
        <f t="shared" si="67"/>
        <v>#N/A</v>
      </c>
      <c r="K144" s="511" t="e">
        <f t="shared" si="68"/>
        <v>#N/A</v>
      </c>
      <c r="L144" s="841" t="e">
        <f t="shared" si="69"/>
        <v>#N/A</v>
      </c>
    </row>
    <row r="145" spans="10:12" x14ac:dyDescent="0.25">
      <c r="J145" s="509">
        <f t="shared" ref="J145:J154" si="70">IF(G51="",NA(),2)</f>
        <v>2</v>
      </c>
      <c r="K145" s="511">
        <f t="shared" si="68"/>
        <v>1</v>
      </c>
      <c r="L145" s="841" t="e">
        <f t="shared" si="69"/>
        <v>#N/A</v>
      </c>
    </row>
    <row r="146" spans="10:12" x14ac:dyDescent="0.25">
      <c r="J146" s="509">
        <f t="shared" si="70"/>
        <v>2</v>
      </c>
      <c r="K146" s="511">
        <f t="shared" si="68"/>
        <v>2</v>
      </c>
      <c r="L146" s="841" t="e">
        <f t="shared" si="69"/>
        <v>#N/A</v>
      </c>
    </row>
    <row r="147" spans="10:12" x14ac:dyDescent="0.25">
      <c r="J147" s="509">
        <f t="shared" si="70"/>
        <v>2</v>
      </c>
      <c r="K147" s="511">
        <f t="shared" si="68"/>
        <v>3</v>
      </c>
      <c r="L147" s="841" t="e">
        <f t="shared" si="69"/>
        <v>#N/A</v>
      </c>
    </row>
    <row r="148" spans="10:12" x14ac:dyDescent="0.25">
      <c r="J148" s="509">
        <f t="shared" si="70"/>
        <v>2</v>
      </c>
      <c r="K148" s="511">
        <f t="shared" si="68"/>
        <v>4</v>
      </c>
      <c r="L148" s="841" t="e">
        <f t="shared" si="69"/>
        <v>#N/A</v>
      </c>
    </row>
    <row r="149" spans="10:12" x14ac:dyDescent="0.25">
      <c r="J149" s="509">
        <f t="shared" si="70"/>
        <v>2</v>
      </c>
      <c r="K149" s="511">
        <f t="shared" si="68"/>
        <v>5</v>
      </c>
      <c r="L149" s="841" t="e">
        <f t="shared" si="69"/>
        <v>#N/A</v>
      </c>
    </row>
    <row r="150" spans="10:12" x14ac:dyDescent="0.25">
      <c r="J150" s="509" t="e">
        <f t="shared" si="70"/>
        <v>#N/A</v>
      </c>
      <c r="K150" s="511" t="e">
        <f t="shared" si="68"/>
        <v>#N/A</v>
      </c>
      <c r="L150" s="841" t="e">
        <f t="shared" si="69"/>
        <v>#N/A</v>
      </c>
    </row>
    <row r="151" spans="10:12" x14ac:dyDescent="0.25">
      <c r="J151" s="509" t="e">
        <f t="shared" si="70"/>
        <v>#N/A</v>
      </c>
      <c r="K151" s="511" t="e">
        <f t="shared" si="68"/>
        <v>#N/A</v>
      </c>
      <c r="L151" s="841" t="e">
        <f t="shared" si="69"/>
        <v>#N/A</v>
      </c>
    </row>
    <row r="152" spans="10:12" x14ac:dyDescent="0.25">
      <c r="J152" s="509" t="e">
        <f t="shared" si="70"/>
        <v>#N/A</v>
      </c>
      <c r="K152" s="511" t="e">
        <f t="shared" si="68"/>
        <v>#N/A</v>
      </c>
      <c r="L152" s="841" t="e">
        <f t="shared" si="69"/>
        <v>#N/A</v>
      </c>
    </row>
    <row r="153" spans="10:12" x14ac:dyDescent="0.25">
      <c r="J153" s="509" t="e">
        <f t="shared" si="70"/>
        <v>#N/A</v>
      </c>
      <c r="K153" s="511" t="e">
        <f t="shared" si="68"/>
        <v>#N/A</v>
      </c>
      <c r="L153" s="841" t="e">
        <f t="shared" si="69"/>
        <v>#N/A</v>
      </c>
    </row>
    <row r="154" spans="10:12" x14ac:dyDescent="0.25">
      <c r="J154" s="509" t="e">
        <f t="shared" si="70"/>
        <v>#N/A</v>
      </c>
      <c r="K154" s="511" t="e">
        <f t="shared" si="68"/>
        <v>#N/A</v>
      </c>
      <c r="L154" s="841" t="e">
        <f t="shared" si="69"/>
        <v>#N/A</v>
      </c>
    </row>
    <row r="155" spans="10:12" x14ac:dyDescent="0.25">
      <c r="J155" s="509" t="e">
        <f t="shared" ref="J155:J164" si="71">IF(G61="",NA(),3)</f>
        <v>#N/A</v>
      </c>
      <c r="K155" s="511" t="e">
        <f t="shared" si="68"/>
        <v>#N/A</v>
      </c>
      <c r="L155" s="841" t="e">
        <f t="shared" si="69"/>
        <v>#N/A</v>
      </c>
    </row>
    <row r="156" spans="10:12" x14ac:dyDescent="0.25">
      <c r="J156" s="509" t="e">
        <f t="shared" si="71"/>
        <v>#N/A</v>
      </c>
      <c r="K156" s="511" t="e">
        <f t="shared" si="68"/>
        <v>#N/A</v>
      </c>
      <c r="L156" s="841" t="e">
        <f t="shared" si="69"/>
        <v>#N/A</v>
      </c>
    </row>
    <row r="157" spans="10:12" x14ac:dyDescent="0.25">
      <c r="J157" s="509" t="e">
        <f t="shared" si="71"/>
        <v>#N/A</v>
      </c>
      <c r="K157" s="511" t="e">
        <f t="shared" si="68"/>
        <v>#N/A</v>
      </c>
      <c r="L157" s="841" t="e">
        <f t="shared" si="69"/>
        <v>#N/A</v>
      </c>
    </row>
    <row r="158" spans="10:12" x14ac:dyDescent="0.25">
      <c r="J158" s="509" t="e">
        <f t="shared" si="71"/>
        <v>#N/A</v>
      </c>
      <c r="K158" s="511" t="e">
        <f t="shared" si="68"/>
        <v>#N/A</v>
      </c>
      <c r="L158" s="841" t="e">
        <f t="shared" si="69"/>
        <v>#N/A</v>
      </c>
    </row>
    <row r="159" spans="10:12" x14ac:dyDescent="0.25">
      <c r="J159" s="509" t="e">
        <f t="shared" si="71"/>
        <v>#N/A</v>
      </c>
      <c r="K159" s="511" t="e">
        <f t="shared" si="68"/>
        <v>#N/A</v>
      </c>
      <c r="L159" s="841" t="e">
        <f t="shared" si="69"/>
        <v>#N/A</v>
      </c>
    </row>
    <row r="160" spans="10:12" x14ac:dyDescent="0.25">
      <c r="J160" s="509" t="e">
        <f t="shared" si="71"/>
        <v>#N/A</v>
      </c>
      <c r="K160" s="511" t="e">
        <f t="shared" si="68"/>
        <v>#N/A</v>
      </c>
      <c r="L160" s="841" t="e">
        <f t="shared" si="69"/>
        <v>#N/A</v>
      </c>
    </row>
    <row r="161" spans="10:12" x14ac:dyDescent="0.25">
      <c r="J161" s="509" t="e">
        <f t="shared" si="71"/>
        <v>#N/A</v>
      </c>
      <c r="K161" s="511" t="e">
        <f t="shared" si="68"/>
        <v>#N/A</v>
      </c>
      <c r="L161" s="841" t="e">
        <f t="shared" si="69"/>
        <v>#N/A</v>
      </c>
    </row>
    <row r="162" spans="10:12" x14ac:dyDescent="0.25">
      <c r="J162" s="509" t="e">
        <f t="shared" si="71"/>
        <v>#N/A</v>
      </c>
      <c r="K162" s="511" t="e">
        <f t="shared" si="68"/>
        <v>#N/A</v>
      </c>
      <c r="L162" s="841" t="e">
        <f t="shared" si="69"/>
        <v>#N/A</v>
      </c>
    </row>
    <row r="163" spans="10:12" x14ac:dyDescent="0.25">
      <c r="J163" s="509" t="e">
        <f t="shared" si="71"/>
        <v>#N/A</v>
      </c>
      <c r="K163" s="511" t="e">
        <f t="shared" si="68"/>
        <v>#N/A</v>
      </c>
      <c r="L163" s="841" t="e">
        <f t="shared" si="69"/>
        <v>#N/A</v>
      </c>
    </row>
    <row r="164" spans="10:12" x14ac:dyDescent="0.25">
      <c r="J164" s="509" t="e">
        <f t="shared" si="71"/>
        <v>#N/A</v>
      </c>
      <c r="K164" s="511" t="e">
        <f t="shared" si="68"/>
        <v>#N/A</v>
      </c>
      <c r="L164" s="841" t="e">
        <f t="shared" si="69"/>
        <v>#N/A</v>
      </c>
    </row>
  </sheetData>
  <mergeCells count="37">
    <mergeCell ref="BK39:BP39"/>
    <mergeCell ref="BS39:BX39"/>
    <mergeCell ref="CA39:CF39"/>
    <mergeCell ref="O40:Q40"/>
    <mergeCell ref="R40:T40"/>
    <mergeCell ref="W40:Y40"/>
    <mergeCell ref="Z40:AB40"/>
    <mergeCell ref="AE40:AG40"/>
    <mergeCell ref="AH40:AJ40"/>
    <mergeCell ref="AM40:AO40"/>
    <mergeCell ref="O39:T39"/>
    <mergeCell ref="W39:AB39"/>
    <mergeCell ref="AE39:AJ39"/>
    <mergeCell ref="AM39:AR39"/>
    <mergeCell ref="AU39:AZ39"/>
    <mergeCell ref="BC39:BH39"/>
    <mergeCell ref="BV40:BX40"/>
    <mergeCell ref="CA40:CC40"/>
    <mergeCell ref="CD40:CF40"/>
    <mergeCell ref="O72:T72"/>
    <mergeCell ref="W72:AB72"/>
    <mergeCell ref="AP40:AR40"/>
    <mergeCell ref="AU40:AW40"/>
    <mergeCell ref="AX40:AZ40"/>
    <mergeCell ref="BC40:BE40"/>
    <mergeCell ref="BF40:BH40"/>
    <mergeCell ref="BK40:BM40"/>
    <mergeCell ref="O107:Q107"/>
    <mergeCell ref="R107:T107"/>
    <mergeCell ref="AB107:AD107"/>
    <mergeCell ref="BN40:BP40"/>
    <mergeCell ref="BS40:BU40"/>
    <mergeCell ref="O73:Q73"/>
    <mergeCell ref="R73:T73"/>
    <mergeCell ref="W73:Y73"/>
    <mergeCell ref="Z73:AB73"/>
    <mergeCell ref="O105:T105"/>
  </mergeCells>
  <printOptions horizontalCentered="1" verticalCentered="1"/>
  <pageMargins left="0" right="0" top="0" bottom="0" header="0.5" footer="0.5"/>
  <pageSetup scale="63" orientation="landscape"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I73"/>
  <sheetViews>
    <sheetView zoomScale="85" zoomScaleNormal="85" workbookViewId="0">
      <selection activeCell="H1" sqref="H1:I1"/>
    </sheetView>
  </sheetViews>
  <sheetFormatPr defaultColWidth="8.88671875" defaultRowHeight="14.4" x14ac:dyDescent="0.3"/>
  <cols>
    <col min="1" max="1" width="23.6640625" customWidth="1"/>
    <col min="2" max="2" width="48.21875" customWidth="1"/>
    <col min="3" max="3" width="19.44140625" customWidth="1"/>
    <col min="4" max="4" width="21" customWidth="1"/>
    <col min="5" max="5" width="24.21875" customWidth="1"/>
  </cols>
  <sheetData>
    <row r="1" spans="1:9" ht="36" x14ac:dyDescent="0.3">
      <c r="A1" s="632" t="s">
        <v>829</v>
      </c>
      <c r="B1" s="1002"/>
      <c r="C1" s="1002"/>
      <c r="D1" s="1002"/>
      <c r="E1" s="1002"/>
      <c r="H1" s="1009" t="s">
        <v>19</v>
      </c>
      <c r="I1" s="1009"/>
    </row>
    <row r="2" spans="1:9" ht="36" x14ac:dyDescent="0.3">
      <c r="A2" s="632" t="s">
        <v>830</v>
      </c>
      <c r="B2" s="1002"/>
      <c r="C2" s="1002"/>
      <c r="D2" s="1002"/>
      <c r="E2" s="1002"/>
    </row>
    <row r="3" spans="1:9" ht="18" x14ac:dyDescent="0.3">
      <c r="A3" s="632" t="s">
        <v>831</v>
      </c>
      <c r="B3" s="632" t="s">
        <v>603</v>
      </c>
      <c r="C3" s="1003" t="s">
        <v>832</v>
      </c>
      <c r="D3" s="1004"/>
      <c r="E3" s="1005"/>
    </row>
    <row r="4" spans="1:9" ht="18" x14ac:dyDescent="0.3">
      <c r="A4" s="632" t="s">
        <v>92</v>
      </c>
      <c r="B4" s="633"/>
      <c r="C4" s="999"/>
      <c r="D4" s="1000"/>
      <c r="E4" s="1001"/>
    </row>
    <row r="5" spans="1:9" ht="18" x14ac:dyDescent="0.3">
      <c r="A5" s="632" t="s">
        <v>833</v>
      </c>
      <c r="B5" s="633"/>
      <c r="C5" s="999"/>
      <c r="D5" s="1000"/>
      <c r="E5" s="1001"/>
    </row>
    <row r="6" spans="1:9" ht="18" x14ac:dyDescent="0.3">
      <c r="A6" s="632" t="s">
        <v>1006</v>
      </c>
      <c r="B6" s="633"/>
      <c r="C6" s="999"/>
      <c r="D6" s="1000"/>
      <c r="E6" s="1001"/>
    </row>
    <row r="7" spans="1:9" ht="18" x14ac:dyDescent="0.35">
      <c r="A7" s="1006"/>
      <c r="B7" s="1007"/>
      <c r="C7" s="1007"/>
      <c r="D7" s="1007"/>
      <c r="E7" s="1008"/>
    </row>
    <row r="8" spans="1:9" ht="18" x14ac:dyDescent="0.3">
      <c r="A8" s="632" t="s">
        <v>834</v>
      </c>
      <c r="B8" s="632" t="s">
        <v>835</v>
      </c>
      <c r="C8" s="1003" t="s">
        <v>832</v>
      </c>
      <c r="D8" s="1004"/>
      <c r="E8" s="1005"/>
    </row>
    <row r="9" spans="1:9" ht="18" x14ac:dyDescent="0.3">
      <c r="A9" s="633"/>
      <c r="B9" s="633"/>
      <c r="C9" s="999"/>
      <c r="D9" s="1000"/>
      <c r="E9" s="1001"/>
    </row>
    <row r="10" spans="1:9" ht="18" x14ac:dyDescent="0.3">
      <c r="A10" s="633"/>
      <c r="B10" s="633"/>
      <c r="C10" s="999"/>
      <c r="D10" s="1000"/>
      <c r="E10" s="1001"/>
    </row>
    <row r="11" spans="1:9" ht="18" x14ac:dyDescent="0.3">
      <c r="A11" s="633"/>
      <c r="B11" s="633"/>
      <c r="C11" s="999"/>
      <c r="D11" s="1000"/>
      <c r="E11" s="1001"/>
    </row>
    <row r="12" spans="1:9" ht="18" x14ac:dyDescent="0.3">
      <c r="A12" s="633"/>
      <c r="B12" s="633"/>
      <c r="C12" s="999"/>
      <c r="D12" s="1000"/>
      <c r="E12" s="1001"/>
    </row>
    <row r="13" spans="1:9" ht="18" x14ac:dyDescent="0.3">
      <c r="A13" s="633"/>
      <c r="B13" s="633"/>
      <c r="C13" s="999"/>
      <c r="D13" s="1000"/>
      <c r="E13" s="1001"/>
    </row>
    <row r="14" spans="1:9" ht="18" x14ac:dyDescent="0.3">
      <c r="A14" s="633"/>
      <c r="B14" s="633"/>
      <c r="C14" s="999"/>
      <c r="D14" s="1000"/>
      <c r="E14" s="1001"/>
    </row>
    <row r="15" spans="1:9" ht="18" x14ac:dyDescent="0.3">
      <c r="A15" s="633"/>
      <c r="B15" s="633"/>
      <c r="C15" s="999"/>
      <c r="D15" s="1000"/>
      <c r="E15" s="1001"/>
    </row>
    <row r="16" spans="1:9" ht="18" x14ac:dyDescent="0.35">
      <c r="A16" s="1006"/>
      <c r="B16" s="1007"/>
      <c r="C16" s="1007"/>
      <c r="D16" s="1007"/>
      <c r="E16" s="1008"/>
    </row>
    <row r="17" spans="1:5" ht="18.75" customHeight="1" x14ac:dyDescent="0.3">
      <c r="A17" s="993" t="s">
        <v>845</v>
      </c>
      <c r="B17" s="1015"/>
      <c r="C17" s="1015"/>
      <c r="D17" s="1015"/>
      <c r="E17" s="1016"/>
    </row>
    <row r="18" spans="1:5" ht="18.75" customHeight="1" x14ac:dyDescent="0.3">
      <c r="A18" s="1017"/>
      <c r="B18" s="1018"/>
      <c r="C18" s="1018"/>
      <c r="D18" s="1018"/>
      <c r="E18" s="1019"/>
    </row>
    <row r="19" spans="1:5" ht="18.75" customHeight="1" x14ac:dyDescent="0.3">
      <c r="A19" s="1020"/>
      <c r="B19" s="1021"/>
      <c r="C19" s="1021"/>
      <c r="D19" s="1021"/>
      <c r="E19" s="1022"/>
    </row>
    <row r="20" spans="1:5" ht="18" x14ac:dyDescent="0.3">
      <c r="A20" s="1012"/>
      <c r="B20" s="1013"/>
      <c r="C20" s="1013"/>
      <c r="D20" s="1013"/>
      <c r="E20" s="1014"/>
    </row>
    <row r="21" spans="1:5" ht="18" x14ac:dyDescent="0.3">
      <c r="A21" s="632" t="s">
        <v>836</v>
      </c>
      <c r="B21" s="632" t="s">
        <v>837</v>
      </c>
      <c r="C21" s="1003" t="s">
        <v>832</v>
      </c>
      <c r="D21" s="1004"/>
      <c r="E21" s="1005"/>
    </row>
    <row r="22" spans="1:5" ht="18" x14ac:dyDescent="0.3">
      <c r="A22" s="633"/>
      <c r="B22" s="633"/>
      <c r="C22" s="999"/>
      <c r="D22" s="1000"/>
      <c r="E22" s="1001"/>
    </row>
    <row r="23" spans="1:5" ht="18" x14ac:dyDescent="0.3">
      <c r="A23" s="633"/>
      <c r="B23" s="633"/>
      <c r="C23" s="999"/>
      <c r="D23" s="1000"/>
      <c r="E23" s="1001"/>
    </row>
    <row r="24" spans="1:5" ht="18" x14ac:dyDescent="0.3">
      <c r="A24" s="633"/>
      <c r="B24" s="633"/>
      <c r="C24" s="999"/>
      <c r="D24" s="1000"/>
      <c r="E24" s="1001"/>
    </row>
    <row r="25" spans="1:5" ht="18" x14ac:dyDescent="0.3">
      <c r="A25" s="633"/>
      <c r="B25" s="633"/>
      <c r="C25" s="999"/>
      <c r="D25" s="1000"/>
      <c r="E25" s="1001"/>
    </row>
    <row r="26" spans="1:5" ht="18" x14ac:dyDescent="0.3">
      <c r="A26" s="633"/>
      <c r="B26" s="633"/>
      <c r="C26" s="999"/>
      <c r="D26" s="1000"/>
      <c r="E26" s="1001"/>
    </row>
    <row r="27" spans="1:5" ht="18" x14ac:dyDescent="0.35">
      <c r="A27" s="1006"/>
      <c r="B27" s="1007"/>
      <c r="C27" s="1007"/>
      <c r="D27" s="1007"/>
      <c r="E27" s="1008"/>
    </row>
    <row r="28" spans="1:5" ht="18.75" customHeight="1" x14ac:dyDescent="0.3">
      <c r="A28" s="993" t="s">
        <v>868</v>
      </c>
      <c r="B28" s="1015"/>
      <c r="C28" s="1015"/>
      <c r="D28" s="1015"/>
      <c r="E28" s="1016"/>
    </row>
    <row r="29" spans="1:5" ht="18.75" customHeight="1" x14ac:dyDescent="0.3">
      <c r="A29" s="1017"/>
      <c r="B29" s="1018"/>
      <c r="C29" s="1018"/>
      <c r="D29" s="1018"/>
      <c r="E29" s="1019"/>
    </row>
    <row r="30" spans="1:5" ht="18.75" customHeight="1" x14ac:dyDescent="0.3">
      <c r="A30" s="1017"/>
      <c r="B30" s="1018"/>
      <c r="C30" s="1018"/>
      <c r="D30" s="1018"/>
      <c r="E30" s="1019"/>
    </row>
    <row r="31" spans="1:5" ht="18.75" customHeight="1" x14ac:dyDescent="0.3">
      <c r="A31" s="1020"/>
      <c r="B31" s="1021"/>
      <c r="C31" s="1021"/>
      <c r="D31" s="1021"/>
      <c r="E31" s="1022"/>
    </row>
    <row r="32" spans="1:5" x14ac:dyDescent="0.3">
      <c r="A32" s="993" t="s">
        <v>869</v>
      </c>
      <c r="B32" s="1015"/>
      <c r="C32" s="1015"/>
      <c r="D32" s="1015"/>
      <c r="E32" s="1016"/>
    </row>
    <row r="33" spans="1:5" x14ac:dyDescent="0.3">
      <c r="A33" s="1017"/>
      <c r="B33" s="1018"/>
      <c r="C33" s="1018"/>
      <c r="D33" s="1018"/>
      <c r="E33" s="1019"/>
    </row>
    <row r="34" spans="1:5" x14ac:dyDescent="0.3">
      <c r="A34" s="1017"/>
      <c r="B34" s="1018"/>
      <c r="C34" s="1018"/>
      <c r="D34" s="1018"/>
      <c r="E34" s="1019"/>
    </row>
    <row r="35" spans="1:5" x14ac:dyDescent="0.3">
      <c r="A35" s="1017"/>
      <c r="B35" s="1018"/>
      <c r="C35" s="1018"/>
      <c r="D35" s="1018"/>
      <c r="E35" s="1019"/>
    </row>
    <row r="36" spans="1:5" x14ac:dyDescent="0.3">
      <c r="A36" s="1020"/>
      <c r="B36" s="1021"/>
      <c r="C36" s="1021"/>
      <c r="D36" s="1021"/>
      <c r="E36" s="1022"/>
    </row>
    <row r="37" spans="1:5" ht="18.75" customHeight="1" x14ac:dyDescent="0.3">
      <c r="A37" s="993" t="s">
        <v>842</v>
      </c>
      <c r="B37" s="1015"/>
      <c r="C37" s="1015"/>
      <c r="D37" s="1015"/>
      <c r="E37" s="1016"/>
    </row>
    <row r="38" spans="1:5" ht="18.75" customHeight="1" x14ac:dyDescent="0.3">
      <c r="A38" s="1017"/>
      <c r="B38" s="1018"/>
      <c r="C38" s="1018"/>
      <c r="D38" s="1018"/>
      <c r="E38" s="1019"/>
    </row>
    <row r="39" spans="1:5" ht="18.75" customHeight="1" x14ac:dyDescent="0.3">
      <c r="A39" s="1017"/>
      <c r="B39" s="1018"/>
      <c r="C39" s="1018"/>
      <c r="D39" s="1018"/>
      <c r="E39" s="1019"/>
    </row>
    <row r="40" spans="1:5" x14ac:dyDescent="0.3">
      <c r="A40" s="1017"/>
      <c r="B40" s="1018"/>
      <c r="C40" s="1018"/>
      <c r="D40" s="1018"/>
      <c r="E40" s="1019"/>
    </row>
    <row r="41" spans="1:5" x14ac:dyDescent="0.3">
      <c r="A41" s="1020"/>
      <c r="B41" s="1021"/>
      <c r="C41" s="1021"/>
      <c r="D41" s="1021"/>
      <c r="E41" s="1022"/>
    </row>
    <row r="42" spans="1:5" x14ac:dyDescent="0.3">
      <c r="A42" s="993" t="s">
        <v>843</v>
      </c>
      <c r="B42" s="994"/>
      <c r="C42" s="994"/>
      <c r="D42" s="994"/>
      <c r="E42" s="995"/>
    </row>
    <row r="43" spans="1:5" x14ac:dyDescent="0.3">
      <c r="A43" s="996"/>
      <c r="B43" s="997"/>
      <c r="C43" s="997"/>
      <c r="D43" s="997"/>
      <c r="E43" s="998"/>
    </row>
    <row r="44" spans="1:5" x14ac:dyDescent="0.3">
      <c r="A44" s="996"/>
      <c r="B44" s="997"/>
      <c r="C44" s="997"/>
      <c r="D44" s="997"/>
      <c r="E44" s="998"/>
    </row>
    <row r="45" spans="1:5" x14ac:dyDescent="0.3">
      <c r="A45" s="996"/>
      <c r="B45" s="997"/>
      <c r="C45" s="997"/>
      <c r="D45" s="997"/>
      <c r="E45" s="998"/>
    </row>
    <row r="46" spans="1:5" x14ac:dyDescent="0.3">
      <c r="A46" s="996"/>
      <c r="B46" s="997"/>
      <c r="C46" s="997"/>
      <c r="D46" s="997"/>
      <c r="E46" s="998"/>
    </row>
    <row r="47" spans="1:5" x14ac:dyDescent="0.3">
      <c r="A47" s="996"/>
      <c r="B47" s="997"/>
      <c r="C47" s="997"/>
      <c r="D47" s="997"/>
      <c r="E47" s="998"/>
    </row>
    <row r="48" spans="1:5" x14ac:dyDescent="0.3">
      <c r="A48" s="996"/>
      <c r="B48" s="997"/>
      <c r="C48" s="997"/>
      <c r="D48" s="997"/>
      <c r="E48" s="998"/>
    </row>
    <row r="49" spans="1:5" x14ac:dyDescent="0.3">
      <c r="A49" s="1028"/>
      <c r="B49" s="1029"/>
      <c r="C49" s="1029"/>
      <c r="D49" s="1029"/>
      <c r="E49" s="1030"/>
    </row>
    <row r="50" spans="1:5" x14ac:dyDescent="0.3">
      <c r="A50" s="993" t="s">
        <v>844</v>
      </c>
      <c r="B50" s="994"/>
      <c r="C50" s="994"/>
      <c r="D50" s="994"/>
      <c r="E50" s="995"/>
    </row>
    <row r="51" spans="1:5" x14ac:dyDescent="0.3">
      <c r="A51" s="996"/>
      <c r="B51" s="997"/>
      <c r="C51" s="997"/>
      <c r="D51" s="997"/>
      <c r="E51" s="998"/>
    </row>
    <row r="52" spans="1:5" x14ac:dyDescent="0.3">
      <c r="A52" s="996"/>
      <c r="B52" s="997"/>
      <c r="C52" s="997"/>
      <c r="D52" s="997"/>
      <c r="E52" s="998"/>
    </row>
    <row r="53" spans="1:5" x14ac:dyDescent="0.3">
      <c r="A53" s="996"/>
      <c r="B53" s="997"/>
      <c r="C53" s="997"/>
      <c r="D53" s="997"/>
      <c r="E53" s="998"/>
    </row>
    <row r="54" spans="1:5" x14ac:dyDescent="0.3">
      <c r="A54" s="996"/>
      <c r="B54" s="997"/>
      <c r="C54" s="997"/>
      <c r="D54" s="997"/>
      <c r="E54" s="998"/>
    </row>
    <row r="55" spans="1:5" x14ac:dyDescent="0.3">
      <c r="A55" s="996"/>
      <c r="B55" s="997"/>
      <c r="C55" s="997"/>
      <c r="D55" s="997"/>
      <c r="E55" s="998"/>
    </row>
    <row r="56" spans="1:5" x14ac:dyDescent="0.3">
      <c r="A56" s="993" t="s">
        <v>871</v>
      </c>
      <c r="B56" s="994"/>
      <c r="C56" s="994"/>
      <c r="D56" s="994"/>
      <c r="E56" s="995"/>
    </row>
    <row r="57" spans="1:5" x14ac:dyDescent="0.3">
      <c r="A57" s="996"/>
      <c r="B57" s="997"/>
      <c r="C57" s="997"/>
      <c r="D57" s="997"/>
      <c r="E57" s="998"/>
    </row>
    <row r="58" spans="1:5" x14ac:dyDescent="0.3">
      <c r="A58" s="996"/>
      <c r="B58" s="997"/>
      <c r="C58" s="997"/>
      <c r="D58" s="997"/>
      <c r="E58" s="998"/>
    </row>
    <row r="59" spans="1:5" x14ac:dyDescent="0.3">
      <c r="A59" s="996"/>
      <c r="B59" s="997"/>
      <c r="C59" s="997"/>
      <c r="D59" s="997"/>
      <c r="E59" s="998"/>
    </row>
    <row r="60" spans="1:5" x14ac:dyDescent="0.3">
      <c r="A60" s="996"/>
      <c r="B60" s="997"/>
      <c r="C60" s="997"/>
      <c r="D60" s="997"/>
      <c r="E60" s="998"/>
    </row>
    <row r="61" spans="1:5" x14ac:dyDescent="0.3">
      <c r="A61" s="996"/>
      <c r="B61" s="997"/>
      <c r="C61" s="997"/>
      <c r="D61" s="997"/>
      <c r="E61" s="998"/>
    </row>
    <row r="62" spans="1:5" x14ac:dyDescent="0.3">
      <c r="A62" s="993" t="s">
        <v>870</v>
      </c>
      <c r="B62" s="994"/>
      <c r="C62" s="994"/>
      <c r="D62" s="994"/>
      <c r="E62" s="995"/>
    </row>
    <row r="63" spans="1:5" x14ac:dyDescent="0.3">
      <c r="A63" s="996"/>
      <c r="B63" s="997"/>
      <c r="C63" s="997"/>
      <c r="D63" s="997"/>
      <c r="E63" s="998"/>
    </row>
    <row r="64" spans="1:5" x14ac:dyDescent="0.3">
      <c r="A64" s="996"/>
      <c r="B64" s="997"/>
      <c r="C64" s="997"/>
      <c r="D64" s="997"/>
      <c r="E64" s="998"/>
    </row>
    <row r="65" spans="1:5" x14ac:dyDescent="0.3">
      <c r="A65" s="996"/>
      <c r="B65" s="997"/>
      <c r="C65" s="997"/>
      <c r="D65" s="997"/>
      <c r="E65" s="998"/>
    </row>
    <row r="66" spans="1:5" x14ac:dyDescent="0.3">
      <c r="A66" s="996"/>
      <c r="B66" s="997"/>
      <c r="C66" s="997"/>
      <c r="D66" s="997"/>
      <c r="E66" s="998"/>
    </row>
    <row r="67" spans="1:5" x14ac:dyDescent="0.3">
      <c r="A67" s="996"/>
      <c r="B67" s="997"/>
      <c r="C67" s="997"/>
      <c r="D67" s="997"/>
      <c r="E67" s="998"/>
    </row>
    <row r="68" spans="1:5" ht="18" x14ac:dyDescent="0.3">
      <c r="A68" s="1023"/>
      <c r="B68" s="1024"/>
      <c r="C68" s="1024"/>
      <c r="D68" s="1024"/>
      <c r="E68" s="1025"/>
    </row>
    <row r="69" spans="1:5" ht="18" x14ac:dyDescent="0.35">
      <c r="A69" s="632" t="s">
        <v>838</v>
      </c>
      <c r="B69" s="632" t="s">
        <v>839</v>
      </c>
      <c r="C69" s="1026" t="s">
        <v>840</v>
      </c>
      <c r="D69" s="1026"/>
      <c r="E69" s="1027"/>
    </row>
    <row r="70" spans="1:5" ht="18" x14ac:dyDescent="0.35">
      <c r="A70" s="633"/>
      <c r="B70" s="634"/>
      <c r="C70" s="1010"/>
      <c r="D70" s="1002"/>
      <c r="E70" s="1011"/>
    </row>
    <row r="71" spans="1:5" ht="18" x14ac:dyDescent="0.35">
      <c r="A71" s="636" t="s">
        <v>841</v>
      </c>
      <c r="B71" s="636"/>
      <c r="C71" s="1010"/>
      <c r="D71" s="1002"/>
      <c r="E71" s="1011"/>
    </row>
    <row r="72" spans="1:5" ht="18" x14ac:dyDescent="0.35">
      <c r="A72" s="635"/>
      <c r="B72" s="635"/>
      <c r="C72" s="635"/>
      <c r="D72" s="635"/>
      <c r="E72" s="635"/>
    </row>
    <row r="73" spans="1:5" ht="18" x14ac:dyDescent="0.35">
      <c r="A73" s="635"/>
      <c r="B73" s="635"/>
      <c r="C73" s="635"/>
      <c r="D73" s="635"/>
      <c r="E73" s="635"/>
    </row>
  </sheetData>
  <mergeCells count="37">
    <mergeCell ref="H1:I1"/>
    <mergeCell ref="A62:E67"/>
    <mergeCell ref="C71:E71"/>
    <mergeCell ref="A20:E20"/>
    <mergeCell ref="A17:E19"/>
    <mergeCell ref="A68:E68"/>
    <mergeCell ref="C69:E69"/>
    <mergeCell ref="C70:E70"/>
    <mergeCell ref="C23:E23"/>
    <mergeCell ref="C24:E24"/>
    <mergeCell ref="C25:E25"/>
    <mergeCell ref="A28:E31"/>
    <mergeCell ref="A27:E27"/>
    <mergeCell ref="A42:E49"/>
    <mergeCell ref="A32:E36"/>
    <mergeCell ref="A37:E41"/>
    <mergeCell ref="C12:E12"/>
    <mergeCell ref="C14:E14"/>
    <mergeCell ref="C15:E15"/>
    <mergeCell ref="A16:E16"/>
    <mergeCell ref="C13:E13"/>
    <mergeCell ref="A50:E55"/>
    <mergeCell ref="A56:E61"/>
    <mergeCell ref="C11:E11"/>
    <mergeCell ref="B1:E1"/>
    <mergeCell ref="B2:E2"/>
    <mergeCell ref="C3:E3"/>
    <mergeCell ref="C4:E4"/>
    <mergeCell ref="C5:E5"/>
    <mergeCell ref="C6:E6"/>
    <mergeCell ref="A7:E7"/>
    <mergeCell ref="C8:E8"/>
    <mergeCell ref="C9:E9"/>
    <mergeCell ref="C10:E10"/>
    <mergeCell ref="C21:E21"/>
    <mergeCell ref="C22:E22"/>
    <mergeCell ref="C26:E26"/>
  </mergeCells>
  <hyperlinks>
    <hyperlink ref="H1" location="Menu!A1" display="Return to menu" xr:uid="{00000000-0004-0000-0700-000000000000}"/>
  </hyperlinks>
  <pageMargins left="0.7" right="0.7" top="0.75" bottom="0.75" header="0.3" footer="0.3"/>
  <pageSetup scale="66" orientation="portrait" r:id="rId1"/>
  <headerFooter>
    <oddHeader>&amp;C&amp;"-,Bold"&amp;20Project Charter</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P52"/>
  <sheetViews>
    <sheetView showGridLines="0" zoomScale="75" workbookViewId="0"/>
  </sheetViews>
  <sheetFormatPr defaultColWidth="8.88671875" defaultRowHeight="13.2" x14ac:dyDescent="0.25"/>
  <cols>
    <col min="1" max="15" width="8.88671875" style="308"/>
    <col min="16" max="16" width="20.6640625" style="308" bestFit="1" customWidth="1"/>
    <col min="17" max="16384" width="8.88671875" style="308"/>
  </cols>
  <sheetData>
    <row r="1" spans="1:16" ht="21" x14ac:dyDescent="0.4">
      <c r="A1" s="307"/>
      <c r="P1" s="7" t="s">
        <v>19</v>
      </c>
    </row>
    <row r="3" spans="1:16" ht="30" x14ac:dyDescent="0.5">
      <c r="B3" s="309" t="s">
        <v>285</v>
      </c>
      <c r="J3" s="452" t="s">
        <v>336</v>
      </c>
    </row>
    <row r="4" spans="1:16" ht="15.6" x14ac:dyDescent="0.3">
      <c r="P4" s="454" t="s">
        <v>338</v>
      </c>
    </row>
    <row r="5" spans="1:16" ht="24.6" x14ac:dyDescent="0.4">
      <c r="B5" s="310" t="s">
        <v>248</v>
      </c>
    </row>
    <row r="7" spans="1:16" s="307" customFormat="1" ht="15.6" x14ac:dyDescent="0.3">
      <c r="B7" s="311"/>
      <c r="C7" s="307" t="s">
        <v>249</v>
      </c>
    </row>
    <row r="8" spans="1:16" s="307" customFormat="1" ht="15.6" x14ac:dyDescent="0.3">
      <c r="B8" s="13"/>
      <c r="C8" s="13"/>
      <c r="D8" s="13"/>
      <c r="E8" s="13"/>
      <c r="F8" s="13"/>
      <c r="G8" s="13"/>
      <c r="H8" s="13"/>
      <c r="I8" s="13"/>
      <c r="J8" s="13"/>
      <c r="K8" s="13"/>
      <c r="L8" s="13"/>
      <c r="M8" s="13"/>
      <c r="N8" s="13"/>
    </row>
    <row r="9" spans="1:16" s="307" customFormat="1" ht="15.6" x14ac:dyDescent="0.3">
      <c r="B9" s="311"/>
      <c r="C9" s="307" t="s">
        <v>250</v>
      </c>
    </row>
    <row r="10" spans="1:16" s="307" customFormat="1" ht="15.6" x14ac:dyDescent="0.3">
      <c r="C10" s="307" t="s">
        <v>251</v>
      </c>
    </row>
    <row r="11" spans="1:16" s="307" customFormat="1" ht="15.6" x14ac:dyDescent="0.3">
      <c r="C11" s="307" t="s">
        <v>252</v>
      </c>
    </row>
    <row r="12" spans="1:16" s="307" customFormat="1" ht="15.6" x14ac:dyDescent="0.3">
      <c r="C12" s="13"/>
      <c r="D12" s="13"/>
      <c r="E12" s="13"/>
      <c r="F12" s="13"/>
      <c r="G12" s="13"/>
      <c r="H12" s="13"/>
      <c r="I12" s="13"/>
      <c r="J12" s="13"/>
      <c r="K12" s="13"/>
      <c r="L12" s="13"/>
      <c r="M12" s="13"/>
      <c r="N12" s="13"/>
    </row>
    <row r="13" spans="1:16" s="307" customFormat="1" ht="15.6" x14ac:dyDescent="0.3">
      <c r="C13" s="312" t="s">
        <v>253</v>
      </c>
    </row>
    <row r="14" spans="1:16" s="307" customFormat="1" ht="15.6" x14ac:dyDescent="0.3">
      <c r="C14" s="312" t="s">
        <v>254</v>
      </c>
    </row>
    <row r="15" spans="1:16" s="307" customFormat="1" ht="15.6" x14ac:dyDescent="0.3">
      <c r="B15" s="311"/>
      <c r="C15" s="13"/>
      <c r="D15" s="13"/>
      <c r="E15" s="13"/>
      <c r="F15" s="13"/>
      <c r="G15" s="13"/>
      <c r="H15" s="13"/>
      <c r="I15" s="13"/>
      <c r="J15" s="13"/>
      <c r="K15" s="13"/>
      <c r="L15" s="13"/>
      <c r="M15" s="13"/>
      <c r="N15" s="13"/>
    </row>
    <row r="16" spans="1:16" s="307" customFormat="1" ht="15.6" x14ac:dyDescent="0.3">
      <c r="C16" s="307" t="s">
        <v>255</v>
      </c>
    </row>
    <row r="17" spans="2:14" s="307" customFormat="1" ht="15.6" x14ac:dyDescent="0.3">
      <c r="C17" s="307" t="s">
        <v>256</v>
      </c>
      <c r="D17" s="313"/>
      <c r="E17" s="313"/>
      <c r="F17" s="313"/>
      <c r="G17" s="313"/>
      <c r="H17" s="313"/>
      <c r="I17" s="313"/>
    </row>
    <row r="18" spans="2:14" s="307" customFormat="1" ht="15.6" x14ac:dyDescent="0.3">
      <c r="C18" s="307" t="s">
        <v>257</v>
      </c>
    </row>
    <row r="19" spans="2:14" s="307" customFormat="1" ht="15.6" x14ac:dyDescent="0.3">
      <c r="B19" s="311"/>
      <c r="C19" s="307" t="s">
        <v>258</v>
      </c>
    </row>
    <row r="20" spans="2:14" s="307" customFormat="1" ht="15.6" x14ac:dyDescent="0.3">
      <c r="C20" s="307" t="s">
        <v>259</v>
      </c>
    </row>
    <row r="21" spans="2:14" s="307" customFormat="1" ht="15.6" x14ac:dyDescent="0.3">
      <c r="C21" s="13"/>
      <c r="D21" s="13"/>
      <c r="E21" s="13"/>
      <c r="F21" s="13"/>
      <c r="G21" s="13"/>
      <c r="H21" s="13"/>
      <c r="I21" s="13"/>
      <c r="J21" s="13"/>
      <c r="K21" s="13"/>
      <c r="L21" s="13"/>
      <c r="M21" s="13"/>
      <c r="N21" s="13"/>
    </row>
    <row r="22" spans="2:14" s="307" customFormat="1" ht="15.6" x14ac:dyDescent="0.3">
      <c r="B22" s="311"/>
      <c r="C22" s="307" t="s">
        <v>260</v>
      </c>
    </row>
    <row r="23" spans="2:14" s="307" customFormat="1" ht="15.6" x14ac:dyDescent="0.3">
      <c r="B23" s="311"/>
      <c r="C23" s="307" t="s">
        <v>261</v>
      </c>
    </row>
    <row r="24" spans="2:14" s="307" customFormat="1" ht="15.6" x14ac:dyDescent="0.3">
      <c r="B24" s="311"/>
    </row>
    <row r="25" spans="2:14" s="307" customFormat="1" ht="15.6" x14ac:dyDescent="0.3">
      <c r="B25" s="311"/>
    </row>
    <row r="26" spans="2:14" s="307" customFormat="1" ht="15.6" x14ac:dyDescent="0.3"/>
    <row r="27" spans="2:14" s="307" customFormat="1" ht="15.6" x14ac:dyDescent="0.3"/>
    <row r="28" spans="2:14" s="307" customFormat="1" ht="15.6" x14ac:dyDescent="0.3"/>
    <row r="29" spans="2:14" s="307" customFormat="1" ht="15.6" x14ac:dyDescent="0.3"/>
    <row r="30" spans="2:14" s="307" customFormat="1" ht="15.6" x14ac:dyDescent="0.3"/>
    <row r="31" spans="2:14" s="307" customFormat="1" ht="16.05" customHeight="1" x14ac:dyDescent="0.35">
      <c r="B31" s="307" t="s">
        <v>262</v>
      </c>
      <c r="C31" s="314"/>
      <c r="D31" s="314"/>
    </row>
    <row r="32" spans="2:14" s="307" customFormat="1" ht="16.05" customHeight="1" x14ac:dyDescent="0.35">
      <c r="B32" s="307" t="s">
        <v>263</v>
      </c>
      <c r="C32" s="314"/>
      <c r="D32" s="314"/>
    </row>
    <row r="33" spans="1:8" s="307" customFormat="1" ht="16.05" customHeight="1" x14ac:dyDescent="0.35">
      <c r="B33" s="307" t="s">
        <v>264</v>
      </c>
      <c r="C33" s="314"/>
      <c r="D33" s="314"/>
    </row>
    <row r="34" spans="1:8" s="307" customFormat="1" ht="16.05" customHeight="1" x14ac:dyDescent="0.35">
      <c r="B34" s="307" t="s">
        <v>265</v>
      </c>
      <c r="C34" s="314"/>
      <c r="D34" s="314"/>
    </row>
    <row r="35" spans="1:8" s="307" customFormat="1" ht="16.05" customHeight="1" x14ac:dyDescent="0.35">
      <c r="B35" s="307" t="s">
        <v>266</v>
      </c>
      <c r="C35" s="314"/>
      <c r="D35" s="314"/>
    </row>
    <row r="36" spans="1:8" s="307" customFormat="1" ht="16.05" customHeight="1" x14ac:dyDescent="0.35">
      <c r="B36" s="307" t="s">
        <v>267</v>
      </c>
      <c r="C36" s="314"/>
      <c r="D36" s="314"/>
    </row>
    <row r="37" spans="1:8" s="307" customFormat="1" ht="16.05" customHeight="1" x14ac:dyDescent="0.35">
      <c r="B37" s="307" t="s">
        <v>268</v>
      </c>
      <c r="C37" s="314"/>
      <c r="D37" s="314"/>
    </row>
    <row r="38" spans="1:8" s="307" customFormat="1" ht="16.05" customHeight="1" x14ac:dyDescent="0.35">
      <c r="B38" s="307" t="s">
        <v>269</v>
      </c>
      <c r="C38" s="314"/>
      <c r="D38" s="314"/>
    </row>
    <row r="39" spans="1:8" ht="16.05" customHeight="1" x14ac:dyDescent="0.35">
      <c r="B39" s="307" t="s">
        <v>270</v>
      </c>
      <c r="C39" s="314"/>
      <c r="D39" s="314"/>
      <c r="E39" s="307"/>
      <c r="F39" s="307"/>
      <c r="G39" s="307"/>
      <c r="H39" s="307"/>
    </row>
    <row r="40" spans="1:8" ht="16.05" customHeight="1" x14ac:dyDescent="0.35">
      <c r="B40" s="307" t="s">
        <v>271</v>
      </c>
      <c r="C40" s="314"/>
      <c r="D40" s="314"/>
      <c r="E40" s="307"/>
      <c r="F40" s="307"/>
      <c r="G40" s="307"/>
      <c r="H40" s="307"/>
    </row>
    <row r="41" spans="1:8" ht="16.05" customHeight="1" x14ac:dyDescent="0.35">
      <c r="B41" s="307" t="s">
        <v>272</v>
      </c>
      <c r="C41" s="314"/>
      <c r="D41" s="314"/>
      <c r="E41" s="307"/>
      <c r="F41" s="307"/>
      <c r="G41" s="307"/>
      <c r="H41" s="307"/>
    </row>
    <row r="42" spans="1:8" ht="16.05" customHeight="1" x14ac:dyDescent="0.35">
      <c r="C42" s="314"/>
      <c r="D42" s="314"/>
      <c r="E42" s="307"/>
      <c r="F42" s="307"/>
      <c r="G42" s="307"/>
      <c r="H42" s="307"/>
    </row>
    <row r="43" spans="1:8" ht="16.05" customHeight="1" x14ac:dyDescent="0.35">
      <c r="B43" s="307" t="s">
        <v>273</v>
      </c>
      <c r="C43" s="314"/>
      <c r="D43" s="314"/>
      <c r="E43" s="307"/>
      <c r="F43" s="307"/>
      <c r="G43" s="307"/>
      <c r="H43" s="307"/>
    </row>
    <row r="44" spans="1:8" ht="16.05" customHeight="1" x14ac:dyDescent="0.35">
      <c r="B44" s="307" t="s">
        <v>274</v>
      </c>
      <c r="C44" s="314"/>
      <c r="D44" s="314"/>
      <c r="E44" s="307"/>
      <c r="F44" s="307"/>
      <c r="G44" s="307"/>
      <c r="H44" s="307"/>
    </row>
    <row r="45" spans="1:8" ht="15.6" x14ac:dyDescent="0.3">
      <c r="B45" s="307" t="s">
        <v>275</v>
      </c>
    </row>
    <row r="47" spans="1:8" ht="15" x14ac:dyDescent="0.25">
      <c r="A47" s="19" t="s">
        <v>276</v>
      </c>
      <c r="D47" s="19">
        <v>30</v>
      </c>
      <c r="E47" s="19" t="s">
        <v>277</v>
      </c>
      <c r="F47" s="19"/>
      <c r="G47" s="19"/>
      <c r="H47" s="19"/>
    </row>
    <row r="48" spans="1:8" ht="15" x14ac:dyDescent="0.25">
      <c r="A48" s="19" t="s">
        <v>278</v>
      </c>
      <c r="D48" s="19">
        <v>29</v>
      </c>
      <c r="E48" s="19" t="s">
        <v>279</v>
      </c>
      <c r="F48" s="19"/>
      <c r="G48" s="19"/>
      <c r="H48" s="19"/>
    </row>
    <row r="49" spans="1:8" ht="15" x14ac:dyDescent="0.25">
      <c r="A49" s="19" t="s">
        <v>280</v>
      </c>
      <c r="D49" s="315">
        <f>IF(D48=0,1-10^(LOG10((1-0.95)/2)/D47),IF(D47=D48,1,BETAINV((1+0.95)/2,D48+1,D47-D48)))</f>
        <v>0.99915642907336955</v>
      </c>
      <c r="E49" s="316" t="s">
        <v>281</v>
      </c>
      <c r="F49" s="19"/>
      <c r="G49" s="19"/>
      <c r="H49" s="19"/>
    </row>
    <row r="50" spans="1:8" ht="15" x14ac:dyDescent="0.25">
      <c r="A50" s="19" t="s">
        <v>282</v>
      </c>
      <c r="D50" s="315">
        <f>D48/D47</f>
        <v>0.96666666666666667</v>
      </c>
      <c r="E50" s="19" t="s">
        <v>283</v>
      </c>
      <c r="F50" s="19"/>
      <c r="G50" s="19"/>
      <c r="H50" s="19"/>
    </row>
    <row r="51" spans="1:8" ht="15" x14ac:dyDescent="0.25">
      <c r="A51" s="19" t="s">
        <v>284</v>
      </c>
      <c r="D51" s="315">
        <f>IF(D47=D48,10^(LOG10((1-0.95)/2)/D47),IF(D48=0,0,1-BETAINV((1+0.95)/2,D47+1-D48,D48)))</f>
        <v>0.82783054436658732</v>
      </c>
      <c r="E51" s="19"/>
      <c r="F51" s="19"/>
      <c r="G51" s="19"/>
      <c r="H51" s="19"/>
    </row>
    <row r="52" spans="1:8" ht="15" x14ac:dyDescent="0.25">
      <c r="B52" s="19"/>
      <c r="C52" s="19"/>
      <c r="D52" s="19"/>
      <c r="E52" s="19"/>
      <c r="F52" s="19"/>
      <c r="G52" s="19"/>
      <c r="H52" s="19"/>
    </row>
  </sheetData>
  <hyperlinks>
    <hyperlink ref="P1" location="Menu!A1" display="Return to menu" xr:uid="{00000000-0004-0000-0800-000000000000}"/>
  </hyperlinks>
  <printOptions gridLinesSet="0"/>
  <pageMargins left="0.75" right="0.75" top="1" bottom="1" header="0.5" footer="0.5"/>
  <pageSetup orientation="portrait" r:id="rId1"/>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C1:O127"/>
  <sheetViews>
    <sheetView showGridLines="0" zoomScale="75" workbookViewId="0">
      <selection activeCell="O1" sqref="O1"/>
    </sheetView>
  </sheetViews>
  <sheetFormatPr defaultColWidth="8.88671875" defaultRowHeight="13.2" x14ac:dyDescent="0.25"/>
  <cols>
    <col min="1" max="2" width="8.88671875" style="13"/>
    <col min="3" max="3" width="11.44140625" style="143" customWidth="1"/>
    <col min="4" max="4" width="14.6640625" style="159" customWidth="1"/>
    <col min="5" max="6" width="14.6640625" style="13" customWidth="1"/>
    <col min="7" max="7" width="1.44140625" style="13" customWidth="1"/>
    <col min="8" max="9" width="14.6640625" style="13" customWidth="1"/>
    <col min="10" max="10" width="1.44140625" style="13" customWidth="1"/>
    <col min="11" max="12" width="14.6640625" style="13" customWidth="1"/>
    <col min="13" max="13" width="12.21875" style="13" customWidth="1"/>
    <col min="14" max="14" width="12.109375" style="13" customWidth="1"/>
    <col min="15" max="15" width="20.6640625" style="13" bestFit="1" customWidth="1"/>
    <col min="16" max="258" width="8.88671875" style="13"/>
    <col min="259" max="259" width="11.44140625" style="13" customWidth="1"/>
    <col min="260" max="262" width="14.6640625" style="13" customWidth="1"/>
    <col min="263" max="263" width="1.44140625" style="13" customWidth="1"/>
    <col min="264" max="265" width="14.6640625" style="13" customWidth="1"/>
    <col min="266" max="266" width="1.44140625" style="13" customWidth="1"/>
    <col min="267" max="268" width="14.6640625" style="13" customWidth="1"/>
    <col min="269" max="269" width="12.21875" style="13" customWidth="1"/>
    <col min="270" max="270" width="12.109375" style="13" customWidth="1"/>
    <col min="271" max="514" width="8.88671875" style="13"/>
    <col min="515" max="515" width="11.44140625" style="13" customWidth="1"/>
    <col min="516" max="518" width="14.6640625" style="13" customWidth="1"/>
    <col min="519" max="519" width="1.44140625" style="13" customWidth="1"/>
    <col min="520" max="521" width="14.6640625" style="13" customWidth="1"/>
    <col min="522" max="522" width="1.44140625" style="13" customWidth="1"/>
    <col min="523" max="524" width="14.6640625" style="13" customWidth="1"/>
    <col min="525" max="525" width="12.21875" style="13" customWidth="1"/>
    <col min="526" max="526" width="12.109375" style="13" customWidth="1"/>
    <col min="527" max="770" width="8.88671875" style="13"/>
    <col min="771" max="771" width="11.44140625" style="13" customWidth="1"/>
    <col min="772" max="774" width="14.6640625" style="13" customWidth="1"/>
    <col min="775" max="775" width="1.44140625" style="13" customWidth="1"/>
    <col min="776" max="777" width="14.6640625" style="13" customWidth="1"/>
    <col min="778" max="778" width="1.44140625" style="13" customWidth="1"/>
    <col min="779" max="780" width="14.6640625" style="13" customWidth="1"/>
    <col min="781" max="781" width="12.21875" style="13" customWidth="1"/>
    <col min="782" max="782" width="12.109375" style="13" customWidth="1"/>
    <col min="783" max="1026" width="8.88671875" style="13"/>
    <col min="1027" max="1027" width="11.44140625" style="13" customWidth="1"/>
    <col min="1028" max="1030" width="14.6640625" style="13" customWidth="1"/>
    <col min="1031" max="1031" width="1.44140625" style="13" customWidth="1"/>
    <col min="1032" max="1033" width="14.6640625" style="13" customWidth="1"/>
    <col min="1034" max="1034" width="1.44140625" style="13" customWidth="1"/>
    <col min="1035" max="1036" width="14.6640625" style="13" customWidth="1"/>
    <col min="1037" max="1037" width="12.21875" style="13" customWidth="1"/>
    <col min="1038" max="1038" width="12.109375" style="13" customWidth="1"/>
    <col min="1039" max="1282" width="8.88671875" style="13"/>
    <col min="1283" max="1283" width="11.44140625" style="13" customWidth="1"/>
    <col min="1284" max="1286" width="14.6640625" style="13" customWidth="1"/>
    <col min="1287" max="1287" width="1.44140625" style="13" customWidth="1"/>
    <col min="1288" max="1289" width="14.6640625" style="13" customWidth="1"/>
    <col min="1290" max="1290" width="1.44140625" style="13" customWidth="1"/>
    <col min="1291" max="1292" width="14.6640625" style="13" customWidth="1"/>
    <col min="1293" max="1293" width="12.21875" style="13" customWidth="1"/>
    <col min="1294" max="1294" width="12.109375" style="13" customWidth="1"/>
    <col min="1295" max="1538" width="8.88671875" style="13"/>
    <col min="1539" max="1539" width="11.44140625" style="13" customWidth="1"/>
    <col min="1540" max="1542" width="14.6640625" style="13" customWidth="1"/>
    <col min="1543" max="1543" width="1.44140625" style="13" customWidth="1"/>
    <col min="1544" max="1545" width="14.6640625" style="13" customWidth="1"/>
    <col min="1546" max="1546" width="1.44140625" style="13" customWidth="1"/>
    <col min="1547" max="1548" width="14.6640625" style="13" customWidth="1"/>
    <col min="1549" max="1549" width="12.21875" style="13" customWidth="1"/>
    <col min="1550" max="1550" width="12.109375" style="13" customWidth="1"/>
    <col min="1551" max="1794" width="8.88671875" style="13"/>
    <col min="1795" max="1795" width="11.44140625" style="13" customWidth="1"/>
    <col min="1796" max="1798" width="14.6640625" style="13" customWidth="1"/>
    <col min="1799" max="1799" width="1.44140625" style="13" customWidth="1"/>
    <col min="1800" max="1801" width="14.6640625" style="13" customWidth="1"/>
    <col min="1802" max="1802" width="1.44140625" style="13" customWidth="1"/>
    <col min="1803" max="1804" width="14.6640625" style="13" customWidth="1"/>
    <col min="1805" max="1805" width="12.21875" style="13" customWidth="1"/>
    <col min="1806" max="1806" width="12.109375" style="13" customWidth="1"/>
    <col min="1807" max="2050" width="8.88671875" style="13"/>
    <col min="2051" max="2051" width="11.44140625" style="13" customWidth="1"/>
    <col min="2052" max="2054" width="14.6640625" style="13" customWidth="1"/>
    <col min="2055" max="2055" width="1.44140625" style="13" customWidth="1"/>
    <col min="2056" max="2057" width="14.6640625" style="13" customWidth="1"/>
    <col min="2058" max="2058" width="1.44140625" style="13" customWidth="1"/>
    <col min="2059" max="2060" width="14.6640625" style="13" customWidth="1"/>
    <col min="2061" max="2061" width="12.21875" style="13" customWidth="1"/>
    <col min="2062" max="2062" width="12.109375" style="13" customWidth="1"/>
    <col min="2063" max="2306" width="8.88671875" style="13"/>
    <col min="2307" max="2307" width="11.44140625" style="13" customWidth="1"/>
    <col min="2308" max="2310" width="14.6640625" style="13" customWidth="1"/>
    <col min="2311" max="2311" width="1.44140625" style="13" customWidth="1"/>
    <col min="2312" max="2313" width="14.6640625" style="13" customWidth="1"/>
    <col min="2314" max="2314" width="1.44140625" style="13" customWidth="1"/>
    <col min="2315" max="2316" width="14.6640625" style="13" customWidth="1"/>
    <col min="2317" max="2317" width="12.21875" style="13" customWidth="1"/>
    <col min="2318" max="2318" width="12.109375" style="13" customWidth="1"/>
    <col min="2319" max="2562" width="8.88671875" style="13"/>
    <col min="2563" max="2563" width="11.44140625" style="13" customWidth="1"/>
    <col min="2564" max="2566" width="14.6640625" style="13" customWidth="1"/>
    <col min="2567" max="2567" width="1.44140625" style="13" customWidth="1"/>
    <col min="2568" max="2569" width="14.6640625" style="13" customWidth="1"/>
    <col min="2570" max="2570" width="1.44140625" style="13" customWidth="1"/>
    <col min="2571" max="2572" width="14.6640625" style="13" customWidth="1"/>
    <col min="2573" max="2573" width="12.21875" style="13" customWidth="1"/>
    <col min="2574" max="2574" width="12.109375" style="13" customWidth="1"/>
    <col min="2575" max="2818" width="8.88671875" style="13"/>
    <col min="2819" max="2819" width="11.44140625" style="13" customWidth="1"/>
    <col min="2820" max="2822" width="14.6640625" style="13" customWidth="1"/>
    <col min="2823" max="2823" width="1.44140625" style="13" customWidth="1"/>
    <col min="2824" max="2825" width="14.6640625" style="13" customWidth="1"/>
    <col min="2826" max="2826" width="1.44140625" style="13" customWidth="1"/>
    <col min="2827" max="2828" width="14.6640625" style="13" customWidth="1"/>
    <col min="2829" max="2829" width="12.21875" style="13" customWidth="1"/>
    <col min="2830" max="2830" width="12.109375" style="13" customWidth="1"/>
    <col min="2831" max="3074" width="8.88671875" style="13"/>
    <col min="3075" max="3075" width="11.44140625" style="13" customWidth="1"/>
    <col min="3076" max="3078" width="14.6640625" style="13" customWidth="1"/>
    <col min="3079" max="3079" width="1.44140625" style="13" customWidth="1"/>
    <col min="3080" max="3081" width="14.6640625" style="13" customWidth="1"/>
    <col min="3082" max="3082" width="1.44140625" style="13" customWidth="1"/>
    <col min="3083" max="3084" width="14.6640625" style="13" customWidth="1"/>
    <col min="3085" max="3085" width="12.21875" style="13" customWidth="1"/>
    <col min="3086" max="3086" width="12.109375" style="13" customWidth="1"/>
    <col min="3087" max="3330" width="8.88671875" style="13"/>
    <col min="3331" max="3331" width="11.44140625" style="13" customWidth="1"/>
    <col min="3332" max="3334" width="14.6640625" style="13" customWidth="1"/>
    <col min="3335" max="3335" width="1.44140625" style="13" customWidth="1"/>
    <col min="3336" max="3337" width="14.6640625" style="13" customWidth="1"/>
    <col min="3338" max="3338" width="1.44140625" style="13" customWidth="1"/>
    <col min="3339" max="3340" width="14.6640625" style="13" customWidth="1"/>
    <col min="3341" max="3341" width="12.21875" style="13" customWidth="1"/>
    <col min="3342" max="3342" width="12.109375" style="13" customWidth="1"/>
    <col min="3343" max="3586" width="8.88671875" style="13"/>
    <col min="3587" max="3587" width="11.44140625" style="13" customWidth="1"/>
    <col min="3588" max="3590" width="14.6640625" style="13" customWidth="1"/>
    <col min="3591" max="3591" width="1.44140625" style="13" customWidth="1"/>
    <col min="3592" max="3593" width="14.6640625" style="13" customWidth="1"/>
    <col min="3594" max="3594" width="1.44140625" style="13" customWidth="1"/>
    <col min="3595" max="3596" width="14.6640625" style="13" customWidth="1"/>
    <col min="3597" max="3597" width="12.21875" style="13" customWidth="1"/>
    <col min="3598" max="3598" width="12.109375" style="13" customWidth="1"/>
    <col min="3599" max="3842" width="8.88671875" style="13"/>
    <col min="3843" max="3843" width="11.44140625" style="13" customWidth="1"/>
    <col min="3844" max="3846" width="14.6640625" style="13" customWidth="1"/>
    <col min="3847" max="3847" width="1.44140625" style="13" customWidth="1"/>
    <col min="3848" max="3849" width="14.6640625" style="13" customWidth="1"/>
    <col min="3850" max="3850" width="1.44140625" style="13" customWidth="1"/>
    <col min="3851" max="3852" width="14.6640625" style="13" customWidth="1"/>
    <col min="3853" max="3853" width="12.21875" style="13" customWidth="1"/>
    <col min="3854" max="3854" width="12.109375" style="13" customWidth="1"/>
    <col min="3855" max="4098" width="8.88671875" style="13"/>
    <col min="4099" max="4099" width="11.44140625" style="13" customWidth="1"/>
    <col min="4100" max="4102" width="14.6640625" style="13" customWidth="1"/>
    <col min="4103" max="4103" width="1.44140625" style="13" customWidth="1"/>
    <col min="4104" max="4105" width="14.6640625" style="13" customWidth="1"/>
    <col min="4106" max="4106" width="1.44140625" style="13" customWidth="1"/>
    <col min="4107" max="4108" width="14.6640625" style="13" customWidth="1"/>
    <col min="4109" max="4109" width="12.21875" style="13" customWidth="1"/>
    <col min="4110" max="4110" width="12.109375" style="13" customWidth="1"/>
    <col min="4111" max="4354" width="8.88671875" style="13"/>
    <col min="4355" max="4355" width="11.44140625" style="13" customWidth="1"/>
    <col min="4356" max="4358" width="14.6640625" style="13" customWidth="1"/>
    <col min="4359" max="4359" width="1.44140625" style="13" customWidth="1"/>
    <col min="4360" max="4361" width="14.6640625" style="13" customWidth="1"/>
    <col min="4362" max="4362" width="1.44140625" style="13" customWidth="1"/>
    <col min="4363" max="4364" width="14.6640625" style="13" customWidth="1"/>
    <col min="4365" max="4365" width="12.21875" style="13" customWidth="1"/>
    <col min="4366" max="4366" width="12.109375" style="13" customWidth="1"/>
    <col min="4367" max="4610" width="8.88671875" style="13"/>
    <col min="4611" max="4611" width="11.44140625" style="13" customWidth="1"/>
    <col min="4612" max="4614" width="14.6640625" style="13" customWidth="1"/>
    <col min="4615" max="4615" width="1.44140625" style="13" customWidth="1"/>
    <col min="4616" max="4617" width="14.6640625" style="13" customWidth="1"/>
    <col min="4618" max="4618" width="1.44140625" style="13" customWidth="1"/>
    <col min="4619" max="4620" width="14.6640625" style="13" customWidth="1"/>
    <col min="4621" max="4621" width="12.21875" style="13" customWidth="1"/>
    <col min="4622" max="4622" width="12.109375" style="13" customWidth="1"/>
    <col min="4623" max="4866" width="8.88671875" style="13"/>
    <col min="4867" max="4867" width="11.44140625" style="13" customWidth="1"/>
    <col min="4868" max="4870" width="14.6640625" style="13" customWidth="1"/>
    <col min="4871" max="4871" width="1.44140625" style="13" customWidth="1"/>
    <col min="4872" max="4873" width="14.6640625" style="13" customWidth="1"/>
    <col min="4874" max="4874" width="1.44140625" style="13" customWidth="1"/>
    <col min="4875" max="4876" width="14.6640625" style="13" customWidth="1"/>
    <col min="4877" max="4877" width="12.21875" style="13" customWidth="1"/>
    <col min="4878" max="4878" width="12.109375" style="13" customWidth="1"/>
    <col min="4879" max="5122" width="8.88671875" style="13"/>
    <col min="5123" max="5123" width="11.44140625" style="13" customWidth="1"/>
    <col min="5124" max="5126" width="14.6640625" style="13" customWidth="1"/>
    <col min="5127" max="5127" width="1.44140625" style="13" customWidth="1"/>
    <col min="5128" max="5129" width="14.6640625" style="13" customWidth="1"/>
    <col min="5130" max="5130" width="1.44140625" style="13" customWidth="1"/>
    <col min="5131" max="5132" width="14.6640625" style="13" customWidth="1"/>
    <col min="5133" max="5133" width="12.21875" style="13" customWidth="1"/>
    <col min="5134" max="5134" width="12.109375" style="13" customWidth="1"/>
    <col min="5135" max="5378" width="8.88671875" style="13"/>
    <col min="5379" max="5379" width="11.44140625" style="13" customWidth="1"/>
    <col min="5380" max="5382" width="14.6640625" style="13" customWidth="1"/>
    <col min="5383" max="5383" width="1.44140625" style="13" customWidth="1"/>
    <col min="5384" max="5385" width="14.6640625" style="13" customWidth="1"/>
    <col min="5386" max="5386" width="1.44140625" style="13" customWidth="1"/>
    <col min="5387" max="5388" width="14.6640625" style="13" customWidth="1"/>
    <col min="5389" max="5389" width="12.21875" style="13" customWidth="1"/>
    <col min="5390" max="5390" width="12.109375" style="13" customWidth="1"/>
    <col min="5391" max="5634" width="8.88671875" style="13"/>
    <col min="5635" max="5635" width="11.44140625" style="13" customWidth="1"/>
    <col min="5636" max="5638" width="14.6640625" style="13" customWidth="1"/>
    <col min="5639" max="5639" width="1.44140625" style="13" customWidth="1"/>
    <col min="5640" max="5641" width="14.6640625" style="13" customWidth="1"/>
    <col min="5642" max="5642" width="1.44140625" style="13" customWidth="1"/>
    <col min="5643" max="5644" width="14.6640625" style="13" customWidth="1"/>
    <col min="5645" max="5645" width="12.21875" style="13" customWidth="1"/>
    <col min="5646" max="5646" width="12.109375" style="13" customWidth="1"/>
    <col min="5647" max="5890" width="8.88671875" style="13"/>
    <col min="5891" max="5891" width="11.44140625" style="13" customWidth="1"/>
    <col min="5892" max="5894" width="14.6640625" style="13" customWidth="1"/>
    <col min="5895" max="5895" width="1.44140625" style="13" customWidth="1"/>
    <col min="5896" max="5897" width="14.6640625" style="13" customWidth="1"/>
    <col min="5898" max="5898" width="1.44140625" style="13" customWidth="1"/>
    <col min="5899" max="5900" width="14.6640625" style="13" customWidth="1"/>
    <col min="5901" max="5901" width="12.21875" style="13" customWidth="1"/>
    <col min="5902" max="5902" width="12.109375" style="13" customWidth="1"/>
    <col min="5903" max="6146" width="8.88671875" style="13"/>
    <col min="6147" max="6147" width="11.44140625" style="13" customWidth="1"/>
    <col min="6148" max="6150" width="14.6640625" style="13" customWidth="1"/>
    <col min="6151" max="6151" width="1.44140625" style="13" customWidth="1"/>
    <col min="6152" max="6153" width="14.6640625" style="13" customWidth="1"/>
    <col min="6154" max="6154" width="1.44140625" style="13" customWidth="1"/>
    <col min="6155" max="6156" width="14.6640625" style="13" customWidth="1"/>
    <col min="6157" max="6157" width="12.21875" style="13" customWidth="1"/>
    <col min="6158" max="6158" width="12.109375" style="13" customWidth="1"/>
    <col min="6159" max="6402" width="8.88671875" style="13"/>
    <col min="6403" max="6403" width="11.44140625" style="13" customWidth="1"/>
    <col min="6404" max="6406" width="14.6640625" style="13" customWidth="1"/>
    <col min="6407" max="6407" width="1.44140625" style="13" customWidth="1"/>
    <col min="6408" max="6409" width="14.6640625" style="13" customWidth="1"/>
    <col min="6410" max="6410" width="1.44140625" style="13" customWidth="1"/>
    <col min="6411" max="6412" width="14.6640625" style="13" customWidth="1"/>
    <col min="6413" max="6413" width="12.21875" style="13" customWidth="1"/>
    <col min="6414" max="6414" width="12.109375" style="13" customWidth="1"/>
    <col min="6415" max="6658" width="8.88671875" style="13"/>
    <col min="6659" max="6659" width="11.44140625" style="13" customWidth="1"/>
    <col min="6660" max="6662" width="14.6640625" style="13" customWidth="1"/>
    <col min="6663" max="6663" width="1.44140625" style="13" customWidth="1"/>
    <col min="6664" max="6665" width="14.6640625" style="13" customWidth="1"/>
    <col min="6666" max="6666" width="1.44140625" style="13" customWidth="1"/>
    <col min="6667" max="6668" width="14.6640625" style="13" customWidth="1"/>
    <col min="6669" max="6669" width="12.21875" style="13" customWidth="1"/>
    <col min="6670" max="6670" width="12.109375" style="13" customWidth="1"/>
    <col min="6671" max="6914" width="8.88671875" style="13"/>
    <col min="6915" max="6915" width="11.44140625" style="13" customWidth="1"/>
    <col min="6916" max="6918" width="14.6640625" style="13" customWidth="1"/>
    <col min="6919" max="6919" width="1.44140625" style="13" customWidth="1"/>
    <col min="6920" max="6921" width="14.6640625" style="13" customWidth="1"/>
    <col min="6922" max="6922" width="1.44140625" style="13" customWidth="1"/>
    <col min="6923" max="6924" width="14.6640625" style="13" customWidth="1"/>
    <col min="6925" max="6925" width="12.21875" style="13" customWidth="1"/>
    <col min="6926" max="6926" width="12.109375" style="13" customWidth="1"/>
    <col min="6927" max="7170" width="8.88671875" style="13"/>
    <col min="7171" max="7171" width="11.44140625" style="13" customWidth="1"/>
    <col min="7172" max="7174" width="14.6640625" style="13" customWidth="1"/>
    <col min="7175" max="7175" width="1.44140625" style="13" customWidth="1"/>
    <col min="7176" max="7177" width="14.6640625" style="13" customWidth="1"/>
    <col min="7178" max="7178" width="1.44140625" style="13" customWidth="1"/>
    <col min="7179" max="7180" width="14.6640625" style="13" customWidth="1"/>
    <col min="7181" max="7181" width="12.21875" style="13" customWidth="1"/>
    <col min="7182" max="7182" width="12.109375" style="13" customWidth="1"/>
    <col min="7183" max="7426" width="8.88671875" style="13"/>
    <col min="7427" max="7427" width="11.44140625" style="13" customWidth="1"/>
    <col min="7428" max="7430" width="14.6640625" style="13" customWidth="1"/>
    <col min="7431" max="7431" width="1.44140625" style="13" customWidth="1"/>
    <col min="7432" max="7433" width="14.6640625" style="13" customWidth="1"/>
    <col min="7434" max="7434" width="1.44140625" style="13" customWidth="1"/>
    <col min="7435" max="7436" width="14.6640625" style="13" customWidth="1"/>
    <col min="7437" max="7437" width="12.21875" style="13" customWidth="1"/>
    <col min="7438" max="7438" width="12.109375" style="13" customWidth="1"/>
    <col min="7439" max="7682" width="8.88671875" style="13"/>
    <col min="7683" max="7683" width="11.44140625" style="13" customWidth="1"/>
    <col min="7684" max="7686" width="14.6640625" style="13" customWidth="1"/>
    <col min="7687" max="7687" width="1.44140625" style="13" customWidth="1"/>
    <col min="7688" max="7689" width="14.6640625" style="13" customWidth="1"/>
    <col min="7690" max="7690" width="1.44140625" style="13" customWidth="1"/>
    <col min="7691" max="7692" width="14.6640625" style="13" customWidth="1"/>
    <col min="7693" max="7693" width="12.21875" style="13" customWidth="1"/>
    <col min="7694" max="7694" width="12.109375" style="13" customWidth="1"/>
    <col min="7695" max="7938" width="8.88671875" style="13"/>
    <col min="7939" max="7939" width="11.44140625" style="13" customWidth="1"/>
    <col min="7940" max="7942" width="14.6640625" style="13" customWidth="1"/>
    <col min="7943" max="7943" width="1.44140625" style="13" customWidth="1"/>
    <col min="7944" max="7945" width="14.6640625" style="13" customWidth="1"/>
    <col min="7946" max="7946" width="1.44140625" style="13" customWidth="1"/>
    <col min="7947" max="7948" width="14.6640625" style="13" customWidth="1"/>
    <col min="7949" max="7949" width="12.21875" style="13" customWidth="1"/>
    <col min="7950" max="7950" width="12.109375" style="13" customWidth="1"/>
    <col min="7951" max="8194" width="8.88671875" style="13"/>
    <col min="8195" max="8195" width="11.44140625" style="13" customWidth="1"/>
    <col min="8196" max="8198" width="14.6640625" style="13" customWidth="1"/>
    <col min="8199" max="8199" width="1.44140625" style="13" customWidth="1"/>
    <col min="8200" max="8201" width="14.6640625" style="13" customWidth="1"/>
    <col min="8202" max="8202" width="1.44140625" style="13" customWidth="1"/>
    <col min="8203" max="8204" width="14.6640625" style="13" customWidth="1"/>
    <col min="8205" max="8205" width="12.21875" style="13" customWidth="1"/>
    <col min="8206" max="8206" width="12.109375" style="13" customWidth="1"/>
    <col min="8207" max="8450" width="8.88671875" style="13"/>
    <col min="8451" max="8451" width="11.44140625" style="13" customWidth="1"/>
    <col min="8452" max="8454" width="14.6640625" style="13" customWidth="1"/>
    <col min="8455" max="8455" width="1.44140625" style="13" customWidth="1"/>
    <col min="8456" max="8457" width="14.6640625" style="13" customWidth="1"/>
    <col min="8458" max="8458" width="1.44140625" style="13" customWidth="1"/>
    <col min="8459" max="8460" width="14.6640625" style="13" customWidth="1"/>
    <col min="8461" max="8461" width="12.21875" style="13" customWidth="1"/>
    <col min="8462" max="8462" width="12.109375" style="13" customWidth="1"/>
    <col min="8463" max="8706" width="8.88671875" style="13"/>
    <col min="8707" max="8707" width="11.44140625" style="13" customWidth="1"/>
    <col min="8708" max="8710" width="14.6640625" style="13" customWidth="1"/>
    <col min="8711" max="8711" width="1.44140625" style="13" customWidth="1"/>
    <col min="8712" max="8713" width="14.6640625" style="13" customWidth="1"/>
    <col min="8714" max="8714" width="1.44140625" style="13" customWidth="1"/>
    <col min="8715" max="8716" width="14.6640625" style="13" customWidth="1"/>
    <col min="8717" max="8717" width="12.21875" style="13" customWidth="1"/>
    <col min="8718" max="8718" width="12.109375" style="13" customWidth="1"/>
    <col min="8719" max="8962" width="8.88671875" style="13"/>
    <col min="8963" max="8963" width="11.44140625" style="13" customWidth="1"/>
    <col min="8964" max="8966" width="14.6640625" style="13" customWidth="1"/>
    <col min="8967" max="8967" width="1.44140625" style="13" customWidth="1"/>
    <col min="8968" max="8969" width="14.6640625" style="13" customWidth="1"/>
    <col min="8970" max="8970" width="1.44140625" style="13" customWidth="1"/>
    <col min="8971" max="8972" width="14.6640625" style="13" customWidth="1"/>
    <col min="8973" max="8973" width="12.21875" style="13" customWidth="1"/>
    <col min="8974" max="8974" width="12.109375" style="13" customWidth="1"/>
    <col min="8975" max="9218" width="8.88671875" style="13"/>
    <col min="9219" max="9219" width="11.44140625" style="13" customWidth="1"/>
    <col min="9220" max="9222" width="14.6640625" style="13" customWidth="1"/>
    <col min="9223" max="9223" width="1.44140625" style="13" customWidth="1"/>
    <col min="9224" max="9225" width="14.6640625" style="13" customWidth="1"/>
    <col min="9226" max="9226" width="1.44140625" style="13" customWidth="1"/>
    <col min="9227" max="9228" width="14.6640625" style="13" customWidth="1"/>
    <col min="9229" max="9229" width="12.21875" style="13" customWidth="1"/>
    <col min="9230" max="9230" width="12.109375" style="13" customWidth="1"/>
    <col min="9231" max="9474" width="8.88671875" style="13"/>
    <col min="9475" max="9475" width="11.44140625" style="13" customWidth="1"/>
    <col min="9476" max="9478" width="14.6640625" style="13" customWidth="1"/>
    <col min="9479" max="9479" width="1.44140625" style="13" customWidth="1"/>
    <col min="9480" max="9481" width="14.6640625" style="13" customWidth="1"/>
    <col min="9482" max="9482" width="1.44140625" style="13" customWidth="1"/>
    <col min="9483" max="9484" width="14.6640625" style="13" customWidth="1"/>
    <col min="9485" max="9485" width="12.21875" style="13" customWidth="1"/>
    <col min="9486" max="9486" width="12.109375" style="13" customWidth="1"/>
    <col min="9487" max="9730" width="8.88671875" style="13"/>
    <col min="9731" max="9731" width="11.44140625" style="13" customWidth="1"/>
    <col min="9732" max="9734" width="14.6640625" style="13" customWidth="1"/>
    <col min="9735" max="9735" width="1.44140625" style="13" customWidth="1"/>
    <col min="9736" max="9737" width="14.6640625" style="13" customWidth="1"/>
    <col min="9738" max="9738" width="1.44140625" style="13" customWidth="1"/>
    <col min="9739" max="9740" width="14.6640625" style="13" customWidth="1"/>
    <col min="9741" max="9741" width="12.21875" style="13" customWidth="1"/>
    <col min="9742" max="9742" width="12.109375" style="13" customWidth="1"/>
    <col min="9743" max="9986" width="8.88671875" style="13"/>
    <col min="9987" max="9987" width="11.44140625" style="13" customWidth="1"/>
    <col min="9988" max="9990" width="14.6640625" style="13" customWidth="1"/>
    <col min="9991" max="9991" width="1.44140625" style="13" customWidth="1"/>
    <col min="9992" max="9993" width="14.6640625" style="13" customWidth="1"/>
    <col min="9994" max="9994" width="1.44140625" style="13" customWidth="1"/>
    <col min="9995" max="9996" width="14.6640625" style="13" customWidth="1"/>
    <col min="9997" max="9997" width="12.21875" style="13" customWidth="1"/>
    <col min="9998" max="9998" width="12.109375" style="13" customWidth="1"/>
    <col min="9999" max="10242" width="8.88671875" style="13"/>
    <col min="10243" max="10243" width="11.44140625" style="13" customWidth="1"/>
    <col min="10244" max="10246" width="14.6640625" style="13" customWidth="1"/>
    <col min="10247" max="10247" width="1.44140625" style="13" customWidth="1"/>
    <col min="10248" max="10249" width="14.6640625" style="13" customWidth="1"/>
    <col min="10250" max="10250" width="1.44140625" style="13" customWidth="1"/>
    <col min="10251" max="10252" width="14.6640625" style="13" customWidth="1"/>
    <col min="10253" max="10253" width="12.21875" style="13" customWidth="1"/>
    <col min="10254" max="10254" width="12.109375" style="13" customWidth="1"/>
    <col min="10255" max="10498" width="8.88671875" style="13"/>
    <col min="10499" max="10499" width="11.44140625" style="13" customWidth="1"/>
    <col min="10500" max="10502" width="14.6640625" style="13" customWidth="1"/>
    <col min="10503" max="10503" width="1.44140625" style="13" customWidth="1"/>
    <col min="10504" max="10505" width="14.6640625" style="13" customWidth="1"/>
    <col min="10506" max="10506" width="1.44140625" style="13" customWidth="1"/>
    <col min="10507" max="10508" width="14.6640625" style="13" customWidth="1"/>
    <col min="10509" max="10509" width="12.21875" style="13" customWidth="1"/>
    <col min="10510" max="10510" width="12.109375" style="13" customWidth="1"/>
    <col min="10511" max="10754" width="8.88671875" style="13"/>
    <col min="10755" max="10755" width="11.44140625" style="13" customWidth="1"/>
    <col min="10756" max="10758" width="14.6640625" style="13" customWidth="1"/>
    <col min="10759" max="10759" width="1.44140625" style="13" customWidth="1"/>
    <col min="10760" max="10761" width="14.6640625" style="13" customWidth="1"/>
    <col min="10762" max="10762" width="1.44140625" style="13" customWidth="1"/>
    <col min="10763" max="10764" width="14.6640625" style="13" customWidth="1"/>
    <col min="10765" max="10765" width="12.21875" style="13" customWidth="1"/>
    <col min="10766" max="10766" width="12.109375" style="13" customWidth="1"/>
    <col min="10767" max="11010" width="8.88671875" style="13"/>
    <col min="11011" max="11011" width="11.44140625" style="13" customWidth="1"/>
    <col min="11012" max="11014" width="14.6640625" style="13" customWidth="1"/>
    <col min="11015" max="11015" width="1.44140625" style="13" customWidth="1"/>
    <col min="11016" max="11017" width="14.6640625" style="13" customWidth="1"/>
    <col min="11018" max="11018" width="1.44140625" style="13" customWidth="1"/>
    <col min="11019" max="11020" width="14.6640625" style="13" customWidth="1"/>
    <col min="11021" max="11021" width="12.21875" style="13" customWidth="1"/>
    <col min="11022" max="11022" width="12.109375" style="13" customWidth="1"/>
    <col min="11023" max="11266" width="8.88671875" style="13"/>
    <col min="11267" max="11267" width="11.44140625" style="13" customWidth="1"/>
    <col min="11268" max="11270" width="14.6640625" style="13" customWidth="1"/>
    <col min="11271" max="11271" width="1.44140625" style="13" customWidth="1"/>
    <col min="11272" max="11273" width="14.6640625" style="13" customWidth="1"/>
    <col min="11274" max="11274" width="1.44140625" style="13" customWidth="1"/>
    <col min="11275" max="11276" width="14.6640625" style="13" customWidth="1"/>
    <col min="11277" max="11277" width="12.21875" style="13" customWidth="1"/>
    <col min="11278" max="11278" width="12.109375" style="13" customWidth="1"/>
    <col min="11279" max="11522" width="8.88671875" style="13"/>
    <col min="11523" max="11523" width="11.44140625" style="13" customWidth="1"/>
    <col min="11524" max="11526" width="14.6640625" style="13" customWidth="1"/>
    <col min="11527" max="11527" width="1.44140625" style="13" customWidth="1"/>
    <col min="11528" max="11529" width="14.6640625" style="13" customWidth="1"/>
    <col min="11530" max="11530" width="1.44140625" style="13" customWidth="1"/>
    <col min="11531" max="11532" width="14.6640625" style="13" customWidth="1"/>
    <col min="11533" max="11533" width="12.21875" style="13" customWidth="1"/>
    <col min="11534" max="11534" width="12.109375" style="13" customWidth="1"/>
    <col min="11535" max="11778" width="8.88671875" style="13"/>
    <col min="11779" max="11779" width="11.44140625" style="13" customWidth="1"/>
    <col min="11780" max="11782" width="14.6640625" style="13" customWidth="1"/>
    <col min="11783" max="11783" width="1.44140625" style="13" customWidth="1"/>
    <col min="11784" max="11785" width="14.6640625" style="13" customWidth="1"/>
    <col min="11786" max="11786" width="1.44140625" style="13" customWidth="1"/>
    <col min="11787" max="11788" width="14.6640625" style="13" customWidth="1"/>
    <col min="11789" max="11789" width="12.21875" style="13" customWidth="1"/>
    <col min="11790" max="11790" width="12.109375" style="13" customWidth="1"/>
    <col min="11791" max="12034" width="8.88671875" style="13"/>
    <col min="12035" max="12035" width="11.44140625" style="13" customWidth="1"/>
    <col min="12036" max="12038" width="14.6640625" style="13" customWidth="1"/>
    <col min="12039" max="12039" width="1.44140625" style="13" customWidth="1"/>
    <col min="12040" max="12041" width="14.6640625" style="13" customWidth="1"/>
    <col min="12042" max="12042" width="1.44140625" style="13" customWidth="1"/>
    <col min="12043" max="12044" width="14.6640625" style="13" customWidth="1"/>
    <col min="12045" max="12045" width="12.21875" style="13" customWidth="1"/>
    <col min="12046" max="12046" width="12.109375" style="13" customWidth="1"/>
    <col min="12047" max="12290" width="8.88671875" style="13"/>
    <col min="12291" max="12291" width="11.44140625" style="13" customWidth="1"/>
    <col min="12292" max="12294" width="14.6640625" style="13" customWidth="1"/>
    <col min="12295" max="12295" width="1.44140625" style="13" customWidth="1"/>
    <col min="12296" max="12297" width="14.6640625" style="13" customWidth="1"/>
    <col min="12298" max="12298" width="1.44140625" style="13" customWidth="1"/>
    <col min="12299" max="12300" width="14.6640625" style="13" customWidth="1"/>
    <col min="12301" max="12301" width="12.21875" style="13" customWidth="1"/>
    <col min="12302" max="12302" width="12.109375" style="13" customWidth="1"/>
    <col min="12303" max="12546" width="8.88671875" style="13"/>
    <col min="12547" max="12547" width="11.44140625" style="13" customWidth="1"/>
    <col min="12548" max="12550" width="14.6640625" style="13" customWidth="1"/>
    <col min="12551" max="12551" width="1.44140625" style="13" customWidth="1"/>
    <col min="12552" max="12553" width="14.6640625" style="13" customWidth="1"/>
    <col min="12554" max="12554" width="1.44140625" style="13" customWidth="1"/>
    <col min="12555" max="12556" width="14.6640625" style="13" customWidth="1"/>
    <col min="12557" max="12557" width="12.21875" style="13" customWidth="1"/>
    <col min="12558" max="12558" width="12.109375" style="13" customWidth="1"/>
    <col min="12559" max="12802" width="8.88671875" style="13"/>
    <col min="12803" max="12803" width="11.44140625" style="13" customWidth="1"/>
    <col min="12804" max="12806" width="14.6640625" style="13" customWidth="1"/>
    <col min="12807" max="12807" width="1.44140625" style="13" customWidth="1"/>
    <col min="12808" max="12809" width="14.6640625" style="13" customWidth="1"/>
    <col min="12810" max="12810" width="1.44140625" style="13" customWidth="1"/>
    <col min="12811" max="12812" width="14.6640625" style="13" customWidth="1"/>
    <col min="12813" max="12813" width="12.21875" style="13" customWidth="1"/>
    <col min="12814" max="12814" width="12.109375" style="13" customWidth="1"/>
    <col min="12815" max="13058" width="8.88671875" style="13"/>
    <col min="13059" max="13059" width="11.44140625" style="13" customWidth="1"/>
    <col min="13060" max="13062" width="14.6640625" style="13" customWidth="1"/>
    <col min="13063" max="13063" width="1.44140625" style="13" customWidth="1"/>
    <col min="13064" max="13065" width="14.6640625" style="13" customWidth="1"/>
    <col min="13066" max="13066" width="1.44140625" style="13" customWidth="1"/>
    <col min="13067" max="13068" width="14.6640625" style="13" customWidth="1"/>
    <col min="13069" max="13069" width="12.21875" style="13" customWidth="1"/>
    <col min="13070" max="13070" width="12.109375" style="13" customWidth="1"/>
    <col min="13071" max="13314" width="8.88671875" style="13"/>
    <col min="13315" max="13315" width="11.44140625" style="13" customWidth="1"/>
    <col min="13316" max="13318" width="14.6640625" style="13" customWidth="1"/>
    <col min="13319" max="13319" width="1.44140625" style="13" customWidth="1"/>
    <col min="13320" max="13321" width="14.6640625" style="13" customWidth="1"/>
    <col min="13322" max="13322" width="1.44140625" style="13" customWidth="1"/>
    <col min="13323" max="13324" width="14.6640625" style="13" customWidth="1"/>
    <col min="13325" max="13325" width="12.21875" style="13" customWidth="1"/>
    <col min="13326" max="13326" width="12.109375" style="13" customWidth="1"/>
    <col min="13327" max="13570" width="8.88671875" style="13"/>
    <col min="13571" max="13571" width="11.44140625" style="13" customWidth="1"/>
    <col min="13572" max="13574" width="14.6640625" style="13" customWidth="1"/>
    <col min="13575" max="13575" width="1.44140625" style="13" customWidth="1"/>
    <col min="13576" max="13577" width="14.6640625" style="13" customWidth="1"/>
    <col min="13578" max="13578" width="1.44140625" style="13" customWidth="1"/>
    <col min="13579" max="13580" width="14.6640625" style="13" customWidth="1"/>
    <col min="13581" max="13581" width="12.21875" style="13" customWidth="1"/>
    <col min="13582" max="13582" width="12.109375" style="13" customWidth="1"/>
    <col min="13583" max="13826" width="8.88671875" style="13"/>
    <col min="13827" max="13827" width="11.44140625" style="13" customWidth="1"/>
    <col min="13828" max="13830" width="14.6640625" style="13" customWidth="1"/>
    <col min="13831" max="13831" width="1.44140625" style="13" customWidth="1"/>
    <col min="13832" max="13833" width="14.6640625" style="13" customWidth="1"/>
    <col min="13834" max="13834" width="1.44140625" style="13" customWidth="1"/>
    <col min="13835" max="13836" width="14.6640625" style="13" customWidth="1"/>
    <col min="13837" max="13837" width="12.21875" style="13" customWidth="1"/>
    <col min="13838" max="13838" width="12.109375" style="13" customWidth="1"/>
    <col min="13839" max="14082" width="8.88671875" style="13"/>
    <col min="14083" max="14083" width="11.44140625" style="13" customWidth="1"/>
    <col min="14084" max="14086" width="14.6640625" style="13" customWidth="1"/>
    <col min="14087" max="14087" width="1.44140625" style="13" customWidth="1"/>
    <col min="14088" max="14089" width="14.6640625" style="13" customWidth="1"/>
    <col min="14090" max="14090" width="1.44140625" style="13" customWidth="1"/>
    <col min="14091" max="14092" width="14.6640625" style="13" customWidth="1"/>
    <col min="14093" max="14093" width="12.21875" style="13" customWidth="1"/>
    <col min="14094" max="14094" width="12.109375" style="13" customWidth="1"/>
    <col min="14095" max="14338" width="8.88671875" style="13"/>
    <col min="14339" max="14339" width="11.44140625" style="13" customWidth="1"/>
    <col min="14340" max="14342" width="14.6640625" style="13" customWidth="1"/>
    <col min="14343" max="14343" width="1.44140625" style="13" customWidth="1"/>
    <col min="14344" max="14345" width="14.6640625" style="13" customWidth="1"/>
    <col min="14346" max="14346" width="1.44140625" style="13" customWidth="1"/>
    <col min="14347" max="14348" width="14.6640625" style="13" customWidth="1"/>
    <col min="14349" max="14349" width="12.21875" style="13" customWidth="1"/>
    <col min="14350" max="14350" width="12.109375" style="13" customWidth="1"/>
    <col min="14351" max="14594" width="8.88671875" style="13"/>
    <col min="14595" max="14595" width="11.44140625" style="13" customWidth="1"/>
    <col min="14596" max="14598" width="14.6640625" style="13" customWidth="1"/>
    <col min="14599" max="14599" width="1.44140625" style="13" customWidth="1"/>
    <col min="14600" max="14601" width="14.6640625" style="13" customWidth="1"/>
    <col min="14602" max="14602" width="1.44140625" style="13" customWidth="1"/>
    <col min="14603" max="14604" width="14.6640625" style="13" customWidth="1"/>
    <col min="14605" max="14605" width="12.21875" style="13" customWidth="1"/>
    <col min="14606" max="14606" width="12.109375" style="13" customWidth="1"/>
    <col min="14607" max="14850" width="8.88671875" style="13"/>
    <col min="14851" max="14851" width="11.44140625" style="13" customWidth="1"/>
    <col min="14852" max="14854" width="14.6640625" style="13" customWidth="1"/>
    <col min="14855" max="14855" width="1.44140625" style="13" customWidth="1"/>
    <col min="14856" max="14857" width="14.6640625" style="13" customWidth="1"/>
    <col min="14858" max="14858" width="1.44140625" style="13" customWidth="1"/>
    <col min="14859" max="14860" width="14.6640625" style="13" customWidth="1"/>
    <col min="14861" max="14861" width="12.21875" style="13" customWidth="1"/>
    <col min="14862" max="14862" width="12.109375" style="13" customWidth="1"/>
    <col min="14863" max="15106" width="8.88671875" style="13"/>
    <col min="15107" max="15107" width="11.44140625" style="13" customWidth="1"/>
    <col min="15108" max="15110" width="14.6640625" style="13" customWidth="1"/>
    <col min="15111" max="15111" width="1.44140625" style="13" customWidth="1"/>
    <col min="15112" max="15113" width="14.6640625" style="13" customWidth="1"/>
    <col min="15114" max="15114" width="1.44140625" style="13" customWidth="1"/>
    <col min="15115" max="15116" width="14.6640625" style="13" customWidth="1"/>
    <col min="15117" max="15117" width="12.21875" style="13" customWidth="1"/>
    <col min="15118" max="15118" width="12.109375" style="13" customWidth="1"/>
    <col min="15119" max="15362" width="8.88671875" style="13"/>
    <col min="15363" max="15363" width="11.44140625" style="13" customWidth="1"/>
    <col min="15364" max="15366" width="14.6640625" style="13" customWidth="1"/>
    <col min="15367" max="15367" width="1.44140625" style="13" customWidth="1"/>
    <col min="15368" max="15369" width="14.6640625" style="13" customWidth="1"/>
    <col min="15370" max="15370" width="1.44140625" style="13" customWidth="1"/>
    <col min="15371" max="15372" width="14.6640625" style="13" customWidth="1"/>
    <col min="15373" max="15373" width="12.21875" style="13" customWidth="1"/>
    <col min="15374" max="15374" width="12.109375" style="13" customWidth="1"/>
    <col min="15375" max="15618" width="8.88671875" style="13"/>
    <col min="15619" max="15619" width="11.44140625" style="13" customWidth="1"/>
    <col min="15620" max="15622" width="14.6640625" style="13" customWidth="1"/>
    <col min="15623" max="15623" width="1.44140625" style="13" customWidth="1"/>
    <col min="15624" max="15625" width="14.6640625" style="13" customWidth="1"/>
    <col min="15626" max="15626" width="1.44140625" style="13" customWidth="1"/>
    <col min="15627" max="15628" width="14.6640625" style="13" customWidth="1"/>
    <col min="15629" max="15629" width="12.21875" style="13" customWidth="1"/>
    <col min="15630" max="15630" width="12.109375" style="13" customWidth="1"/>
    <col min="15631" max="15874" width="8.88671875" style="13"/>
    <col min="15875" max="15875" width="11.44140625" style="13" customWidth="1"/>
    <col min="15876" max="15878" width="14.6640625" style="13" customWidth="1"/>
    <col min="15879" max="15879" width="1.44140625" style="13" customWidth="1"/>
    <col min="15880" max="15881" width="14.6640625" style="13" customWidth="1"/>
    <col min="15882" max="15882" width="1.44140625" style="13" customWidth="1"/>
    <col min="15883" max="15884" width="14.6640625" style="13" customWidth="1"/>
    <col min="15885" max="15885" width="12.21875" style="13" customWidth="1"/>
    <col min="15886" max="15886" width="12.109375" style="13" customWidth="1"/>
    <col min="15887" max="16130" width="8.88671875" style="13"/>
    <col min="16131" max="16131" width="11.44140625" style="13" customWidth="1"/>
    <col min="16132" max="16134" width="14.6640625" style="13" customWidth="1"/>
    <col min="16135" max="16135" width="1.44140625" style="13" customWidth="1"/>
    <col min="16136" max="16137" width="14.6640625" style="13" customWidth="1"/>
    <col min="16138" max="16138" width="1.44140625" style="13" customWidth="1"/>
    <col min="16139" max="16140" width="14.6640625" style="13" customWidth="1"/>
    <col min="16141" max="16141" width="12.21875" style="13" customWidth="1"/>
    <col min="16142" max="16142" width="12.109375" style="13" customWidth="1"/>
    <col min="16143" max="16384" width="8.88671875" style="13"/>
  </cols>
  <sheetData>
    <row r="1" spans="3:15" ht="30" x14ac:dyDescent="0.5">
      <c r="C1" s="309" t="s">
        <v>285</v>
      </c>
      <c r="O1" s="7" t="s">
        <v>19</v>
      </c>
    </row>
    <row r="2" spans="3:15" x14ac:dyDescent="0.25">
      <c r="C2" s="13"/>
    </row>
    <row r="4" spans="3:15" x14ac:dyDescent="0.25">
      <c r="C4" s="13"/>
      <c r="D4" s="13"/>
    </row>
    <row r="5" spans="3:15" ht="21" x14ac:dyDescent="0.4">
      <c r="C5" s="13"/>
      <c r="D5" s="13"/>
      <c r="G5" s="317" t="s">
        <v>286</v>
      </c>
    </row>
    <row r="6" spans="3:15" ht="17.399999999999999" x14ac:dyDescent="0.3">
      <c r="C6" s="13"/>
      <c r="D6" s="13"/>
      <c r="H6" s="318" t="s">
        <v>287</v>
      </c>
      <c r="I6" s="319"/>
      <c r="J6" s="320"/>
      <c r="K6" s="320"/>
      <c r="M6" s="454" t="s">
        <v>339</v>
      </c>
    </row>
    <row r="7" spans="3:15" ht="17.399999999999999" x14ac:dyDescent="0.3">
      <c r="C7" s="13"/>
      <c r="D7" s="321" t="s">
        <v>288</v>
      </c>
      <c r="H7" s="318" t="s">
        <v>289</v>
      </c>
      <c r="I7" s="322"/>
      <c r="J7" s="320"/>
      <c r="K7" s="320"/>
    </row>
    <row r="8" spans="3:15" s="19" customFormat="1" ht="17.399999999999999" x14ac:dyDescent="0.3">
      <c r="C8" s="323">
        <v>1</v>
      </c>
      <c r="D8" s="324" t="s">
        <v>290</v>
      </c>
      <c r="E8" s="320"/>
      <c r="F8" s="13"/>
      <c r="G8" s="13"/>
      <c r="H8" s="318" t="s">
        <v>291</v>
      </c>
      <c r="I8" s="322"/>
      <c r="J8" s="320"/>
      <c r="K8" s="320"/>
      <c r="L8" s="13"/>
      <c r="M8" s="13"/>
    </row>
    <row r="9" spans="3:15" s="19" customFormat="1" ht="17.399999999999999" x14ac:dyDescent="0.3">
      <c r="C9" s="323">
        <v>2</v>
      </c>
      <c r="D9" s="324" t="s">
        <v>292</v>
      </c>
      <c r="E9" s="320"/>
      <c r="F9" s="13"/>
      <c r="G9" s="13"/>
      <c r="H9" s="318" t="s">
        <v>293</v>
      </c>
      <c r="I9" s="322"/>
      <c r="J9" s="320"/>
      <c r="K9" s="320"/>
      <c r="L9" s="13"/>
      <c r="M9" s="13"/>
    </row>
    <row r="10" spans="3:15" s="19" customFormat="1" ht="30" customHeight="1" x14ac:dyDescent="0.3">
      <c r="C10" s="13"/>
      <c r="D10" s="453" t="s">
        <v>294</v>
      </c>
      <c r="E10" s="143"/>
      <c r="F10" s="13"/>
      <c r="G10" s="13"/>
      <c r="H10" s="13"/>
      <c r="I10" s="13"/>
      <c r="J10" s="13"/>
      <c r="K10" s="13"/>
      <c r="L10" s="13"/>
      <c r="M10" s="13"/>
    </row>
    <row r="11" spans="3:15" s="19" customFormat="1" ht="15.6" thickBot="1" x14ac:dyDescent="0.3">
      <c r="C11" s="13"/>
      <c r="D11" s="13"/>
      <c r="E11" s="13"/>
      <c r="F11" s="13"/>
      <c r="G11" s="13"/>
      <c r="H11" s="13"/>
      <c r="I11" s="13"/>
      <c r="J11" s="13"/>
      <c r="K11" s="13"/>
      <c r="L11" s="13"/>
      <c r="M11" s="13"/>
    </row>
    <row r="12" spans="3:15" s="19" customFormat="1" ht="16.2" thickBot="1" x14ac:dyDescent="0.35">
      <c r="C12" s="325" t="s">
        <v>295</v>
      </c>
      <c r="D12" s="326"/>
      <c r="E12" s="327" t="s">
        <v>296</v>
      </c>
      <c r="F12" s="328"/>
      <c r="G12" s="329"/>
      <c r="H12" s="330" t="s">
        <v>297</v>
      </c>
      <c r="I12" s="326"/>
      <c r="J12" s="329"/>
      <c r="K12" s="331" t="s">
        <v>298</v>
      </c>
      <c r="L12" s="326"/>
      <c r="M12" s="332" t="s">
        <v>299</v>
      </c>
      <c r="N12" s="333" t="s">
        <v>299</v>
      </c>
    </row>
    <row r="13" spans="3:15" s="19" customFormat="1" ht="16.2" thickBot="1" x14ac:dyDescent="0.35">
      <c r="C13" s="334" t="s">
        <v>174</v>
      </c>
      <c r="D13" s="335" t="s">
        <v>300</v>
      </c>
      <c r="E13" s="336" t="s">
        <v>301</v>
      </c>
      <c r="F13" s="337" t="s">
        <v>302</v>
      </c>
      <c r="G13" s="338"/>
      <c r="H13" s="336" t="s">
        <v>301</v>
      </c>
      <c r="I13" s="339" t="s">
        <v>302</v>
      </c>
      <c r="J13" s="338"/>
      <c r="K13" s="336" t="s">
        <v>301</v>
      </c>
      <c r="L13" s="337" t="s">
        <v>302</v>
      </c>
      <c r="M13" s="340" t="s">
        <v>303</v>
      </c>
      <c r="N13" s="341" t="s">
        <v>304</v>
      </c>
    </row>
    <row r="14" spans="3:15" s="19" customFormat="1" ht="15.6" x14ac:dyDescent="0.3">
      <c r="C14" s="342">
        <v>1</v>
      </c>
      <c r="D14" s="343" t="s">
        <v>290</v>
      </c>
      <c r="E14" s="344" t="s">
        <v>290</v>
      </c>
      <c r="F14" s="344" t="s">
        <v>290</v>
      </c>
      <c r="G14" s="345"/>
      <c r="H14" s="344" t="s">
        <v>290</v>
      </c>
      <c r="I14" s="344" t="s">
        <v>290</v>
      </c>
      <c r="J14" s="345"/>
      <c r="K14" s="344" t="s">
        <v>290</v>
      </c>
      <c r="L14" s="344" t="s">
        <v>290</v>
      </c>
      <c r="M14" s="346" t="str">
        <f>IF(E14="","",IF('att Calculations'!Q11="TRUE","Y","N"))</f>
        <v>Y</v>
      </c>
      <c r="N14" s="347" t="str">
        <f>IF(F14="","",IF('att Calculations'!R11="TRUE","Y","N"))</f>
        <v>Y</v>
      </c>
    </row>
    <row r="15" spans="3:15" s="19" customFormat="1" ht="15.6" x14ac:dyDescent="0.3">
      <c r="C15" s="342">
        <v>2</v>
      </c>
      <c r="D15" s="343" t="s">
        <v>290</v>
      </c>
      <c r="E15" s="344" t="s">
        <v>290</v>
      </c>
      <c r="F15" s="344" t="s">
        <v>290</v>
      </c>
      <c r="G15" s="348"/>
      <c r="H15" s="344" t="s">
        <v>290</v>
      </c>
      <c r="I15" s="344" t="s">
        <v>290</v>
      </c>
      <c r="J15" s="348"/>
      <c r="K15" s="344" t="s">
        <v>290</v>
      </c>
      <c r="L15" s="344" t="s">
        <v>290</v>
      </c>
      <c r="M15" s="346" t="str">
        <f>IF(E15="","",IF('att Calculations'!Q12="TRUE","Y","N"))</f>
        <v>Y</v>
      </c>
      <c r="N15" s="347" t="str">
        <f>IF(F15="","",IF('att Calculations'!R12="TRUE","Y","N"))</f>
        <v>Y</v>
      </c>
    </row>
    <row r="16" spans="3:15" s="19" customFormat="1" ht="15.6" x14ac:dyDescent="0.3">
      <c r="C16" s="342">
        <v>3</v>
      </c>
      <c r="D16" s="343" t="s">
        <v>292</v>
      </c>
      <c r="E16" s="344" t="s">
        <v>290</v>
      </c>
      <c r="F16" s="344" t="s">
        <v>290</v>
      </c>
      <c r="G16" s="348"/>
      <c r="H16" s="344" t="s">
        <v>290</v>
      </c>
      <c r="I16" s="344" t="s">
        <v>290</v>
      </c>
      <c r="J16" s="348"/>
      <c r="K16" s="344" t="s">
        <v>290</v>
      </c>
      <c r="L16" s="344" t="s">
        <v>290</v>
      </c>
      <c r="M16" s="346" t="str">
        <f>IF(E16="","",IF('att Calculations'!Q13="TRUE","Y","N"))</f>
        <v>Y</v>
      </c>
      <c r="N16" s="347" t="str">
        <f>IF(F16="","",IF('att Calculations'!R13="TRUE","Y","N"))</f>
        <v>N</v>
      </c>
    </row>
    <row r="17" spans="3:14" s="19" customFormat="1" ht="15.6" x14ac:dyDescent="0.3">
      <c r="C17" s="342">
        <v>4</v>
      </c>
      <c r="D17" s="343" t="s">
        <v>290</v>
      </c>
      <c r="E17" s="344" t="s">
        <v>290</v>
      </c>
      <c r="F17" s="344" t="s">
        <v>290</v>
      </c>
      <c r="G17" s="348"/>
      <c r="H17" s="344" t="s">
        <v>290</v>
      </c>
      <c r="I17" s="344" t="s">
        <v>290</v>
      </c>
      <c r="J17" s="348"/>
      <c r="K17" s="344" t="s">
        <v>290</v>
      </c>
      <c r="L17" s="344" t="s">
        <v>290</v>
      </c>
      <c r="M17" s="346" t="str">
        <f>IF(E17="","",IF('att Calculations'!Q14="TRUE","Y","N"))</f>
        <v>Y</v>
      </c>
      <c r="N17" s="347" t="str">
        <f>IF(F17="","",IF('att Calculations'!R14="TRUE","Y","N"))</f>
        <v>Y</v>
      </c>
    </row>
    <row r="18" spans="3:14" s="19" customFormat="1" ht="15.6" x14ac:dyDescent="0.3">
      <c r="C18" s="342">
        <v>5</v>
      </c>
      <c r="D18" s="343" t="s">
        <v>290</v>
      </c>
      <c r="E18" s="344" t="s">
        <v>290</v>
      </c>
      <c r="F18" s="344" t="s">
        <v>290</v>
      </c>
      <c r="G18" s="348"/>
      <c r="H18" s="344" t="s">
        <v>290</v>
      </c>
      <c r="I18" s="344" t="s">
        <v>290</v>
      </c>
      <c r="J18" s="348"/>
      <c r="K18" s="344" t="s">
        <v>290</v>
      </c>
      <c r="L18" s="344" t="s">
        <v>290</v>
      </c>
      <c r="M18" s="346" t="str">
        <f>IF(E18="","",IF('att Calculations'!Q15="TRUE","Y","N"))</f>
        <v>Y</v>
      </c>
      <c r="N18" s="347" t="str">
        <f>IF(F18="","",IF('att Calculations'!R15="TRUE","Y","N"))</f>
        <v>Y</v>
      </c>
    </row>
    <row r="19" spans="3:14" s="19" customFormat="1" ht="15.6" x14ac:dyDescent="0.3">
      <c r="C19" s="342">
        <v>6</v>
      </c>
      <c r="D19" s="343" t="s">
        <v>292</v>
      </c>
      <c r="E19" s="344" t="s">
        <v>290</v>
      </c>
      <c r="F19" s="344" t="s">
        <v>290</v>
      </c>
      <c r="G19" s="348"/>
      <c r="H19" s="344" t="s">
        <v>290</v>
      </c>
      <c r="I19" s="344" t="s">
        <v>290</v>
      </c>
      <c r="J19" s="348"/>
      <c r="K19" s="344" t="s">
        <v>290</v>
      </c>
      <c r="L19" s="344" t="s">
        <v>290</v>
      </c>
      <c r="M19" s="346" t="str">
        <f>IF(E19="","",IF('att Calculations'!Q16="TRUE","Y","N"))</f>
        <v>Y</v>
      </c>
      <c r="N19" s="347" t="str">
        <f>IF(F19="","",IF('att Calculations'!R16="TRUE","Y","N"))</f>
        <v>N</v>
      </c>
    </row>
    <row r="20" spans="3:14" s="19" customFormat="1" ht="15.6" x14ac:dyDescent="0.3">
      <c r="C20" s="342">
        <v>7</v>
      </c>
      <c r="D20" s="343" t="s">
        <v>290</v>
      </c>
      <c r="E20" s="344" t="s">
        <v>290</v>
      </c>
      <c r="F20" s="344" t="s">
        <v>290</v>
      </c>
      <c r="G20" s="348"/>
      <c r="H20" s="344" t="s">
        <v>290</v>
      </c>
      <c r="I20" s="344" t="s">
        <v>290</v>
      </c>
      <c r="J20" s="348"/>
      <c r="K20" s="344" t="s">
        <v>290</v>
      </c>
      <c r="L20" s="344" t="s">
        <v>290</v>
      </c>
      <c r="M20" s="346" t="str">
        <f>IF(E20="","",IF('att Calculations'!Q17="TRUE","Y","N"))</f>
        <v>Y</v>
      </c>
      <c r="N20" s="347" t="str">
        <f>IF(F20="","",IF('att Calculations'!R17="TRUE","Y","N"))</f>
        <v>Y</v>
      </c>
    </row>
    <row r="21" spans="3:14" s="19" customFormat="1" ht="15.6" x14ac:dyDescent="0.3">
      <c r="C21" s="342">
        <v>8</v>
      </c>
      <c r="D21" s="343" t="s">
        <v>290</v>
      </c>
      <c r="E21" s="344" t="s">
        <v>290</v>
      </c>
      <c r="F21" s="344" t="s">
        <v>290</v>
      </c>
      <c r="G21" s="348"/>
      <c r="H21" s="344" t="s">
        <v>290</v>
      </c>
      <c r="I21" s="344" t="s">
        <v>290</v>
      </c>
      <c r="J21" s="348"/>
      <c r="K21" s="344" t="s">
        <v>290</v>
      </c>
      <c r="L21" s="344" t="s">
        <v>290</v>
      </c>
      <c r="M21" s="346" t="str">
        <f>IF(E21="","",IF('att Calculations'!Q18="TRUE","Y","N"))</f>
        <v>Y</v>
      </c>
      <c r="N21" s="347" t="str">
        <f>IF(F21="","",IF('att Calculations'!R18="TRUE","Y","N"))</f>
        <v>Y</v>
      </c>
    </row>
    <row r="22" spans="3:14" s="19" customFormat="1" ht="15.6" x14ac:dyDescent="0.3">
      <c r="C22" s="342">
        <v>9</v>
      </c>
      <c r="D22" s="343" t="s">
        <v>290</v>
      </c>
      <c r="E22" s="344" t="s">
        <v>290</v>
      </c>
      <c r="F22" s="344" t="s">
        <v>290</v>
      </c>
      <c r="G22" s="348"/>
      <c r="H22" s="344" t="s">
        <v>290</v>
      </c>
      <c r="I22" s="344" t="s">
        <v>290</v>
      </c>
      <c r="J22" s="348"/>
      <c r="K22" s="344" t="s">
        <v>290</v>
      </c>
      <c r="L22" s="344" t="s">
        <v>290</v>
      </c>
      <c r="M22" s="346" t="str">
        <f>IF(E22="","",IF('att Calculations'!Q19="TRUE","Y","N"))</f>
        <v>Y</v>
      </c>
      <c r="N22" s="347" t="str">
        <f>IF(F22="","",IF('att Calculations'!R19="TRUE","Y","N"))</f>
        <v>Y</v>
      </c>
    </row>
    <row r="23" spans="3:14" s="19" customFormat="1" ht="15.6" x14ac:dyDescent="0.3">
      <c r="C23" s="342">
        <v>10</v>
      </c>
      <c r="D23" s="343" t="s">
        <v>292</v>
      </c>
      <c r="E23" s="344" t="s">
        <v>290</v>
      </c>
      <c r="F23" s="344" t="s">
        <v>290</v>
      </c>
      <c r="G23" s="348"/>
      <c r="H23" s="344" t="s">
        <v>290</v>
      </c>
      <c r="I23" s="344" t="s">
        <v>290</v>
      </c>
      <c r="J23" s="348"/>
      <c r="K23" s="344" t="s">
        <v>290</v>
      </c>
      <c r="L23" s="344" t="s">
        <v>290</v>
      </c>
      <c r="M23" s="346" t="str">
        <f>IF(E23="","",IF('att Calculations'!Q20="TRUE","Y","N"))</f>
        <v>Y</v>
      </c>
      <c r="N23" s="347" t="str">
        <f>IF(F23="","",IF('att Calculations'!R20="TRUE","Y","N"))</f>
        <v>N</v>
      </c>
    </row>
    <row r="24" spans="3:14" s="19" customFormat="1" ht="15.6" x14ac:dyDescent="0.3">
      <c r="C24" s="342">
        <v>11</v>
      </c>
      <c r="D24" s="343"/>
      <c r="E24" s="344"/>
      <c r="F24" s="349"/>
      <c r="G24" s="348"/>
      <c r="H24" s="344"/>
      <c r="I24" s="349"/>
      <c r="J24" s="348"/>
      <c r="K24" s="344"/>
      <c r="L24" s="349"/>
      <c r="M24" s="346" t="str">
        <f>IF(E24="","",IF('att Calculations'!Q21="TRUE","Y","N"))</f>
        <v/>
      </c>
      <c r="N24" s="347" t="str">
        <f>IF(F24="","",IF('att Calculations'!R21="TRUE","Y","N"))</f>
        <v/>
      </c>
    </row>
    <row r="25" spans="3:14" s="19" customFormat="1" ht="15.6" x14ac:dyDescent="0.3">
      <c r="C25" s="342">
        <v>12</v>
      </c>
      <c r="D25" s="343"/>
      <c r="E25" s="344"/>
      <c r="F25" s="349"/>
      <c r="G25" s="348"/>
      <c r="H25" s="344"/>
      <c r="I25" s="349"/>
      <c r="J25" s="348"/>
      <c r="K25" s="344"/>
      <c r="L25" s="349"/>
      <c r="M25" s="346" t="str">
        <f>IF(E25="","",IF('att Calculations'!Q22="TRUE","Y","N"))</f>
        <v/>
      </c>
      <c r="N25" s="347" t="str">
        <f>IF(F25="","",IF('att Calculations'!R22="TRUE","Y","N"))</f>
        <v/>
      </c>
    </row>
    <row r="26" spans="3:14" s="19" customFormat="1" ht="15.6" x14ac:dyDescent="0.3">
      <c r="C26" s="342">
        <v>13</v>
      </c>
      <c r="D26" s="343"/>
      <c r="E26" s="344"/>
      <c r="F26" s="349"/>
      <c r="G26" s="348"/>
      <c r="H26" s="344"/>
      <c r="I26" s="349"/>
      <c r="J26" s="348"/>
      <c r="K26" s="344"/>
      <c r="L26" s="349"/>
      <c r="M26" s="346" t="str">
        <f>IF(E26="","",IF('att Calculations'!Q23="TRUE","Y","N"))</f>
        <v/>
      </c>
      <c r="N26" s="347" t="str">
        <f>IF(F26="","",IF('att Calculations'!R23="TRUE","Y","N"))</f>
        <v/>
      </c>
    </row>
    <row r="27" spans="3:14" s="19" customFormat="1" ht="15.6" x14ac:dyDescent="0.3">
      <c r="C27" s="342">
        <v>14</v>
      </c>
      <c r="D27" s="343"/>
      <c r="E27" s="344"/>
      <c r="F27" s="349"/>
      <c r="G27" s="348"/>
      <c r="H27" s="344"/>
      <c r="I27" s="349"/>
      <c r="J27" s="348"/>
      <c r="K27" s="344"/>
      <c r="L27" s="349"/>
      <c r="M27" s="346" t="str">
        <f>IF(E27="","",IF('att Calculations'!Q24="TRUE","Y","N"))</f>
        <v/>
      </c>
      <c r="N27" s="347" t="str">
        <f>IF(F27="","",IF('att Calculations'!R24="TRUE","Y","N"))</f>
        <v/>
      </c>
    </row>
    <row r="28" spans="3:14" s="19" customFormat="1" ht="15.6" x14ac:dyDescent="0.3">
      <c r="C28" s="342">
        <v>15</v>
      </c>
      <c r="D28" s="350"/>
      <c r="E28" s="351"/>
      <c r="F28" s="352"/>
      <c r="G28" s="348"/>
      <c r="H28" s="351"/>
      <c r="I28" s="352"/>
      <c r="J28" s="348"/>
      <c r="K28" s="351"/>
      <c r="L28" s="352"/>
      <c r="M28" s="346" t="str">
        <f>IF(E28="","",IF('att Calculations'!Q25="TRUE","Y","N"))</f>
        <v/>
      </c>
      <c r="N28" s="347" t="str">
        <f>IF(F28="","",IF('att Calculations'!R25="TRUE","Y","N"))</f>
        <v/>
      </c>
    </row>
    <row r="29" spans="3:14" s="19" customFormat="1" ht="15.6" x14ac:dyDescent="0.3">
      <c r="C29" s="342">
        <v>16</v>
      </c>
      <c r="D29" s="350"/>
      <c r="E29" s="351"/>
      <c r="F29" s="352"/>
      <c r="G29" s="348"/>
      <c r="H29" s="351"/>
      <c r="I29" s="352"/>
      <c r="J29" s="348"/>
      <c r="K29" s="351"/>
      <c r="L29" s="352"/>
      <c r="M29" s="346" t="str">
        <f>IF(E29="","",IF('att Calculations'!Q26="TRUE","Y","N"))</f>
        <v/>
      </c>
      <c r="N29" s="347" t="str">
        <f>IF(F29="","",IF('att Calculations'!R26="TRUE","Y","N"))</f>
        <v/>
      </c>
    </row>
    <row r="30" spans="3:14" s="19" customFormat="1" ht="15.6" x14ac:dyDescent="0.3">
      <c r="C30" s="342">
        <v>17</v>
      </c>
      <c r="D30" s="353"/>
      <c r="E30" s="354"/>
      <c r="F30" s="352"/>
      <c r="G30" s="348"/>
      <c r="H30" s="351"/>
      <c r="I30" s="352"/>
      <c r="J30" s="348"/>
      <c r="K30" s="351"/>
      <c r="L30" s="352"/>
      <c r="M30" s="346" t="str">
        <f>IF(E30="","",IF('att Calculations'!Q27="TRUE","Y","N"))</f>
        <v/>
      </c>
      <c r="N30" s="347" t="str">
        <f>IF(F30="","",IF('att Calculations'!R27="TRUE","Y","N"))</f>
        <v/>
      </c>
    </row>
    <row r="31" spans="3:14" s="19" customFormat="1" ht="15.6" x14ac:dyDescent="0.3">
      <c r="C31" s="342">
        <v>18</v>
      </c>
      <c r="D31" s="353"/>
      <c r="E31" s="354"/>
      <c r="F31" s="352"/>
      <c r="G31" s="348"/>
      <c r="H31" s="351"/>
      <c r="I31" s="352"/>
      <c r="J31" s="348"/>
      <c r="K31" s="351"/>
      <c r="L31" s="352"/>
      <c r="M31" s="346" t="str">
        <f>IF(E31="","",IF('att Calculations'!Q28="TRUE","Y","N"))</f>
        <v/>
      </c>
      <c r="N31" s="347" t="str">
        <f>IF(F31="","",IF('att Calculations'!R28="TRUE","Y","N"))</f>
        <v/>
      </c>
    </row>
    <row r="32" spans="3:14" s="19" customFormat="1" ht="15.6" x14ac:dyDescent="0.3">
      <c r="C32" s="342">
        <v>19</v>
      </c>
      <c r="D32" s="353"/>
      <c r="E32" s="354"/>
      <c r="F32" s="352"/>
      <c r="G32" s="348"/>
      <c r="H32" s="351"/>
      <c r="I32" s="352"/>
      <c r="J32" s="348"/>
      <c r="K32" s="351"/>
      <c r="L32" s="352"/>
      <c r="M32" s="346" t="str">
        <f>IF(E32="","",IF('att Calculations'!Q29="TRUE","Y","N"))</f>
        <v/>
      </c>
      <c r="N32" s="347" t="str">
        <f>IF(F32="","",IF('att Calculations'!R29="TRUE","Y","N"))</f>
        <v/>
      </c>
    </row>
    <row r="33" spans="3:14" s="19" customFormat="1" ht="15.6" x14ac:dyDescent="0.3">
      <c r="C33" s="342">
        <v>20</v>
      </c>
      <c r="D33" s="353"/>
      <c r="E33" s="354"/>
      <c r="F33" s="352"/>
      <c r="G33" s="348"/>
      <c r="H33" s="351"/>
      <c r="I33" s="352"/>
      <c r="J33" s="348"/>
      <c r="K33" s="351"/>
      <c r="L33" s="352"/>
      <c r="M33" s="346" t="str">
        <f>IF(E33="","",IF('att Calculations'!Q30="TRUE","Y","N"))</f>
        <v/>
      </c>
      <c r="N33" s="347" t="str">
        <f>IF(F33="","",IF('att Calculations'!R30="TRUE","Y","N"))</f>
        <v/>
      </c>
    </row>
    <row r="34" spans="3:14" s="19" customFormat="1" ht="15.6" x14ac:dyDescent="0.3">
      <c r="C34" s="342">
        <v>21</v>
      </c>
      <c r="D34" s="353"/>
      <c r="E34" s="354"/>
      <c r="F34" s="352"/>
      <c r="G34" s="348"/>
      <c r="H34" s="351"/>
      <c r="I34" s="352"/>
      <c r="J34" s="348"/>
      <c r="K34" s="351"/>
      <c r="L34" s="352"/>
      <c r="M34" s="346" t="str">
        <f>IF(E34="","",IF('att Calculations'!Q31="TRUE","Y","N"))</f>
        <v/>
      </c>
      <c r="N34" s="347" t="str">
        <f>IF(F34="","",IF('att Calculations'!R31="TRUE","Y","N"))</f>
        <v/>
      </c>
    </row>
    <row r="35" spans="3:14" s="19" customFormat="1" ht="15.6" x14ac:dyDescent="0.3">
      <c r="C35" s="342">
        <v>22</v>
      </c>
      <c r="D35" s="353"/>
      <c r="E35" s="354"/>
      <c r="F35" s="352"/>
      <c r="G35" s="348"/>
      <c r="H35" s="351"/>
      <c r="I35" s="352"/>
      <c r="J35" s="348"/>
      <c r="K35" s="351"/>
      <c r="L35" s="352"/>
      <c r="M35" s="346" t="str">
        <f>IF(E35="","",IF('att Calculations'!Q32="TRUE","Y","N"))</f>
        <v/>
      </c>
      <c r="N35" s="347" t="str">
        <f>IF(F35="","",IF('att Calculations'!R32="TRUE","Y","N"))</f>
        <v/>
      </c>
    </row>
    <row r="36" spans="3:14" s="19" customFormat="1" ht="15.6" x14ac:dyDescent="0.3">
      <c r="C36" s="342">
        <v>23</v>
      </c>
      <c r="D36" s="353"/>
      <c r="E36" s="354"/>
      <c r="F36" s="352"/>
      <c r="G36" s="348"/>
      <c r="H36" s="351"/>
      <c r="I36" s="352"/>
      <c r="J36" s="348"/>
      <c r="K36" s="351"/>
      <c r="L36" s="352"/>
      <c r="M36" s="346" t="str">
        <f>IF(E36="","",IF('att Calculations'!Q33="TRUE","Y","N"))</f>
        <v/>
      </c>
      <c r="N36" s="347" t="str">
        <f>IF(F36="","",IF('att Calculations'!R33="TRUE","Y","N"))</f>
        <v/>
      </c>
    </row>
    <row r="37" spans="3:14" s="19" customFormat="1" ht="15.6" x14ac:dyDescent="0.3">
      <c r="C37" s="342">
        <v>24</v>
      </c>
      <c r="D37" s="353"/>
      <c r="E37" s="354"/>
      <c r="F37" s="352"/>
      <c r="G37" s="348"/>
      <c r="H37" s="351"/>
      <c r="I37" s="352"/>
      <c r="J37" s="348"/>
      <c r="K37" s="351"/>
      <c r="L37" s="352"/>
      <c r="M37" s="346" t="str">
        <f>IF(E37="","",IF('att Calculations'!Q34="TRUE","Y","N"))</f>
        <v/>
      </c>
      <c r="N37" s="347" t="str">
        <f>IF(F37="","",IF('att Calculations'!R34="TRUE","Y","N"))</f>
        <v/>
      </c>
    </row>
    <row r="38" spans="3:14" s="19" customFormat="1" ht="15.6" x14ac:dyDescent="0.3">
      <c r="C38" s="342">
        <v>25</v>
      </c>
      <c r="D38" s="353"/>
      <c r="E38" s="354"/>
      <c r="F38" s="352"/>
      <c r="G38" s="348"/>
      <c r="H38" s="351"/>
      <c r="I38" s="352"/>
      <c r="J38" s="348"/>
      <c r="K38" s="351"/>
      <c r="L38" s="352"/>
      <c r="M38" s="346" t="str">
        <f>IF(E38="","",IF('att Calculations'!Q35="TRUE","Y","N"))</f>
        <v/>
      </c>
      <c r="N38" s="347" t="str">
        <f>IF(F38="","",IF('att Calculations'!R35="TRUE","Y","N"))</f>
        <v/>
      </c>
    </row>
    <row r="39" spans="3:14" s="19" customFormat="1" ht="15.6" x14ac:dyDescent="0.3">
      <c r="C39" s="342">
        <v>26</v>
      </c>
      <c r="D39" s="353"/>
      <c r="E39" s="354"/>
      <c r="F39" s="352"/>
      <c r="G39" s="348"/>
      <c r="H39" s="351"/>
      <c r="I39" s="352"/>
      <c r="J39" s="348"/>
      <c r="K39" s="351"/>
      <c r="L39" s="352"/>
      <c r="M39" s="346" t="str">
        <f>IF(E39="","",IF('att Calculations'!Q36="TRUE","Y","N"))</f>
        <v/>
      </c>
      <c r="N39" s="347" t="str">
        <f>IF(F39="","",IF('att Calculations'!R36="TRUE","Y","N"))</f>
        <v/>
      </c>
    </row>
    <row r="40" spans="3:14" s="19" customFormat="1" ht="15.6" x14ac:dyDescent="0.3">
      <c r="C40" s="342">
        <v>27</v>
      </c>
      <c r="D40" s="353"/>
      <c r="E40" s="354"/>
      <c r="F40" s="352"/>
      <c r="G40" s="348"/>
      <c r="H40" s="351"/>
      <c r="I40" s="352"/>
      <c r="J40" s="348"/>
      <c r="K40" s="351"/>
      <c r="L40" s="352"/>
      <c r="M40" s="346" t="str">
        <f>IF(E40="","",IF('att Calculations'!Q37="TRUE","Y","N"))</f>
        <v/>
      </c>
      <c r="N40" s="347" t="str">
        <f>IF(F40="","",IF('att Calculations'!R37="TRUE","Y","N"))</f>
        <v/>
      </c>
    </row>
    <row r="41" spans="3:14" s="19" customFormat="1" ht="15.6" x14ac:dyDescent="0.3">
      <c r="C41" s="342">
        <v>28</v>
      </c>
      <c r="D41" s="353"/>
      <c r="E41" s="354"/>
      <c r="F41" s="352"/>
      <c r="G41" s="348"/>
      <c r="H41" s="351"/>
      <c r="I41" s="352"/>
      <c r="J41" s="348"/>
      <c r="K41" s="351"/>
      <c r="L41" s="352"/>
      <c r="M41" s="346" t="str">
        <f>IF(E41="","",IF('att Calculations'!Q38="TRUE","Y","N"))</f>
        <v/>
      </c>
      <c r="N41" s="347" t="str">
        <f>IF(F41="","",IF('att Calculations'!R38="TRUE","Y","N"))</f>
        <v/>
      </c>
    </row>
    <row r="42" spans="3:14" s="19" customFormat="1" ht="15.6" x14ac:dyDescent="0.3">
      <c r="C42" s="342">
        <v>29</v>
      </c>
      <c r="D42" s="353"/>
      <c r="E42" s="354"/>
      <c r="F42" s="352"/>
      <c r="G42" s="348"/>
      <c r="H42" s="351"/>
      <c r="I42" s="352"/>
      <c r="J42" s="348"/>
      <c r="K42" s="351"/>
      <c r="L42" s="352"/>
      <c r="M42" s="346" t="str">
        <f>IF(E42="","",IF('att Calculations'!Q39="TRUE","Y","N"))</f>
        <v/>
      </c>
      <c r="N42" s="347" t="str">
        <f>IF(F42="","",IF('att Calculations'!R39="TRUE","Y","N"))</f>
        <v/>
      </c>
    </row>
    <row r="43" spans="3:14" s="19" customFormat="1" ht="15.6" x14ac:dyDescent="0.3">
      <c r="C43" s="342">
        <v>30</v>
      </c>
      <c r="D43" s="353"/>
      <c r="E43" s="354"/>
      <c r="F43" s="352"/>
      <c r="G43" s="348"/>
      <c r="H43" s="351"/>
      <c r="I43" s="352"/>
      <c r="J43" s="348"/>
      <c r="K43" s="351"/>
      <c r="L43" s="352"/>
      <c r="M43" s="346" t="str">
        <f>IF(E43="","",IF('att Calculations'!Q40="TRUE","Y","N"))</f>
        <v/>
      </c>
      <c r="N43" s="347" t="str">
        <f>IF(F43="","",IF('att Calculations'!R40="TRUE","Y","N"))</f>
        <v/>
      </c>
    </row>
    <row r="44" spans="3:14" s="19" customFormat="1" ht="15.6" x14ac:dyDescent="0.3">
      <c r="C44" s="342">
        <v>31</v>
      </c>
      <c r="D44" s="353"/>
      <c r="E44" s="354"/>
      <c r="F44" s="352"/>
      <c r="G44" s="348"/>
      <c r="H44" s="351"/>
      <c r="I44" s="352"/>
      <c r="J44" s="348"/>
      <c r="K44" s="351"/>
      <c r="L44" s="352"/>
      <c r="M44" s="346" t="str">
        <f>IF(E44="","",IF('att Calculations'!Q41="TRUE","Y","N"))</f>
        <v/>
      </c>
      <c r="N44" s="347" t="str">
        <f>IF(F44="","",IF('att Calculations'!R41="TRUE","Y","N"))</f>
        <v/>
      </c>
    </row>
    <row r="45" spans="3:14" s="19" customFormat="1" ht="15.6" x14ac:dyDescent="0.3">
      <c r="C45" s="342">
        <v>32</v>
      </c>
      <c r="D45" s="353"/>
      <c r="E45" s="354"/>
      <c r="F45" s="352"/>
      <c r="G45" s="348"/>
      <c r="H45" s="351"/>
      <c r="I45" s="352"/>
      <c r="J45" s="348"/>
      <c r="K45" s="351"/>
      <c r="L45" s="352"/>
      <c r="M45" s="346" t="str">
        <f>IF(E45="","",IF('att Calculations'!Q42="TRUE","Y","N"))</f>
        <v/>
      </c>
      <c r="N45" s="347" t="str">
        <f>IF(F45="","",IF('att Calculations'!R42="TRUE","Y","N"))</f>
        <v/>
      </c>
    </row>
    <row r="46" spans="3:14" s="19" customFormat="1" ht="15.6" x14ac:dyDescent="0.3">
      <c r="C46" s="342">
        <v>33</v>
      </c>
      <c r="D46" s="353"/>
      <c r="E46" s="354"/>
      <c r="F46" s="352"/>
      <c r="G46" s="348"/>
      <c r="H46" s="351"/>
      <c r="I46" s="352"/>
      <c r="J46" s="348"/>
      <c r="K46" s="351"/>
      <c r="L46" s="352"/>
      <c r="M46" s="346" t="str">
        <f>IF(E46="","",IF('att Calculations'!Q43="TRUE","Y","N"))</f>
        <v/>
      </c>
      <c r="N46" s="347" t="str">
        <f>IF(F46="","",IF('att Calculations'!R43="TRUE","Y","N"))</f>
        <v/>
      </c>
    </row>
    <row r="47" spans="3:14" s="19" customFormat="1" ht="15.6" x14ac:dyDescent="0.3">
      <c r="C47" s="342">
        <v>34</v>
      </c>
      <c r="D47" s="353"/>
      <c r="E47" s="354"/>
      <c r="F47" s="352"/>
      <c r="G47" s="348"/>
      <c r="H47" s="351"/>
      <c r="I47" s="352"/>
      <c r="J47" s="348"/>
      <c r="K47" s="351"/>
      <c r="L47" s="352"/>
      <c r="M47" s="346" t="str">
        <f>IF(E47="","",IF('att Calculations'!Q44="TRUE","Y","N"))</f>
        <v/>
      </c>
      <c r="N47" s="347" t="str">
        <f>IF(F47="","",IF('att Calculations'!R44="TRUE","Y","N"))</f>
        <v/>
      </c>
    </row>
    <row r="48" spans="3:14" s="19" customFormat="1" ht="15.6" x14ac:dyDescent="0.3">
      <c r="C48" s="342">
        <v>35</v>
      </c>
      <c r="D48" s="353"/>
      <c r="E48" s="354"/>
      <c r="F48" s="352"/>
      <c r="G48" s="348"/>
      <c r="H48" s="351"/>
      <c r="I48" s="352"/>
      <c r="J48" s="348"/>
      <c r="K48" s="351"/>
      <c r="L48" s="352"/>
      <c r="M48" s="346" t="str">
        <f>IF(E48="","",IF('att Calculations'!Q45="TRUE","Y","N"))</f>
        <v/>
      </c>
      <c r="N48" s="347" t="str">
        <f>IF(F48="","",IF('att Calculations'!R45="TRUE","Y","N"))</f>
        <v/>
      </c>
    </row>
    <row r="49" spans="3:14" s="19" customFormat="1" ht="15.6" x14ac:dyDescent="0.3">
      <c r="C49" s="342">
        <v>36</v>
      </c>
      <c r="D49" s="353"/>
      <c r="E49" s="354"/>
      <c r="F49" s="352"/>
      <c r="G49" s="348"/>
      <c r="H49" s="351"/>
      <c r="I49" s="352"/>
      <c r="J49" s="348"/>
      <c r="K49" s="351"/>
      <c r="L49" s="352"/>
      <c r="M49" s="346" t="str">
        <f>IF(E49="","",IF('att Calculations'!Q46="TRUE","Y","N"))</f>
        <v/>
      </c>
      <c r="N49" s="347" t="str">
        <f>IF(F49="","",IF('att Calculations'!R46="TRUE","Y","N"))</f>
        <v/>
      </c>
    </row>
    <row r="50" spans="3:14" s="19" customFormat="1" ht="15.6" x14ac:dyDescent="0.3">
      <c r="C50" s="342">
        <v>37</v>
      </c>
      <c r="D50" s="353"/>
      <c r="E50" s="354"/>
      <c r="F50" s="352"/>
      <c r="G50" s="348"/>
      <c r="H50" s="351"/>
      <c r="I50" s="352"/>
      <c r="J50" s="348"/>
      <c r="K50" s="351"/>
      <c r="L50" s="352"/>
      <c r="M50" s="346" t="str">
        <f>IF(E50="","",IF('att Calculations'!Q47="TRUE","Y","N"))</f>
        <v/>
      </c>
      <c r="N50" s="347" t="str">
        <f>IF(F50="","",IF('att Calculations'!R47="TRUE","Y","N"))</f>
        <v/>
      </c>
    </row>
    <row r="51" spans="3:14" s="19" customFormat="1" ht="15.6" x14ac:dyDescent="0.3">
      <c r="C51" s="342">
        <v>38</v>
      </c>
      <c r="D51" s="353"/>
      <c r="E51" s="354"/>
      <c r="F51" s="352"/>
      <c r="G51" s="348"/>
      <c r="H51" s="351"/>
      <c r="I51" s="352"/>
      <c r="J51" s="348"/>
      <c r="K51" s="351"/>
      <c r="L51" s="352"/>
      <c r="M51" s="346" t="str">
        <f>IF(E51="","",IF('att Calculations'!Q48="TRUE","Y","N"))</f>
        <v/>
      </c>
      <c r="N51" s="347" t="str">
        <f>IF(F51="","",IF('att Calculations'!R48="TRUE","Y","N"))</f>
        <v/>
      </c>
    </row>
    <row r="52" spans="3:14" s="19" customFormat="1" ht="15.6" x14ac:dyDescent="0.3">
      <c r="C52" s="342">
        <v>39</v>
      </c>
      <c r="D52" s="353"/>
      <c r="E52" s="354"/>
      <c r="F52" s="352"/>
      <c r="G52" s="348"/>
      <c r="H52" s="351"/>
      <c r="I52" s="352"/>
      <c r="J52" s="348"/>
      <c r="K52" s="351"/>
      <c r="L52" s="352"/>
      <c r="M52" s="346" t="str">
        <f>IF(E52="","",IF('att Calculations'!Q49="TRUE","Y","N"))</f>
        <v/>
      </c>
      <c r="N52" s="347" t="str">
        <f>IF(F52="","",IF('att Calculations'!R49="TRUE","Y","N"))</f>
        <v/>
      </c>
    </row>
    <row r="53" spans="3:14" s="19" customFormat="1" ht="15.6" x14ac:dyDescent="0.3">
      <c r="C53" s="342">
        <v>40</v>
      </c>
      <c r="D53" s="353"/>
      <c r="E53" s="354"/>
      <c r="F53" s="352"/>
      <c r="G53" s="348"/>
      <c r="H53" s="351"/>
      <c r="I53" s="352"/>
      <c r="J53" s="348"/>
      <c r="K53" s="351"/>
      <c r="L53" s="352"/>
      <c r="M53" s="346" t="str">
        <f>IF(E53="","",IF('att Calculations'!Q50="TRUE","Y","N"))</f>
        <v/>
      </c>
      <c r="N53" s="347" t="str">
        <f>IF(F53="","",IF('att Calculations'!R50="TRUE","Y","N"))</f>
        <v/>
      </c>
    </row>
    <row r="54" spans="3:14" s="19" customFormat="1" ht="15.6" x14ac:dyDescent="0.3">
      <c r="C54" s="342">
        <v>41</v>
      </c>
      <c r="D54" s="353"/>
      <c r="E54" s="354"/>
      <c r="F54" s="352"/>
      <c r="G54" s="348"/>
      <c r="H54" s="351"/>
      <c r="I54" s="352"/>
      <c r="J54" s="348"/>
      <c r="K54" s="351"/>
      <c r="L54" s="352"/>
      <c r="M54" s="346" t="str">
        <f>IF(E54="","",IF('att Calculations'!Q51="TRUE","Y","N"))</f>
        <v/>
      </c>
      <c r="N54" s="347" t="str">
        <f>IF(F54="","",IF('att Calculations'!R51="TRUE","Y","N"))</f>
        <v/>
      </c>
    </row>
    <row r="55" spans="3:14" s="19" customFormat="1" ht="15.6" x14ac:dyDescent="0.3">
      <c r="C55" s="342">
        <v>42</v>
      </c>
      <c r="D55" s="353"/>
      <c r="E55" s="354"/>
      <c r="F55" s="352"/>
      <c r="G55" s="348"/>
      <c r="H55" s="351"/>
      <c r="I55" s="352"/>
      <c r="J55" s="348"/>
      <c r="K55" s="351"/>
      <c r="L55" s="352"/>
      <c r="M55" s="346" t="str">
        <f>IF(E55="","",IF('att Calculations'!Q52="TRUE","Y","N"))</f>
        <v/>
      </c>
      <c r="N55" s="347" t="str">
        <f>IF(F55="","",IF('att Calculations'!R52="TRUE","Y","N"))</f>
        <v/>
      </c>
    </row>
    <row r="56" spans="3:14" s="19" customFormat="1" ht="15.6" x14ac:dyDescent="0.3">
      <c r="C56" s="342">
        <v>43</v>
      </c>
      <c r="D56" s="353"/>
      <c r="E56" s="354"/>
      <c r="F56" s="352"/>
      <c r="G56" s="348"/>
      <c r="H56" s="351"/>
      <c r="I56" s="352"/>
      <c r="J56" s="348"/>
      <c r="K56" s="351"/>
      <c r="L56" s="352"/>
      <c r="M56" s="346" t="str">
        <f>IF(E56="","",IF('att Calculations'!Q53="TRUE","Y","N"))</f>
        <v/>
      </c>
      <c r="N56" s="347" t="str">
        <f>IF(F56="","",IF('att Calculations'!R53="TRUE","Y","N"))</f>
        <v/>
      </c>
    </row>
    <row r="57" spans="3:14" s="19" customFormat="1" ht="15.6" x14ac:dyDescent="0.3">
      <c r="C57" s="342">
        <v>44</v>
      </c>
      <c r="D57" s="353"/>
      <c r="E57" s="354"/>
      <c r="F57" s="352"/>
      <c r="G57" s="348"/>
      <c r="H57" s="351"/>
      <c r="I57" s="352"/>
      <c r="J57" s="348"/>
      <c r="K57" s="351"/>
      <c r="L57" s="352"/>
      <c r="M57" s="346" t="str">
        <f>IF(E57="","",IF('att Calculations'!Q54="TRUE","Y","N"))</f>
        <v/>
      </c>
      <c r="N57" s="347" t="str">
        <f>IF(F57="","",IF('att Calculations'!R54="TRUE","Y","N"))</f>
        <v/>
      </c>
    </row>
    <row r="58" spans="3:14" s="19" customFormat="1" ht="15.6" x14ac:dyDescent="0.3">
      <c r="C58" s="342">
        <v>45</v>
      </c>
      <c r="D58" s="353"/>
      <c r="E58" s="354"/>
      <c r="F58" s="352"/>
      <c r="G58" s="348"/>
      <c r="H58" s="351"/>
      <c r="I58" s="352"/>
      <c r="J58" s="348"/>
      <c r="K58" s="351"/>
      <c r="L58" s="352"/>
      <c r="M58" s="346" t="str">
        <f>IF(E58="","",IF('att Calculations'!Q55="TRUE","Y","N"))</f>
        <v/>
      </c>
      <c r="N58" s="347" t="str">
        <f>IF(F58="","",IF('att Calculations'!R55="TRUE","Y","N"))</f>
        <v/>
      </c>
    </row>
    <row r="59" spans="3:14" s="19" customFormat="1" ht="15.6" x14ac:dyDescent="0.3">
      <c r="C59" s="342">
        <v>46</v>
      </c>
      <c r="D59" s="353"/>
      <c r="E59" s="354"/>
      <c r="F59" s="352"/>
      <c r="G59" s="348"/>
      <c r="H59" s="351"/>
      <c r="I59" s="352"/>
      <c r="J59" s="348"/>
      <c r="K59" s="351"/>
      <c r="L59" s="352"/>
      <c r="M59" s="346" t="str">
        <f>IF(E59="","",IF('att Calculations'!Q56="TRUE","Y","N"))</f>
        <v/>
      </c>
      <c r="N59" s="347" t="str">
        <f>IF(F59="","",IF('att Calculations'!R56="TRUE","Y","N"))</f>
        <v/>
      </c>
    </row>
    <row r="60" spans="3:14" s="19" customFormat="1" ht="15.6" x14ac:dyDescent="0.3">
      <c r="C60" s="342">
        <v>47</v>
      </c>
      <c r="D60" s="353"/>
      <c r="E60" s="354"/>
      <c r="F60" s="352"/>
      <c r="G60" s="348"/>
      <c r="H60" s="351"/>
      <c r="I60" s="352"/>
      <c r="J60" s="348"/>
      <c r="K60" s="351"/>
      <c r="L60" s="352"/>
      <c r="M60" s="346" t="str">
        <f>IF(E60="","",IF('att Calculations'!Q57="TRUE","Y","N"))</f>
        <v/>
      </c>
      <c r="N60" s="347" t="str">
        <f>IF(F60="","",IF('att Calculations'!R57="TRUE","Y","N"))</f>
        <v/>
      </c>
    </row>
    <row r="61" spans="3:14" s="19" customFormat="1" ht="15.6" x14ac:dyDescent="0.3">
      <c r="C61" s="342">
        <v>48</v>
      </c>
      <c r="D61" s="353"/>
      <c r="E61" s="354"/>
      <c r="F61" s="352"/>
      <c r="G61" s="348"/>
      <c r="H61" s="351"/>
      <c r="I61" s="352"/>
      <c r="J61" s="348"/>
      <c r="K61" s="351"/>
      <c r="L61" s="352"/>
      <c r="M61" s="346" t="str">
        <f>IF(E61="","",IF('att Calculations'!Q58="TRUE","Y","N"))</f>
        <v/>
      </c>
      <c r="N61" s="347" t="str">
        <f>IF(F61="","",IF('att Calculations'!R58="TRUE","Y","N"))</f>
        <v/>
      </c>
    </row>
    <row r="62" spans="3:14" s="19" customFormat="1" ht="15.6" x14ac:dyDescent="0.3">
      <c r="C62" s="342">
        <v>49</v>
      </c>
      <c r="D62" s="353"/>
      <c r="E62" s="354"/>
      <c r="F62" s="352"/>
      <c r="G62" s="348"/>
      <c r="H62" s="351"/>
      <c r="I62" s="352"/>
      <c r="J62" s="348"/>
      <c r="K62" s="351"/>
      <c r="L62" s="352"/>
      <c r="M62" s="346" t="str">
        <f>IF(E62="","",IF('att Calculations'!Q59="TRUE","Y","N"))</f>
        <v/>
      </c>
      <c r="N62" s="347" t="str">
        <f>IF(F62="","",IF('att Calculations'!R59="TRUE","Y","N"))</f>
        <v/>
      </c>
    </row>
    <row r="63" spans="3:14" s="19" customFormat="1" ht="15.6" x14ac:dyDescent="0.3">
      <c r="C63" s="342">
        <v>50</v>
      </c>
      <c r="D63" s="353"/>
      <c r="E63" s="354"/>
      <c r="F63" s="352"/>
      <c r="G63" s="348"/>
      <c r="H63" s="351"/>
      <c r="I63" s="352"/>
      <c r="J63" s="348"/>
      <c r="K63" s="351"/>
      <c r="L63" s="352"/>
      <c r="M63" s="346" t="str">
        <f>IF(E63="","",IF('att Calculations'!Q60="TRUE","Y","N"))</f>
        <v/>
      </c>
      <c r="N63" s="347" t="str">
        <f>IF(F63="","",IF('att Calculations'!R60="TRUE","Y","N"))</f>
        <v/>
      </c>
    </row>
    <row r="64" spans="3:14" s="19" customFormat="1" ht="15.6" x14ac:dyDescent="0.3">
      <c r="C64" s="342">
        <v>51</v>
      </c>
      <c r="D64" s="353"/>
      <c r="E64" s="354"/>
      <c r="F64" s="352"/>
      <c r="G64" s="348"/>
      <c r="H64" s="351"/>
      <c r="I64" s="352"/>
      <c r="J64" s="348"/>
      <c r="K64" s="351"/>
      <c r="L64" s="352"/>
      <c r="M64" s="346" t="str">
        <f>IF(E64="","",IF('att Calculations'!Q61="TRUE","Y","N"))</f>
        <v/>
      </c>
      <c r="N64" s="347" t="str">
        <f>IF(F64="","",IF('att Calculations'!R61="TRUE","Y","N"))</f>
        <v/>
      </c>
    </row>
    <row r="65" spans="3:14" s="19" customFormat="1" ht="15.6" x14ac:dyDescent="0.3">
      <c r="C65" s="342">
        <v>52</v>
      </c>
      <c r="D65" s="353"/>
      <c r="E65" s="354"/>
      <c r="F65" s="352"/>
      <c r="G65" s="348"/>
      <c r="H65" s="351"/>
      <c r="I65" s="352"/>
      <c r="J65" s="348"/>
      <c r="K65" s="351"/>
      <c r="L65" s="352"/>
      <c r="M65" s="346" t="str">
        <f>IF(E65="","",IF('att Calculations'!Q62="TRUE","Y","N"))</f>
        <v/>
      </c>
      <c r="N65" s="347" t="str">
        <f>IF(F65="","",IF('att Calculations'!R62="TRUE","Y","N"))</f>
        <v/>
      </c>
    </row>
    <row r="66" spans="3:14" s="19" customFormat="1" ht="15.6" x14ac:dyDescent="0.3">
      <c r="C66" s="342">
        <v>53</v>
      </c>
      <c r="D66" s="353"/>
      <c r="E66" s="354"/>
      <c r="F66" s="352"/>
      <c r="G66" s="348"/>
      <c r="H66" s="351"/>
      <c r="I66" s="352"/>
      <c r="J66" s="348"/>
      <c r="K66" s="351"/>
      <c r="L66" s="352"/>
      <c r="M66" s="346" t="str">
        <f>IF(E66="","",IF('att Calculations'!Q63="TRUE","Y","N"))</f>
        <v/>
      </c>
      <c r="N66" s="347" t="str">
        <f>IF(F66="","",IF('att Calculations'!R63="TRUE","Y","N"))</f>
        <v/>
      </c>
    </row>
    <row r="67" spans="3:14" s="19" customFormat="1" ht="15.6" x14ac:dyDescent="0.3">
      <c r="C67" s="342">
        <v>54</v>
      </c>
      <c r="D67" s="353"/>
      <c r="E67" s="354"/>
      <c r="F67" s="352"/>
      <c r="G67" s="348"/>
      <c r="H67" s="351"/>
      <c r="I67" s="352"/>
      <c r="J67" s="348"/>
      <c r="K67" s="351"/>
      <c r="L67" s="352"/>
      <c r="M67" s="346" t="str">
        <f>IF(E67="","",IF('att Calculations'!Q64="TRUE","Y","N"))</f>
        <v/>
      </c>
      <c r="N67" s="347" t="str">
        <f>IF(F67="","",IF('att Calculations'!R64="TRUE","Y","N"))</f>
        <v/>
      </c>
    </row>
    <row r="68" spans="3:14" s="19" customFormat="1" ht="15.6" x14ac:dyDescent="0.3">
      <c r="C68" s="342">
        <v>55</v>
      </c>
      <c r="D68" s="353"/>
      <c r="E68" s="354"/>
      <c r="F68" s="352"/>
      <c r="G68" s="348"/>
      <c r="H68" s="351"/>
      <c r="I68" s="352"/>
      <c r="J68" s="348"/>
      <c r="K68" s="351"/>
      <c r="L68" s="352"/>
      <c r="M68" s="346" t="str">
        <f>IF(E68="","",IF('att Calculations'!Q65="TRUE","Y","N"))</f>
        <v/>
      </c>
      <c r="N68" s="347" t="str">
        <f>IF(F68="","",IF('att Calculations'!R65="TRUE","Y","N"))</f>
        <v/>
      </c>
    </row>
    <row r="69" spans="3:14" s="19" customFormat="1" ht="15.6" x14ac:dyDescent="0.3">
      <c r="C69" s="342">
        <v>56</v>
      </c>
      <c r="D69" s="353"/>
      <c r="E69" s="354"/>
      <c r="F69" s="352"/>
      <c r="G69" s="348"/>
      <c r="H69" s="351"/>
      <c r="I69" s="352"/>
      <c r="J69" s="348"/>
      <c r="K69" s="351"/>
      <c r="L69" s="352"/>
      <c r="M69" s="346" t="str">
        <f>IF(E69="","",IF('att Calculations'!Q66="TRUE","Y","N"))</f>
        <v/>
      </c>
      <c r="N69" s="347" t="str">
        <f>IF(F69="","",IF('att Calculations'!R66="TRUE","Y","N"))</f>
        <v/>
      </c>
    </row>
    <row r="70" spans="3:14" s="19" customFormat="1" ht="15.6" x14ac:dyDescent="0.3">
      <c r="C70" s="342">
        <v>57</v>
      </c>
      <c r="D70" s="353"/>
      <c r="E70" s="354"/>
      <c r="F70" s="352"/>
      <c r="G70" s="348"/>
      <c r="H70" s="351"/>
      <c r="I70" s="352"/>
      <c r="J70" s="348"/>
      <c r="K70" s="351"/>
      <c r="L70" s="352"/>
      <c r="M70" s="346" t="str">
        <f>IF(E70="","",IF('att Calculations'!Q67="TRUE","Y","N"))</f>
        <v/>
      </c>
      <c r="N70" s="347" t="str">
        <f>IF(F70="","",IF('att Calculations'!R67="TRUE","Y","N"))</f>
        <v/>
      </c>
    </row>
    <row r="71" spans="3:14" s="19" customFormat="1" ht="15.6" x14ac:dyDescent="0.3">
      <c r="C71" s="342">
        <v>58</v>
      </c>
      <c r="D71" s="353"/>
      <c r="E71" s="354"/>
      <c r="F71" s="352"/>
      <c r="G71" s="348"/>
      <c r="H71" s="351"/>
      <c r="I71" s="352"/>
      <c r="J71" s="348"/>
      <c r="K71" s="351"/>
      <c r="L71" s="352"/>
      <c r="M71" s="346" t="str">
        <f>IF(E71="","",IF('att Calculations'!Q68="TRUE","Y","N"))</f>
        <v/>
      </c>
      <c r="N71" s="347" t="str">
        <f>IF(F71="","",IF('att Calculations'!R68="TRUE","Y","N"))</f>
        <v/>
      </c>
    </row>
    <row r="72" spans="3:14" s="19" customFormat="1" ht="15.6" x14ac:dyDescent="0.3">
      <c r="C72" s="342">
        <v>59</v>
      </c>
      <c r="D72" s="353"/>
      <c r="E72" s="354"/>
      <c r="F72" s="352"/>
      <c r="G72" s="348"/>
      <c r="H72" s="351"/>
      <c r="I72" s="352"/>
      <c r="J72" s="348"/>
      <c r="K72" s="351"/>
      <c r="L72" s="352"/>
      <c r="M72" s="346" t="str">
        <f>IF(E72="","",IF('att Calculations'!Q69="TRUE","Y","N"))</f>
        <v/>
      </c>
      <c r="N72" s="347" t="str">
        <f>IF(F72="","",IF('att Calculations'!R69="TRUE","Y","N"))</f>
        <v/>
      </c>
    </row>
    <row r="73" spans="3:14" s="19" customFormat="1" ht="15.6" x14ac:dyDescent="0.3">
      <c r="C73" s="342">
        <v>60</v>
      </c>
      <c r="D73" s="353"/>
      <c r="E73" s="354"/>
      <c r="F73" s="352"/>
      <c r="G73" s="348"/>
      <c r="H73" s="351"/>
      <c r="I73" s="352"/>
      <c r="J73" s="348"/>
      <c r="K73" s="351"/>
      <c r="L73" s="352"/>
      <c r="M73" s="346" t="str">
        <f>IF(E73="","",IF('att Calculations'!Q70="TRUE","Y","N"))</f>
        <v/>
      </c>
      <c r="N73" s="347" t="str">
        <f>IF(F73="","",IF('att Calculations'!R70="TRUE","Y","N"))</f>
        <v/>
      </c>
    </row>
    <row r="74" spans="3:14" s="19" customFormat="1" ht="15.6" x14ac:dyDescent="0.3">
      <c r="C74" s="342">
        <v>61</v>
      </c>
      <c r="D74" s="353"/>
      <c r="E74" s="354"/>
      <c r="F74" s="352"/>
      <c r="G74" s="348"/>
      <c r="H74" s="351"/>
      <c r="I74" s="352"/>
      <c r="J74" s="348"/>
      <c r="K74" s="351"/>
      <c r="L74" s="352"/>
      <c r="M74" s="346" t="str">
        <f>IF(E74="","",IF('att Calculations'!Q71="TRUE","Y","N"))</f>
        <v/>
      </c>
      <c r="N74" s="347" t="str">
        <f>IF(F74="","",IF('att Calculations'!R71="TRUE","Y","N"))</f>
        <v/>
      </c>
    </row>
    <row r="75" spans="3:14" s="19" customFormat="1" ht="15.6" x14ac:dyDescent="0.3">
      <c r="C75" s="342">
        <v>62</v>
      </c>
      <c r="D75" s="353"/>
      <c r="E75" s="354"/>
      <c r="F75" s="352"/>
      <c r="G75" s="348"/>
      <c r="H75" s="351"/>
      <c r="I75" s="352"/>
      <c r="J75" s="348"/>
      <c r="K75" s="351"/>
      <c r="L75" s="352"/>
      <c r="M75" s="346" t="str">
        <f>IF(E75="","",IF('att Calculations'!Q72="TRUE","Y","N"))</f>
        <v/>
      </c>
      <c r="N75" s="347" t="str">
        <f>IF(F75="","",IF('att Calculations'!R72="TRUE","Y","N"))</f>
        <v/>
      </c>
    </row>
    <row r="76" spans="3:14" s="19" customFormat="1" ht="15.6" x14ac:dyDescent="0.3">
      <c r="C76" s="342">
        <v>63</v>
      </c>
      <c r="D76" s="353"/>
      <c r="E76" s="354"/>
      <c r="F76" s="352"/>
      <c r="G76" s="348"/>
      <c r="H76" s="351"/>
      <c r="I76" s="352"/>
      <c r="J76" s="348"/>
      <c r="K76" s="351"/>
      <c r="L76" s="352"/>
      <c r="M76" s="346" t="str">
        <f>IF(E76="","",IF('att Calculations'!Q73="TRUE","Y","N"))</f>
        <v/>
      </c>
      <c r="N76" s="347" t="str">
        <f>IF(F76="","",IF('att Calculations'!R73="TRUE","Y","N"))</f>
        <v/>
      </c>
    </row>
    <row r="77" spans="3:14" s="19" customFormat="1" ht="15.6" x14ac:dyDescent="0.3">
      <c r="C77" s="342">
        <v>64</v>
      </c>
      <c r="D77" s="353"/>
      <c r="E77" s="354"/>
      <c r="F77" s="352"/>
      <c r="G77" s="348"/>
      <c r="H77" s="351"/>
      <c r="I77" s="352"/>
      <c r="J77" s="348"/>
      <c r="K77" s="351"/>
      <c r="L77" s="352"/>
      <c r="M77" s="346" t="str">
        <f>IF(E77="","",IF('att Calculations'!Q74="TRUE","Y","N"))</f>
        <v/>
      </c>
      <c r="N77" s="347" t="str">
        <f>IF(F77="","",IF('att Calculations'!R74="TRUE","Y","N"))</f>
        <v/>
      </c>
    </row>
    <row r="78" spans="3:14" s="19" customFormat="1" ht="15.6" x14ac:dyDescent="0.3">
      <c r="C78" s="342">
        <v>65</v>
      </c>
      <c r="D78" s="353"/>
      <c r="E78" s="354"/>
      <c r="F78" s="352"/>
      <c r="G78" s="348"/>
      <c r="H78" s="351"/>
      <c r="I78" s="352"/>
      <c r="J78" s="348"/>
      <c r="K78" s="351"/>
      <c r="L78" s="352"/>
      <c r="M78" s="346" t="str">
        <f>IF(E78="","",IF('att Calculations'!Q75="TRUE","Y","N"))</f>
        <v/>
      </c>
      <c r="N78" s="347" t="str">
        <f>IF(F78="","",IF('att Calculations'!R75="TRUE","Y","N"))</f>
        <v/>
      </c>
    </row>
    <row r="79" spans="3:14" s="19" customFormat="1" ht="15.6" x14ac:dyDescent="0.3">
      <c r="C79" s="342">
        <v>66</v>
      </c>
      <c r="D79" s="353"/>
      <c r="E79" s="354"/>
      <c r="F79" s="352"/>
      <c r="G79" s="348"/>
      <c r="H79" s="351"/>
      <c r="I79" s="352"/>
      <c r="J79" s="348"/>
      <c r="K79" s="351"/>
      <c r="L79" s="352"/>
      <c r="M79" s="346" t="str">
        <f>IF(E79="","",IF('att Calculations'!Q76="TRUE","Y","N"))</f>
        <v/>
      </c>
      <c r="N79" s="347" t="str">
        <f>IF(F79="","",IF('att Calculations'!R76="TRUE","Y","N"))</f>
        <v/>
      </c>
    </row>
    <row r="80" spans="3:14" s="19" customFormat="1" ht="15.6" x14ac:dyDescent="0.3">
      <c r="C80" s="342">
        <v>67</v>
      </c>
      <c r="D80" s="353"/>
      <c r="E80" s="354"/>
      <c r="F80" s="352"/>
      <c r="G80" s="348"/>
      <c r="H80" s="351"/>
      <c r="I80" s="352"/>
      <c r="J80" s="348"/>
      <c r="K80" s="351"/>
      <c r="L80" s="352"/>
      <c r="M80" s="346" t="str">
        <f>IF(E80="","",IF('att Calculations'!Q77="TRUE","Y","N"))</f>
        <v/>
      </c>
      <c r="N80" s="347" t="str">
        <f>IF(F80="","",IF('att Calculations'!R77="TRUE","Y","N"))</f>
        <v/>
      </c>
    </row>
    <row r="81" spans="3:14" s="19" customFormat="1" ht="15.6" x14ac:dyDescent="0.3">
      <c r="C81" s="342">
        <v>68</v>
      </c>
      <c r="D81" s="353"/>
      <c r="E81" s="354"/>
      <c r="F81" s="352"/>
      <c r="G81" s="348"/>
      <c r="H81" s="351"/>
      <c r="I81" s="352"/>
      <c r="J81" s="348"/>
      <c r="K81" s="351"/>
      <c r="L81" s="352"/>
      <c r="M81" s="346" t="str">
        <f>IF(E81="","",IF('att Calculations'!Q78="TRUE","Y","N"))</f>
        <v/>
      </c>
      <c r="N81" s="347" t="str">
        <f>IF(F81="","",IF('att Calculations'!R78="TRUE","Y","N"))</f>
        <v/>
      </c>
    </row>
    <row r="82" spans="3:14" s="19" customFormat="1" ht="15.6" x14ac:dyDescent="0.3">
      <c r="C82" s="342">
        <v>69</v>
      </c>
      <c r="D82" s="353"/>
      <c r="E82" s="354"/>
      <c r="F82" s="352"/>
      <c r="G82" s="348"/>
      <c r="H82" s="351"/>
      <c r="I82" s="352"/>
      <c r="J82" s="348"/>
      <c r="K82" s="351"/>
      <c r="L82" s="352"/>
      <c r="M82" s="346" t="str">
        <f>IF(E82="","",IF('att Calculations'!Q79="TRUE","Y","N"))</f>
        <v/>
      </c>
      <c r="N82" s="347" t="str">
        <f>IF(F82="","",IF('att Calculations'!R79="TRUE","Y","N"))</f>
        <v/>
      </c>
    </row>
    <row r="83" spans="3:14" s="19" customFormat="1" ht="15.6" x14ac:dyDescent="0.3">
      <c r="C83" s="342">
        <v>70</v>
      </c>
      <c r="D83" s="353"/>
      <c r="E83" s="354"/>
      <c r="F83" s="352"/>
      <c r="G83" s="348"/>
      <c r="H83" s="351"/>
      <c r="I83" s="352"/>
      <c r="J83" s="348"/>
      <c r="K83" s="351"/>
      <c r="L83" s="352"/>
      <c r="M83" s="346" t="str">
        <f>IF(E83="","",IF('att Calculations'!Q80="TRUE","Y","N"))</f>
        <v/>
      </c>
      <c r="N83" s="347" t="str">
        <f>IF(F83="","",IF('att Calculations'!R80="TRUE","Y","N"))</f>
        <v/>
      </c>
    </row>
    <row r="84" spans="3:14" s="19" customFormat="1" ht="15.6" x14ac:dyDescent="0.3">
      <c r="C84" s="342">
        <v>71</v>
      </c>
      <c r="D84" s="353"/>
      <c r="E84" s="354"/>
      <c r="F84" s="352"/>
      <c r="G84" s="348"/>
      <c r="H84" s="351"/>
      <c r="I84" s="352"/>
      <c r="J84" s="348"/>
      <c r="K84" s="351"/>
      <c r="L84" s="352"/>
      <c r="M84" s="346" t="str">
        <f>IF(E84="","",IF('att Calculations'!Q81="TRUE","Y","N"))</f>
        <v/>
      </c>
      <c r="N84" s="347" t="str">
        <f>IF(F84="","",IF('att Calculations'!R81="TRUE","Y","N"))</f>
        <v/>
      </c>
    </row>
    <row r="85" spans="3:14" s="19" customFormat="1" ht="15.6" x14ac:dyDescent="0.3">
      <c r="C85" s="342">
        <v>72</v>
      </c>
      <c r="D85" s="353"/>
      <c r="E85" s="354"/>
      <c r="F85" s="352"/>
      <c r="G85" s="345"/>
      <c r="H85" s="351"/>
      <c r="I85" s="352"/>
      <c r="J85" s="345"/>
      <c r="K85" s="351"/>
      <c r="L85" s="352"/>
      <c r="M85" s="346" t="str">
        <f>IF(E85="","",IF('att Calculations'!Q82="TRUE","Y","N"))</f>
        <v/>
      </c>
      <c r="N85" s="347" t="str">
        <f>IF(F85="","",IF('att Calculations'!R82="TRUE","Y","N"))</f>
        <v/>
      </c>
    </row>
    <row r="86" spans="3:14" s="19" customFormat="1" ht="15.6" x14ac:dyDescent="0.3">
      <c r="C86" s="342">
        <v>73</v>
      </c>
      <c r="D86" s="353"/>
      <c r="E86" s="354"/>
      <c r="F86" s="352"/>
      <c r="G86" s="345"/>
      <c r="H86" s="351"/>
      <c r="I86" s="352"/>
      <c r="J86" s="345"/>
      <c r="K86" s="355"/>
      <c r="L86" s="356"/>
      <c r="M86" s="346" t="str">
        <f>IF(E86="","",IF('att Calculations'!Q83="TRUE","Y","N"))</f>
        <v/>
      </c>
      <c r="N86" s="347" t="str">
        <f>IF(F86="","",IF('att Calculations'!R83="TRUE","Y","N"))</f>
        <v/>
      </c>
    </row>
    <row r="87" spans="3:14" s="19" customFormat="1" ht="15.6" x14ac:dyDescent="0.3">
      <c r="C87" s="342">
        <v>74</v>
      </c>
      <c r="D87" s="353"/>
      <c r="E87" s="354"/>
      <c r="F87" s="352"/>
      <c r="G87" s="345"/>
      <c r="H87" s="351"/>
      <c r="I87" s="352"/>
      <c r="J87" s="345"/>
      <c r="K87" s="351"/>
      <c r="L87" s="352"/>
      <c r="M87" s="346" t="str">
        <f>IF(E87="","",IF('att Calculations'!Q84="TRUE","Y","N"))</f>
        <v/>
      </c>
      <c r="N87" s="347" t="str">
        <f>IF(F87="","",IF('att Calculations'!R84="TRUE","Y","N"))</f>
        <v/>
      </c>
    </row>
    <row r="88" spans="3:14" s="19" customFormat="1" ht="15.6" x14ac:dyDescent="0.3">
      <c r="C88" s="342">
        <v>75</v>
      </c>
      <c r="D88" s="353"/>
      <c r="E88" s="354"/>
      <c r="F88" s="356"/>
      <c r="G88" s="345"/>
      <c r="H88" s="355"/>
      <c r="I88" s="356"/>
      <c r="J88" s="345"/>
      <c r="K88" s="351"/>
      <c r="L88" s="352"/>
      <c r="M88" s="346" t="str">
        <f>IF(E88="","",IF('att Calculations'!Q85="TRUE","Y","N"))</f>
        <v/>
      </c>
      <c r="N88" s="347" t="str">
        <f>IF(F88="","",IF('att Calculations'!R85="TRUE","Y","N"))</f>
        <v/>
      </c>
    </row>
    <row r="89" spans="3:14" s="19" customFormat="1" ht="15.6" x14ac:dyDescent="0.3">
      <c r="C89" s="342">
        <v>76</v>
      </c>
      <c r="D89" s="353"/>
      <c r="E89" s="354"/>
      <c r="F89" s="352"/>
      <c r="G89" s="345"/>
      <c r="H89" s="351"/>
      <c r="I89" s="352"/>
      <c r="J89" s="345"/>
      <c r="K89" s="351"/>
      <c r="L89" s="352"/>
      <c r="M89" s="346" t="str">
        <f>IF(E89="","",IF('att Calculations'!Q86="TRUE","Y","N"))</f>
        <v/>
      </c>
      <c r="N89" s="347" t="str">
        <f>IF(F89="","",IF('att Calculations'!R86="TRUE","Y","N"))</f>
        <v/>
      </c>
    </row>
    <row r="90" spans="3:14" s="19" customFormat="1" ht="15.6" x14ac:dyDescent="0.3">
      <c r="C90" s="342">
        <v>77</v>
      </c>
      <c r="D90" s="353"/>
      <c r="E90" s="354"/>
      <c r="F90" s="352"/>
      <c r="G90" s="345"/>
      <c r="H90" s="351"/>
      <c r="I90" s="352"/>
      <c r="J90" s="345"/>
      <c r="K90" s="351"/>
      <c r="L90" s="352"/>
      <c r="M90" s="346" t="str">
        <f>IF(E90="","",IF('att Calculations'!Q87="TRUE","Y","N"))</f>
        <v/>
      </c>
      <c r="N90" s="347" t="str">
        <f>IF(F90="","",IF('att Calculations'!R87="TRUE","Y","N"))</f>
        <v/>
      </c>
    </row>
    <row r="91" spans="3:14" s="19" customFormat="1" ht="15.6" x14ac:dyDescent="0.3">
      <c r="C91" s="342">
        <v>78</v>
      </c>
      <c r="D91" s="353"/>
      <c r="E91" s="354"/>
      <c r="F91" s="352"/>
      <c r="G91" s="345"/>
      <c r="H91" s="351"/>
      <c r="I91" s="352"/>
      <c r="J91" s="345"/>
      <c r="K91" s="351"/>
      <c r="L91" s="352"/>
      <c r="M91" s="346" t="str">
        <f>IF(E91="","",IF('att Calculations'!Q88="TRUE","Y","N"))</f>
        <v/>
      </c>
      <c r="N91" s="347" t="str">
        <f>IF(F91="","",IF('att Calculations'!R88="TRUE","Y","N"))</f>
        <v/>
      </c>
    </row>
    <row r="92" spans="3:14" s="19" customFormat="1" ht="15.6" x14ac:dyDescent="0.3">
      <c r="C92" s="342">
        <v>79</v>
      </c>
      <c r="D92" s="353"/>
      <c r="E92" s="354"/>
      <c r="F92" s="352"/>
      <c r="G92" s="345"/>
      <c r="H92" s="355"/>
      <c r="I92" s="356"/>
      <c r="J92" s="345"/>
      <c r="K92" s="351"/>
      <c r="L92" s="352"/>
      <c r="M92" s="346" t="str">
        <f>IF(E92="","",IF('att Calculations'!Q89="TRUE","Y","N"))</f>
        <v/>
      </c>
      <c r="N92" s="347" t="str">
        <f>IF(F92="","",IF('att Calculations'!R89="TRUE","Y","N"))</f>
        <v/>
      </c>
    </row>
    <row r="93" spans="3:14" s="19" customFormat="1" ht="15.6" x14ac:dyDescent="0.3">
      <c r="C93" s="342">
        <v>80</v>
      </c>
      <c r="D93" s="353"/>
      <c r="E93" s="354"/>
      <c r="F93" s="352"/>
      <c r="G93" s="345"/>
      <c r="H93" s="351"/>
      <c r="I93" s="352"/>
      <c r="J93" s="345"/>
      <c r="K93" s="351"/>
      <c r="L93" s="352"/>
      <c r="M93" s="346" t="str">
        <f>IF(E93="","",IF('att Calculations'!Q90="TRUE","Y","N"))</f>
        <v/>
      </c>
      <c r="N93" s="347" t="str">
        <f>IF(F93="","",IF('att Calculations'!R90="TRUE","Y","N"))</f>
        <v/>
      </c>
    </row>
    <row r="94" spans="3:14" s="19" customFormat="1" ht="15.6" x14ac:dyDescent="0.3">
      <c r="C94" s="342">
        <v>81</v>
      </c>
      <c r="D94" s="353"/>
      <c r="E94" s="354"/>
      <c r="F94" s="352"/>
      <c r="G94" s="345"/>
      <c r="H94" s="351"/>
      <c r="I94" s="352"/>
      <c r="J94" s="345"/>
      <c r="K94" s="351"/>
      <c r="L94" s="352"/>
      <c r="M94" s="346" t="str">
        <f>IF(E94="","",IF('att Calculations'!Q91="TRUE","Y","N"))</f>
        <v/>
      </c>
      <c r="N94" s="347" t="str">
        <f>IF(F94="","",IF('att Calculations'!R91="TRUE","Y","N"))</f>
        <v/>
      </c>
    </row>
    <row r="95" spans="3:14" s="19" customFormat="1" ht="15.6" x14ac:dyDescent="0.3">
      <c r="C95" s="342">
        <v>82</v>
      </c>
      <c r="D95" s="353"/>
      <c r="E95" s="354"/>
      <c r="F95" s="352"/>
      <c r="G95" s="345"/>
      <c r="H95" s="351"/>
      <c r="I95" s="352"/>
      <c r="J95" s="345"/>
      <c r="K95" s="351"/>
      <c r="L95" s="352"/>
      <c r="M95" s="346" t="str">
        <f>IF(E95="","",IF('att Calculations'!Q92="TRUE","Y","N"))</f>
        <v/>
      </c>
      <c r="N95" s="347" t="str">
        <f>IF(F95="","",IF('att Calculations'!R92="TRUE","Y","N"))</f>
        <v/>
      </c>
    </row>
    <row r="96" spans="3:14" s="19" customFormat="1" ht="15.6" x14ac:dyDescent="0.3">
      <c r="C96" s="342">
        <v>83</v>
      </c>
      <c r="D96" s="353"/>
      <c r="E96" s="354"/>
      <c r="F96" s="352"/>
      <c r="G96" s="345"/>
      <c r="H96" s="351"/>
      <c r="I96" s="352"/>
      <c r="J96" s="345"/>
      <c r="K96" s="351"/>
      <c r="L96" s="352"/>
      <c r="M96" s="346" t="str">
        <f>IF(E96="","",IF('att Calculations'!Q93="TRUE","Y","N"))</f>
        <v/>
      </c>
      <c r="N96" s="347" t="str">
        <f>IF(F96="","",IF('att Calculations'!R93="TRUE","Y","N"))</f>
        <v/>
      </c>
    </row>
    <row r="97" spans="3:14" s="19" customFormat="1" ht="15.6" x14ac:dyDescent="0.3">
      <c r="C97" s="342">
        <v>84</v>
      </c>
      <c r="D97" s="353"/>
      <c r="E97" s="354"/>
      <c r="F97" s="352"/>
      <c r="G97" s="345"/>
      <c r="H97" s="351"/>
      <c r="I97" s="352"/>
      <c r="J97" s="345"/>
      <c r="K97" s="351"/>
      <c r="L97" s="352"/>
      <c r="M97" s="346" t="str">
        <f>IF(E97="","",IF('att Calculations'!Q94="TRUE","Y","N"))</f>
        <v/>
      </c>
      <c r="N97" s="347" t="str">
        <f>IF(F97="","",IF('att Calculations'!R94="TRUE","Y","N"))</f>
        <v/>
      </c>
    </row>
    <row r="98" spans="3:14" s="19" customFormat="1" ht="15.6" x14ac:dyDescent="0.3">
      <c r="C98" s="342">
        <v>85</v>
      </c>
      <c r="D98" s="353"/>
      <c r="E98" s="354"/>
      <c r="F98" s="352"/>
      <c r="G98" s="345"/>
      <c r="H98" s="351"/>
      <c r="I98" s="352"/>
      <c r="J98" s="345"/>
      <c r="K98" s="351"/>
      <c r="L98" s="352"/>
      <c r="M98" s="346" t="str">
        <f>IF(E98="","",IF('att Calculations'!Q95="TRUE","Y","N"))</f>
        <v/>
      </c>
      <c r="N98" s="347" t="str">
        <f>IF(F98="","",IF('att Calculations'!R95="TRUE","Y","N"))</f>
        <v/>
      </c>
    </row>
    <row r="99" spans="3:14" s="19" customFormat="1" ht="15.6" x14ac:dyDescent="0.3">
      <c r="C99" s="342">
        <v>86</v>
      </c>
      <c r="D99" s="353"/>
      <c r="E99" s="354"/>
      <c r="F99" s="352"/>
      <c r="G99" s="345"/>
      <c r="H99" s="351"/>
      <c r="I99" s="352"/>
      <c r="J99" s="345"/>
      <c r="K99" s="351"/>
      <c r="L99" s="352"/>
      <c r="M99" s="346" t="str">
        <f>IF(E99="","",IF('att Calculations'!Q96="TRUE","Y","N"))</f>
        <v/>
      </c>
      <c r="N99" s="347" t="str">
        <f>IF(F99="","",IF('att Calculations'!R96="TRUE","Y","N"))</f>
        <v/>
      </c>
    </row>
    <row r="100" spans="3:14" s="19" customFormat="1" ht="15.6" x14ac:dyDescent="0.3">
      <c r="C100" s="342">
        <v>87</v>
      </c>
      <c r="D100" s="353"/>
      <c r="E100" s="354"/>
      <c r="F100" s="352"/>
      <c r="G100" s="345"/>
      <c r="H100" s="351"/>
      <c r="I100" s="352"/>
      <c r="J100" s="345"/>
      <c r="K100" s="351"/>
      <c r="L100" s="352"/>
      <c r="M100" s="346" t="str">
        <f>IF(E100="","",IF('att Calculations'!Q97="TRUE","Y","N"))</f>
        <v/>
      </c>
      <c r="N100" s="347" t="str">
        <f>IF(F100="","",IF('att Calculations'!R97="TRUE","Y","N"))</f>
        <v/>
      </c>
    </row>
    <row r="101" spans="3:14" s="19" customFormat="1" ht="15.6" x14ac:dyDescent="0.3">
      <c r="C101" s="342">
        <v>88</v>
      </c>
      <c r="D101" s="353"/>
      <c r="E101" s="354"/>
      <c r="F101" s="352"/>
      <c r="G101" s="345"/>
      <c r="H101" s="351"/>
      <c r="I101" s="352"/>
      <c r="J101" s="345"/>
      <c r="K101" s="351"/>
      <c r="L101" s="352"/>
      <c r="M101" s="346" t="str">
        <f>IF(E101="","",IF('att Calculations'!Q98="TRUE","Y","N"))</f>
        <v/>
      </c>
      <c r="N101" s="347" t="str">
        <f>IF(F101="","",IF('att Calculations'!R98="TRUE","Y","N"))</f>
        <v/>
      </c>
    </row>
    <row r="102" spans="3:14" s="19" customFormat="1" ht="15.6" x14ac:dyDescent="0.3">
      <c r="C102" s="342">
        <v>89</v>
      </c>
      <c r="D102" s="353"/>
      <c r="E102" s="354"/>
      <c r="F102" s="352"/>
      <c r="G102" s="345"/>
      <c r="H102" s="351"/>
      <c r="I102" s="352"/>
      <c r="J102" s="345"/>
      <c r="K102" s="351"/>
      <c r="L102" s="352"/>
      <c r="M102" s="346" t="str">
        <f>IF(E102="","",IF('att Calculations'!Q99="TRUE","Y","N"))</f>
        <v/>
      </c>
      <c r="N102" s="347" t="str">
        <f>IF(F102="","",IF('att Calculations'!R99="TRUE","Y","N"))</f>
        <v/>
      </c>
    </row>
    <row r="103" spans="3:14" s="19" customFormat="1" ht="15.6" x14ac:dyDescent="0.3">
      <c r="C103" s="342">
        <v>90</v>
      </c>
      <c r="D103" s="353"/>
      <c r="E103" s="354"/>
      <c r="F103" s="352"/>
      <c r="G103" s="345"/>
      <c r="H103" s="351"/>
      <c r="I103" s="352"/>
      <c r="J103" s="345"/>
      <c r="K103" s="351"/>
      <c r="L103" s="352"/>
      <c r="M103" s="346" t="str">
        <f>IF(E103="","",IF('att Calculations'!Q100="TRUE","Y","N"))</f>
        <v/>
      </c>
      <c r="N103" s="347" t="str">
        <f>IF(F103="","",IF('att Calculations'!R100="TRUE","Y","N"))</f>
        <v/>
      </c>
    </row>
    <row r="104" spans="3:14" s="19" customFormat="1" ht="15.6" x14ac:dyDescent="0.3">
      <c r="C104" s="342">
        <v>91</v>
      </c>
      <c r="D104" s="353"/>
      <c r="E104" s="354"/>
      <c r="F104" s="352"/>
      <c r="G104" s="345"/>
      <c r="H104" s="351"/>
      <c r="I104" s="352"/>
      <c r="J104" s="345"/>
      <c r="K104" s="351"/>
      <c r="L104" s="352"/>
      <c r="M104" s="346" t="str">
        <f>IF(E104="","",IF('att Calculations'!Q101="TRUE","Y","N"))</f>
        <v/>
      </c>
      <c r="N104" s="347" t="str">
        <f>IF(F104="","",IF('att Calculations'!R101="TRUE","Y","N"))</f>
        <v/>
      </c>
    </row>
    <row r="105" spans="3:14" s="19" customFormat="1" ht="15.6" x14ac:dyDescent="0.3">
      <c r="C105" s="342">
        <v>92</v>
      </c>
      <c r="D105" s="353"/>
      <c r="E105" s="354"/>
      <c r="F105" s="352"/>
      <c r="G105" s="345"/>
      <c r="H105" s="351"/>
      <c r="I105" s="352"/>
      <c r="J105" s="345"/>
      <c r="K105" s="351"/>
      <c r="L105" s="352"/>
      <c r="M105" s="346" t="str">
        <f>IF(E105="","",IF('att Calculations'!Q102="TRUE","Y","N"))</f>
        <v/>
      </c>
      <c r="N105" s="347" t="str">
        <f>IF(F105="","",IF('att Calculations'!R102="TRUE","Y","N"))</f>
        <v/>
      </c>
    </row>
    <row r="106" spans="3:14" s="19" customFormat="1" ht="15.6" x14ac:dyDescent="0.3">
      <c r="C106" s="342">
        <v>93</v>
      </c>
      <c r="D106" s="353"/>
      <c r="E106" s="354"/>
      <c r="F106" s="352"/>
      <c r="G106" s="345"/>
      <c r="H106" s="351"/>
      <c r="I106" s="352"/>
      <c r="J106" s="345"/>
      <c r="K106" s="351"/>
      <c r="L106" s="352"/>
      <c r="M106" s="346" t="str">
        <f>IF(E106="","",IF('att Calculations'!Q103="TRUE","Y","N"))</f>
        <v/>
      </c>
      <c r="N106" s="347" t="str">
        <f>IF(F106="","",IF('att Calculations'!R103="TRUE","Y","N"))</f>
        <v/>
      </c>
    </row>
    <row r="107" spans="3:14" s="19" customFormat="1" ht="15.6" x14ac:dyDescent="0.3">
      <c r="C107" s="342">
        <v>94</v>
      </c>
      <c r="D107" s="353"/>
      <c r="E107" s="354"/>
      <c r="F107" s="352"/>
      <c r="G107" s="345"/>
      <c r="H107" s="351"/>
      <c r="I107" s="352"/>
      <c r="J107" s="345"/>
      <c r="K107" s="351"/>
      <c r="L107" s="352"/>
      <c r="M107" s="346" t="str">
        <f>IF(E107="","",IF('att Calculations'!Q104="TRUE","Y","N"))</f>
        <v/>
      </c>
      <c r="N107" s="347" t="str">
        <f>IF(F107="","",IF('att Calculations'!R104="TRUE","Y","N"))</f>
        <v/>
      </c>
    </row>
    <row r="108" spans="3:14" s="19" customFormat="1" ht="15.6" x14ac:dyDescent="0.3">
      <c r="C108" s="342">
        <v>95</v>
      </c>
      <c r="D108" s="353"/>
      <c r="E108" s="354"/>
      <c r="F108" s="352"/>
      <c r="G108" s="345"/>
      <c r="H108" s="351"/>
      <c r="I108" s="352"/>
      <c r="J108" s="345"/>
      <c r="K108" s="351"/>
      <c r="L108" s="352"/>
      <c r="M108" s="346" t="str">
        <f>IF(E108="","",IF('att Calculations'!Q105="TRUE","Y","N"))</f>
        <v/>
      </c>
      <c r="N108" s="347" t="str">
        <f>IF(F108="","",IF('att Calculations'!R105="TRUE","Y","N"))</f>
        <v/>
      </c>
    </row>
    <row r="109" spans="3:14" s="19" customFormat="1" ht="15.6" x14ac:dyDescent="0.3">
      <c r="C109" s="342">
        <v>96</v>
      </c>
      <c r="D109" s="353"/>
      <c r="E109" s="354"/>
      <c r="F109" s="352"/>
      <c r="G109" s="345"/>
      <c r="H109" s="351"/>
      <c r="I109" s="352"/>
      <c r="J109" s="345"/>
      <c r="K109" s="351"/>
      <c r="L109" s="352"/>
      <c r="M109" s="346" t="str">
        <f>IF(E109="","",IF('att Calculations'!Q106="TRUE","Y","N"))</f>
        <v/>
      </c>
      <c r="N109" s="347" t="str">
        <f>IF(F109="","",IF('att Calculations'!R106="TRUE","Y","N"))</f>
        <v/>
      </c>
    </row>
    <row r="110" spans="3:14" ht="15.6" x14ac:dyDescent="0.3">
      <c r="C110" s="342">
        <v>97</v>
      </c>
      <c r="D110" s="353"/>
      <c r="E110" s="354"/>
      <c r="F110" s="352"/>
      <c r="G110" s="345"/>
      <c r="H110" s="351"/>
      <c r="I110" s="352"/>
      <c r="J110" s="345"/>
      <c r="K110" s="351"/>
      <c r="L110" s="352"/>
      <c r="M110" s="346" t="str">
        <f>IF(E110="","",IF('att Calculations'!Q107="TRUE","Y","N"))</f>
        <v/>
      </c>
      <c r="N110" s="347" t="str">
        <f>IF(F110="","",IF('att Calculations'!R107="TRUE","Y","N"))</f>
        <v/>
      </c>
    </row>
    <row r="111" spans="3:14" ht="15.6" x14ac:dyDescent="0.3">
      <c r="C111" s="342">
        <v>98</v>
      </c>
      <c r="D111" s="353"/>
      <c r="E111" s="354"/>
      <c r="F111" s="352"/>
      <c r="G111" s="345"/>
      <c r="H111" s="351"/>
      <c r="I111" s="352"/>
      <c r="J111" s="345"/>
      <c r="K111" s="351"/>
      <c r="L111" s="352"/>
      <c r="M111" s="346" t="str">
        <f>IF(E111="","",IF('att Calculations'!Q108="TRUE","Y","N"))</f>
        <v/>
      </c>
      <c r="N111" s="347" t="str">
        <f>IF(F111="","",IF('att Calculations'!R108="TRUE","Y","N"))</f>
        <v/>
      </c>
    </row>
    <row r="112" spans="3:14" ht="15.6" x14ac:dyDescent="0.3">
      <c r="C112" s="342">
        <v>99</v>
      </c>
      <c r="D112" s="353"/>
      <c r="E112" s="354"/>
      <c r="F112" s="352"/>
      <c r="G112" s="345"/>
      <c r="H112" s="351"/>
      <c r="I112" s="352"/>
      <c r="J112" s="345"/>
      <c r="K112" s="351"/>
      <c r="L112" s="352"/>
      <c r="M112" s="346" t="str">
        <f>IF(E112="","",IF('att Calculations'!Q109="TRUE","Y","N"))</f>
        <v/>
      </c>
      <c r="N112" s="347" t="str">
        <f>IF(F112="","",IF('att Calculations'!R109="TRUE","Y","N"))</f>
        <v/>
      </c>
    </row>
    <row r="113" spans="3:14" ht="16.2" thickBot="1" x14ac:dyDescent="0.35">
      <c r="C113" s="340">
        <v>100</v>
      </c>
      <c r="D113" s="353"/>
      <c r="E113" s="354"/>
      <c r="F113" s="352"/>
      <c r="G113" s="357"/>
      <c r="H113" s="351"/>
      <c r="I113" s="352"/>
      <c r="J113" s="357"/>
      <c r="K113" s="351"/>
      <c r="L113" s="352"/>
      <c r="M113" s="358" t="str">
        <f>IF(E113="","",IF('att Calculations'!Q110="TRUE","Y","N"))</f>
        <v/>
      </c>
      <c r="N113" s="359" t="str">
        <f>IF(F113="","",IF('att Calculations'!R110="TRUE","Y","N"))</f>
        <v/>
      </c>
    </row>
    <row r="114" spans="3:14" ht="18" thickBot="1" x14ac:dyDescent="0.35">
      <c r="C114" s="360"/>
      <c r="D114" s="361" t="s">
        <v>305</v>
      </c>
      <c r="E114" s="362"/>
      <c r="F114" s="363">
        <f>'att Calculations'!F111</f>
        <v>1</v>
      </c>
      <c r="G114" s="364"/>
      <c r="H114" s="365"/>
      <c r="I114" s="363">
        <f>'att Calculations'!J111</f>
        <v>1</v>
      </c>
      <c r="J114" s="364"/>
      <c r="K114" s="365"/>
      <c r="L114" s="363">
        <f>IF(K14="","0%",'att Calculations'!N111)</f>
        <v>1</v>
      </c>
      <c r="M114" s="366"/>
    </row>
    <row r="115" spans="3:14" s="373" customFormat="1" ht="18" thickBot="1" x14ac:dyDescent="0.35">
      <c r="C115" s="367"/>
      <c r="D115" s="368" t="s">
        <v>306</v>
      </c>
      <c r="E115" s="369"/>
      <c r="F115" s="370">
        <f>IF(D14="","Known",'att Calculations'!H111)</f>
        <v>0.7</v>
      </c>
      <c r="G115" s="371"/>
      <c r="H115" s="371"/>
      <c r="I115" s="372">
        <f>IF(D14="","Known",'att Calculations'!L111)</f>
        <v>0.7</v>
      </c>
      <c r="J115" s="371"/>
      <c r="K115" s="371"/>
      <c r="L115" s="372">
        <f>IF(D14="","Known",'att Calculations'!P111)</f>
        <v>0.7</v>
      </c>
    </row>
    <row r="116" spans="3:14" ht="13.8" thickBot="1" x14ac:dyDescent="0.3"/>
    <row r="117" spans="3:14" ht="18" thickBot="1" x14ac:dyDescent="0.35">
      <c r="F117" s="374"/>
      <c r="G117" s="374"/>
      <c r="H117" s="374"/>
      <c r="I117" s="374"/>
      <c r="J117" s="374"/>
      <c r="K117" s="374"/>
      <c r="L117" s="375" t="s">
        <v>307</v>
      </c>
      <c r="M117" s="376">
        <f>COUNTIF(M14:M113,"Y")/(100-COUNTBLANK(M14:M113))</f>
        <v>1</v>
      </c>
    </row>
    <row r="118" spans="3:14" ht="18" thickBot="1" x14ac:dyDescent="0.35">
      <c r="F118" s="374"/>
      <c r="G118" s="374"/>
      <c r="H118" s="374"/>
      <c r="I118" s="374"/>
      <c r="J118" s="371"/>
      <c r="K118" s="371"/>
      <c r="L118" s="374"/>
      <c r="M118" s="377" t="s">
        <v>308</v>
      </c>
      <c r="N118" s="376">
        <f>COUNTIF(N14:N113,"Y")/(100-COUNTBLANK(N14:N113))</f>
        <v>0.7</v>
      </c>
    </row>
    <row r="119" spans="3:14" ht="17.399999999999999" x14ac:dyDescent="0.3">
      <c r="C119" s="13"/>
      <c r="D119" s="13"/>
      <c r="I119" s="378"/>
      <c r="J119" s="373"/>
      <c r="K119" s="373"/>
      <c r="L119" s="373"/>
      <c r="M119" s="373"/>
    </row>
    <row r="120" spans="3:14" ht="17.399999999999999" x14ac:dyDescent="0.3">
      <c r="C120" s="318"/>
    </row>
    <row r="121" spans="3:14" ht="15" x14ac:dyDescent="0.25">
      <c r="C121" s="379"/>
      <c r="D121" s="316"/>
    </row>
    <row r="122" spans="3:14" ht="15" x14ac:dyDescent="0.25">
      <c r="C122" s="380"/>
      <c r="D122" s="316"/>
    </row>
    <row r="123" spans="3:14" ht="15" x14ac:dyDescent="0.25">
      <c r="C123" s="379"/>
      <c r="D123" s="316"/>
    </row>
    <row r="124" spans="3:14" ht="15" x14ac:dyDescent="0.25">
      <c r="D124" s="316"/>
    </row>
    <row r="125" spans="3:14" ht="15" x14ac:dyDescent="0.25">
      <c r="C125" s="380"/>
      <c r="D125" s="316"/>
    </row>
    <row r="126" spans="3:14" ht="15" x14ac:dyDescent="0.25">
      <c r="D126" s="316"/>
    </row>
    <row r="127" spans="3:14" ht="15" x14ac:dyDescent="0.25">
      <c r="C127" s="380"/>
      <c r="D127" s="316"/>
    </row>
  </sheetData>
  <dataConsolidate/>
  <hyperlinks>
    <hyperlink ref="O1" location="Menu!A1" display="Return to menu" xr:uid="{00000000-0004-0000-0900-000000000000}"/>
  </hyperlinks>
  <printOptions gridLinesSet="0"/>
  <pageMargins left="0.75" right="0.75" top="1" bottom="1" header="0.5" footer="0.5"/>
  <pageSetup orientation="portrait" horizontalDpi="4294967292" r:id="rId1"/>
  <headerFooter alignWithMargins="0">
    <oddHeader>&amp;A</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C1:P128"/>
  <sheetViews>
    <sheetView showGridLines="0" topLeftCell="B1" zoomScale="70" workbookViewId="0">
      <selection activeCell="M6" sqref="M6"/>
    </sheetView>
  </sheetViews>
  <sheetFormatPr defaultColWidth="8.88671875" defaultRowHeight="13.2" x14ac:dyDescent="0.25"/>
  <cols>
    <col min="1" max="2" width="8.88671875" style="13"/>
    <col min="3" max="3" width="15.21875" style="13" customWidth="1"/>
    <col min="4" max="6" width="14.44140625" style="13" customWidth="1"/>
    <col min="7" max="7" width="2.109375" style="13" customWidth="1"/>
    <col min="8" max="9" width="14.44140625" style="13" customWidth="1"/>
    <col min="10" max="10" width="2.109375" style="13" customWidth="1"/>
    <col min="11" max="12" width="14.44140625" style="13" customWidth="1"/>
    <col min="13" max="13" width="13" style="13" customWidth="1"/>
    <col min="14" max="14" width="10.44140625" style="40" customWidth="1"/>
    <col min="15" max="15" width="8.88671875" style="13"/>
    <col min="16" max="16" width="21.44140625" style="13" bestFit="1" customWidth="1"/>
    <col min="17" max="258" width="8.88671875" style="13"/>
    <col min="259" max="259" width="15.21875" style="13" customWidth="1"/>
    <col min="260" max="262" width="14.44140625" style="13" customWidth="1"/>
    <col min="263" max="263" width="2.109375" style="13" customWidth="1"/>
    <col min="264" max="265" width="14.44140625" style="13" customWidth="1"/>
    <col min="266" max="266" width="2.109375" style="13" customWidth="1"/>
    <col min="267" max="268" width="14.44140625" style="13" customWidth="1"/>
    <col min="269" max="269" width="13" style="13" customWidth="1"/>
    <col min="270" max="270" width="10.44140625" style="13" customWidth="1"/>
    <col min="271" max="514" width="8.88671875" style="13"/>
    <col min="515" max="515" width="15.21875" style="13" customWidth="1"/>
    <col min="516" max="518" width="14.44140625" style="13" customWidth="1"/>
    <col min="519" max="519" width="2.109375" style="13" customWidth="1"/>
    <col min="520" max="521" width="14.44140625" style="13" customWidth="1"/>
    <col min="522" max="522" width="2.109375" style="13" customWidth="1"/>
    <col min="523" max="524" width="14.44140625" style="13" customWidth="1"/>
    <col min="525" max="525" width="13" style="13" customWidth="1"/>
    <col min="526" max="526" width="10.44140625" style="13" customWidth="1"/>
    <col min="527" max="770" width="8.88671875" style="13"/>
    <col min="771" max="771" width="15.21875" style="13" customWidth="1"/>
    <col min="772" max="774" width="14.44140625" style="13" customWidth="1"/>
    <col min="775" max="775" width="2.109375" style="13" customWidth="1"/>
    <col min="776" max="777" width="14.44140625" style="13" customWidth="1"/>
    <col min="778" max="778" width="2.109375" style="13" customWidth="1"/>
    <col min="779" max="780" width="14.44140625" style="13" customWidth="1"/>
    <col min="781" max="781" width="13" style="13" customWidth="1"/>
    <col min="782" max="782" width="10.44140625" style="13" customWidth="1"/>
    <col min="783" max="1026" width="8.88671875" style="13"/>
    <col min="1027" max="1027" width="15.21875" style="13" customWidth="1"/>
    <col min="1028" max="1030" width="14.44140625" style="13" customWidth="1"/>
    <col min="1031" max="1031" width="2.109375" style="13" customWidth="1"/>
    <col min="1032" max="1033" width="14.44140625" style="13" customWidth="1"/>
    <col min="1034" max="1034" width="2.109375" style="13" customWidth="1"/>
    <col min="1035" max="1036" width="14.44140625" style="13" customWidth="1"/>
    <col min="1037" max="1037" width="13" style="13" customWidth="1"/>
    <col min="1038" max="1038" width="10.44140625" style="13" customWidth="1"/>
    <col min="1039" max="1282" width="8.88671875" style="13"/>
    <col min="1283" max="1283" width="15.21875" style="13" customWidth="1"/>
    <col min="1284" max="1286" width="14.44140625" style="13" customWidth="1"/>
    <col min="1287" max="1287" width="2.109375" style="13" customWidth="1"/>
    <col min="1288" max="1289" width="14.44140625" style="13" customWidth="1"/>
    <col min="1290" max="1290" width="2.109375" style="13" customWidth="1"/>
    <col min="1291" max="1292" width="14.44140625" style="13" customWidth="1"/>
    <col min="1293" max="1293" width="13" style="13" customWidth="1"/>
    <col min="1294" max="1294" width="10.44140625" style="13" customWidth="1"/>
    <col min="1295" max="1538" width="8.88671875" style="13"/>
    <col min="1539" max="1539" width="15.21875" style="13" customWidth="1"/>
    <col min="1540" max="1542" width="14.44140625" style="13" customWidth="1"/>
    <col min="1543" max="1543" width="2.109375" style="13" customWidth="1"/>
    <col min="1544" max="1545" width="14.44140625" style="13" customWidth="1"/>
    <col min="1546" max="1546" width="2.109375" style="13" customWidth="1"/>
    <col min="1547" max="1548" width="14.44140625" style="13" customWidth="1"/>
    <col min="1549" max="1549" width="13" style="13" customWidth="1"/>
    <col min="1550" max="1550" width="10.44140625" style="13" customWidth="1"/>
    <col min="1551" max="1794" width="8.88671875" style="13"/>
    <col min="1795" max="1795" width="15.21875" style="13" customWidth="1"/>
    <col min="1796" max="1798" width="14.44140625" style="13" customWidth="1"/>
    <col min="1799" max="1799" width="2.109375" style="13" customWidth="1"/>
    <col min="1800" max="1801" width="14.44140625" style="13" customWidth="1"/>
    <col min="1802" max="1802" width="2.109375" style="13" customWidth="1"/>
    <col min="1803" max="1804" width="14.44140625" style="13" customWidth="1"/>
    <col min="1805" max="1805" width="13" style="13" customWidth="1"/>
    <col min="1806" max="1806" width="10.44140625" style="13" customWidth="1"/>
    <col min="1807" max="2050" width="8.88671875" style="13"/>
    <col min="2051" max="2051" width="15.21875" style="13" customWidth="1"/>
    <col min="2052" max="2054" width="14.44140625" style="13" customWidth="1"/>
    <col min="2055" max="2055" width="2.109375" style="13" customWidth="1"/>
    <col min="2056" max="2057" width="14.44140625" style="13" customWidth="1"/>
    <col min="2058" max="2058" width="2.109375" style="13" customWidth="1"/>
    <col min="2059" max="2060" width="14.44140625" style="13" customWidth="1"/>
    <col min="2061" max="2061" width="13" style="13" customWidth="1"/>
    <col min="2062" max="2062" width="10.44140625" style="13" customWidth="1"/>
    <col min="2063" max="2306" width="8.88671875" style="13"/>
    <col min="2307" max="2307" width="15.21875" style="13" customWidth="1"/>
    <col min="2308" max="2310" width="14.44140625" style="13" customWidth="1"/>
    <col min="2311" max="2311" width="2.109375" style="13" customWidth="1"/>
    <col min="2312" max="2313" width="14.44140625" style="13" customWidth="1"/>
    <col min="2314" max="2314" width="2.109375" style="13" customWidth="1"/>
    <col min="2315" max="2316" width="14.44140625" style="13" customWidth="1"/>
    <col min="2317" max="2317" width="13" style="13" customWidth="1"/>
    <col min="2318" max="2318" width="10.44140625" style="13" customWidth="1"/>
    <col min="2319" max="2562" width="8.88671875" style="13"/>
    <col min="2563" max="2563" width="15.21875" style="13" customWidth="1"/>
    <col min="2564" max="2566" width="14.44140625" style="13" customWidth="1"/>
    <col min="2567" max="2567" width="2.109375" style="13" customWidth="1"/>
    <col min="2568" max="2569" width="14.44140625" style="13" customWidth="1"/>
    <col min="2570" max="2570" width="2.109375" style="13" customWidth="1"/>
    <col min="2571" max="2572" width="14.44140625" style="13" customWidth="1"/>
    <col min="2573" max="2573" width="13" style="13" customWidth="1"/>
    <col min="2574" max="2574" width="10.44140625" style="13" customWidth="1"/>
    <col min="2575" max="2818" width="8.88671875" style="13"/>
    <col min="2819" max="2819" width="15.21875" style="13" customWidth="1"/>
    <col min="2820" max="2822" width="14.44140625" style="13" customWidth="1"/>
    <col min="2823" max="2823" width="2.109375" style="13" customWidth="1"/>
    <col min="2824" max="2825" width="14.44140625" style="13" customWidth="1"/>
    <col min="2826" max="2826" width="2.109375" style="13" customWidth="1"/>
    <col min="2827" max="2828" width="14.44140625" style="13" customWidth="1"/>
    <col min="2829" max="2829" width="13" style="13" customWidth="1"/>
    <col min="2830" max="2830" width="10.44140625" style="13" customWidth="1"/>
    <col min="2831" max="3074" width="8.88671875" style="13"/>
    <col min="3075" max="3075" width="15.21875" style="13" customWidth="1"/>
    <col min="3076" max="3078" width="14.44140625" style="13" customWidth="1"/>
    <col min="3079" max="3079" width="2.109375" style="13" customWidth="1"/>
    <col min="3080" max="3081" width="14.44140625" style="13" customWidth="1"/>
    <col min="3082" max="3082" width="2.109375" style="13" customWidth="1"/>
    <col min="3083" max="3084" width="14.44140625" style="13" customWidth="1"/>
    <col min="3085" max="3085" width="13" style="13" customWidth="1"/>
    <col min="3086" max="3086" width="10.44140625" style="13" customWidth="1"/>
    <col min="3087" max="3330" width="8.88671875" style="13"/>
    <col min="3331" max="3331" width="15.21875" style="13" customWidth="1"/>
    <col min="3332" max="3334" width="14.44140625" style="13" customWidth="1"/>
    <col min="3335" max="3335" width="2.109375" style="13" customWidth="1"/>
    <col min="3336" max="3337" width="14.44140625" style="13" customWidth="1"/>
    <col min="3338" max="3338" width="2.109375" style="13" customWidth="1"/>
    <col min="3339" max="3340" width="14.44140625" style="13" customWidth="1"/>
    <col min="3341" max="3341" width="13" style="13" customWidth="1"/>
    <col min="3342" max="3342" width="10.44140625" style="13" customWidth="1"/>
    <col min="3343" max="3586" width="8.88671875" style="13"/>
    <col min="3587" max="3587" width="15.21875" style="13" customWidth="1"/>
    <col min="3588" max="3590" width="14.44140625" style="13" customWidth="1"/>
    <col min="3591" max="3591" width="2.109375" style="13" customWidth="1"/>
    <col min="3592" max="3593" width="14.44140625" style="13" customWidth="1"/>
    <col min="3594" max="3594" width="2.109375" style="13" customWidth="1"/>
    <col min="3595" max="3596" width="14.44140625" style="13" customWidth="1"/>
    <col min="3597" max="3597" width="13" style="13" customWidth="1"/>
    <col min="3598" max="3598" width="10.44140625" style="13" customWidth="1"/>
    <col min="3599" max="3842" width="8.88671875" style="13"/>
    <col min="3843" max="3843" width="15.21875" style="13" customWidth="1"/>
    <col min="3844" max="3846" width="14.44140625" style="13" customWidth="1"/>
    <col min="3847" max="3847" width="2.109375" style="13" customWidth="1"/>
    <col min="3848" max="3849" width="14.44140625" style="13" customWidth="1"/>
    <col min="3850" max="3850" width="2.109375" style="13" customWidth="1"/>
    <col min="3851" max="3852" width="14.44140625" style="13" customWidth="1"/>
    <col min="3853" max="3853" width="13" style="13" customWidth="1"/>
    <col min="3854" max="3854" width="10.44140625" style="13" customWidth="1"/>
    <col min="3855" max="4098" width="8.88671875" style="13"/>
    <col min="4099" max="4099" width="15.21875" style="13" customWidth="1"/>
    <col min="4100" max="4102" width="14.44140625" style="13" customWidth="1"/>
    <col min="4103" max="4103" width="2.109375" style="13" customWidth="1"/>
    <col min="4104" max="4105" width="14.44140625" style="13" customWidth="1"/>
    <col min="4106" max="4106" width="2.109375" style="13" customWidth="1"/>
    <col min="4107" max="4108" width="14.44140625" style="13" customWidth="1"/>
    <col min="4109" max="4109" width="13" style="13" customWidth="1"/>
    <col min="4110" max="4110" width="10.44140625" style="13" customWidth="1"/>
    <col min="4111" max="4354" width="8.88671875" style="13"/>
    <col min="4355" max="4355" width="15.21875" style="13" customWidth="1"/>
    <col min="4356" max="4358" width="14.44140625" style="13" customWidth="1"/>
    <col min="4359" max="4359" width="2.109375" style="13" customWidth="1"/>
    <col min="4360" max="4361" width="14.44140625" style="13" customWidth="1"/>
    <col min="4362" max="4362" width="2.109375" style="13" customWidth="1"/>
    <col min="4363" max="4364" width="14.44140625" style="13" customWidth="1"/>
    <col min="4365" max="4365" width="13" style="13" customWidth="1"/>
    <col min="4366" max="4366" width="10.44140625" style="13" customWidth="1"/>
    <col min="4367" max="4610" width="8.88671875" style="13"/>
    <col min="4611" max="4611" width="15.21875" style="13" customWidth="1"/>
    <col min="4612" max="4614" width="14.44140625" style="13" customWidth="1"/>
    <col min="4615" max="4615" width="2.109375" style="13" customWidth="1"/>
    <col min="4616" max="4617" width="14.44140625" style="13" customWidth="1"/>
    <col min="4618" max="4618" width="2.109375" style="13" customWidth="1"/>
    <col min="4619" max="4620" width="14.44140625" style="13" customWidth="1"/>
    <col min="4621" max="4621" width="13" style="13" customWidth="1"/>
    <col min="4622" max="4622" width="10.44140625" style="13" customWidth="1"/>
    <col min="4623" max="4866" width="8.88671875" style="13"/>
    <col min="4867" max="4867" width="15.21875" style="13" customWidth="1"/>
    <col min="4868" max="4870" width="14.44140625" style="13" customWidth="1"/>
    <col min="4871" max="4871" width="2.109375" style="13" customWidth="1"/>
    <col min="4872" max="4873" width="14.44140625" style="13" customWidth="1"/>
    <col min="4874" max="4874" width="2.109375" style="13" customWidth="1"/>
    <col min="4875" max="4876" width="14.44140625" style="13" customWidth="1"/>
    <col min="4877" max="4877" width="13" style="13" customWidth="1"/>
    <col min="4878" max="4878" width="10.44140625" style="13" customWidth="1"/>
    <col min="4879" max="5122" width="8.88671875" style="13"/>
    <col min="5123" max="5123" width="15.21875" style="13" customWidth="1"/>
    <col min="5124" max="5126" width="14.44140625" style="13" customWidth="1"/>
    <col min="5127" max="5127" width="2.109375" style="13" customWidth="1"/>
    <col min="5128" max="5129" width="14.44140625" style="13" customWidth="1"/>
    <col min="5130" max="5130" width="2.109375" style="13" customWidth="1"/>
    <col min="5131" max="5132" width="14.44140625" style="13" customWidth="1"/>
    <col min="5133" max="5133" width="13" style="13" customWidth="1"/>
    <col min="5134" max="5134" width="10.44140625" style="13" customWidth="1"/>
    <col min="5135" max="5378" width="8.88671875" style="13"/>
    <col min="5379" max="5379" width="15.21875" style="13" customWidth="1"/>
    <col min="5380" max="5382" width="14.44140625" style="13" customWidth="1"/>
    <col min="5383" max="5383" width="2.109375" style="13" customWidth="1"/>
    <col min="5384" max="5385" width="14.44140625" style="13" customWidth="1"/>
    <col min="5386" max="5386" width="2.109375" style="13" customWidth="1"/>
    <col min="5387" max="5388" width="14.44140625" style="13" customWidth="1"/>
    <col min="5389" max="5389" width="13" style="13" customWidth="1"/>
    <col min="5390" max="5390" width="10.44140625" style="13" customWidth="1"/>
    <col min="5391" max="5634" width="8.88671875" style="13"/>
    <col min="5635" max="5635" width="15.21875" style="13" customWidth="1"/>
    <col min="5636" max="5638" width="14.44140625" style="13" customWidth="1"/>
    <col min="5639" max="5639" width="2.109375" style="13" customWidth="1"/>
    <col min="5640" max="5641" width="14.44140625" style="13" customWidth="1"/>
    <col min="5642" max="5642" width="2.109375" style="13" customWidth="1"/>
    <col min="5643" max="5644" width="14.44140625" style="13" customWidth="1"/>
    <col min="5645" max="5645" width="13" style="13" customWidth="1"/>
    <col min="5646" max="5646" width="10.44140625" style="13" customWidth="1"/>
    <col min="5647" max="5890" width="8.88671875" style="13"/>
    <col min="5891" max="5891" width="15.21875" style="13" customWidth="1"/>
    <col min="5892" max="5894" width="14.44140625" style="13" customWidth="1"/>
    <col min="5895" max="5895" width="2.109375" style="13" customWidth="1"/>
    <col min="5896" max="5897" width="14.44140625" style="13" customWidth="1"/>
    <col min="5898" max="5898" width="2.109375" style="13" customWidth="1"/>
    <col min="5899" max="5900" width="14.44140625" style="13" customWidth="1"/>
    <col min="5901" max="5901" width="13" style="13" customWidth="1"/>
    <col min="5902" max="5902" width="10.44140625" style="13" customWidth="1"/>
    <col min="5903" max="6146" width="8.88671875" style="13"/>
    <col min="6147" max="6147" width="15.21875" style="13" customWidth="1"/>
    <col min="6148" max="6150" width="14.44140625" style="13" customWidth="1"/>
    <col min="6151" max="6151" width="2.109375" style="13" customWidth="1"/>
    <col min="6152" max="6153" width="14.44140625" style="13" customWidth="1"/>
    <col min="6154" max="6154" width="2.109375" style="13" customWidth="1"/>
    <col min="6155" max="6156" width="14.44140625" style="13" customWidth="1"/>
    <col min="6157" max="6157" width="13" style="13" customWidth="1"/>
    <col min="6158" max="6158" width="10.44140625" style="13" customWidth="1"/>
    <col min="6159" max="6402" width="8.88671875" style="13"/>
    <col min="6403" max="6403" width="15.21875" style="13" customWidth="1"/>
    <col min="6404" max="6406" width="14.44140625" style="13" customWidth="1"/>
    <col min="6407" max="6407" width="2.109375" style="13" customWidth="1"/>
    <col min="6408" max="6409" width="14.44140625" style="13" customWidth="1"/>
    <col min="6410" max="6410" width="2.109375" style="13" customWidth="1"/>
    <col min="6411" max="6412" width="14.44140625" style="13" customWidth="1"/>
    <col min="6413" max="6413" width="13" style="13" customWidth="1"/>
    <col min="6414" max="6414" width="10.44140625" style="13" customWidth="1"/>
    <col min="6415" max="6658" width="8.88671875" style="13"/>
    <col min="6659" max="6659" width="15.21875" style="13" customWidth="1"/>
    <col min="6660" max="6662" width="14.44140625" style="13" customWidth="1"/>
    <col min="6663" max="6663" width="2.109375" style="13" customWidth="1"/>
    <col min="6664" max="6665" width="14.44140625" style="13" customWidth="1"/>
    <col min="6666" max="6666" width="2.109375" style="13" customWidth="1"/>
    <col min="6667" max="6668" width="14.44140625" style="13" customWidth="1"/>
    <col min="6669" max="6669" width="13" style="13" customWidth="1"/>
    <col min="6670" max="6670" width="10.44140625" style="13" customWidth="1"/>
    <col min="6671" max="6914" width="8.88671875" style="13"/>
    <col min="6915" max="6915" width="15.21875" style="13" customWidth="1"/>
    <col min="6916" max="6918" width="14.44140625" style="13" customWidth="1"/>
    <col min="6919" max="6919" width="2.109375" style="13" customWidth="1"/>
    <col min="6920" max="6921" width="14.44140625" style="13" customWidth="1"/>
    <col min="6922" max="6922" width="2.109375" style="13" customWidth="1"/>
    <col min="6923" max="6924" width="14.44140625" style="13" customWidth="1"/>
    <col min="6925" max="6925" width="13" style="13" customWidth="1"/>
    <col min="6926" max="6926" width="10.44140625" style="13" customWidth="1"/>
    <col min="6927" max="7170" width="8.88671875" style="13"/>
    <col min="7171" max="7171" width="15.21875" style="13" customWidth="1"/>
    <col min="7172" max="7174" width="14.44140625" style="13" customWidth="1"/>
    <col min="7175" max="7175" width="2.109375" style="13" customWidth="1"/>
    <col min="7176" max="7177" width="14.44140625" style="13" customWidth="1"/>
    <col min="7178" max="7178" width="2.109375" style="13" customWidth="1"/>
    <col min="7179" max="7180" width="14.44140625" style="13" customWidth="1"/>
    <col min="7181" max="7181" width="13" style="13" customWidth="1"/>
    <col min="7182" max="7182" width="10.44140625" style="13" customWidth="1"/>
    <col min="7183" max="7426" width="8.88671875" style="13"/>
    <col min="7427" max="7427" width="15.21875" style="13" customWidth="1"/>
    <col min="7428" max="7430" width="14.44140625" style="13" customWidth="1"/>
    <col min="7431" max="7431" width="2.109375" style="13" customWidth="1"/>
    <col min="7432" max="7433" width="14.44140625" style="13" customWidth="1"/>
    <col min="7434" max="7434" width="2.109375" style="13" customWidth="1"/>
    <col min="7435" max="7436" width="14.44140625" style="13" customWidth="1"/>
    <col min="7437" max="7437" width="13" style="13" customWidth="1"/>
    <col min="7438" max="7438" width="10.44140625" style="13" customWidth="1"/>
    <col min="7439" max="7682" width="8.88671875" style="13"/>
    <col min="7683" max="7683" width="15.21875" style="13" customWidth="1"/>
    <col min="7684" max="7686" width="14.44140625" style="13" customWidth="1"/>
    <col min="7687" max="7687" width="2.109375" style="13" customWidth="1"/>
    <col min="7688" max="7689" width="14.44140625" style="13" customWidth="1"/>
    <col min="7690" max="7690" width="2.109375" style="13" customWidth="1"/>
    <col min="7691" max="7692" width="14.44140625" style="13" customWidth="1"/>
    <col min="7693" max="7693" width="13" style="13" customWidth="1"/>
    <col min="7694" max="7694" width="10.44140625" style="13" customWidth="1"/>
    <col min="7695" max="7938" width="8.88671875" style="13"/>
    <col min="7939" max="7939" width="15.21875" style="13" customWidth="1"/>
    <col min="7940" max="7942" width="14.44140625" style="13" customWidth="1"/>
    <col min="7943" max="7943" width="2.109375" style="13" customWidth="1"/>
    <col min="7944" max="7945" width="14.44140625" style="13" customWidth="1"/>
    <col min="7946" max="7946" width="2.109375" style="13" customWidth="1"/>
    <col min="7947" max="7948" width="14.44140625" style="13" customWidth="1"/>
    <col min="7949" max="7949" width="13" style="13" customWidth="1"/>
    <col min="7950" max="7950" width="10.44140625" style="13" customWidth="1"/>
    <col min="7951" max="8194" width="8.88671875" style="13"/>
    <col min="8195" max="8195" width="15.21875" style="13" customWidth="1"/>
    <col min="8196" max="8198" width="14.44140625" style="13" customWidth="1"/>
    <col min="8199" max="8199" width="2.109375" style="13" customWidth="1"/>
    <col min="8200" max="8201" width="14.44140625" style="13" customWidth="1"/>
    <col min="8202" max="8202" width="2.109375" style="13" customWidth="1"/>
    <col min="8203" max="8204" width="14.44140625" style="13" customWidth="1"/>
    <col min="8205" max="8205" width="13" style="13" customWidth="1"/>
    <col min="8206" max="8206" width="10.44140625" style="13" customWidth="1"/>
    <col min="8207" max="8450" width="8.88671875" style="13"/>
    <col min="8451" max="8451" width="15.21875" style="13" customWidth="1"/>
    <col min="8452" max="8454" width="14.44140625" style="13" customWidth="1"/>
    <col min="8455" max="8455" width="2.109375" style="13" customWidth="1"/>
    <col min="8456" max="8457" width="14.44140625" style="13" customWidth="1"/>
    <col min="8458" max="8458" width="2.109375" style="13" customWidth="1"/>
    <col min="8459" max="8460" width="14.44140625" style="13" customWidth="1"/>
    <col min="8461" max="8461" width="13" style="13" customWidth="1"/>
    <col min="8462" max="8462" width="10.44140625" style="13" customWidth="1"/>
    <col min="8463" max="8706" width="8.88671875" style="13"/>
    <col min="8707" max="8707" width="15.21875" style="13" customWidth="1"/>
    <col min="8708" max="8710" width="14.44140625" style="13" customWidth="1"/>
    <col min="8711" max="8711" width="2.109375" style="13" customWidth="1"/>
    <col min="8712" max="8713" width="14.44140625" style="13" customWidth="1"/>
    <col min="8714" max="8714" width="2.109375" style="13" customWidth="1"/>
    <col min="8715" max="8716" width="14.44140625" style="13" customWidth="1"/>
    <col min="8717" max="8717" width="13" style="13" customWidth="1"/>
    <col min="8718" max="8718" width="10.44140625" style="13" customWidth="1"/>
    <col min="8719" max="8962" width="8.88671875" style="13"/>
    <col min="8963" max="8963" width="15.21875" style="13" customWidth="1"/>
    <col min="8964" max="8966" width="14.44140625" style="13" customWidth="1"/>
    <col min="8967" max="8967" width="2.109375" style="13" customWidth="1"/>
    <col min="8968" max="8969" width="14.44140625" style="13" customWidth="1"/>
    <col min="8970" max="8970" width="2.109375" style="13" customWidth="1"/>
    <col min="8971" max="8972" width="14.44140625" style="13" customWidth="1"/>
    <col min="8973" max="8973" width="13" style="13" customWidth="1"/>
    <col min="8974" max="8974" width="10.44140625" style="13" customWidth="1"/>
    <col min="8975" max="9218" width="8.88671875" style="13"/>
    <col min="9219" max="9219" width="15.21875" style="13" customWidth="1"/>
    <col min="9220" max="9222" width="14.44140625" style="13" customWidth="1"/>
    <col min="9223" max="9223" width="2.109375" style="13" customWidth="1"/>
    <col min="9224" max="9225" width="14.44140625" style="13" customWidth="1"/>
    <col min="9226" max="9226" width="2.109375" style="13" customWidth="1"/>
    <col min="9227" max="9228" width="14.44140625" style="13" customWidth="1"/>
    <col min="9229" max="9229" width="13" style="13" customWidth="1"/>
    <col min="9230" max="9230" width="10.44140625" style="13" customWidth="1"/>
    <col min="9231" max="9474" width="8.88671875" style="13"/>
    <col min="9475" max="9475" width="15.21875" style="13" customWidth="1"/>
    <col min="9476" max="9478" width="14.44140625" style="13" customWidth="1"/>
    <col min="9479" max="9479" width="2.109375" style="13" customWidth="1"/>
    <col min="9480" max="9481" width="14.44140625" style="13" customWidth="1"/>
    <col min="9482" max="9482" width="2.109375" style="13" customWidth="1"/>
    <col min="9483" max="9484" width="14.44140625" style="13" customWidth="1"/>
    <col min="9485" max="9485" width="13" style="13" customWidth="1"/>
    <col min="9486" max="9486" width="10.44140625" style="13" customWidth="1"/>
    <col min="9487" max="9730" width="8.88671875" style="13"/>
    <col min="9731" max="9731" width="15.21875" style="13" customWidth="1"/>
    <col min="9732" max="9734" width="14.44140625" style="13" customWidth="1"/>
    <col min="9735" max="9735" width="2.109375" style="13" customWidth="1"/>
    <col min="9736" max="9737" width="14.44140625" style="13" customWidth="1"/>
    <col min="9738" max="9738" width="2.109375" style="13" customWidth="1"/>
    <col min="9739" max="9740" width="14.44140625" style="13" customWidth="1"/>
    <col min="9741" max="9741" width="13" style="13" customWidth="1"/>
    <col min="9742" max="9742" width="10.44140625" style="13" customWidth="1"/>
    <col min="9743" max="9986" width="8.88671875" style="13"/>
    <col min="9987" max="9987" width="15.21875" style="13" customWidth="1"/>
    <col min="9988" max="9990" width="14.44140625" style="13" customWidth="1"/>
    <col min="9991" max="9991" width="2.109375" style="13" customWidth="1"/>
    <col min="9992" max="9993" width="14.44140625" style="13" customWidth="1"/>
    <col min="9994" max="9994" width="2.109375" style="13" customWidth="1"/>
    <col min="9995" max="9996" width="14.44140625" style="13" customWidth="1"/>
    <col min="9997" max="9997" width="13" style="13" customWidth="1"/>
    <col min="9998" max="9998" width="10.44140625" style="13" customWidth="1"/>
    <col min="9999" max="10242" width="8.88671875" style="13"/>
    <col min="10243" max="10243" width="15.21875" style="13" customWidth="1"/>
    <col min="10244" max="10246" width="14.44140625" style="13" customWidth="1"/>
    <col min="10247" max="10247" width="2.109375" style="13" customWidth="1"/>
    <col min="10248" max="10249" width="14.44140625" style="13" customWidth="1"/>
    <col min="10250" max="10250" width="2.109375" style="13" customWidth="1"/>
    <col min="10251" max="10252" width="14.44140625" style="13" customWidth="1"/>
    <col min="10253" max="10253" width="13" style="13" customWidth="1"/>
    <col min="10254" max="10254" width="10.44140625" style="13" customWidth="1"/>
    <col min="10255" max="10498" width="8.88671875" style="13"/>
    <col min="10499" max="10499" width="15.21875" style="13" customWidth="1"/>
    <col min="10500" max="10502" width="14.44140625" style="13" customWidth="1"/>
    <col min="10503" max="10503" width="2.109375" style="13" customWidth="1"/>
    <col min="10504" max="10505" width="14.44140625" style="13" customWidth="1"/>
    <col min="10506" max="10506" width="2.109375" style="13" customWidth="1"/>
    <col min="10507" max="10508" width="14.44140625" style="13" customWidth="1"/>
    <col min="10509" max="10509" width="13" style="13" customWidth="1"/>
    <col min="10510" max="10510" width="10.44140625" style="13" customWidth="1"/>
    <col min="10511" max="10754" width="8.88671875" style="13"/>
    <col min="10755" max="10755" width="15.21875" style="13" customWidth="1"/>
    <col min="10756" max="10758" width="14.44140625" style="13" customWidth="1"/>
    <col min="10759" max="10759" width="2.109375" style="13" customWidth="1"/>
    <col min="10760" max="10761" width="14.44140625" style="13" customWidth="1"/>
    <col min="10762" max="10762" width="2.109375" style="13" customWidth="1"/>
    <col min="10763" max="10764" width="14.44140625" style="13" customWidth="1"/>
    <col min="10765" max="10765" width="13" style="13" customWidth="1"/>
    <col min="10766" max="10766" width="10.44140625" style="13" customWidth="1"/>
    <col min="10767" max="11010" width="8.88671875" style="13"/>
    <col min="11011" max="11011" width="15.21875" style="13" customWidth="1"/>
    <col min="11012" max="11014" width="14.44140625" style="13" customWidth="1"/>
    <col min="11015" max="11015" width="2.109375" style="13" customWidth="1"/>
    <col min="11016" max="11017" width="14.44140625" style="13" customWidth="1"/>
    <col min="11018" max="11018" width="2.109375" style="13" customWidth="1"/>
    <col min="11019" max="11020" width="14.44140625" style="13" customWidth="1"/>
    <col min="11021" max="11021" width="13" style="13" customWidth="1"/>
    <col min="11022" max="11022" width="10.44140625" style="13" customWidth="1"/>
    <col min="11023" max="11266" width="8.88671875" style="13"/>
    <col min="11267" max="11267" width="15.21875" style="13" customWidth="1"/>
    <col min="11268" max="11270" width="14.44140625" style="13" customWidth="1"/>
    <col min="11271" max="11271" width="2.109375" style="13" customWidth="1"/>
    <col min="11272" max="11273" width="14.44140625" style="13" customWidth="1"/>
    <col min="11274" max="11274" width="2.109375" style="13" customWidth="1"/>
    <col min="11275" max="11276" width="14.44140625" style="13" customWidth="1"/>
    <col min="11277" max="11277" width="13" style="13" customWidth="1"/>
    <col min="11278" max="11278" width="10.44140625" style="13" customWidth="1"/>
    <col min="11279" max="11522" width="8.88671875" style="13"/>
    <col min="11523" max="11523" width="15.21875" style="13" customWidth="1"/>
    <col min="11524" max="11526" width="14.44140625" style="13" customWidth="1"/>
    <col min="11527" max="11527" width="2.109375" style="13" customWidth="1"/>
    <col min="11528" max="11529" width="14.44140625" style="13" customWidth="1"/>
    <col min="11530" max="11530" width="2.109375" style="13" customWidth="1"/>
    <col min="11531" max="11532" width="14.44140625" style="13" customWidth="1"/>
    <col min="11533" max="11533" width="13" style="13" customWidth="1"/>
    <col min="11534" max="11534" width="10.44140625" style="13" customWidth="1"/>
    <col min="11535" max="11778" width="8.88671875" style="13"/>
    <col min="11779" max="11779" width="15.21875" style="13" customWidth="1"/>
    <col min="11780" max="11782" width="14.44140625" style="13" customWidth="1"/>
    <col min="11783" max="11783" width="2.109375" style="13" customWidth="1"/>
    <col min="11784" max="11785" width="14.44140625" style="13" customWidth="1"/>
    <col min="11786" max="11786" width="2.109375" style="13" customWidth="1"/>
    <col min="11787" max="11788" width="14.44140625" style="13" customWidth="1"/>
    <col min="11789" max="11789" width="13" style="13" customWidth="1"/>
    <col min="11790" max="11790" width="10.44140625" style="13" customWidth="1"/>
    <col min="11791" max="12034" width="8.88671875" style="13"/>
    <col min="12035" max="12035" width="15.21875" style="13" customWidth="1"/>
    <col min="12036" max="12038" width="14.44140625" style="13" customWidth="1"/>
    <col min="12039" max="12039" width="2.109375" style="13" customWidth="1"/>
    <col min="12040" max="12041" width="14.44140625" style="13" customWidth="1"/>
    <col min="12042" max="12042" width="2.109375" style="13" customWidth="1"/>
    <col min="12043" max="12044" width="14.44140625" style="13" customWidth="1"/>
    <col min="12045" max="12045" width="13" style="13" customWidth="1"/>
    <col min="12046" max="12046" width="10.44140625" style="13" customWidth="1"/>
    <col min="12047" max="12290" width="8.88671875" style="13"/>
    <col min="12291" max="12291" width="15.21875" style="13" customWidth="1"/>
    <col min="12292" max="12294" width="14.44140625" style="13" customWidth="1"/>
    <col min="12295" max="12295" width="2.109375" style="13" customWidth="1"/>
    <col min="12296" max="12297" width="14.44140625" style="13" customWidth="1"/>
    <col min="12298" max="12298" width="2.109375" style="13" customWidth="1"/>
    <col min="12299" max="12300" width="14.44140625" style="13" customWidth="1"/>
    <col min="12301" max="12301" width="13" style="13" customWidth="1"/>
    <col min="12302" max="12302" width="10.44140625" style="13" customWidth="1"/>
    <col min="12303" max="12546" width="8.88671875" style="13"/>
    <col min="12547" max="12547" width="15.21875" style="13" customWidth="1"/>
    <col min="12548" max="12550" width="14.44140625" style="13" customWidth="1"/>
    <col min="12551" max="12551" width="2.109375" style="13" customWidth="1"/>
    <col min="12552" max="12553" width="14.44140625" style="13" customWidth="1"/>
    <col min="12554" max="12554" width="2.109375" style="13" customWidth="1"/>
    <col min="12555" max="12556" width="14.44140625" style="13" customWidth="1"/>
    <col min="12557" max="12557" width="13" style="13" customWidth="1"/>
    <col min="12558" max="12558" width="10.44140625" style="13" customWidth="1"/>
    <col min="12559" max="12802" width="8.88671875" style="13"/>
    <col min="12803" max="12803" width="15.21875" style="13" customWidth="1"/>
    <col min="12804" max="12806" width="14.44140625" style="13" customWidth="1"/>
    <col min="12807" max="12807" width="2.109375" style="13" customWidth="1"/>
    <col min="12808" max="12809" width="14.44140625" style="13" customWidth="1"/>
    <col min="12810" max="12810" width="2.109375" style="13" customWidth="1"/>
    <col min="12811" max="12812" width="14.44140625" style="13" customWidth="1"/>
    <col min="12813" max="12813" width="13" style="13" customWidth="1"/>
    <col min="12814" max="12814" width="10.44140625" style="13" customWidth="1"/>
    <col min="12815" max="13058" width="8.88671875" style="13"/>
    <col min="13059" max="13059" width="15.21875" style="13" customWidth="1"/>
    <col min="13060" max="13062" width="14.44140625" style="13" customWidth="1"/>
    <col min="13063" max="13063" width="2.109375" style="13" customWidth="1"/>
    <col min="13064" max="13065" width="14.44140625" style="13" customWidth="1"/>
    <col min="13066" max="13066" width="2.109375" style="13" customWidth="1"/>
    <col min="13067" max="13068" width="14.44140625" style="13" customWidth="1"/>
    <col min="13069" max="13069" width="13" style="13" customWidth="1"/>
    <col min="13070" max="13070" width="10.44140625" style="13" customWidth="1"/>
    <col min="13071" max="13314" width="8.88671875" style="13"/>
    <col min="13315" max="13315" width="15.21875" style="13" customWidth="1"/>
    <col min="13316" max="13318" width="14.44140625" style="13" customWidth="1"/>
    <col min="13319" max="13319" width="2.109375" style="13" customWidth="1"/>
    <col min="13320" max="13321" width="14.44140625" style="13" customWidth="1"/>
    <col min="13322" max="13322" width="2.109375" style="13" customWidth="1"/>
    <col min="13323" max="13324" width="14.44140625" style="13" customWidth="1"/>
    <col min="13325" max="13325" width="13" style="13" customWidth="1"/>
    <col min="13326" max="13326" width="10.44140625" style="13" customWidth="1"/>
    <col min="13327" max="13570" width="8.88671875" style="13"/>
    <col min="13571" max="13571" width="15.21875" style="13" customWidth="1"/>
    <col min="13572" max="13574" width="14.44140625" style="13" customWidth="1"/>
    <col min="13575" max="13575" width="2.109375" style="13" customWidth="1"/>
    <col min="13576" max="13577" width="14.44140625" style="13" customWidth="1"/>
    <col min="13578" max="13578" width="2.109375" style="13" customWidth="1"/>
    <col min="13579" max="13580" width="14.44140625" style="13" customWidth="1"/>
    <col min="13581" max="13581" width="13" style="13" customWidth="1"/>
    <col min="13582" max="13582" width="10.44140625" style="13" customWidth="1"/>
    <col min="13583" max="13826" width="8.88671875" style="13"/>
    <col min="13827" max="13827" width="15.21875" style="13" customWidth="1"/>
    <col min="13828" max="13830" width="14.44140625" style="13" customWidth="1"/>
    <col min="13831" max="13831" width="2.109375" style="13" customWidth="1"/>
    <col min="13832" max="13833" width="14.44140625" style="13" customWidth="1"/>
    <col min="13834" max="13834" width="2.109375" style="13" customWidth="1"/>
    <col min="13835" max="13836" width="14.44140625" style="13" customWidth="1"/>
    <col min="13837" max="13837" width="13" style="13" customWidth="1"/>
    <col min="13838" max="13838" width="10.44140625" style="13" customWidth="1"/>
    <col min="13839" max="14082" width="8.88671875" style="13"/>
    <col min="14083" max="14083" width="15.21875" style="13" customWidth="1"/>
    <col min="14084" max="14086" width="14.44140625" style="13" customWidth="1"/>
    <col min="14087" max="14087" width="2.109375" style="13" customWidth="1"/>
    <col min="14088" max="14089" width="14.44140625" style="13" customWidth="1"/>
    <col min="14090" max="14090" width="2.109375" style="13" customWidth="1"/>
    <col min="14091" max="14092" width="14.44140625" style="13" customWidth="1"/>
    <col min="14093" max="14093" width="13" style="13" customWidth="1"/>
    <col min="14094" max="14094" width="10.44140625" style="13" customWidth="1"/>
    <col min="14095" max="14338" width="8.88671875" style="13"/>
    <col min="14339" max="14339" width="15.21875" style="13" customWidth="1"/>
    <col min="14340" max="14342" width="14.44140625" style="13" customWidth="1"/>
    <col min="14343" max="14343" width="2.109375" style="13" customWidth="1"/>
    <col min="14344" max="14345" width="14.44140625" style="13" customWidth="1"/>
    <col min="14346" max="14346" width="2.109375" style="13" customWidth="1"/>
    <col min="14347" max="14348" width="14.44140625" style="13" customWidth="1"/>
    <col min="14349" max="14349" width="13" style="13" customWidth="1"/>
    <col min="14350" max="14350" width="10.44140625" style="13" customWidth="1"/>
    <col min="14351" max="14594" width="8.88671875" style="13"/>
    <col min="14595" max="14595" width="15.21875" style="13" customWidth="1"/>
    <col min="14596" max="14598" width="14.44140625" style="13" customWidth="1"/>
    <col min="14599" max="14599" width="2.109375" style="13" customWidth="1"/>
    <col min="14600" max="14601" width="14.44140625" style="13" customWidth="1"/>
    <col min="14602" max="14602" width="2.109375" style="13" customWidth="1"/>
    <col min="14603" max="14604" width="14.44140625" style="13" customWidth="1"/>
    <col min="14605" max="14605" width="13" style="13" customWidth="1"/>
    <col min="14606" max="14606" width="10.44140625" style="13" customWidth="1"/>
    <col min="14607" max="14850" width="8.88671875" style="13"/>
    <col min="14851" max="14851" width="15.21875" style="13" customWidth="1"/>
    <col min="14852" max="14854" width="14.44140625" style="13" customWidth="1"/>
    <col min="14855" max="14855" width="2.109375" style="13" customWidth="1"/>
    <col min="14856" max="14857" width="14.44140625" style="13" customWidth="1"/>
    <col min="14858" max="14858" width="2.109375" style="13" customWidth="1"/>
    <col min="14859" max="14860" width="14.44140625" style="13" customWidth="1"/>
    <col min="14861" max="14861" width="13" style="13" customWidth="1"/>
    <col min="14862" max="14862" width="10.44140625" style="13" customWidth="1"/>
    <col min="14863" max="15106" width="8.88671875" style="13"/>
    <col min="15107" max="15107" width="15.21875" style="13" customWidth="1"/>
    <col min="15108" max="15110" width="14.44140625" style="13" customWidth="1"/>
    <col min="15111" max="15111" width="2.109375" style="13" customWidth="1"/>
    <col min="15112" max="15113" width="14.44140625" style="13" customWidth="1"/>
    <col min="15114" max="15114" width="2.109375" style="13" customWidth="1"/>
    <col min="15115" max="15116" width="14.44140625" style="13" customWidth="1"/>
    <col min="15117" max="15117" width="13" style="13" customWidth="1"/>
    <col min="15118" max="15118" width="10.44140625" style="13" customWidth="1"/>
    <col min="15119" max="15362" width="8.88671875" style="13"/>
    <col min="15363" max="15363" width="15.21875" style="13" customWidth="1"/>
    <col min="15364" max="15366" width="14.44140625" style="13" customWidth="1"/>
    <col min="15367" max="15367" width="2.109375" style="13" customWidth="1"/>
    <col min="15368" max="15369" width="14.44140625" style="13" customWidth="1"/>
    <col min="15370" max="15370" width="2.109375" style="13" customWidth="1"/>
    <col min="15371" max="15372" width="14.44140625" style="13" customWidth="1"/>
    <col min="15373" max="15373" width="13" style="13" customWidth="1"/>
    <col min="15374" max="15374" width="10.44140625" style="13" customWidth="1"/>
    <col min="15375" max="15618" width="8.88671875" style="13"/>
    <col min="15619" max="15619" width="15.21875" style="13" customWidth="1"/>
    <col min="15620" max="15622" width="14.44140625" style="13" customWidth="1"/>
    <col min="15623" max="15623" width="2.109375" style="13" customWidth="1"/>
    <col min="15624" max="15625" width="14.44140625" style="13" customWidth="1"/>
    <col min="15626" max="15626" width="2.109375" style="13" customWidth="1"/>
    <col min="15627" max="15628" width="14.44140625" style="13" customWidth="1"/>
    <col min="15629" max="15629" width="13" style="13" customWidth="1"/>
    <col min="15630" max="15630" width="10.44140625" style="13" customWidth="1"/>
    <col min="15631" max="15874" width="8.88671875" style="13"/>
    <col min="15875" max="15875" width="15.21875" style="13" customWidth="1"/>
    <col min="15876" max="15878" width="14.44140625" style="13" customWidth="1"/>
    <col min="15879" max="15879" width="2.109375" style="13" customWidth="1"/>
    <col min="15880" max="15881" width="14.44140625" style="13" customWidth="1"/>
    <col min="15882" max="15882" width="2.109375" style="13" customWidth="1"/>
    <col min="15883" max="15884" width="14.44140625" style="13" customWidth="1"/>
    <col min="15885" max="15885" width="13" style="13" customWidth="1"/>
    <col min="15886" max="15886" width="10.44140625" style="13" customWidth="1"/>
    <col min="15887" max="16130" width="8.88671875" style="13"/>
    <col min="16131" max="16131" width="15.21875" style="13" customWidth="1"/>
    <col min="16132" max="16134" width="14.44140625" style="13" customWidth="1"/>
    <col min="16135" max="16135" width="2.109375" style="13" customWidth="1"/>
    <col min="16136" max="16137" width="14.44140625" style="13" customWidth="1"/>
    <col min="16138" max="16138" width="2.109375" style="13" customWidth="1"/>
    <col min="16139" max="16140" width="14.44140625" style="13" customWidth="1"/>
    <col min="16141" max="16141" width="13" style="13" customWidth="1"/>
    <col min="16142" max="16142" width="10.44140625" style="13" customWidth="1"/>
    <col min="16143" max="16384" width="8.88671875" style="13"/>
  </cols>
  <sheetData>
    <row r="1" spans="3:16" ht="21" x14ac:dyDescent="0.4">
      <c r="P1" s="7" t="s">
        <v>19</v>
      </c>
    </row>
    <row r="2" spans="3:16" ht="30" x14ac:dyDescent="0.5">
      <c r="C2" s="309" t="s">
        <v>285</v>
      </c>
      <c r="D2" s="159"/>
    </row>
    <row r="3" spans="3:16" x14ac:dyDescent="0.25">
      <c r="C3" s="143"/>
      <c r="D3" s="159"/>
    </row>
    <row r="5" spans="3:16" ht="20.399999999999999" x14ac:dyDescent="0.35">
      <c r="G5" s="381" t="s">
        <v>286</v>
      </c>
    </row>
    <row r="6" spans="3:16" ht="17.399999999999999" x14ac:dyDescent="0.3">
      <c r="H6" s="318" t="s">
        <v>287</v>
      </c>
      <c r="I6" s="382">
        <f>'att Data Entry'!I6</f>
        <v>0</v>
      </c>
      <c r="J6" s="383"/>
      <c r="K6" s="383"/>
      <c r="M6" s="454" t="s">
        <v>340</v>
      </c>
    </row>
    <row r="7" spans="3:16" ht="17.399999999999999" x14ac:dyDescent="0.3">
      <c r="D7" s="384" t="s">
        <v>309</v>
      </c>
      <c r="H7" s="318" t="s">
        <v>289</v>
      </c>
      <c r="I7" s="385">
        <f>'att Data Entry'!I7</f>
        <v>0</v>
      </c>
      <c r="J7" s="383"/>
      <c r="K7" s="383"/>
    </row>
    <row r="8" spans="3:16" ht="17.399999999999999" x14ac:dyDescent="0.3">
      <c r="C8" s="323">
        <v>1</v>
      </c>
      <c r="D8" s="386" t="str">
        <f>'att Data Entry'!D8</f>
        <v>good</v>
      </c>
      <c r="E8" s="383"/>
      <c r="H8" s="318" t="s">
        <v>291</v>
      </c>
      <c r="I8" s="385">
        <f>'att Data Entry'!I8</f>
        <v>0</v>
      </c>
      <c r="J8" s="383"/>
      <c r="K8" s="383"/>
    </row>
    <row r="9" spans="3:16" ht="17.399999999999999" x14ac:dyDescent="0.3">
      <c r="C9" s="323">
        <v>2</v>
      </c>
      <c r="D9" s="386" t="str">
        <f>'att Data Entry'!D9</f>
        <v>bad</v>
      </c>
      <c r="E9" s="383"/>
      <c r="H9" s="318" t="s">
        <v>293</v>
      </c>
      <c r="I9" s="385">
        <f>'att Data Entry'!I9</f>
        <v>0</v>
      </c>
      <c r="J9" s="383"/>
      <c r="K9" s="383"/>
    </row>
    <row r="11" spans="3:16" ht="13.8" thickBot="1" x14ac:dyDescent="0.3"/>
    <row r="12" spans="3:16" ht="16.2" thickBot="1" x14ac:dyDescent="0.35">
      <c r="C12" s="325" t="s">
        <v>295</v>
      </c>
      <c r="D12" s="326"/>
      <c r="E12" s="387" t="str">
        <f>'att Data Entry'!E12</f>
        <v>Individual 1</v>
      </c>
      <c r="F12" s="328"/>
      <c r="G12" s="329"/>
      <c r="H12" s="326" t="str">
        <f>'att Data Entry'!H12</f>
        <v>Individual 2</v>
      </c>
      <c r="I12" s="326"/>
      <c r="J12" s="329"/>
      <c r="K12" s="387" t="str">
        <f>'att Data Entry'!K12</f>
        <v>Individual 3</v>
      </c>
      <c r="L12" s="326"/>
      <c r="M12" s="332" t="s">
        <v>310</v>
      </c>
      <c r="N12" s="333" t="s">
        <v>310</v>
      </c>
    </row>
    <row r="13" spans="3:16" ht="16.2" thickBot="1" x14ac:dyDescent="0.35">
      <c r="C13" s="334" t="s">
        <v>174</v>
      </c>
      <c r="D13" s="388" t="s">
        <v>300</v>
      </c>
      <c r="E13" s="336" t="s">
        <v>301</v>
      </c>
      <c r="F13" s="337" t="s">
        <v>302</v>
      </c>
      <c r="G13" s="338"/>
      <c r="H13" s="336" t="s">
        <v>301</v>
      </c>
      <c r="I13" s="339" t="s">
        <v>302</v>
      </c>
      <c r="J13" s="338"/>
      <c r="K13" s="336" t="s">
        <v>301</v>
      </c>
      <c r="L13" s="337" t="s">
        <v>302</v>
      </c>
      <c r="M13" s="340" t="s">
        <v>311</v>
      </c>
      <c r="N13" s="341" t="s">
        <v>311</v>
      </c>
    </row>
    <row r="14" spans="3:16" ht="15.6" x14ac:dyDescent="0.3">
      <c r="C14" s="389">
        <v>1</v>
      </c>
      <c r="D14" s="390" t="str">
        <f>IF(ISBLANK('att Data Entry'!D14),"-",'att Data Entry'!D14)</f>
        <v>good</v>
      </c>
      <c r="E14" s="391" t="str">
        <f>IF(ISBLANK('att Data Entry'!E14),"-",'att Data Entry'!E14)</f>
        <v>good</v>
      </c>
      <c r="F14" s="391" t="str">
        <f>IF(ISBLANK('att Data Entry'!F14),"-",'att Data Entry'!F14)</f>
        <v>good</v>
      </c>
      <c r="G14" s="392"/>
      <c r="H14" s="391" t="str">
        <f>IF(ISBLANK('att Data Entry'!H14),"-",'att Data Entry'!H14)</f>
        <v>good</v>
      </c>
      <c r="I14" s="391" t="str">
        <f>IF(ISBLANK('att Data Entry'!I14),"-",'att Data Entry'!I14)</f>
        <v>good</v>
      </c>
      <c r="J14" s="392"/>
      <c r="K14" s="391" t="str">
        <f>IF(ISBLANK('att Data Entry'!K14),"-",'att Data Entry'!K14)</f>
        <v>good</v>
      </c>
      <c r="L14" s="391" t="str">
        <f>IF(ISBLANK('att Data Entry'!L14),"-",'att Data Entry'!L14)</f>
        <v>good</v>
      </c>
      <c r="M14" s="346" t="str">
        <f>'att Data Entry'!M14</f>
        <v>Y</v>
      </c>
      <c r="N14" s="346" t="str">
        <f>'att Data Entry'!N14</f>
        <v>Y</v>
      </c>
    </row>
    <row r="15" spans="3:16" ht="15.6" x14ac:dyDescent="0.3">
      <c r="C15" s="389">
        <v>2</v>
      </c>
      <c r="D15" s="393" t="str">
        <f>IF(ISBLANK('att Data Entry'!D15),"-",'att Data Entry'!D15)</f>
        <v>good</v>
      </c>
      <c r="E15" s="391" t="str">
        <f>IF(ISBLANK('att Data Entry'!E15),"-",'att Data Entry'!E15)</f>
        <v>good</v>
      </c>
      <c r="F15" s="391" t="str">
        <f>IF(ISBLANK('att Data Entry'!F15),"-",'att Data Entry'!F15)</f>
        <v>good</v>
      </c>
      <c r="G15" s="392"/>
      <c r="H15" s="391" t="str">
        <f>IF(ISBLANK('att Data Entry'!H15),"-",'att Data Entry'!H15)</f>
        <v>good</v>
      </c>
      <c r="I15" s="391" t="str">
        <f>IF(ISBLANK('att Data Entry'!I15),"-",'att Data Entry'!I15)</f>
        <v>good</v>
      </c>
      <c r="J15" s="392"/>
      <c r="K15" s="391" t="str">
        <f>IF(ISBLANK('att Data Entry'!K15),"-",'att Data Entry'!K15)</f>
        <v>good</v>
      </c>
      <c r="L15" s="391" t="str">
        <f>IF(ISBLANK('att Data Entry'!L15),"-",'att Data Entry'!L15)</f>
        <v>good</v>
      </c>
      <c r="M15" s="346" t="str">
        <f>'att Data Entry'!M15</f>
        <v>Y</v>
      </c>
      <c r="N15" s="346" t="str">
        <f>'att Data Entry'!N15</f>
        <v>Y</v>
      </c>
    </row>
    <row r="16" spans="3:16" ht="15.6" x14ac:dyDescent="0.3">
      <c r="C16" s="389">
        <v>3</v>
      </c>
      <c r="D16" s="393" t="str">
        <f>IF(ISBLANK('att Data Entry'!D16),"-",'att Data Entry'!D16)</f>
        <v>bad</v>
      </c>
      <c r="E16" s="391" t="str">
        <f>IF(ISBLANK('att Data Entry'!E16),"-",'att Data Entry'!E16)</f>
        <v>good</v>
      </c>
      <c r="F16" s="391" t="str">
        <f>IF(ISBLANK('att Data Entry'!F16),"-",'att Data Entry'!F16)</f>
        <v>good</v>
      </c>
      <c r="G16" s="392"/>
      <c r="H16" s="391" t="str">
        <f>IF(ISBLANK('att Data Entry'!H16),"-",'att Data Entry'!H16)</f>
        <v>good</v>
      </c>
      <c r="I16" s="391" t="str">
        <f>IF(ISBLANK('att Data Entry'!I16),"-",'att Data Entry'!I16)</f>
        <v>good</v>
      </c>
      <c r="J16" s="392"/>
      <c r="K16" s="391" t="str">
        <f>IF(ISBLANK('att Data Entry'!K16),"-",'att Data Entry'!K16)</f>
        <v>good</v>
      </c>
      <c r="L16" s="391" t="str">
        <f>IF(ISBLANK('att Data Entry'!L16),"-",'att Data Entry'!L16)</f>
        <v>good</v>
      </c>
      <c r="M16" s="346" t="str">
        <f>'att Data Entry'!M16</f>
        <v>Y</v>
      </c>
      <c r="N16" s="346" t="str">
        <f>'att Data Entry'!N16</f>
        <v>N</v>
      </c>
    </row>
    <row r="17" spans="3:14" ht="15.6" x14ac:dyDescent="0.3">
      <c r="C17" s="389">
        <v>4</v>
      </c>
      <c r="D17" s="393" t="str">
        <f>IF(ISBLANK('att Data Entry'!D17),"-",'att Data Entry'!D17)</f>
        <v>good</v>
      </c>
      <c r="E17" s="391" t="str">
        <f>IF(ISBLANK('att Data Entry'!E17),"-",'att Data Entry'!E17)</f>
        <v>good</v>
      </c>
      <c r="F17" s="391" t="str">
        <f>IF(ISBLANK('att Data Entry'!F17),"-",'att Data Entry'!F17)</f>
        <v>good</v>
      </c>
      <c r="G17" s="392"/>
      <c r="H17" s="391" t="str">
        <f>IF(ISBLANK('att Data Entry'!H17),"-",'att Data Entry'!H17)</f>
        <v>good</v>
      </c>
      <c r="I17" s="391" t="str">
        <f>IF(ISBLANK('att Data Entry'!I17),"-",'att Data Entry'!I17)</f>
        <v>good</v>
      </c>
      <c r="J17" s="392"/>
      <c r="K17" s="391" t="str">
        <f>IF(ISBLANK('att Data Entry'!K17),"-",'att Data Entry'!K17)</f>
        <v>good</v>
      </c>
      <c r="L17" s="391" t="str">
        <f>IF(ISBLANK('att Data Entry'!L17),"-",'att Data Entry'!L17)</f>
        <v>good</v>
      </c>
      <c r="M17" s="346" t="str">
        <f>'att Data Entry'!M17</f>
        <v>Y</v>
      </c>
      <c r="N17" s="346" t="str">
        <f>'att Data Entry'!N17</f>
        <v>Y</v>
      </c>
    </row>
    <row r="18" spans="3:14" ht="15.6" x14ac:dyDescent="0.3">
      <c r="C18" s="389">
        <v>5</v>
      </c>
      <c r="D18" s="393" t="str">
        <f>IF(ISBLANK('att Data Entry'!D18),"-",'att Data Entry'!D18)</f>
        <v>good</v>
      </c>
      <c r="E18" s="391" t="str">
        <f>IF(ISBLANK('att Data Entry'!E18),"-",'att Data Entry'!E18)</f>
        <v>good</v>
      </c>
      <c r="F18" s="391" t="str">
        <f>IF(ISBLANK('att Data Entry'!F18),"-",'att Data Entry'!F18)</f>
        <v>good</v>
      </c>
      <c r="G18" s="392"/>
      <c r="H18" s="391" t="str">
        <f>IF(ISBLANK('att Data Entry'!H18),"-",'att Data Entry'!H18)</f>
        <v>good</v>
      </c>
      <c r="I18" s="391" t="str">
        <f>IF(ISBLANK('att Data Entry'!I18),"-",'att Data Entry'!I18)</f>
        <v>good</v>
      </c>
      <c r="J18" s="392"/>
      <c r="K18" s="391" t="str">
        <f>IF(ISBLANK('att Data Entry'!K18),"-",'att Data Entry'!K18)</f>
        <v>good</v>
      </c>
      <c r="L18" s="391" t="str">
        <f>IF(ISBLANK('att Data Entry'!L18),"-",'att Data Entry'!L18)</f>
        <v>good</v>
      </c>
      <c r="M18" s="346" t="str">
        <f>'att Data Entry'!M18</f>
        <v>Y</v>
      </c>
      <c r="N18" s="346" t="str">
        <f>'att Data Entry'!N18</f>
        <v>Y</v>
      </c>
    </row>
    <row r="19" spans="3:14" ht="15.6" x14ac:dyDescent="0.3">
      <c r="C19" s="389">
        <v>6</v>
      </c>
      <c r="D19" s="393" t="str">
        <f>IF(ISBLANK('att Data Entry'!D19),"-",'att Data Entry'!D19)</f>
        <v>bad</v>
      </c>
      <c r="E19" s="391" t="str">
        <f>IF(ISBLANK('att Data Entry'!E19),"-",'att Data Entry'!E19)</f>
        <v>good</v>
      </c>
      <c r="F19" s="391" t="str">
        <f>IF(ISBLANK('att Data Entry'!F19),"-",'att Data Entry'!F19)</f>
        <v>good</v>
      </c>
      <c r="G19" s="392"/>
      <c r="H19" s="391" t="str">
        <f>IF(ISBLANK('att Data Entry'!H19),"-",'att Data Entry'!H19)</f>
        <v>good</v>
      </c>
      <c r="I19" s="391" t="str">
        <f>IF(ISBLANK('att Data Entry'!I19),"-",'att Data Entry'!I19)</f>
        <v>good</v>
      </c>
      <c r="J19" s="392"/>
      <c r="K19" s="391" t="str">
        <f>IF(ISBLANK('att Data Entry'!K19),"-",'att Data Entry'!K19)</f>
        <v>good</v>
      </c>
      <c r="L19" s="391" t="str">
        <f>IF(ISBLANK('att Data Entry'!L19),"-",'att Data Entry'!L19)</f>
        <v>good</v>
      </c>
      <c r="M19" s="346" t="str">
        <f>'att Data Entry'!M19</f>
        <v>Y</v>
      </c>
      <c r="N19" s="346" t="str">
        <f>'att Data Entry'!N19</f>
        <v>N</v>
      </c>
    </row>
    <row r="20" spans="3:14" ht="15.6" x14ac:dyDescent="0.3">
      <c r="C20" s="389">
        <v>7</v>
      </c>
      <c r="D20" s="393" t="str">
        <f>IF(ISBLANK('att Data Entry'!D20),"-",'att Data Entry'!D20)</f>
        <v>good</v>
      </c>
      <c r="E20" s="391" t="str">
        <f>IF(ISBLANK('att Data Entry'!E20),"-",'att Data Entry'!E20)</f>
        <v>good</v>
      </c>
      <c r="F20" s="391" t="str">
        <f>IF(ISBLANK('att Data Entry'!F20),"-",'att Data Entry'!F20)</f>
        <v>good</v>
      </c>
      <c r="G20" s="392"/>
      <c r="H20" s="391" t="str">
        <f>IF(ISBLANK('att Data Entry'!H20),"-",'att Data Entry'!H20)</f>
        <v>good</v>
      </c>
      <c r="I20" s="391" t="str">
        <f>IF(ISBLANK('att Data Entry'!I20),"-",'att Data Entry'!I20)</f>
        <v>good</v>
      </c>
      <c r="J20" s="392"/>
      <c r="K20" s="391" t="str">
        <f>IF(ISBLANK('att Data Entry'!K20),"-",'att Data Entry'!K20)</f>
        <v>good</v>
      </c>
      <c r="L20" s="391" t="str">
        <f>IF(ISBLANK('att Data Entry'!L20),"-",'att Data Entry'!L20)</f>
        <v>good</v>
      </c>
      <c r="M20" s="346" t="str">
        <f>'att Data Entry'!M20</f>
        <v>Y</v>
      </c>
      <c r="N20" s="346" t="str">
        <f>'att Data Entry'!N20</f>
        <v>Y</v>
      </c>
    </row>
    <row r="21" spans="3:14" ht="15.6" x14ac:dyDescent="0.3">
      <c r="C21" s="389">
        <v>8</v>
      </c>
      <c r="D21" s="393" t="str">
        <f>IF(ISBLANK('att Data Entry'!D21),"-",'att Data Entry'!D21)</f>
        <v>good</v>
      </c>
      <c r="E21" s="391" t="str">
        <f>IF(ISBLANK('att Data Entry'!E21),"-",'att Data Entry'!E21)</f>
        <v>good</v>
      </c>
      <c r="F21" s="391" t="str">
        <f>IF(ISBLANK('att Data Entry'!F21),"-",'att Data Entry'!F21)</f>
        <v>good</v>
      </c>
      <c r="G21" s="392"/>
      <c r="H21" s="391" t="str">
        <f>IF(ISBLANK('att Data Entry'!H21),"-",'att Data Entry'!H21)</f>
        <v>good</v>
      </c>
      <c r="I21" s="391" t="str">
        <f>IF(ISBLANK('att Data Entry'!I21),"-",'att Data Entry'!I21)</f>
        <v>good</v>
      </c>
      <c r="J21" s="392"/>
      <c r="K21" s="391" t="str">
        <f>IF(ISBLANK('att Data Entry'!K21),"-",'att Data Entry'!K21)</f>
        <v>good</v>
      </c>
      <c r="L21" s="391" t="str">
        <f>IF(ISBLANK('att Data Entry'!L21),"-",'att Data Entry'!L21)</f>
        <v>good</v>
      </c>
      <c r="M21" s="346" t="str">
        <f>'att Data Entry'!M21</f>
        <v>Y</v>
      </c>
      <c r="N21" s="346" t="str">
        <f>'att Data Entry'!N21</f>
        <v>Y</v>
      </c>
    </row>
    <row r="22" spans="3:14" ht="15.6" x14ac:dyDescent="0.3">
      <c r="C22" s="389">
        <v>9</v>
      </c>
      <c r="D22" s="393" t="str">
        <f>IF(ISBLANK('att Data Entry'!D22),"-",'att Data Entry'!D22)</f>
        <v>good</v>
      </c>
      <c r="E22" s="391" t="str">
        <f>IF(ISBLANK('att Data Entry'!E22),"-",'att Data Entry'!E22)</f>
        <v>good</v>
      </c>
      <c r="F22" s="391" t="str">
        <f>IF(ISBLANK('att Data Entry'!F22),"-",'att Data Entry'!F22)</f>
        <v>good</v>
      </c>
      <c r="G22" s="392"/>
      <c r="H22" s="391" t="str">
        <f>IF(ISBLANK('att Data Entry'!H22),"-",'att Data Entry'!H22)</f>
        <v>good</v>
      </c>
      <c r="I22" s="391" t="str">
        <f>IF(ISBLANK('att Data Entry'!I22),"-",'att Data Entry'!I22)</f>
        <v>good</v>
      </c>
      <c r="J22" s="392"/>
      <c r="K22" s="391" t="str">
        <f>IF(ISBLANK('att Data Entry'!K22),"-",'att Data Entry'!K22)</f>
        <v>good</v>
      </c>
      <c r="L22" s="391" t="str">
        <f>IF(ISBLANK('att Data Entry'!L22),"-",'att Data Entry'!L22)</f>
        <v>good</v>
      </c>
      <c r="M22" s="346" t="str">
        <f>'att Data Entry'!M22</f>
        <v>Y</v>
      </c>
      <c r="N22" s="346" t="str">
        <f>'att Data Entry'!N22</f>
        <v>Y</v>
      </c>
    </row>
    <row r="23" spans="3:14" ht="15.6" x14ac:dyDescent="0.3">
      <c r="C23" s="389">
        <v>10</v>
      </c>
      <c r="D23" s="393" t="str">
        <f>IF(ISBLANK('att Data Entry'!D23),"-",'att Data Entry'!D23)</f>
        <v>bad</v>
      </c>
      <c r="E23" s="391" t="str">
        <f>IF(ISBLANK('att Data Entry'!E23),"-",'att Data Entry'!E23)</f>
        <v>good</v>
      </c>
      <c r="F23" s="391" t="str">
        <f>IF(ISBLANK('att Data Entry'!F23),"-",'att Data Entry'!F23)</f>
        <v>good</v>
      </c>
      <c r="G23" s="392"/>
      <c r="H23" s="391" t="str">
        <f>IF(ISBLANK('att Data Entry'!H23),"-",'att Data Entry'!H23)</f>
        <v>good</v>
      </c>
      <c r="I23" s="391" t="str">
        <f>IF(ISBLANK('att Data Entry'!I23),"-",'att Data Entry'!I23)</f>
        <v>good</v>
      </c>
      <c r="J23" s="392"/>
      <c r="K23" s="391" t="str">
        <f>IF(ISBLANK('att Data Entry'!K23),"-",'att Data Entry'!K23)</f>
        <v>good</v>
      </c>
      <c r="L23" s="391" t="str">
        <f>IF(ISBLANK('att Data Entry'!L23),"-",'att Data Entry'!L23)</f>
        <v>good</v>
      </c>
      <c r="M23" s="346" t="str">
        <f>'att Data Entry'!M23</f>
        <v>Y</v>
      </c>
      <c r="N23" s="346" t="str">
        <f>'att Data Entry'!N23</f>
        <v>N</v>
      </c>
    </row>
    <row r="24" spans="3:14" ht="15.6" x14ac:dyDescent="0.3">
      <c r="C24" s="389">
        <v>11</v>
      </c>
      <c r="D24" s="393" t="str">
        <f>IF(ISBLANK('att Data Entry'!D24),"-",'att Data Entry'!D24)</f>
        <v>-</v>
      </c>
      <c r="E24" s="391" t="str">
        <f>IF(ISBLANK('att Data Entry'!E24),"-",'att Data Entry'!E24)</f>
        <v>-</v>
      </c>
      <c r="F24" s="391" t="str">
        <f>IF(ISBLANK('att Data Entry'!F24),"-",'att Data Entry'!F24)</f>
        <v>-</v>
      </c>
      <c r="G24" s="392"/>
      <c r="H24" s="391" t="str">
        <f>IF(ISBLANK('att Data Entry'!H24),"-",'att Data Entry'!H24)</f>
        <v>-</v>
      </c>
      <c r="I24" s="391" t="str">
        <f>IF(ISBLANK('att Data Entry'!I24),"-",'att Data Entry'!I24)</f>
        <v>-</v>
      </c>
      <c r="J24" s="392"/>
      <c r="K24" s="391" t="str">
        <f>IF(ISBLANK('att Data Entry'!K24),"-",'att Data Entry'!K24)</f>
        <v>-</v>
      </c>
      <c r="L24" s="391" t="str">
        <f>IF(ISBLANK('att Data Entry'!L24),"-",'att Data Entry'!L24)</f>
        <v>-</v>
      </c>
      <c r="M24" s="346" t="str">
        <f>'att Data Entry'!M24</f>
        <v/>
      </c>
      <c r="N24" s="346" t="str">
        <f>'att Data Entry'!N24</f>
        <v/>
      </c>
    </row>
    <row r="25" spans="3:14" ht="15.6" x14ac:dyDescent="0.3">
      <c r="C25" s="389">
        <v>12</v>
      </c>
      <c r="D25" s="393" t="str">
        <f>IF(ISBLANK('att Data Entry'!D25),"-",'att Data Entry'!D25)</f>
        <v>-</v>
      </c>
      <c r="E25" s="391" t="str">
        <f>IF(ISBLANK('att Data Entry'!E25),"-",'att Data Entry'!E25)</f>
        <v>-</v>
      </c>
      <c r="F25" s="391" t="str">
        <f>IF(ISBLANK('att Data Entry'!F25),"-",'att Data Entry'!F25)</f>
        <v>-</v>
      </c>
      <c r="G25" s="392"/>
      <c r="H25" s="391" t="str">
        <f>IF(ISBLANK('att Data Entry'!H25),"-",'att Data Entry'!H25)</f>
        <v>-</v>
      </c>
      <c r="I25" s="391" t="str">
        <f>IF(ISBLANK('att Data Entry'!I25),"-",'att Data Entry'!I25)</f>
        <v>-</v>
      </c>
      <c r="J25" s="392"/>
      <c r="K25" s="391" t="str">
        <f>IF(ISBLANK('att Data Entry'!K25),"-",'att Data Entry'!K25)</f>
        <v>-</v>
      </c>
      <c r="L25" s="391" t="str">
        <f>IF(ISBLANK('att Data Entry'!L25),"-",'att Data Entry'!L25)</f>
        <v>-</v>
      </c>
      <c r="M25" s="346" t="str">
        <f>'att Data Entry'!M25</f>
        <v/>
      </c>
      <c r="N25" s="346" t="str">
        <f>'att Data Entry'!N25</f>
        <v/>
      </c>
    </row>
    <row r="26" spans="3:14" ht="15.6" x14ac:dyDescent="0.3">
      <c r="C26" s="389">
        <v>13</v>
      </c>
      <c r="D26" s="393" t="str">
        <f>IF(ISBLANK('att Data Entry'!D26),"-",'att Data Entry'!D26)</f>
        <v>-</v>
      </c>
      <c r="E26" s="391" t="str">
        <f>IF(ISBLANK('att Data Entry'!E26),"-",'att Data Entry'!E26)</f>
        <v>-</v>
      </c>
      <c r="F26" s="391" t="str">
        <f>IF(ISBLANK('att Data Entry'!F26),"-",'att Data Entry'!F26)</f>
        <v>-</v>
      </c>
      <c r="G26" s="392"/>
      <c r="H26" s="391" t="str">
        <f>IF(ISBLANK('att Data Entry'!H26),"-",'att Data Entry'!H26)</f>
        <v>-</v>
      </c>
      <c r="I26" s="391" t="str">
        <f>IF(ISBLANK('att Data Entry'!I26),"-",'att Data Entry'!I26)</f>
        <v>-</v>
      </c>
      <c r="J26" s="392"/>
      <c r="K26" s="391" t="str">
        <f>IF(ISBLANK('att Data Entry'!K26),"-",'att Data Entry'!K26)</f>
        <v>-</v>
      </c>
      <c r="L26" s="391" t="str">
        <f>IF(ISBLANK('att Data Entry'!L26),"-",'att Data Entry'!L26)</f>
        <v>-</v>
      </c>
      <c r="M26" s="346" t="str">
        <f>'att Data Entry'!M26</f>
        <v/>
      </c>
      <c r="N26" s="346" t="str">
        <f>'att Data Entry'!N26</f>
        <v/>
      </c>
    </row>
    <row r="27" spans="3:14" ht="15.6" x14ac:dyDescent="0.3">
      <c r="C27" s="389">
        <v>14</v>
      </c>
      <c r="D27" s="393" t="str">
        <f>IF(ISBLANK('att Data Entry'!D27),"-",'att Data Entry'!D27)</f>
        <v>-</v>
      </c>
      <c r="E27" s="391" t="str">
        <f>IF(ISBLANK('att Data Entry'!E27),"-",'att Data Entry'!E27)</f>
        <v>-</v>
      </c>
      <c r="F27" s="391" t="str">
        <f>IF(ISBLANK('att Data Entry'!F27),"-",'att Data Entry'!F27)</f>
        <v>-</v>
      </c>
      <c r="G27" s="392"/>
      <c r="H27" s="391" t="str">
        <f>IF(ISBLANK('att Data Entry'!H27),"-",'att Data Entry'!H27)</f>
        <v>-</v>
      </c>
      <c r="I27" s="391" t="str">
        <f>IF(ISBLANK('att Data Entry'!I27),"-",'att Data Entry'!I27)</f>
        <v>-</v>
      </c>
      <c r="J27" s="392"/>
      <c r="K27" s="391" t="str">
        <f>IF(ISBLANK('att Data Entry'!K27),"-",'att Data Entry'!K27)</f>
        <v>-</v>
      </c>
      <c r="L27" s="391" t="str">
        <f>IF(ISBLANK('att Data Entry'!L27),"-",'att Data Entry'!L27)</f>
        <v>-</v>
      </c>
      <c r="M27" s="346" t="str">
        <f>'att Data Entry'!M27</f>
        <v/>
      </c>
      <c r="N27" s="346" t="str">
        <f>'att Data Entry'!N27</f>
        <v/>
      </c>
    </row>
    <row r="28" spans="3:14" ht="15.6" x14ac:dyDescent="0.3">
      <c r="C28" s="389">
        <v>15</v>
      </c>
      <c r="D28" s="393" t="str">
        <f>IF(ISBLANK('att Data Entry'!D28),"-",'att Data Entry'!D28)</f>
        <v>-</v>
      </c>
      <c r="E28" s="391" t="str">
        <f>IF(ISBLANK('att Data Entry'!E28),"-",'att Data Entry'!E28)</f>
        <v>-</v>
      </c>
      <c r="F28" s="391" t="str">
        <f>IF(ISBLANK('att Data Entry'!F28),"-",'att Data Entry'!F28)</f>
        <v>-</v>
      </c>
      <c r="G28" s="392"/>
      <c r="H28" s="391" t="str">
        <f>IF(ISBLANK('att Data Entry'!H28),"-",'att Data Entry'!H28)</f>
        <v>-</v>
      </c>
      <c r="I28" s="391" t="str">
        <f>IF(ISBLANK('att Data Entry'!I28),"-",'att Data Entry'!I28)</f>
        <v>-</v>
      </c>
      <c r="J28" s="392"/>
      <c r="K28" s="391" t="str">
        <f>IF(ISBLANK('att Data Entry'!K28),"-",'att Data Entry'!K28)</f>
        <v>-</v>
      </c>
      <c r="L28" s="391" t="str">
        <f>IF(ISBLANK('att Data Entry'!L28),"-",'att Data Entry'!L28)</f>
        <v>-</v>
      </c>
      <c r="M28" s="346" t="str">
        <f>'att Data Entry'!M28</f>
        <v/>
      </c>
      <c r="N28" s="346" t="str">
        <f>'att Data Entry'!N28</f>
        <v/>
      </c>
    </row>
    <row r="29" spans="3:14" ht="15.6" x14ac:dyDescent="0.3">
      <c r="C29" s="389">
        <v>16</v>
      </c>
      <c r="D29" s="393" t="str">
        <f>IF(ISBLANK('att Data Entry'!D29),"-",'att Data Entry'!D29)</f>
        <v>-</v>
      </c>
      <c r="E29" s="391" t="str">
        <f>IF(ISBLANK('att Data Entry'!E29),"-",'att Data Entry'!E29)</f>
        <v>-</v>
      </c>
      <c r="F29" s="391" t="str">
        <f>IF(ISBLANK('att Data Entry'!F29),"-",'att Data Entry'!F29)</f>
        <v>-</v>
      </c>
      <c r="G29" s="392"/>
      <c r="H29" s="391" t="str">
        <f>IF(ISBLANK('att Data Entry'!H29),"-",'att Data Entry'!H29)</f>
        <v>-</v>
      </c>
      <c r="I29" s="391" t="str">
        <f>IF(ISBLANK('att Data Entry'!I29),"-",'att Data Entry'!I29)</f>
        <v>-</v>
      </c>
      <c r="J29" s="392"/>
      <c r="K29" s="391" t="str">
        <f>IF(ISBLANK('att Data Entry'!K29),"-",'att Data Entry'!K29)</f>
        <v>-</v>
      </c>
      <c r="L29" s="391" t="str">
        <f>IF(ISBLANK('att Data Entry'!L29),"-",'att Data Entry'!L29)</f>
        <v>-</v>
      </c>
      <c r="M29" s="346" t="str">
        <f>'att Data Entry'!M29</f>
        <v/>
      </c>
      <c r="N29" s="346" t="str">
        <f>'att Data Entry'!N29</f>
        <v/>
      </c>
    </row>
    <row r="30" spans="3:14" ht="15.6" x14ac:dyDescent="0.3">
      <c r="C30" s="389">
        <v>17</v>
      </c>
      <c r="D30" s="393" t="str">
        <f>IF(ISBLANK('att Data Entry'!D30),"-",'att Data Entry'!D30)</f>
        <v>-</v>
      </c>
      <c r="E30" s="391" t="str">
        <f>IF(ISBLANK('att Data Entry'!E30),"-",'att Data Entry'!E30)</f>
        <v>-</v>
      </c>
      <c r="F30" s="391" t="str">
        <f>IF(ISBLANK('att Data Entry'!F30),"-",'att Data Entry'!F30)</f>
        <v>-</v>
      </c>
      <c r="G30" s="392"/>
      <c r="H30" s="391" t="str">
        <f>IF(ISBLANK('att Data Entry'!H30),"-",'att Data Entry'!H30)</f>
        <v>-</v>
      </c>
      <c r="I30" s="391" t="str">
        <f>IF(ISBLANK('att Data Entry'!I30),"-",'att Data Entry'!I30)</f>
        <v>-</v>
      </c>
      <c r="J30" s="392"/>
      <c r="K30" s="391" t="str">
        <f>IF(ISBLANK('att Data Entry'!K30),"-",'att Data Entry'!K30)</f>
        <v>-</v>
      </c>
      <c r="L30" s="391" t="str">
        <f>IF(ISBLANK('att Data Entry'!L30),"-",'att Data Entry'!L30)</f>
        <v>-</v>
      </c>
      <c r="M30" s="346" t="str">
        <f>'att Data Entry'!M30</f>
        <v/>
      </c>
      <c r="N30" s="346" t="str">
        <f>'att Data Entry'!N30</f>
        <v/>
      </c>
    </row>
    <row r="31" spans="3:14" ht="15.6" x14ac:dyDescent="0.3">
      <c r="C31" s="389">
        <v>18</v>
      </c>
      <c r="D31" s="393" t="str">
        <f>IF(ISBLANK('att Data Entry'!D31),"-",'att Data Entry'!D31)</f>
        <v>-</v>
      </c>
      <c r="E31" s="391" t="str">
        <f>IF(ISBLANK('att Data Entry'!E31),"-",'att Data Entry'!E31)</f>
        <v>-</v>
      </c>
      <c r="F31" s="391" t="str">
        <f>IF(ISBLANK('att Data Entry'!F31),"-",'att Data Entry'!F31)</f>
        <v>-</v>
      </c>
      <c r="G31" s="392"/>
      <c r="H31" s="391" t="str">
        <f>IF(ISBLANK('att Data Entry'!H31),"-",'att Data Entry'!H31)</f>
        <v>-</v>
      </c>
      <c r="I31" s="391" t="str">
        <f>IF(ISBLANK('att Data Entry'!I31),"-",'att Data Entry'!I31)</f>
        <v>-</v>
      </c>
      <c r="J31" s="392"/>
      <c r="K31" s="391" t="str">
        <f>IF(ISBLANK('att Data Entry'!K31),"-",'att Data Entry'!K31)</f>
        <v>-</v>
      </c>
      <c r="L31" s="391" t="str">
        <f>IF(ISBLANK('att Data Entry'!L31),"-",'att Data Entry'!L31)</f>
        <v>-</v>
      </c>
      <c r="M31" s="346" t="str">
        <f>'att Data Entry'!M31</f>
        <v/>
      </c>
      <c r="N31" s="346" t="str">
        <f>'att Data Entry'!N31</f>
        <v/>
      </c>
    </row>
    <row r="32" spans="3:14" ht="15.6" x14ac:dyDescent="0.3">
      <c r="C32" s="389">
        <v>19</v>
      </c>
      <c r="D32" s="393" t="str">
        <f>IF(ISBLANK('att Data Entry'!D32),"-",'att Data Entry'!D32)</f>
        <v>-</v>
      </c>
      <c r="E32" s="391" t="str">
        <f>IF(ISBLANK('att Data Entry'!E32),"-",'att Data Entry'!E32)</f>
        <v>-</v>
      </c>
      <c r="F32" s="391" t="str">
        <f>IF(ISBLANK('att Data Entry'!F32),"-",'att Data Entry'!F32)</f>
        <v>-</v>
      </c>
      <c r="G32" s="392"/>
      <c r="H32" s="391" t="str">
        <f>IF(ISBLANK('att Data Entry'!H32),"-",'att Data Entry'!H32)</f>
        <v>-</v>
      </c>
      <c r="I32" s="391" t="str">
        <f>IF(ISBLANK('att Data Entry'!I32),"-",'att Data Entry'!I32)</f>
        <v>-</v>
      </c>
      <c r="J32" s="392"/>
      <c r="K32" s="391" t="str">
        <f>IF(ISBLANK('att Data Entry'!K32),"-",'att Data Entry'!K32)</f>
        <v>-</v>
      </c>
      <c r="L32" s="391" t="str">
        <f>IF(ISBLANK('att Data Entry'!L32),"-",'att Data Entry'!L32)</f>
        <v>-</v>
      </c>
      <c r="M32" s="346" t="str">
        <f>'att Data Entry'!M32</f>
        <v/>
      </c>
      <c r="N32" s="346" t="str">
        <f>'att Data Entry'!N32</f>
        <v/>
      </c>
    </row>
    <row r="33" spans="3:14" ht="15.6" x14ac:dyDescent="0.3">
      <c r="C33" s="389">
        <v>20</v>
      </c>
      <c r="D33" s="393" t="str">
        <f>IF(ISBLANK('att Data Entry'!D33),"-",'att Data Entry'!D33)</f>
        <v>-</v>
      </c>
      <c r="E33" s="391" t="str">
        <f>IF(ISBLANK('att Data Entry'!E33),"-",'att Data Entry'!E33)</f>
        <v>-</v>
      </c>
      <c r="F33" s="391" t="str">
        <f>IF(ISBLANK('att Data Entry'!F33),"-",'att Data Entry'!F33)</f>
        <v>-</v>
      </c>
      <c r="G33" s="392"/>
      <c r="H33" s="391" t="str">
        <f>IF(ISBLANK('att Data Entry'!H33),"-",'att Data Entry'!H33)</f>
        <v>-</v>
      </c>
      <c r="I33" s="391" t="str">
        <f>IF(ISBLANK('att Data Entry'!I33),"-",'att Data Entry'!I33)</f>
        <v>-</v>
      </c>
      <c r="J33" s="392"/>
      <c r="K33" s="391" t="str">
        <f>IF(ISBLANK('att Data Entry'!K33),"-",'att Data Entry'!K33)</f>
        <v>-</v>
      </c>
      <c r="L33" s="391" t="str">
        <f>IF(ISBLANK('att Data Entry'!L33),"-",'att Data Entry'!L33)</f>
        <v>-</v>
      </c>
      <c r="M33" s="346" t="str">
        <f>'att Data Entry'!M33</f>
        <v/>
      </c>
      <c r="N33" s="346" t="str">
        <f>'att Data Entry'!N33</f>
        <v/>
      </c>
    </row>
    <row r="34" spans="3:14" ht="15.6" x14ac:dyDescent="0.3">
      <c r="C34" s="389">
        <v>21</v>
      </c>
      <c r="D34" s="393" t="str">
        <f>IF(ISBLANK('att Data Entry'!D34),"-",'att Data Entry'!D34)</f>
        <v>-</v>
      </c>
      <c r="E34" s="391" t="str">
        <f>IF(ISBLANK('att Data Entry'!E34),"-",'att Data Entry'!E34)</f>
        <v>-</v>
      </c>
      <c r="F34" s="391" t="str">
        <f>IF(ISBLANK('att Data Entry'!F34),"-",'att Data Entry'!F34)</f>
        <v>-</v>
      </c>
      <c r="G34" s="392"/>
      <c r="H34" s="391" t="str">
        <f>IF(ISBLANK('att Data Entry'!H34),"-",'att Data Entry'!H34)</f>
        <v>-</v>
      </c>
      <c r="I34" s="391" t="str">
        <f>IF(ISBLANK('att Data Entry'!I34),"-",'att Data Entry'!I34)</f>
        <v>-</v>
      </c>
      <c r="J34" s="392"/>
      <c r="K34" s="391" t="str">
        <f>IF(ISBLANK('att Data Entry'!K34),"-",'att Data Entry'!K34)</f>
        <v>-</v>
      </c>
      <c r="L34" s="391" t="str">
        <f>IF(ISBLANK('att Data Entry'!L34),"-",'att Data Entry'!L34)</f>
        <v>-</v>
      </c>
      <c r="M34" s="346" t="str">
        <f>'att Data Entry'!M34</f>
        <v/>
      </c>
      <c r="N34" s="346" t="str">
        <f>'att Data Entry'!N34</f>
        <v/>
      </c>
    </row>
    <row r="35" spans="3:14" ht="15.6" x14ac:dyDescent="0.3">
      <c r="C35" s="389">
        <v>22</v>
      </c>
      <c r="D35" s="393" t="str">
        <f>IF(ISBLANK('att Data Entry'!D35),"-",'att Data Entry'!D35)</f>
        <v>-</v>
      </c>
      <c r="E35" s="391" t="str">
        <f>IF(ISBLANK('att Data Entry'!E35),"-",'att Data Entry'!E35)</f>
        <v>-</v>
      </c>
      <c r="F35" s="391" t="str">
        <f>IF(ISBLANK('att Data Entry'!F35),"-",'att Data Entry'!F35)</f>
        <v>-</v>
      </c>
      <c r="G35" s="392"/>
      <c r="H35" s="391" t="str">
        <f>IF(ISBLANK('att Data Entry'!H35),"-",'att Data Entry'!H35)</f>
        <v>-</v>
      </c>
      <c r="I35" s="391" t="str">
        <f>IF(ISBLANK('att Data Entry'!I35),"-",'att Data Entry'!I35)</f>
        <v>-</v>
      </c>
      <c r="J35" s="392"/>
      <c r="K35" s="391" t="str">
        <f>IF(ISBLANK('att Data Entry'!K35),"-",'att Data Entry'!K35)</f>
        <v>-</v>
      </c>
      <c r="L35" s="391" t="str">
        <f>IF(ISBLANK('att Data Entry'!L35),"-",'att Data Entry'!L35)</f>
        <v>-</v>
      </c>
      <c r="M35" s="346" t="str">
        <f>'att Data Entry'!M35</f>
        <v/>
      </c>
      <c r="N35" s="346" t="str">
        <f>'att Data Entry'!N35</f>
        <v/>
      </c>
    </row>
    <row r="36" spans="3:14" ht="15.6" x14ac:dyDescent="0.3">
      <c r="C36" s="389">
        <v>23</v>
      </c>
      <c r="D36" s="393" t="str">
        <f>IF(ISBLANK('att Data Entry'!D36),"-",'att Data Entry'!D36)</f>
        <v>-</v>
      </c>
      <c r="E36" s="391" t="str">
        <f>IF(ISBLANK('att Data Entry'!E36),"-",'att Data Entry'!E36)</f>
        <v>-</v>
      </c>
      <c r="F36" s="391" t="str">
        <f>IF(ISBLANK('att Data Entry'!F36),"-",'att Data Entry'!F36)</f>
        <v>-</v>
      </c>
      <c r="G36" s="392"/>
      <c r="H36" s="391" t="str">
        <f>IF(ISBLANK('att Data Entry'!H36),"-",'att Data Entry'!H36)</f>
        <v>-</v>
      </c>
      <c r="I36" s="391" t="str">
        <f>IF(ISBLANK('att Data Entry'!I36),"-",'att Data Entry'!I36)</f>
        <v>-</v>
      </c>
      <c r="J36" s="392"/>
      <c r="K36" s="391" t="str">
        <f>IF(ISBLANK('att Data Entry'!K36),"-",'att Data Entry'!K36)</f>
        <v>-</v>
      </c>
      <c r="L36" s="391" t="str">
        <f>IF(ISBLANK('att Data Entry'!L36),"-",'att Data Entry'!L36)</f>
        <v>-</v>
      </c>
      <c r="M36" s="346" t="str">
        <f>'att Data Entry'!M36</f>
        <v/>
      </c>
      <c r="N36" s="346" t="str">
        <f>'att Data Entry'!N36</f>
        <v/>
      </c>
    </row>
    <row r="37" spans="3:14" ht="15.6" x14ac:dyDescent="0.3">
      <c r="C37" s="389">
        <v>24</v>
      </c>
      <c r="D37" s="393" t="str">
        <f>IF(ISBLANK('att Data Entry'!D37),"-",'att Data Entry'!D37)</f>
        <v>-</v>
      </c>
      <c r="E37" s="391" t="str">
        <f>IF(ISBLANK('att Data Entry'!E37),"-",'att Data Entry'!E37)</f>
        <v>-</v>
      </c>
      <c r="F37" s="391" t="str">
        <f>IF(ISBLANK('att Data Entry'!F37),"-",'att Data Entry'!F37)</f>
        <v>-</v>
      </c>
      <c r="G37" s="392"/>
      <c r="H37" s="391" t="str">
        <f>IF(ISBLANK('att Data Entry'!H37),"-",'att Data Entry'!H37)</f>
        <v>-</v>
      </c>
      <c r="I37" s="391" t="str">
        <f>IF(ISBLANK('att Data Entry'!I37),"-",'att Data Entry'!I37)</f>
        <v>-</v>
      </c>
      <c r="J37" s="392"/>
      <c r="K37" s="391" t="str">
        <f>IF(ISBLANK('att Data Entry'!K37),"-",'att Data Entry'!K37)</f>
        <v>-</v>
      </c>
      <c r="L37" s="391" t="str">
        <f>IF(ISBLANK('att Data Entry'!L37),"-",'att Data Entry'!L37)</f>
        <v>-</v>
      </c>
      <c r="M37" s="346" t="str">
        <f>'att Data Entry'!M37</f>
        <v/>
      </c>
      <c r="N37" s="346" t="str">
        <f>'att Data Entry'!N37</f>
        <v/>
      </c>
    </row>
    <row r="38" spans="3:14" ht="15.6" x14ac:dyDescent="0.3">
      <c r="C38" s="389">
        <v>25</v>
      </c>
      <c r="D38" s="393" t="str">
        <f>IF(ISBLANK('att Data Entry'!D38),"-",'att Data Entry'!D38)</f>
        <v>-</v>
      </c>
      <c r="E38" s="391" t="str">
        <f>IF(ISBLANK('att Data Entry'!E38),"-",'att Data Entry'!E38)</f>
        <v>-</v>
      </c>
      <c r="F38" s="391" t="str">
        <f>IF(ISBLANK('att Data Entry'!F38),"-",'att Data Entry'!F38)</f>
        <v>-</v>
      </c>
      <c r="G38" s="392"/>
      <c r="H38" s="391" t="str">
        <f>IF(ISBLANK('att Data Entry'!H38),"-",'att Data Entry'!H38)</f>
        <v>-</v>
      </c>
      <c r="I38" s="391" t="str">
        <f>IF(ISBLANK('att Data Entry'!I38),"-",'att Data Entry'!I38)</f>
        <v>-</v>
      </c>
      <c r="J38" s="392"/>
      <c r="K38" s="391" t="str">
        <f>IF(ISBLANK('att Data Entry'!K38),"-",'att Data Entry'!K38)</f>
        <v>-</v>
      </c>
      <c r="L38" s="391" t="str">
        <f>IF(ISBLANK('att Data Entry'!L38),"-",'att Data Entry'!L38)</f>
        <v>-</v>
      </c>
      <c r="M38" s="346" t="str">
        <f>'att Data Entry'!M38</f>
        <v/>
      </c>
      <c r="N38" s="346" t="str">
        <f>'att Data Entry'!N38</f>
        <v/>
      </c>
    </row>
    <row r="39" spans="3:14" ht="15.6" x14ac:dyDescent="0.3">
      <c r="C39" s="389">
        <v>26</v>
      </c>
      <c r="D39" s="393" t="str">
        <f>IF(ISBLANK('att Data Entry'!D39),"-",'att Data Entry'!D39)</f>
        <v>-</v>
      </c>
      <c r="E39" s="391" t="str">
        <f>IF(ISBLANK('att Data Entry'!E39),"-",'att Data Entry'!E39)</f>
        <v>-</v>
      </c>
      <c r="F39" s="391" t="str">
        <f>IF(ISBLANK('att Data Entry'!F39),"-",'att Data Entry'!F39)</f>
        <v>-</v>
      </c>
      <c r="G39" s="392"/>
      <c r="H39" s="391" t="str">
        <f>IF(ISBLANK('att Data Entry'!H39),"-",'att Data Entry'!H39)</f>
        <v>-</v>
      </c>
      <c r="I39" s="391" t="str">
        <f>IF(ISBLANK('att Data Entry'!I39),"-",'att Data Entry'!I39)</f>
        <v>-</v>
      </c>
      <c r="J39" s="392"/>
      <c r="K39" s="391" t="str">
        <f>IF(ISBLANK('att Data Entry'!K39),"-",'att Data Entry'!K39)</f>
        <v>-</v>
      </c>
      <c r="L39" s="391" t="str">
        <f>IF(ISBLANK('att Data Entry'!L39),"-",'att Data Entry'!L39)</f>
        <v>-</v>
      </c>
      <c r="M39" s="346" t="str">
        <f>'att Data Entry'!M39</f>
        <v/>
      </c>
      <c r="N39" s="346" t="str">
        <f>'att Data Entry'!N39</f>
        <v/>
      </c>
    </row>
    <row r="40" spans="3:14" ht="15.6" x14ac:dyDescent="0.3">
      <c r="C40" s="389">
        <v>27</v>
      </c>
      <c r="D40" s="393" t="str">
        <f>IF(ISBLANK('att Data Entry'!D40),"-",'att Data Entry'!D40)</f>
        <v>-</v>
      </c>
      <c r="E40" s="391" t="str">
        <f>IF(ISBLANK('att Data Entry'!E40),"-",'att Data Entry'!E40)</f>
        <v>-</v>
      </c>
      <c r="F40" s="391" t="str">
        <f>IF(ISBLANK('att Data Entry'!F40),"-",'att Data Entry'!F40)</f>
        <v>-</v>
      </c>
      <c r="G40" s="392"/>
      <c r="H40" s="391" t="str">
        <f>IF(ISBLANK('att Data Entry'!H40),"-",'att Data Entry'!H40)</f>
        <v>-</v>
      </c>
      <c r="I40" s="391" t="str">
        <f>IF(ISBLANK('att Data Entry'!I40),"-",'att Data Entry'!I40)</f>
        <v>-</v>
      </c>
      <c r="J40" s="392"/>
      <c r="K40" s="391" t="str">
        <f>IF(ISBLANK('att Data Entry'!K40),"-",'att Data Entry'!K40)</f>
        <v>-</v>
      </c>
      <c r="L40" s="391" t="str">
        <f>IF(ISBLANK('att Data Entry'!L40),"-",'att Data Entry'!L40)</f>
        <v>-</v>
      </c>
      <c r="M40" s="346" t="str">
        <f>'att Data Entry'!M40</f>
        <v/>
      </c>
      <c r="N40" s="346" t="str">
        <f>'att Data Entry'!N40</f>
        <v/>
      </c>
    </row>
    <row r="41" spans="3:14" ht="15.6" x14ac:dyDescent="0.3">
      <c r="C41" s="389">
        <v>28</v>
      </c>
      <c r="D41" s="393" t="str">
        <f>IF(ISBLANK('att Data Entry'!D41),"-",'att Data Entry'!D41)</f>
        <v>-</v>
      </c>
      <c r="E41" s="391" t="str">
        <f>IF(ISBLANK('att Data Entry'!E41),"-",'att Data Entry'!E41)</f>
        <v>-</v>
      </c>
      <c r="F41" s="391" t="str">
        <f>IF(ISBLANK('att Data Entry'!F41),"-",'att Data Entry'!F41)</f>
        <v>-</v>
      </c>
      <c r="G41" s="392"/>
      <c r="H41" s="391" t="str">
        <f>IF(ISBLANK('att Data Entry'!H41),"-",'att Data Entry'!H41)</f>
        <v>-</v>
      </c>
      <c r="I41" s="391" t="str">
        <f>IF(ISBLANK('att Data Entry'!I41),"-",'att Data Entry'!I41)</f>
        <v>-</v>
      </c>
      <c r="J41" s="392"/>
      <c r="K41" s="391" t="str">
        <f>IF(ISBLANK('att Data Entry'!K41),"-",'att Data Entry'!K41)</f>
        <v>-</v>
      </c>
      <c r="L41" s="391" t="str">
        <f>IF(ISBLANK('att Data Entry'!L41),"-",'att Data Entry'!L41)</f>
        <v>-</v>
      </c>
      <c r="M41" s="346" t="str">
        <f>'att Data Entry'!M41</f>
        <v/>
      </c>
      <c r="N41" s="346" t="str">
        <f>'att Data Entry'!N41</f>
        <v/>
      </c>
    </row>
    <row r="42" spans="3:14" ht="15.6" x14ac:dyDescent="0.3">
      <c r="C42" s="389">
        <v>29</v>
      </c>
      <c r="D42" s="393" t="str">
        <f>IF(ISBLANK('att Data Entry'!D42),"-",'att Data Entry'!D42)</f>
        <v>-</v>
      </c>
      <c r="E42" s="391" t="str">
        <f>IF(ISBLANK('att Data Entry'!E42),"-",'att Data Entry'!E42)</f>
        <v>-</v>
      </c>
      <c r="F42" s="391" t="str">
        <f>IF(ISBLANK('att Data Entry'!F42),"-",'att Data Entry'!F42)</f>
        <v>-</v>
      </c>
      <c r="G42" s="392"/>
      <c r="H42" s="391" t="str">
        <f>IF(ISBLANK('att Data Entry'!H42),"-",'att Data Entry'!H42)</f>
        <v>-</v>
      </c>
      <c r="I42" s="391" t="str">
        <f>IF(ISBLANK('att Data Entry'!I42),"-",'att Data Entry'!I42)</f>
        <v>-</v>
      </c>
      <c r="J42" s="392"/>
      <c r="K42" s="391" t="str">
        <f>IF(ISBLANK('att Data Entry'!K42),"-",'att Data Entry'!K42)</f>
        <v>-</v>
      </c>
      <c r="L42" s="391" t="str">
        <f>IF(ISBLANK('att Data Entry'!L42),"-",'att Data Entry'!L42)</f>
        <v>-</v>
      </c>
      <c r="M42" s="346" t="str">
        <f>'att Data Entry'!M42</f>
        <v/>
      </c>
      <c r="N42" s="346" t="str">
        <f>'att Data Entry'!N42</f>
        <v/>
      </c>
    </row>
    <row r="43" spans="3:14" ht="15.6" x14ac:dyDescent="0.3">
      <c r="C43" s="389">
        <v>30</v>
      </c>
      <c r="D43" s="393" t="str">
        <f>IF(ISBLANK('att Data Entry'!D43),"-",'att Data Entry'!D43)</f>
        <v>-</v>
      </c>
      <c r="E43" s="391" t="str">
        <f>IF(ISBLANK('att Data Entry'!E43),"-",'att Data Entry'!E43)</f>
        <v>-</v>
      </c>
      <c r="F43" s="391" t="str">
        <f>IF(ISBLANK('att Data Entry'!F43),"-",'att Data Entry'!F43)</f>
        <v>-</v>
      </c>
      <c r="G43" s="392"/>
      <c r="H43" s="391" t="str">
        <f>IF(ISBLANK('att Data Entry'!H43),"-",'att Data Entry'!H43)</f>
        <v>-</v>
      </c>
      <c r="I43" s="391" t="str">
        <f>IF(ISBLANK('att Data Entry'!I43),"-",'att Data Entry'!I43)</f>
        <v>-</v>
      </c>
      <c r="J43" s="392"/>
      <c r="K43" s="391" t="str">
        <f>IF(ISBLANK('att Data Entry'!K43),"-",'att Data Entry'!K43)</f>
        <v>-</v>
      </c>
      <c r="L43" s="391" t="str">
        <f>IF(ISBLANK('att Data Entry'!L43),"-",'att Data Entry'!L43)</f>
        <v>-</v>
      </c>
      <c r="M43" s="346" t="str">
        <f>'att Data Entry'!M43</f>
        <v/>
      </c>
      <c r="N43" s="346" t="str">
        <f>'att Data Entry'!N43</f>
        <v/>
      </c>
    </row>
    <row r="44" spans="3:14" ht="15.6" x14ac:dyDescent="0.3">
      <c r="C44" s="389">
        <v>31</v>
      </c>
      <c r="D44" s="393" t="str">
        <f>IF(ISBLANK('att Data Entry'!D44),"-",'att Data Entry'!D44)</f>
        <v>-</v>
      </c>
      <c r="E44" s="391" t="str">
        <f>IF(ISBLANK('att Data Entry'!E44),"-",'att Data Entry'!E44)</f>
        <v>-</v>
      </c>
      <c r="F44" s="391" t="str">
        <f>IF(ISBLANK('att Data Entry'!F44),"-",'att Data Entry'!F44)</f>
        <v>-</v>
      </c>
      <c r="G44" s="392"/>
      <c r="H44" s="391" t="str">
        <f>IF(ISBLANK('att Data Entry'!H44),"-",'att Data Entry'!H44)</f>
        <v>-</v>
      </c>
      <c r="I44" s="391" t="str">
        <f>IF(ISBLANK('att Data Entry'!I44),"-",'att Data Entry'!I44)</f>
        <v>-</v>
      </c>
      <c r="J44" s="392"/>
      <c r="K44" s="391" t="str">
        <f>IF(ISBLANK('att Data Entry'!K44),"-",'att Data Entry'!K44)</f>
        <v>-</v>
      </c>
      <c r="L44" s="391" t="str">
        <f>IF(ISBLANK('att Data Entry'!L44),"-",'att Data Entry'!L44)</f>
        <v>-</v>
      </c>
      <c r="M44" s="346" t="str">
        <f>'att Data Entry'!M44</f>
        <v/>
      </c>
      <c r="N44" s="346" t="str">
        <f>'att Data Entry'!N44</f>
        <v/>
      </c>
    </row>
    <row r="45" spans="3:14" ht="15.6" x14ac:dyDescent="0.3">
      <c r="C45" s="389">
        <v>32</v>
      </c>
      <c r="D45" s="393" t="str">
        <f>IF(ISBLANK('att Data Entry'!D45),"-",'att Data Entry'!D45)</f>
        <v>-</v>
      </c>
      <c r="E45" s="391" t="str">
        <f>IF(ISBLANK('att Data Entry'!E45),"-",'att Data Entry'!E45)</f>
        <v>-</v>
      </c>
      <c r="F45" s="391" t="str">
        <f>IF(ISBLANK('att Data Entry'!F45),"-",'att Data Entry'!F45)</f>
        <v>-</v>
      </c>
      <c r="G45" s="392"/>
      <c r="H45" s="391" t="str">
        <f>IF(ISBLANK('att Data Entry'!H45),"-",'att Data Entry'!H45)</f>
        <v>-</v>
      </c>
      <c r="I45" s="391" t="str">
        <f>IF(ISBLANK('att Data Entry'!I45),"-",'att Data Entry'!I45)</f>
        <v>-</v>
      </c>
      <c r="J45" s="392"/>
      <c r="K45" s="391" t="str">
        <f>IF(ISBLANK('att Data Entry'!K45),"-",'att Data Entry'!K45)</f>
        <v>-</v>
      </c>
      <c r="L45" s="391" t="str">
        <f>IF(ISBLANK('att Data Entry'!L45),"-",'att Data Entry'!L45)</f>
        <v>-</v>
      </c>
      <c r="M45" s="346" t="str">
        <f>'att Data Entry'!M45</f>
        <v/>
      </c>
      <c r="N45" s="346" t="str">
        <f>'att Data Entry'!N45</f>
        <v/>
      </c>
    </row>
    <row r="46" spans="3:14" ht="15.6" x14ac:dyDescent="0.3">
      <c r="C46" s="389">
        <v>33</v>
      </c>
      <c r="D46" s="393" t="str">
        <f>IF(ISBLANK('att Data Entry'!D46),"-",'att Data Entry'!D46)</f>
        <v>-</v>
      </c>
      <c r="E46" s="391" t="str">
        <f>IF(ISBLANK('att Data Entry'!E46),"-",'att Data Entry'!E46)</f>
        <v>-</v>
      </c>
      <c r="F46" s="391" t="str">
        <f>IF(ISBLANK('att Data Entry'!F46),"-",'att Data Entry'!F46)</f>
        <v>-</v>
      </c>
      <c r="G46" s="392"/>
      <c r="H46" s="391" t="str">
        <f>IF(ISBLANK('att Data Entry'!H46),"-",'att Data Entry'!H46)</f>
        <v>-</v>
      </c>
      <c r="I46" s="391" t="str">
        <f>IF(ISBLANK('att Data Entry'!I46),"-",'att Data Entry'!I46)</f>
        <v>-</v>
      </c>
      <c r="J46" s="392"/>
      <c r="K46" s="391" t="str">
        <f>IF(ISBLANK('att Data Entry'!K46),"-",'att Data Entry'!K46)</f>
        <v>-</v>
      </c>
      <c r="L46" s="391" t="str">
        <f>IF(ISBLANK('att Data Entry'!L46),"-",'att Data Entry'!L46)</f>
        <v>-</v>
      </c>
      <c r="M46" s="346" t="str">
        <f>'att Data Entry'!M46</f>
        <v/>
      </c>
      <c r="N46" s="346" t="str">
        <f>'att Data Entry'!N46</f>
        <v/>
      </c>
    </row>
    <row r="47" spans="3:14" ht="15.6" x14ac:dyDescent="0.3">
      <c r="C47" s="389">
        <v>34</v>
      </c>
      <c r="D47" s="393" t="str">
        <f>IF(ISBLANK('att Data Entry'!D47),"-",'att Data Entry'!D47)</f>
        <v>-</v>
      </c>
      <c r="E47" s="391" t="str">
        <f>IF(ISBLANK('att Data Entry'!E47),"-",'att Data Entry'!E47)</f>
        <v>-</v>
      </c>
      <c r="F47" s="391" t="str">
        <f>IF(ISBLANK('att Data Entry'!F47),"-",'att Data Entry'!F47)</f>
        <v>-</v>
      </c>
      <c r="G47" s="392"/>
      <c r="H47" s="391" t="str">
        <f>IF(ISBLANK('att Data Entry'!H47),"-",'att Data Entry'!H47)</f>
        <v>-</v>
      </c>
      <c r="I47" s="391" t="str">
        <f>IF(ISBLANK('att Data Entry'!I47),"-",'att Data Entry'!I47)</f>
        <v>-</v>
      </c>
      <c r="J47" s="392"/>
      <c r="K47" s="391" t="str">
        <f>IF(ISBLANK('att Data Entry'!K47),"-",'att Data Entry'!K47)</f>
        <v>-</v>
      </c>
      <c r="L47" s="391" t="str">
        <f>IF(ISBLANK('att Data Entry'!L47),"-",'att Data Entry'!L47)</f>
        <v>-</v>
      </c>
      <c r="M47" s="346" t="str">
        <f>'att Data Entry'!M47</f>
        <v/>
      </c>
      <c r="N47" s="346" t="str">
        <f>'att Data Entry'!N47</f>
        <v/>
      </c>
    </row>
    <row r="48" spans="3:14" ht="15.6" x14ac:dyDescent="0.3">
      <c r="C48" s="389">
        <v>35</v>
      </c>
      <c r="D48" s="393" t="str">
        <f>IF(ISBLANK('att Data Entry'!D48),"-",'att Data Entry'!D48)</f>
        <v>-</v>
      </c>
      <c r="E48" s="391" t="str">
        <f>IF(ISBLANK('att Data Entry'!E48),"-",'att Data Entry'!E48)</f>
        <v>-</v>
      </c>
      <c r="F48" s="391" t="str">
        <f>IF(ISBLANK('att Data Entry'!F48),"-",'att Data Entry'!F48)</f>
        <v>-</v>
      </c>
      <c r="G48" s="392"/>
      <c r="H48" s="391" t="str">
        <f>IF(ISBLANK('att Data Entry'!H48),"-",'att Data Entry'!H48)</f>
        <v>-</v>
      </c>
      <c r="I48" s="391" t="str">
        <f>IF(ISBLANK('att Data Entry'!I48),"-",'att Data Entry'!I48)</f>
        <v>-</v>
      </c>
      <c r="J48" s="392"/>
      <c r="K48" s="391" t="str">
        <f>IF(ISBLANK('att Data Entry'!K48),"-",'att Data Entry'!K48)</f>
        <v>-</v>
      </c>
      <c r="L48" s="391" t="str">
        <f>IF(ISBLANK('att Data Entry'!L48),"-",'att Data Entry'!L48)</f>
        <v>-</v>
      </c>
      <c r="M48" s="346" t="str">
        <f>'att Data Entry'!M48</f>
        <v/>
      </c>
      <c r="N48" s="346" t="str">
        <f>'att Data Entry'!N48</f>
        <v/>
      </c>
    </row>
    <row r="49" spans="3:14" ht="15.6" x14ac:dyDescent="0.3">
      <c r="C49" s="389">
        <v>36</v>
      </c>
      <c r="D49" s="393" t="str">
        <f>IF(ISBLANK('att Data Entry'!D49),"-",'att Data Entry'!D49)</f>
        <v>-</v>
      </c>
      <c r="E49" s="391" t="str">
        <f>IF(ISBLANK('att Data Entry'!E49),"-",'att Data Entry'!E49)</f>
        <v>-</v>
      </c>
      <c r="F49" s="391" t="str">
        <f>IF(ISBLANK('att Data Entry'!F49),"-",'att Data Entry'!F49)</f>
        <v>-</v>
      </c>
      <c r="G49" s="392"/>
      <c r="H49" s="391" t="str">
        <f>IF(ISBLANK('att Data Entry'!H49),"-",'att Data Entry'!H49)</f>
        <v>-</v>
      </c>
      <c r="I49" s="391" t="str">
        <f>IF(ISBLANK('att Data Entry'!I49),"-",'att Data Entry'!I49)</f>
        <v>-</v>
      </c>
      <c r="J49" s="392"/>
      <c r="K49" s="391" t="str">
        <f>IF(ISBLANK('att Data Entry'!K49),"-",'att Data Entry'!K49)</f>
        <v>-</v>
      </c>
      <c r="L49" s="391" t="str">
        <f>IF(ISBLANK('att Data Entry'!L49),"-",'att Data Entry'!L49)</f>
        <v>-</v>
      </c>
      <c r="M49" s="346" t="str">
        <f>'att Data Entry'!M49</f>
        <v/>
      </c>
      <c r="N49" s="346" t="str">
        <f>'att Data Entry'!N49</f>
        <v/>
      </c>
    </row>
    <row r="50" spans="3:14" ht="15.6" x14ac:dyDescent="0.3">
      <c r="C50" s="389">
        <v>37</v>
      </c>
      <c r="D50" s="393" t="str">
        <f>IF(ISBLANK('att Data Entry'!D50),"-",'att Data Entry'!D50)</f>
        <v>-</v>
      </c>
      <c r="E50" s="391" t="str">
        <f>IF(ISBLANK('att Data Entry'!E50),"-",'att Data Entry'!E50)</f>
        <v>-</v>
      </c>
      <c r="F50" s="391" t="str">
        <f>IF(ISBLANK('att Data Entry'!F50),"-",'att Data Entry'!F50)</f>
        <v>-</v>
      </c>
      <c r="G50" s="392"/>
      <c r="H50" s="391" t="str">
        <f>IF(ISBLANK('att Data Entry'!H50),"-",'att Data Entry'!H50)</f>
        <v>-</v>
      </c>
      <c r="I50" s="391" t="str">
        <f>IF(ISBLANK('att Data Entry'!I50),"-",'att Data Entry'!I50)</f>
        <v>-</v>
      </c>
      <c r="J50" s="392"/>
      <c r="K50" s="391" t="str">
        <f>IF(ISBLANK('att Data Entry'!K50),"-",'att Data Entry'!K50)</f>
        <v>-</v>
      </c>
      <c r="L50" s="391" t="str">
        <f>IF(ISBLANK('att Data Entry'!L50),"-",'att Data Entry'!L50)</f>
        <v>-</v>
      </c>
      <c r="M50" s="346" t="str">
        <f>'att Data Entry'!M50</f>
        <v/>
      </c>
      <c r="N50" s="346" t="str">
        <f>'att Data Entry'!N50</f>
        <v/>
      </c>
    </row>
    <row r="51" spans="3:14" ht="15.6" x14ac:dyDescent="0.3">
      <c r="C51" s="389">
        <v>38</v>
      </c>
      <c r="D51" s="393" t="str">
        <f>IF(ISBLANK('att Data Entry'!D51),"-",'att Data Entry'!D51)</f>
        <v>-</v>
      </c>
      <c r="E51" s="391" t="str">
        <f>IF(ISBLANK('att Data Entry'!E51),"-",'att Data Entry'!E51)</f>
        <v>-</v>
      </c>
      <c r="F51" s="391" t="str">
        <f>IF(ISBLANK('att Data Entry'!F51),"-",'att Data Entry'!F51)</f>
        <v>-</v>
      </c>
      <c r="G51" s="392"/>
      <c r="H51" s="391" t="str">
        <f>IF(ISBLANK('att Data Entry'!H51),"-",'att Data Entry'!H51)</f>
        <v>-</v>
      </c>
      <c r="I51" s="391" t="str">
        <f>IF(ISBLANK('att Data Entry'!I51),"-",'att Data Entry'!I51)</f>
        <v>-</v>
      </c>
      <c r="J51" s="392"/>
      <c r="K51" s="391" t="str">
        <f>IF(ISBLANK('att Data Entry'!K51),"-",'att Data Entry'!K51)</f>
        <v>-</v>
      </c>
      <c r="L51" s="391" t="str">
        <f>IF(ISBLANK('att Data Entry'!L51),"-",'att Data Entry'!L51)</f>
        <v>-</v>
      </c>
      <c r="M51" s="346" t="str">
        <f>'att Data Entry'!M51</f>
        <v/>
      </c>
      <c r="N51" s="346" t="str">
        <f>'att Data Entry'!N51</f>
        <v/>
      </c>
    </row>
    <row r="52" spans="3:14" ht="15.6" x14ac:dyDescent="0.3">
      <c r="C52" s="389">
        <v>39</v>
      </c>
      <c r="D52" s="393" t="str">
        <f>IF(ISBLANK('att Data Entry'!D52),"-",'att Data Entry'!D52)</f>
        <v>-</v>
      </c>
      <c r="E52" s="391" t="str">
        <f>IF(ISBLANK('att Data Entry'!E52),"-",'att Data Entry'!E52)</f>
        <v>-</v>
      </c>
      <c r="F52" s="391" t="str">
        <f>IF(ISBLANK('att Data Entry'!F52),"-",'att Data Entry'!F52)</f>
        <v>-</v>
      </c>
      <c r="G52" s="392"/>
      <c r="H52" s="391" t="str">
        <f>IF(ISBLANK('att Data Entry'!H52),"-",'att Data Entry'!H52)</f>
        <v>-</v>
      </c>
      <c r="I52" s="391" t="str">
        <f>IF(ISBLANK('att Data Entry'!I52),"-",'att Data Entry'!I52)</f>
        <v>-</v>
      </c>
      <c r="J52" s="392"/>
      <c r="K52" s="391" t="str">
        <f>IF(ISBLANK('att Data Entry'!K52),"-",'att Data Entry'!K52)</f>
        <v>-</v>
      </c>
      <c r="L52" s="391" t="str">
        <f>IF(ISBLANK('att Data Entry'!L52),"-",'att Data Entry'!L52)</f>
        <v>-</v>
      </c>
      <c r="M52" s="346" t="str">
        <f>'att Data Entry'!M52</f>
        <v/>
      </c>
      <c r="N52" s="346" t="str">
        <f>'att Data Entry'!N52</f>
        <v/>
      </c>
    </row>
    <row r="53" spans="3:14" ht="15.6" x14ac:dyDescent="0.3">
      <c r="C53" s="389">
        <v>40</v>
      </c>
      <c r="D53" s="393" t="str">
        <f>IF(ISBLANK('att Data Entry'!D53),"-",'att Data Entry'!D53)</f>
        <v>-</v>
      </c>
      <c r="E53" s="391" t="str">
        <f>IF(ISBLANK('att Data Entry'!E53),"-",'att Data Entry'!E53)</f>
        <v>-</v>
      </c>
      <c r="F53" s="391" t="str">
        <f>IF(ISBLANK('att Data Entry'!F53),"-",'att Data Entry'!F53)</f>
        <v>-</v>
      </c>
      <c r="G53" s="392"/>
      <c r="H53" s="391" t="str">
        <f>IF(ISBLANK('att Data Entry'!H53),"-",'att Data Entry'!H53)</f>
        <v>-</v>
      </c>
      <c r="I53" s="391" t="str">
        <f>IF(ISBLANK('att Data Entry'!I53),"-",'att Data Entry'!I53)</f>
        <v>-</v>
      </c>
      <c r="J53" s="392"/>
      <c r="K53" s="391" t="str">
        <f>IF(ISBLANK('att Data Entry'!K53),"-",'att Data Entry'!K53)</f>
        <v>-</v>
      </c>
      <c r="L53" s="391" t="str">
        <f>IF(ISBLANK('att Data Entry'!L53),"-",'att Data Entry'!L53)</f>
        <v>-</v>
      </c>
      <c r="M53" s="346" t="str">
        <f>'att Data Entry'!M53</f>
        <v/>
      </c>
      <c r="N53" s="346" t="str">
        <f>'att Data Entry'!N53</f>
        <v/>
      </c>
    </row>
    <row r="54" spans="3:14" ht="15.6" x14ac:dyDescent="0.3">
      <c r="C54" s="389">
        <v>41</v>
      </c>
      <c r="D54" s="393" t="str">
        <f>IF(ISBLANK('att Data Entry'!D54),"-",'att Data Entry'!D54)</f>
        <v>-</v>
      </c>
      <c r="E54" s="391" t="str">
        <f>IF(ISBLANK('att Data Entry'!E54),"-",'att Data Entry'!E54)</f>
        <v>-</v>
      </c>
      <c r="F54" s="391" t="str">
        <f>IF(ISBLANK('att Data Entry'!F54),"-",'att Data Entry'!F54)</f>
        <v>-</v>
      </c>
      <c r="G54" s="392"/>
      <c r="H54" s="391" t="str">
        <f>IF(ISBLANK('att Data Entry'!H54),"-",'att Data Entry'!H54)</f>
        <v>-</v>
      </c>
      <c r="I54" s="391" t="str">
        <f>IF(ISBLANK('att Data Entry'!I54),"-",'att Data Entry'!I54)</f>
        <v>-</v>
      </c>
      <c r="J54" s="392"/>
      <c r="K54" s="391" t="str">
        <f>IF(ISBLANK('att Data Entry'!K54),"-",'att Data Entry'!K54)</f>
        <v>-</v>
      </c>
      <c r="L54" s="391" t="str">
        <f>IF(ISBLANK('att Data Entry'!L54),"-",'att Data Entry'!L54)</f>
        <v>-</v>
      </c>
      <c r="M54" s="346" t="str">
        <f>'att Data Entry'!M54</f>
        <v/>
      </c>
      <c r="N54" s="346" t="str">
        <f>'att Data Entry'!N54</f>
        <v/>
      </c>
    </row>
    <row r="55" spans="3:14" ht="15.6" x14ac:dyDescent="0.3">
      <c r="C55" s="389">
        <v>42</v>
      </c>
      <c r="D55" s="393" t="str">
        <f>IF(ISBLANK('att Data Entry'!D55),"-",'att Data Entry'!D55)</f>
        <v>-</v>
      </c>
      <c r="E55" s="391" t="str">
        <f>IF(ISBLANK('att Data Entry'!E55),"-",'att Data Entry'!E55)</f>
        <v>-</v>
      </c>
      <c r="F55" s="391" t="str">
        <f>IF(ISBLANK('att Data Entry'!F55),"-",'att Data Entry'!F55)</f>
        <v>-</v>
      </c>
      <c r="G55" s="392"/>
      <c r="H55" s="391" t="str">
        <f>IF(ISBLANK('att Data Entry'!H55),"-",'att Data Entry'!H55)</f>
        <v>-</v>
      </c>
      <c r="I55" s="391" t="str">
        <f>IF(ISBLANK('att Data Entry'!I55),"-",'att Data Entry'!I55)</f>
        <v>-</v>
      </c>
      <c r="J55" s="392"/>
      <c r="K55" s="391" t="str">
        <f>IF(ISBLANK('att Data Entry'!K55),"-",'att Data Entry'!K55)</f>
        <v>-</v>
      </c>
      <c r="L55" s="391" t="str">
        <f>IF(ISBLANK('att Data Entry'!L55),"-",'att Data Entry'!L55)</f>
        <v>-</v>
      </c>
      <c r="M55" s="346" t="str">
        <f>'att Data Entry'!M55</f>
        <v/>
      </c>
      <c r="N55" s="346" t="str">
        <f>'att Data Entry'!N55</f>
        <v/>
      </c>
    </row>
    <row r="56" spans="3:14" ht="15.6" x14ac:dyDescent="0.3">
      <c r="C56" s="389">
        <v>43</v>
      </c>
      <c r="D56" s="393" t="str">
        <f>IF(ISBLANK('att Data Entry'!D56),"-",'att Data Entry'!D56)</f>
        <v>-</v>
      </c>
      <c r="E56" s="391" t="str">
        <f>IF(ISBLANK('att Data Entry'!E56),"-",'att Data Entry'!E56)</f>
        <v>-</v>
      </c>
      <c r="F56" s="391" t="str">
        <f>IF(ISBLANK('att Data Entry'!F56),"-",'att Data Entry'!F56)</f>
        <v>-</v>
      </c>
      <c r="G56" s="392"/>
      <c r="H56" s="391" t="str">
        <f>IF(ISBLANK('att Data Entry'!H56),"-",'att Data Entry'!H56)</f>
        <v>-</v>
      </c>
      <c r="I56" s="391" t="str">
        <f>IF(ISBLANK('att Data Entry'!I56),"-",'att Data Entry'!I56)</f>
        <v>-</v>
      </c>
      <c r="J56" s="392"/>
      <c r="K56" s="391" t="str">
        <f>IF(ISBLANK('att Data Entry'!K56),"-",'att Data Entry'!K56)</f>
        <v>-</v>
      </c>
      <c r="L56" s="391" t="str">
        <f>IF(ISBLANK('att Data Entry'!L56),"-",'att Data Entry'!L56)</f>
        <v>-</v>
      </c>
      <c r="M56" s="346" t="str">
        <f>'att Data Entry'!M56</f>
        <v/>
      </c>
      <c r="N56" s="346" t="str">
        <f>'att Data Entry'!N56</f>
        <v/>
      </c>
    </row>
    <row r="57" spans="3:14" ht="15.6" x14ac:dyDescent="0.3">
      <c r="C57" s="389">
        <v>44</v>
      </c>
      <c r="D57" s="393" t="str">
        <f>IF(ISBLANK('att Data Entry'!D57),"-",'att Data Entry'!D57)</f>
        <v>-</v>
      </c>
      <c r="E57" s="391" t="str">
        <f>IF(ISBLANK('att Data Entry'!E57),"-",'att Data Entry'!E57)</f>
        <v>-</v>
      </c>
      <c r="F57" s="391" t="str">
        <f>IF(ISBLANK('att Data Entry'!F57),"-",'att Data Entry'!F57)</f>
        <v>-</v>
      </c>
      <c r="G57" s="392"/>
      <c r="H57" s="391" t="str">
        <f>IF(ISBLANK('att Data Entry'!H57),"-",'att Data Entry'!H57)</f>
        <v>-</v>
      </c>
      <c r="I57" s="391" t="str">
        <f>IF(ISBLANK('att Data Entry'!I57),"-",'att Data Entry'!I57)</f>
        <v>-</v>
      </c>
      <c r="J57" s="392"/>
      <c r="K57" s="391" t="str">
        <f>IF(ISBLANK('att Data Entry'!K57),"-",'att Data Entry'!K57)</f>
        <v>-</v>
      </c>
      <c r="L57" s="391" t="str">
        <f>IF(ISBLANK('att Data Entry'!L57),"-",'att Data Entry'!L57)</f>
        <v>-</v>
      </c>
      <c r="M57" s="346" t="str">
        <f>'att Data Entry'!M57</f>
        <v/>
      </c>
      <c r="N57" s="346" t="str">
        <f>'att Data Entry'!N57</f>
        <v/>
      </c>
    </row>
    <row r="58" spans="3:14" ht="15.6" x14ac:dyDescent="0.3">
      <c r="C58" s="389">
        <v>45</v>
      </c>
      <c r="D58" s="393" t="str">
        <f>IF(ISBLANK('att Data Entry'!D58),"-",'att Data Entry'!D58)</f>
        <v>-</v>
      </c>
      <c r="E58" s="391" t="str">
        <f>IF(ISBLANK('att Data Entry'!E58),"-",'att Data Entry'!E58)</f>
        <v>-</v>
      </c>
      <c r="F58" s="391" t="str">
        <f>IF(ISBLANK('att Data Entry'!F58),"-",'att Data Entry'!F58)</f>
        <v>-</v>
      </c>
      <c r="G58" s="392"/>
      <c r="H58" s="391" t="str">
        <f>IF(ISBLANK('att Data Entry'!H58),"-",'att Data Entry'!H58)</f>
        <v>-</v>
      </c>
      <c r="I58" s="391" t="str">
        <f>IF(ISBLANK('att Data Entry'!I58),"-",'att Data Entry'!I58)</f>
        <v>-</v>
      </c>
      <c r="J58" s="392"/>
      <c r="K58" s="391" t="str">
        <f>IF(ISBLANK('att Data Entry'!K58),"-",'att Data Entry'!K58)</f>
        <v>-</v>
      </c>
      <c r="L58" s="391" t="str">
        <f>IF(ISBLANK('att Data Entry'!L58),"-",'att Data Entry'!L58)</f>
        <v>-</v>
      </c>
      <c r="M58" s="346" t="str">
        <f>'att Data Entry'!M58</f>
        <v/>
      </c>
      <c r="N58" s="346" t="str">
        <f>'att Data Entry'!N58</f>
        <v/>
      </c>
    </row>
    <row r="59" spans="3:14" ht="15.6" x14ac:dyDescent="0.3">
      <c r="C59" s="389">
        <v>46</v>
      </c>
      <c r="D59" s="393" t="str">
        <f>IF(ISBLANK('att Data Entry'!D59),"-",'att Data Entry'!D59)</f>
        <v>-</v>
      </c>
      <c r="E59" s="391" t="str">
        <f>IF(ISBLANK('att Data Entry'!E59),"-",'att Data Entry'!E59)</f>
        <v>-</v>
      </c>
      <c r="F59" s="391" t="str">
        <f>IF(ISBLANK('att Data Entry'!F59),"-",'att Data Entry'!F59)</f>
        <v>-</v>
      </c>
      <c r="G59" s="392"/>
      <c r="H59" s="391" t="str">
        <f>IF(ISBLANK('att Data Entry'!H59),"-",'att Data Entry'!H59)</f>
        <v>-</v>
      </c>
      <c r="I59" s="391" t="str">
        <f>IF(ISBLANK('att Data Entry'!I59),"-",'att Data Entry'!I59)</f>
        <v>-</v>
      </c>
      <c r="J59" s="392"/>
      <c r="K59" s="391" t="str">
        <f>IF(ISBLANK('att Data Entry'!K59),"-",'att Data Entry'!K59)</f>
        <v>-</v>
      </c>
      <c r="L59" s="391" t="str">
        <f>IF(ISBLANK('att Data Entry'!L59),"-",'att Data Entry'!L59)</f>
        <v>-</v>
      </c>
      <c r="M59" s="346" t="str">
        <f>'att Data Entry'!M59</f>
        <v/>
      </c>
      <c r="N59" s="346" t="str">
        <f>'att Data Entry'!N59</f>
        <v/>
      </c>
    </row>
    <row r="60" spans="3:14" ht="15.6" x14ac:dyDescent="0.3">
      <c r="C60" s="389">
        <v>47</v>
      </c>
      <c r="D60" s="393" t="str">
        <f>IF(ISBLANK('att Data Entry'!D60),"-",'att Data Entry'!D60)</f>
        <v>-</v>
      </c>
      <c r="E60" s="391" t="str">
        <f>IF(ISBLANK('att Data Entry'!E60),"-",'att Data Entry'!E60)</f>
        <v>-</v>
      </c>
      <c r="F60" s="391" t="str">
        <f>IF(ISBLANK('att Data Entry'!F60),"-",'att Data Entry'!F60)</f>
        <v>-</v>
      </c>
      <c r="G60" s="392"/>
      <c r="H60" s="391" t="str">
        <f>IF(ISBLANK('att Data Entry'!H60),"-",'att Data Entry'!H60)</f>
        <v>-</v>
      </c>
      <c r="I60" s="391" t="str">
        <f>IF(ISBLANK('att Data Entry'!I60),"-",'att Data Entry'!I60)</f>
        <v>-</v>
      </c>
      <c r="J60" s="392"/>
      <c r="K60" s="391" t="str">
        <f>IF(ISBLANK('att Data Entry'!K60),"-",'att Data Entry'!K60)</f>
        <v>-</v>
      </c>
      <c r="L60" s="391" t="str">
        <f>IF(ISBLANK('att Data Entry'!L60),"-",'att Data Entry'!L60)</f>
        <v>-</v>
      </c>
      <c r="M60" s="346" t="str">
        <f>'att Data Entry'!M60</f>
        <v/>
      </c>
      <c r="N60" s="346" t="str">
        <f>'att Data Entry'!N60</f>
        <v/>
      </c>
    </row>
    <row r="61" spans="3:14" ht="15.6" x14ac:dyDescent="0.3">
      <c r="C61" s="389">
        <v>48</v>
      </c>
      <c r="D61" s="393" t="str">
        <f>IF(ISBLANK('att Data Entry'!D61),"-",'att Data Entry'!D61)</f>
        <v>-</v>
      </c>
      <c r="E61" s="391" t="str">
        <f>IF(ISBLANK('att Data Entry'!E61),"-",'att Data Entry'!E61)</f>
        <v>-</v>
      </c>
      <c r="F61" s="391" t="str">
        <f>IF(ISBLANK('att Data Entry'!F61),"-",'att Data Entry'!F61)</f>
        <v>-</v>
      </c>
      <c r="G61" s="392"/>
      <c r="H61" s="391" t="str">
        <f>IF(ISBLANK('att Data Entry'!H61),"-",'att Data Entry'!H61)</f>
        <v>-</v>
      </c>
      <c r="I61" s="391" t="str">
        <f>IF(ISBLANK('att Data Entry'!I61),"-",'att Data Entry'!I61)</f>
        <v>-</v>
      </c>
      <c r="J61" s="392"/>
      <c r="K61" s="391" t="str">
        <f>IF(ISBLANK('att Data Entry'!K61),"-",'att Data Entry'!K61)</f>
        <v>-</v>
      </c>
      <c r="L61" s="391" t="str">
        <f>IF(ISBLANK('att Data Entry'!L61),"-",'att Data Entry'!L61)</f>
        <v>-</v>
      </c>
      <c r="M61" s="346" t="str">
        <f>'att Data Entry'!M61</f>
        <v/>
      </c>
      <c r="N61" s="346" t="str">
        <f>'att Data Entry'!N61</f>
        <v/>
      </c>
    </row>
    <row r="62" spans="3:14" ht="15.6" x14ac:dyDescent="0.3">
      <c r="C62" s="389">
        <v>49</v>
      </c>
      <c r="D62" s="393" t="str">
        <f>IF(ISBLANK('att Data Entry'!D62),"-",'att Data Entry'!D62)</f>
        <v>-</v>
      </c>
      <c r="E62" s="391" t="str">
        <f>IF(ISBLANK('att Data Entry'!E62),"-",'att Data Entry'!E62)</f>
        <v>-</v>
      </c>
      <c r="F62" s="391" t="str">
        <f>IF(ISBLANK('att Data Entry'!F62),"-",'att Data Entry'!F62)</f>
        <v>-</v>
      </c>
      <c r="G62" s="392"/>
      <c r="H62" s="391" t="str">
        <f>IF(ISBLANK('att Data Entry'!H62),"-",'att Data Entry'!H62)</f>
        <v>-</v>
      </c>
      <c r="I62" s="391" t="str">
        <f>IF(ISBLANK('att Data Entry'!I62),"-",'att Data Entry'!I62)</f>
        <v>-</v>
      </c>
      <c r="J62" s="392"/>
      <c r="K62" s="391" t="str">
        <f>IF(ISBLANK('att Data Entry'!K62),"-",'att Data Entry'!K62)</f>
        <v>-</v>
      </c>
      <c r="L62" s="391" t="str">
        <f>IF(ISBLANK('att Data Entry'!L62),"-",'att Data Entry'!L62)</f>
        <v>-</v>
      </c>
      <c r="M62" s="346" t="str">
        <f>'att Data Entry'!M62</f>
        <v/>
      </c>
      <c r="N62" s="346" t="str">
        <f>'att Data Entry'!N62</f>
        <v/>
      </c>
    </row>
    <row r="63" spans="3:14" ht="15.6" x14ac:dyDescent="0.3">
      <c r="C63" s="389">
        <v>50</v>
      </c>
      <c r="D63" s="393" t="str">
        <f>IF(ISBLANK('att Data Entry'!D63),"-",'att Data Entry'!D63)</f>
        <v>-</v>
      </c>
      <c r="E63" s="391" t="str">
        <f>IF(ISBLANK('att Data Entry'!E63),"-",'att Data Entry'!E63)</f>
        <v>-</v>
      </c>
      <c r="F63" s="391" t="str">
        <f>IF(ISBLANK('att Data Entry'!F63),"-",'att Data Entry'!F63)</f>
        <v>-</v>
      </c>
      <c r="G63" s="392"/>
      <c r="H63" s="391" t="str">
        <f>IF(ISBLANK('att Data Entry'!H63),"-",'att Data Entry'!H63)</f>
        <v>-</v>
      </c>
      <c r="I63" s="391" t="str">
        <f>IF(ISBLANK('att Data Entry'!I63),"-",'att Data Entry'!I63)</f>
        <v>-</v>
      </c>
      <c r="J63" s="392"/>
      <c r="K63" s="391" t="str">
        <f>IF(ISBLANK('att Data Entry'!K63),"-",'att Data Entry'!K63)</f>
        <v>-</v>
      </c>
      <c r="L63" s="391" t="str">
        <f>IF(ISBLANK('att Data Entry'!L63),"-",'att Data Entry'!L63)</f>
        <v>-</v>
      </c>
      <c r="M63" s="346" t="str">
        <f>'att Data Entry'!M63</f>
        <v/>
      </c>
      <c r="N63" s="346" t="str">
        <f>'att Data Entry'!N63</f>
        <v/>
      </c>
    </row>
    <row r="64" spans="3:14" ht="15.6" x14ac:dyDescent="0.3">
      <c r="C64" s="389">
        <v>51</v>
      </c>
      <c r="D64" s="393" t="str">
        <f>IF(ISBLANK('att Data Entry'!D64),"-",'att Data Entry'!D64)</f>
        <v>-</v>
      </c>
      <c r="E64" s="391" t="str">
        <f>IF(ISBLANK('att Data Entry'!E64),"-",'att Data Entry'!E64)</f>
        <v>-</v>
      </c>
      <c r="F64" s="391" t="str">
        <f>IF(ISBLANK('att Data Entry'!F64),"-",'att Data Entry'!F64)</f>
        <v>-</v>
      </c>
      <c r="G64" s="392"/>
      <c r="H64" s="391" t="str">
        <f>IF(ISBLANK('att Data Entry'!H64),"-",'att Data Entry'!H64)</f>
        <v>-</v>
      </c>
      <c r="I64" s="391" t="str">
        <f>IF(ISBLANK('att Data Entry'!I64),"-",'att Data Entry'!I64)</f>
        <v>-</v>
      </c>
      <c r="J64" s="392"/>
      <c r="K64" s="391" t="str">
        <f>IF(ISBLANK('att Data Entry'!K64),"-",'att Data Entry'!K64)</f>
        <v>-</v>
      </c>
      <c r="L64" s="391" t="str">
        <f>IF(ISBLANK('att Data Entry'!L64),"-",'att Data Entry'!L64)</f>
        <v>-</v>
      </c>
      <c r="M64" s="346" t="str">
        <f>'att Data Entry'!M64</f>
        <v/>
      </c>
      <c r="N64" s="346" t="str">
        <f>'att Data Entry'!N64</f>
        <v/>
      </c>
    </row>
    <row r="65" spans="3:14" ht="15.6" x14ac:dyDescent="0.3">
      <c r="C65" s="389">
        <v>52</v>
      </c>
      <c r="D65" s="393" t="str">
        <f>IF(ISBLANK('att Data Entry'!D65),"-",'att Data Entry'!D65)</f>
        <v>-</v>
      </c>
      <c r="E65" s="391" t="str">
        <f>IF(ISBLANK('att Data Entry'!E65),"-",'att Data Entry'!E65)</f>
        <v>-</v>
      </c>
      <c r="F65" s="391" t="str">
        <f>IF(ISBLANK('att Data Entry'!F65),"-",'att Data Entry'!F65)</f>
        <v>-</v>
      </c>
      <c r="G65" s="392"/>
      <c r="H65" s="391" t="str">
        <f>IF(ISBLANK('att Data Entry'!H65),"-",'att Data Entry'!H65)</f>
        <v>-</v>
      </c>
      <c r="I65" s="391" t="str">
        <f>IF(ISBLANK('att Data Entry'!I65),"-",'att Data Entry'!I65)</f>
        <v>-</v>
      </c>
      <c r="J65" s="392"/>
      <c r="K65" s="391" t="str">
        <f>IF(ISBLANK('att Data Entry'!K65),"-",'att Data Entry'!K65)</f>
        <v>-</v>
      </c>
      <c r="L65" s="391" t="str">
        <f>IF(ISBLANK('att Data Entry'!L65),"-",'att Data Entry'!L65)</f>
        <v>-</v>
      </c>
      <c r="M65" s="346" t="str">
        <f>'att Data Entry'!M65</f>
        <v/>
      </c>
      <c r="N65" s="346" t="str">
        <f>'att Data Entry'!N65</f>
        <v/>
      </c>
    </row>
    <row r="66" spans="3:14" ht="15.6" x14ac:dyDescent="0.3">
      <c r="C66" s="389">
        <v>53</v>
      </c>
      <c r="D66" s="393" t="str">
        <f>IF(ISBLANK('att Data Entry'!D66),"-",'att Data Entry'!D66)</f>
        <v>-</v>
      </c>
      <c r="E66" s="391" t="str">
        <f>IF(ISBLANK('att Data Entry'!E66),"-",'att Data Entry'!E66)</f>
        <v>-</v>
      </c>
      <c r="F66" s="391" t="str">
        <f>IF(ISBLANK('att Data Entry'!F66),"-",'att Data Entry'!F66)</f>
        <v>-</v>
      </c>
      <c r="G66" s="392"/>
      <c r="H66" s="391" t="str">
        <f>IF(ISBLANK('att Data Entry'!H66),"-",'att Data Entry'!H66)</f>
        <v>-</v>
      </c>
      <c r="I66" s="391" t="str">
        <f>IF(ISBLANK('att Data Entry'!I66),"-",'att Data Entry'!I66)</f>
        <v>-</v>
      </c>
      <c r="J66" s="392"/>
      <c r="K66" s="391" t="str">
        <f>IF(ISBLANK('att Data Entry'!K66),"-",'att Data Entry'!K66)</f>
        <v>-</v>
      </c>
      <c r="L66" s="391" t="str">
        <f>IF(ISBLANK('att Data Entry'!L66),"-",'att Data Entry'!L66)</f>
        <v>-</v>
      </c>
      <c r="M66" s="346" t="str">
        <f>'att Data Entry'!M66</f>
        <v/>
      </c>
      <c r="N66" s="346" t="str">
        <f>'att Data Entry'!N66</f>
        <v/>
      </c>
    </row>
    <row r="67" spans="3:14" ht="15.6" x14ac:dyDescent="0.3">
      <c r="C67" s="389">
        <v>54</v>
      </c>
      <c r="D67" s="393" t="str">
        <f>IF(ISBLANK('att Data Entry'!D67),"-",'att Data Entry'!D67)</f>
        <v>-</v>
      </c>
      <c r="E67" s="391" t="str">
        <f>IF(ISBLANK('att Data Entry'!E67),"-",'att Data Entry'!E67)</f>
        <v>-</v>
      </c>
      <c r="F67" s="391" t="str">
        <f>IF(ISBLANK('att Data Entry'!F67),"-",'att Data Entry'!F67)</f>
        <v>-</v>
      </c>
      <c r="G67" s="392"/>
      <c r="H67" s="391" t="str">
        <f>IF(ISBLANK('att Data Entry'!H67),"-",'att Data Entry'!H67)</f>
        <v>-</v>
      </c>
      <c r="I67" s="391" t="str">
        <f>IF(ISBLANK('att Data Entry'!I67),"-",'att Data Entry'!I67)</f>
        <v>-</v>
      </c>
      <c r="J67" s="392"/>
      <c r="K67" s="391" t="str">
        <f>IF(ISBLANK('att Data Entry'!K67),"-",'att Data Entry'!K67)</f>
        <v>-</v>
      </c>
      <c r="L67" s="391" t="str">
        <f>IF(ISBLANK('att Data Entry'!L67),"-",'att Data Entry'!L67)</f>
        <v>-</v>
      </c>
      <c r="M67" s="346" t="str">
        <f>'att Data Entry'!M67</f>
        <v/>
      </c>
      <c r="N67" s="346" t="str">
        <f>'att Data Entry'!N67</f>
        <v/>
      </c>
    </row>
    <row r="68" spans="3:14" ht="15.6" x14ac:dyDescent="0.3">
      <c r="C68" s="389">
        <v>55</v>
      </c>
      <c r="D68" s="393" t="str">
        <f>IF(ISBLANK('att Data Entry'!D68),"-",'att Data Entry'!D68)</f>
        <v>-</v>
      </c>
      <c r="E68" s="391" t="str">
        <f>IF(ISBLANK('att Data Entry'!E68),"-",'att Data Entry'!E68)</f>
        <v>-</v>
      </c>
      <c r="F68" s="391" t="str">
        <f>IF(ISBLANK('att Data Entry'!F68),"-",'att Data Entry'!F68)</f>
        <v>-</v>
      </c>
      <c r="G68" s="392"/>
      <c r="H68" s="391" t="str">
        <f>IF(ISBLANK('att Data Entry'!H68),"-",'att Data Entry'!H68)</f>
        <v>-</v>
      </c>
      <c r="I68" s="391" t="str">
        <f>IF(ISBLANK('att Data Entry'!I68),"-",'att Data Entry'!I68)</f>
        <v>-</v>
      </c>
      <c r="J68" s="392"/>
      <c r="K68" s="391" t="str">
        <f>IF(ISBLANK('att Data Entry'!K68),"-",'att Data Entry'!K68)</f>
        <v>-</v>
      </c>
      <c r="L68" s="391" t="str">
        <f>IF(ISBLANK('att Data Entry'!L68),"-",'att Data Entry'!L68)</f>
        <v>-</v>
      </c>
      <c r="M68" s="346" t="str">
        <f>'att Data Entry'!M68</f>
        <v/>
      </c>
      <c r="N68" s="346" t="str">
        <f>'att Data Entry'!N68</f>
        <v/>
      </c>
    </row>
    <row r="69" spans="3:14" ht="15.6" x14ac:dyDescent="0.3">
      <c r="C69" s="389">
        <v>56</v>
      </c>
      <c r="D69" s="393" t="str">
        <f>IF(ISBLANK('att Data Entry'!D69),"-",'att Data Entry'!D69)</f>
        <v>-</v>
      </c>
      <c r="E69" s="391" t="str">
        <f>IF(ISBLANK('att Data Entry'!E69),"-",'att Data Entry'!E69)</f>
        <v>-</v>
      </c>
      <c r="F69" s="391" t="str">
        <f>IF(ISBLANK('att Data Entry'!F69),"-",'att Data Entry'!F69)</f>
        <v>-</v>
      </c>
      <c r="G69" s="392"/>
      <c r="H69" s="391" t="str">
        <f>IF(ISBLANK('att Data Entry'!H69),"-",'att Data Entry'!H69)</f>
        <v>-</v>
      </c>
      <c r="I69" s="391" t="str">
        <f>IF(ISBLANK('att Data Entry'!I69),"-",'att Data Entry'!I69)</f>
        <v>-</v>
      </c>
      <c r="J69" s="392"/>
      <c r="K69" s="391" t="str">
        <f>IF(ISBLANK('att Data Entry'!K69),"-",'att Data Entry'!K69)</f>
        <v>-</v>
      </c>
      <c r="L69" s="391" t="str">
        <f>IF(ISBLANK('att Data Entry'!L69),"-",'att Data Entry'!L69)</f>
        <v>-</v>
      </c>
      <c r="M69" s="346" t="str">
        <f>'att Data Entry'!M69</f>
        <v/>
      </c>
      <c r="N69" s="346" t="str">
        <f>'att Data Entry'!N69</f>
        <v/>
      </c>
    </row>
    <row r="70" spans="3:14" ht="15.6" x14ac:dyDescent="0.3">
      <c r="C70" s="389">
        <v>57</v>
      </c>
      <c r="D70" s="393" t="str">
        <f>IF(ISBLANK('att Data Entry'!D70),"-",'att Data Entry'!D70)</f>
        <v>-</v>
      </c>
      <c r="E70" s="391" t="str">
        <f>IF(ISBLANK('att Data Entry'!E70),"-",'att Data Entry'!E70)</f>
        <v>-</v>
      </c>
      <c r="F70" s="391" t="str">
        <f>IF(ISBLANK('att Data Entry'!F70),"-",'att Data Entry'!F70)</f>
        <v>-</v>
      </c>
      <c r="G70" s="392"/>
      <c r="H70" s="391" t="str">
        <f>IF(ISBLANK('att Data Entry'!H70),"-",'att Data Entry'!H70)</f>
        <v>-</v>
      </c>
      <c r="I70" s="391" t="str">
        <f>IF(ISBLANK('att Data Entry'!I70),"-",'att Data Entry'!I70)</f>
        <v>-</v>
      </c>
      <c r="J70" s="392"/>
      <c r="K70" s="391" t="str">
        <f>IF(ISBLANK('att Data Entry'!K70),"-",'att Data Entry'!K70)</f>
        <v>-</v>
      </c>
      <c r="L70" s="391" t="str">
        <f>IF(ISBLANK('att Data Entry'!L70),"-",'att Data Entry'!L70)</f>
        <v>-</v>
      </c>
      <c r="M70" s="346" t="str">
        <f>'att Data Entry'!M70</f>
        <v/>
      </c>
      <c r="N70" s="346" t="str">
        <f>'att Data Entry'!N70</f>
        <v/>
      </c>
    </row>
    <row r="71" spans="3:14" ht="15.6" x14ac:dyDescent="0.3">
      <c r="C71" s="389">
        <v>58</v>
      </c>
      <c r="D71" s="393" t="str">
        <f>IF(ISBLANK('att Data Entry'!D71),"-",'att Data Entry'!D71)</f>
        <v>-</v>
      </c>
      <c r="E71" s="391" t="str">
        <f>IF(ISBLANK('att Data Entry'!E71),"-",'att Data Entry'!E71)</f>
        <v>-</v>
      </c>
      <c r="F71" s="391" t="str">
        <f>IF(ISBLANK('att Data Entry'!F71),"-",'att Data Entry'!F71)</f>
        <v>-</v>
      </c>
      <c r="G71" s="392"/>
      <c r="H71" s="391" t="str">
        <f>IF(ISBLANK('att Data Entry'!H71),"-",'att Data Entry'!H71)</f>
        <v>-</v>
      </c>
      <c r="I71" s="391" t="str">
        <f>IF(ISBLANK('att Data Entry'!I71),"-",'att Data Entry'!I71)</f>
        <v>-</v>
      </c>
      <c r="J71" s="392"/>
      <c r="K71" s="391" t="str">
        <f>IF(ISBLANK('att Data Entry'!K71),"-",'att Data Entry'!K71)</f>
        <v>-</v>
      </c>
      <c r="L71" s="391" t="str">
        <f>IF(ISBLANK('att Data Entry'!L71),"-",'att Data Entry'!L71)</f>
        <v>-</v>
      </c>
      <c r="M71" s="346" t="str">
        <f>'att Data Entry'!M71</f>
        <v/>
      </c>
      <c r="N71" s="346" t="str">
        <f>'att Data Entry'!N71</f>
        <v/>
      </c>
    </row>
    <row r="72" spans="3:14" ht="15.6" x14ac:dyDescent="0.3">
      <c r="C72" s="389">
        <v>59</v>
      </c>
      <c r="D72" s="393" t="str">
        <f>IF(ISBLANK('att Data Entry'!D72),"-",'att Data Entry'!D72)</f>
        <v>-</v>
      </c>
      <c r="E72" s="391" t="str">
        <f>IF(ISBLANK('att Data Entry'!E72),"-",'att Data Entry'!E72)</f>
        <v>-</v>
      </c>
      <c r="F72" s="391" t="str">
        <f>IF(ISBLANK('att Data Entry'!F72),"-",'att Data Entry'!F72)</f>
        <v>-</v>
      </c>
      <c r="G72" s="392"/>
      <c r="H72" s="391" t="str">
        <f>IF(ISBLANK('att Data Entry'!H72),"-",'att Data Entry'!H72)</f>
        <v>-</v>
      </c>
      <c r="I72" s="391" t="str">
        <f>IF(ISBLANK('att Data Entry'!I72),"-",'att Data Entry'!I72)</f>
        <v>-</v>
      </c>
      <c r="J72" s="392"/>
      <c r="K72" s="391" t="str">
        <f>IF(ISBLANK('att Data Entry'!K72),"-",'att Data Entry'!K72)</f>
        <v>-</v>
      </c>
      <c r="L72" s="391" t="str">
        <f>IF(ISBLANK('att Data Entry'!L72),"-",'att Data Entry'!L72)</f>
        <v>-</v>
      </c>
      <c r="M72" s="346" t="str">
        <f>'att Data Entry'!M72</f>
        <v/>
      </c>
      <c r="N72" s="346" t="str">
        <f>'att Data Entry'!N72</f>
        <v/>
      </c>
    </row>
    <row r="73" spans="3:14" ht="15.6" x14ac:dyDescent="0.3">
      <c r="C73" s="389">
        <v>60</v>
      </c>
      <c r="D73" s="393" t="str">
        <f>IF(ISBLANK('att Data Entry'!D73),"-",'att Data Entry'!D73)</f>
        <v>-</v>
      </c>
      <c r="E73" s="391" t="str">
        <f>IF(ISBLANK('att Data Entry'!E73),"-",'att Data Entry'!E73)</f>
        <v>-</v>
      </c>
      <c r="F73" s="391" t="str">
        <f>IF(ISBLANK('att Data Entry'!F73),"-",'att Data Entry'!F73)</f>
        <v>-</v>
      </c>
      <c r="G73" s="392"/>
      <c r="H73" s="391" t="str">
        <f>IF(ISBLANK('att Data Entry'!H73),"-",'att Data Entry'!H73)</f>
        <v>-</v>
      </c>
      <c r="I73" s="391" t="str">
        <f>IF(ISBLANK('att Data Entry'!I73),"-",'att Data Entry'!I73)</f>
        <v>-</v>
      </c>
      <c r="J73" s="392"/>
      <c r="K73" s="391" t="str">
        <f>IF(ISBLANK('att Data Entry'!K73),"-",'att Data Entry'!K73)</f>
        <v>-</v>
      </c>
      <c r="L73" s="391" t="str">
        <f>IF(ISBLANK('att Data Entry'!L73),"-",'att Data Entry'!L73)</f>
        <v>-</v>
      </c>
      <c r="M73" s="346" t="str">
        <f>'att Data Entry'!M73</f>
        <v/>
      </c>
      <c r="N73" s="346" t="str">
        <f>'att Data Entry'!N73</f>
        <v/>
      </c>
    </row>
    <row r="74" spans="3:14" ht="15.6" x14ac:dyDescent="0.3">
      <c r="C74" s="389">
        <v>61</v>
      </c>
      <c r="D74" s="393" t="str">
        <f>IF(ISBLANK('att Data Entry'!D74),"-",'att Data Entry'!D74)</f>
        <v>-</v>
      </c>
      <c r="E74" s="391" t="str">
        <f>IF(ISBLANK('att Data Entry'!E74),"-",'att Data Entry'!E74)</f>
        <v>-</v>
      </c>
      <c r="F74" s="391" t="str">
        <f>IF(ISBLANK('att Data Entry'!F74),"-",'att Data Entry'!F74)</f>
        <v>-</v>
      </c>
      <c r="G74" s="392"/>
      <c r="H74" s="391" t="str">
        <f>IF(ISBLANK('att Data Entry'!H74),"-",'att Data Entry'!H74)</f>
        <v>-</v>
      </c>
      <c r="I74" s="391" t="str">
        <f>IF(ISBLANK('att Data Entry'!I74),"-",'att Data Entry'!I74)</f>
        <v>-</v>
      </c>
      <c r="J74" s="392"/>
      <c r="K74" s="391" t="str">
        <f>IF(ISBLANK('att Data Entry'!K74),"-",'att Data Entry'!K74)</f>
        <v>-</v>
      </c>
      <c r="L74" s="391" t="str">
        <f>IF(ISBLANK('att Data Entry'!L74),"-",'att Data Entry'!L74)</f>
        <v>-</v>
      </c>
      <c r="M74" s="346" t="str">
        <f>'att Data Entry'!M74</f>
        <v/>
      </c>
      <c r="N74" s="346" t="str">
        <f>'att Data Entry'!N74</f>
        <v/>
      </c>
    </row>
    <row r="75" spans="3:14" ht="15.6" x14ac:dyDescent="0.3">
      <c r="C75" s="389">
        <v>62</v>
      </c>
      <c r="D75" s="393" t="str">
        <f>IF(ISBLANK('att Data Entry'!D75),"-",'att Data Entry'!D75)</f>
        <v>-</v>
      </c>
      <c r="E75" s="391" t="str">
        <f>IF(ISBLANK('att Data Entry'!E75),"-",'att Data Entry'!E75)</f>
        <v>-</v>
      </c>
      <c r="F75" s="391" t="str">
        <f>IF(ISBLANK('att Data Entry'!F75),"-",'att Data Entry'!F75)</f>
        <v>-</v>
      </c>
      <c r="G75" s="392"/>
      <c r="H75" s="391" t="str">
        <f>IF(ISBLANK('att Data Entry'!H75),"-",'att Data Entry'!H75)</f>
        <v>-</v>
      </c>
      <c r="I75" s="391" t="str">
        <f>IF(ISBLANK('att Data Entry'!I75),"-",'att Data Entry'!I75)</f>
        <v>-</v>
      </c>
      <c r="J75" s="392"/>
      <c r="K75" s="391" t="str">
        <f>IF(ISBLANK('att Data Entry'!K75),"-",'att Data Entry'!K75)</f>
        <v>-</v>
      </c>
      <c r="L75" s="391" t="str">
        <f>IF(ISBLANK('att Data Entry'!L75),"-",'att Data Entry'!L75)</f>
        <v>-</v>
      </c>
      <c r="M75" s="346" t="str">
        <f>'att Data Entry'!M75</f>
        <v/>
      </c>
      <c r="N75" s="346" t="str">
        <f>'att Data Entry'!N75</f>
        <v/>
      </c>
    </row>
    <row r="76" spans="3:14" ht="15.6" x14ac:dyDescent="0.3">
      <c r="C76" s="389">
        <v>63</v>
      </c>
      <c r="D76" s="393" t="str">
        <f>IF(ISBLANK('att Data Entry'!D76),"-",'att Data Entry'!D76)</f>
        <v>-</v>
      </c>
      <c r="E76" s="391" t="str">
        <f>IF(ISBLANK('att Data Entry'!E76),"-",'att Data Entry'!E76)</f>
        <v>-</v>
      </c>
      <c r="F76" s="391" t="str">
        <f>IF(ISBLANK('att Data Entry'!F76),"-",'att Data Entry'!F76)</f>
        <v>-</v>
      </c>
      <c r="G76" s="392"/>
      <c r="H76" s="391" t="str">
        <f>IF(ISBLANK('att Data Entry'!H76),"-",'att Data Entry'!H76)</f>
        <v>-</v>
      </c>
      <c r="I76" s="391" t="str">
        <f>IF(ISBLANK('att Data Entry'!I76),"-",'att Data Entry'!I76)</f>
        <v>-</v>
      </c>
      <c r="J76" s="392"/>
      <c r="K76" s="391" t="str">
        <f>IF(ISBLANK('att Data Entry'!K76),"-",'att Data Entry'!K76)</f>
        <v>-</v>
      </c>
      <c r="L76" s="391" t="str">
        <f>IF(ISBLANK('att Data Entry'!L76),"-",'att Data Entry'!L76)</f>
        <v>-</v>
      </c>
      <c r="M76" s="346" t="str">
        <f>'att Data Entry'!M76</f>
        <v/>
      </c>
      <c r="N76" s="346" t="str">
        <f>'att Data Entry'!N76</f>
        <v/>
      </c>
    </row>
    <row r="77" spans="3:14" ht="15.6" x14ac:dyDescent="0.3">
      <c r="C77" s="389">
        <v>64</v>
      </c>
      <c r="D77" s="393" t="str">
        <f>IF(ISBLANK('att Data Entry'!D77),"-",'att Data Entry'!D77)</f>
        <v>-</v>
      </c>
      <c r="E77" s="391" t="str">
        <f>IF(ISBLANK('att Data Entry'!E77),"-",'att Data Entry'!E77)</f>
        <v>-</v>
      </c>
      <c r="F77" s="391" t="str">
        <f>IF(ISBLANK('att Data Entry'!F77),"-",'att Data Entry'!F77)</f>
        <v>-</v>
      </c>
      <c r="G77" s="392"/>
      <c r="H77" s="391" t="str">
        <f>IF(ISBLANK('att Data Entry'!H77),"-",'att Data Entry'!H77)</f>
        <v>-</v>
      </c>
      <c r="I77" s="391" t="str">
        <f>IF(ISBLANK('att Data Entry'!I77),"-",'att Data Entry'!I77)</f>
        <v>-</v>
      </c>
      <c r="J77" s="392"/>
      <c r="K77" s="391" t="str">
        <f>IF(ISBLANK('att Data Entry'!K77),"-",'att Data Entry'!K77)</f>
        <v>-</v>
      </c>
      <c r="L77" s="391" t="str">
        <f>IF(ISBLANK('att Data Entry'!L77),"-",'att Data Entry'!L77)</f>
        <v>-</v>
      </c>
      <c r="M77" s="346" t="str">
        <f>'att Data Entry'!M77</f>
        <v/>
      </c>
      <c r="N77" s="346" t="str">
        <f>'att Data Entry'!N77</f>
        <v/>
      </c>
    </row>
    <row r="78" spans="3:14" ht="15.6" x14ac:dyDescent="0.3">
      <c r="C78" s="389">
        <v>65</v>
      </c>
      <c r="D78" s="393" t="str">
        <f>IF(ISBLANK('att Data Entry'!D78),"-",'att Data Entry'!D78)</f>
        <v>-</v>
      </c>
      <c r="E78" s="391" t="str">
        <f>IF(ISBLANK('att Data Entry'!E78),"-",'att Data Entry'!E78)</f>
        <v>-</v>
      </c>
      <c r="F78" s="391" t="str">
        <f>IF(ISBLANK('att Data Entry'!F78),"-",'att Data Entry'!F78)</f>
        <v>-</v>
      </c>
      <c r="G78" s="392"/>
      <c r="H78" s="391" t="str">
        <f>IF(ISBLANK('att Data Entry'!H78),"-",'att Data Entry'!H78)</f>
        <v>-</v>
      </c>
      <c r="I78" s="391" t="str">
        <f>IF(ISBLANK('att Data Entry'!I78),"-",'att Data Entry'!I78)</f>
        <v>-</v>
      </c>
      <c r="J78" s="392"/>
      <c r="K78" s="391" t="str">
        <f>IF(ISBLANK('att Data Entry'!K78),"-",'att Data Entry'!K78)</f>
        <v>-</v>
      </c>
      <c r="L78" s="391" t="str">
        <f>IF(ISBLANK('att Data Entry'!L78),"-",'att Data Entry'!L78)</f>
        <v>-</v>
      </c>
      <c r="M78" s="346" t="str">
        <f>'att Data Entry'!M78</f>
        <v/>
      </c>
      <c r="N78" s="346" t="str">
        <f>'att Data Entry'!N78</f>
        <v/>
      </c>
    </row>
    <row r="79" spans="3:14" ht="15.6" x14ac:dyDescent="0.3">
      <c r="C79" s="389">
        <v>66</v>
      </c>
      <c r="D79" s="393" t="str">
        <f>IF(ISBLANK('att Data Entry'!D79),"-",'att Data Entry'!D79)</f>
        <v>-</v>
      </c>
      <c r="E79" s="391" t="str">
        <f>IF(ISBLANK('att Data Entry'!E79),"-",'att Data Entry'!E79)</f>
        <v>-</v>
      </c>
      <c r="F79" s="391" t="str">
        <f>IF(ISBLANK('att Data Entry'!F79),"-",'att Data Entry'!F79)</f>
        <v>-</v>
      </c>
      <c r="G79" s="392"/>
      <c r="H79" s="391" t="str">
        <f>IF(ISBLANK('att Data Entry'!H79),"-",'att Data Entry'!H79)</f>
        <v>-</v>
      </c>
      <c r="I79" s="391" t="str">
        <f>IF(ISBLANK('att Data Entry'!I79),"-",'att Data Entry'!I79)</f>
        <v>-</v>
      </c>
      <c r="J79" s="392"/>
      <c r="K79" s="391" t="str">
        <f>IF(ISBLANK('att Data Entry'!K79),"-",'att Data Entry'!K79)</f>
        <v>-</v>
      </c>
      <c r="L79" s="391" t="str">
        <f>IF(ISBLANK('att Data Entry'!L79),"-",'att Data Entry'!L79)</f>
        <v>-</v>
      </c>
      <c r="M79" s="346" t="str">
        <f>'att Data Entry'!M79</f>
        <v/>
      </c>
      <c r="N79" s="346" t="str">
        <f>'att Data Entry'!N79</f>
        <v/>
      </c>
    </row>
    <row r="80" spans="3:14" ht="15.6" x14ac:dyDescent="0.3">
      <c r="C80" s="389">
        <v>67</v>
      </c>
      <c r="D80" s="393" t="str">
        <f>IF(ISBLANK('att Data Entry'!D80),"-",'att Data Entry'!D80)</f>
        <v>-</v>
      </c>
      <c r="E80" s="391" t="str">
        <f>IF(ISBLANK('att Data Entry'!E80),"-",'att Data Entry'!E80)</f>
        <v>-</v>
      </c>
      <c r="F80" s="391" t="str">
        <f>IF(ISBLANK('att Data Entry'!F80),"-",'att Data Entry'!F80)</f>
        <v>-</v>
      </c>
      <c r="G80" s="392"/>
      <c r="H80" s="391" t="str">
        <f>IF(ISBLANK('att Data Entry'!H80),"-",'att Data Entry'!H80)</f>
        <v>-</v>
      </c>
      <c r="I80" s="391" t="str">
        <f>IF(ISBLANK('att Data Entry'!I80),"-",'att Data Entry'!I80)</f>
        <v>-</v>
      </c>
      <c r="J80" s="392"/>
      <c r="K80" s="391" t="str">
        <f>IF(ISBLANK('att Data Entry'!K80),"-",'att Data Entry'!K80)</f>
        <v>-</v>
      </c>
      <c r="L80" s="391" t="str">
        <f>IF(ISBLANK('att Data Entry'!L80),"-",'att Data Entry'!L80)</f>
        <v>-</v>
      </c>
      <c r="M80" s="346" t="str">
        <f>'att Data Entry'!M80</f>
        <v/>
      </c>
      <c r="N80" s="346" t="str">
        <f>'att Data Entry'!N80</f>
        <v/>
      </c>
    </row>
    <row r="81" spans="3:14" ht="15.6" x14ac:dyDescent="0.3">
      <c r="C81" s="389">
        <v>68</v>
      </c>
      <c r="D81" s="393" t="str">
        <f>IF(ISBLANK('att Data Entry'!D81),"-",'att Data Entry'!D81)</f>
        <v>-</v>
      </c>
      <c r="E81" s="391" t="str">
        <f>IF(ISBLANK('att Data Entry'!E81),"-",'att Data Entry'!E81)</f>
        <v>-</v>
      </c>
      <c r="F81" s="391" t="str">
        <f>IF(ISBLANK('att Data Entry'!F81),"-",'att Data Entry'!F81)</f>
        <v>-</v>
      </c>
      <c r="G81" s="392"/>
      <c r="H81" s="391" t="str">
        <f>IF(ISBLANK('att Data Entry'!H81),"-",'att Data Entry'!H81)</f>
        <v>-</v>
      </c>
      <c r="I81" s="391" t="str">
        <f>IF(ISBLANK('att Data Entry'!I81),"-",'att Data Entry'!I81)</f>
        <v>-</v>
      </c>
      <c r="J81" s="392"/>
      <c r="K81" s="391" t="str">
        <f>IF(ISBLANK('att Data Entry'!K81),"-",'att Data Entry'!K81)</f>
        <v>-</v>
      </c>
      <c r="L81" s="391" t="str">
        <f>IF(ISBLANK('att Data Entry'!L81),"-",'att Data Entry'!L81)</f>
        <v>-</v>
      </c>
      <c r="M81" s="346" t="str">
        <f>'att Data Entry'!M81</f>
        <v/>
      </c>
      <c r="N81" s="346" t="str">
        <f>'att Data Entry'!N81</f>
        <v/>
      </c>
    </row>
    <row r="82" spans="3:14" ht="15.6" x14ac:dyDescent="0.3">
      <c r="C82" s="389">
        <v>69</v>
      </c>
      <c r="D82" s="393" t="str">
        <f>IF(ISBLANK('att Data Entry'!D82),"-",'att Data Entry'!D82)</f>
        <v>-</v>
      </c>
      <c r="E82" s="391" t="str">
        <f>IF(ISBLANK('att Data Entry'!E82),"-",'att Data Entry'!E82)</f>
        <v>-</v>
      </c>
      <c r="F82" s="391" t="str">
        <f>IF(ISBLANK('att Data Entry'!F82),"-",'att Data Entry'!F82)</f>
        <v>-</v>
      </c>
      <c r="G82" s="392"/>
      <c r="H82" s="391" t="str">
        <f>IF(ISBLANK('att Data Entry'!H82),"-",'att Data Entry'!H82)</f>
        <v>-</v>
      </c>
      <c r="I82" s="391" t="str">
        <f>IF(ISBLANK('att Data Entry'!I82),"-",'att Data Entry'!I82)</f>
        <v>-</v>
      </c>
      <c r="J82" s="392"/>
      <c r="K82" s="391" t="str">
        <f>IF(ISBLANK('att Data Entry'!K82),"-",'att Data Entry'!K82)</f>
        <v>-</v>
      </c>
      <c r="L82" s="391" t="str">
        <f>IF(ISBLANK('att Data Entry'!L82),"-",'att Data Entry'!L82)</f>
        <v>-</v>
      </c>
      <c r="M82" s="346" t="str">
        <f>'att Data Entry'!M82</f>
        <v/>
      </c>
      <c r="N82" s="346" t="str">
        <f>'att Data Entry'!N82</f>
        <v/>
      </c>
    </row>
    <row r="83" spans="3:14" ht="15.6" x14ac:dyDescent="0.3">
      <c r="C83" s="389">
        <v>70</v>
      </c>
      <c r="D83" s="393" t="str">
        <f>IF(ISBLANK('att Data Entry'!D83),"-",'att Data Entry'!D83)</f>
        <v>-</v>
      </c>
      <c r="E83" s="391" t="str">
        <f>IF(ISBLANK('att Data Entry'!E83),"-",'att Data Entry'!E83)</f>
        <v>-</v>
      </c>
      <c r="F83" s="391" t="str">
        <f>IF(ISBLANK('att Data Entry'!F83),"-",'att Data Entry'!F83)</f>
        <v>-</v>
      </c>
      <c r="G83" s="392"/>
      <c r="H83" s="391" t="str">
        <f>IF(ISBLANK('att Data Entry'!H83),"-",'att Data Entry'!H83)</f>
        <v>-</v>
      </c>
      <c r="I83" s="391" t="str">
        <f>IF(ISBLANK('att Data Entry'!I83),"-",'att Data Entry'!I83)</f>
        <v>-</v>
      </c>
      <c r="J83" s="392"/>
      <c r="K83" s="391" t="str">
        <f>IF(ISBLANK('att Data Entry'!K83),"-",'att Data Entry'!K83)</f>
        <v>-</v>
      </c>
      <c r="L83" s="391" t="str">
        <f>IF(ISBLANK('att Data Entry'!L83),"-",'att Data Entry'!L83)</f>
        <v>-</v>
      </c>
      <c r="M83" s="346" t="str">
        <f>'att Data Entry'!M83</f>
        <v/>
      </c>
      <c r="N83" s="346" t="str">
        <f>'att Data Entry'!N83</f>
        <v/>
      </c>
    </row>
    <row r="84" spans="3:14" ht="15.6" x14ac:dyDescent="0.3">
      <c r="C84" s="389">
        <v>71</v>
      </c>
      <c r="D84" s="393" t="str">
        <f>IF(ISBLANK('att Data Entry'!D84),"-",'att Data Entry'!D84)</f>
        <v>-</v>
      </c>
      <c r="E84" s="391" t="str">
        <f>IF(ISBLANK('att Data Entry'!E84),"-",'att Data Entry'!E84)</f>
        <v>-</v>
      </c>
      <c r="F84" s="391" t="str">
        <f>IF(ISBLANK('att Data Entry'!F84),"-",'att Data Entry'!F84)</f>
        <v>-</v>
      </c>
      <c r="G84" s="345"/>
      <c r="H84" s="391" t="str">
        <f>IF(ISBLANK('att Data Entry'!H84),"-",'att Data Entry'!H84)</f>
        <v>-</v>
      </c>
      <c r="I84" s="391" t="str">
        <f>IF(ISBLANK('att Data Entry'!I84),"-",'att Data Entry'!I84)</f>
        <v>-</v>
      </c>
      <c r="J84" s="345"/>
      <c r="K84" s="391" t="str">
        <f>IF(ISBLANK('att Data Entry'!K84),"-",'att Data Entry'!K84)</f>
        <v>-</v>
      </c>
      <c r="L84" s="391" t="str">
        <f>IF(ISBLANK('att Data Entry'!L84),"-",'att Data Entry'!L84)</f>
        <v>-</v>
      </c>
      <c r="M84" s="346" t="str">
        <f>'att Data Entry'!M84</f>
        <v/>
      </c>
      <c r="N84" s="346" t="str">
        <f>'att Data Entry'!N84</f>
        <v/>
      </c>
    </row>
    <row r="85" spans="3:14" ht="15.6" x14ac:dyDescent="0.3">
      <c r="C85" s="389">
        <v>72</v>
      </c>
      <c r="D85" s="393" t="str">
        <f>IF(ISBLANK('att Data Entry'!D85),"-",'att Data Entry'!D85)</f>
        <v>-</v>
      </c>
      <c r="E85" s="391" t="str">
        <f>IF(ISBLANK('att Data Entry'!E85),"-",'att Data Entry'!E85)</f>
        <v>-</v>
      </c>
      <c r="F85" s="391" t="str">
        <f>IF(ISBLANK('att Data Entry'!F85),"-",'att Data Entry'!F85)</f>
        <v>-</v>
      </c>
      <c r="G85" s="345"/>
      <c r="H85" s="391" t="str">
        <f>IF(ISBLANK('att Data Entry'!H85),"-",'att Data Entry'!H85)</f>
        <v>-</v>
      </c>
      <c r="I85" s="391" t="str">
        <f>IF(ISBLANK('att Data Entry'!I85),"-",'att Data Entry'!I85)</f>
        <v>-</v>
      </c>
      <c r="J85" s="345"/>
      <c r="K85" s="391" t="str">
        <f>IF(ISBLANK('att Data Entry'!K85),"-",'att Data Entry'!K85)</f>
        <v>-</v>
      </c>
      <c r="L85" s="391" t="str">
        <f>IF(ISBLANK('att Data Entry'!L85),"-",'att Data Entry'!L85)</f>
        <v>-</v>
      </c>
      <c r="M85" s="346" t="str">
        <f>'att Data Entry'!M85</f>
        <v/>
      </c>
      <c r="N85" s="346" t="str">
        <f>'att Data Entry'!N85</f>
        <v/>
      </c>
    </row>
    <row r="86" spans="3:14" ht="15.6" x14ac:dyDescent="0.3">
      <c r="C86" s="389">
        <v>73</v>
      </c>
      <c r="D86" s="393" t="str">
        <f>IF(ISBLANK('att Data Entry'!D86),"-",'att Data Entry'!D86)</f>
        <v>-</v>
      </c>
      <c r="E86" s="391" t="str">
        <f>IF(ISBLANK('att Data Entry'!E86),"-",'att Data Entry'!E86)</f>
        <v>-</v>
      </c>
      <c r="F86" s="391" t="str">
        <f>IF(ISBLANK('att Data Entry'!F86),"-",'att Data Entry'!F86)</f>
        <v>-</v>
      </c>
      <c r="G86" s="345"/>
      <c r="H86" s="391" t="str">
        <f>IF(ISBLANK('att Data Entry'!H86),"-",'att Data Entry'!H86)</f>
        <v>-</v>
      </c>
      <c r="I86" s="391" t="str">
        <f>IF(ISBLANK('att Data Entry'!I86),"-",'att Data Entry'!I86)</f>
        <v>-</v>
      </c>
      <c r="J86" s="345"/>
      <c r="K86" s="391" t="str">
        <f>IF(ISBLANK('att Data Entry'!K86),"-",'att Data Entry'!K86)</f>
        <v>-</v>
      </c>
      <c r="L86" s="391" t="str">
        <f>IF(ISBLANK('att Data Entry'!L86),"-",'att Data Entry'!L86)</f>
        <v>-</v>
      </c>
      <c r="M86" s="346" t="str">
        <f>'att Data Entry'!M86</f>
        <v/>
      </c>
      <c r="N86" s="346" t="str">
        <f>'att Data Entry'!N86</f>
        <v/>
      </c>
    </row>
    <row r="87" spans="3:14" ht="15.6" x14ac:dyDescent="0.3">
      <c r="C87" s="389">
        <v>74</v>
      </c>
      <c r="D87" s="393" t="str">
        <f>IF(ISBLANK('att Data Entry'!D87),"-",'att Data Entry'!D87)</f>
        <v>-</v>
      </c>
      <c r="E87" s="391" t="str">
        <f>IF(ISBLANK('att Data Entry'!E87),"-",'att Data Entry'!E87)</f>
        <v>-</v>
      </c>
      <c r="F87" s="391" t="str">
        <f>IF(ISBLANK('att Data Entry'!F87),"-",'att Data Entry'!F87)</f>
        <v>-</v>
      </c>
      <c r="G87" s="345"/>
      <c r="H87" s="391" t="str">
        <f>IF(ISBLANK('att Data Entry'!H87),"-",'att Data Entry'!H87)</f>
        <v>-</v>
      </c>
      <c r="I87" s="391" t="str">
        <f>IF(ISBLANK('att Data Entry'!I87),"-",'att Data Entry'!I87)</f>
        <v>-</v>
      </c>
      <c r="J87" s="345"/>
      <c r="K87" s="391" t="str">
        <f>IF(ISBLANK('att Data Entry'!K87),"-",'att Data Entry'!K87)</f>
        <v>-</v>
      </c>
      <c r="L87" s="391" t="str">
        <f>IF(ISBLANK('att Data Entry'!L87),"-",'att Data Entry'!L87)</f>
        <v>-</v>
      </c>
      <c r="M87" s="346" t="str">
        <f>'att Data Entry'!M87</f>
        <v/>
      </c>
      <c r="N87" s="346" t="str">
        <f>'att Data Entry'!N87</f>
        <v/>
      </c>
    </row>
    <row r="88" spans="3:14" ht="15.6" x14ac:dyDescent="0.3">
      <c r="C88" s="389">
        <v>75</v>
      </c>
      <c r="D88" s="393" t="str">
        <f>IF(ISBLANK('att Data Entry'!D88),"-",'att Data Entry'!D88)</f>
        <v>-</v>
      </c>
      <c r="E88" s="391" t="str">
        <f>IF(ISBLANK('att Data Entry'!E88),"-",'att Data Entry'!E88)</f>
        <v>-</v>
      </c>
      <c r="F88" s="391" t="str">
        <f>IF(ISBLANK('att Data Entry'!F88),"-",'att Data Entry'!F88)</f>
        <v>-</v>
      </c>
      <c r="G88" s="345"/>
      <c r="H88" s="391" t="str">
        <f>IF(ISBLANK('att Data Entry'!H88),"-",'att Data Entry'!H88)</f>
        <v>-</v>
      </c>
      <c r="I88" s="391" t="str">
        <f>IF(ISBLANK('att Data Entry'!I88),"-",'att Data Entry'!I88)</f>
        <v>-</v>
      </c>
      <c r="J88" s="345"/>
      <c r="K88" s="391" t="str">
        <f>IF(ISBLANK('att Data Entry'!K88),"-",'att Data Entry'!K88)</f>
        <v>-</v>
      </c>
      <c r="L88" s="391" t="str">
        <f>IF(ISBLANK('att Data Entry'!L88),"-",'att Data Entry'!L88)</f>
        <v>-</v>
      </c>
      <c r="M88" s="346" t="str">
        <f>'att Data Entry'!M88</f>
        <v/>
      </c>
      <c r="N88" s="346" t="str">
        <f>'att Data Entry'!N88</f>
        <v/>
      </c>
    </row>
    <row r="89" spans="3:14" ht="15.6" x14ac:dyDescent="0.3">
      <c r="C89" s="389">
        <v>76</v>
      </c>
      <c r="D89" s="393" t="str">
        <f>IF(ISBLANK('att Data Entry'!D89),"-",'att Data Entry'!D89)</f>
        <v>-</v>
      </c>
      <c r="E89" s="391" t="str">
        <f>IF(ISBLANK('att Data Entry'!E89),"-",'att Data Entry'!E89)</f>
        <v>-</v>
      </c>
      <c r="F89" s="391" t="str">
        <f>IF(ISBLANK('att Data Entry'!F89),"-",'att Data Entry'!F89)</f>
        <v>-</v>
      </c>
      <c r="G89" s="345"/>
      <c r="H89" s="391" t="str">
        <f>IF(ISBLANK('att Data Entry'!H89),"-",'att Data Entry'!H89)</f>
        <v>-</v>
      </c>
      <c r="I89" s="391" t="str">
        <f>IF(ISBLANK('att Data Entry'!I89),"-",'att Data Entry'!I89)</f>
        <v>-</v>
      </c>
      <c r="J89" s="345"/>
      <c r="K89" s="391" t="str">
        <f>IF(ISBLANK('att Data Entry'!K89),"-",'att Data Entry'!K89)</f>
        <v>-</v>
      </c>
      <c r="L89" s="391" t="str">
        <f>IF(ISBLANK('att Data Entry'!L89),"-",'att Data Entry'!L89)</f>
        <v>-</v>
      </c>
      <c r="M89" s="346" t="str">
        <f>'att Data Entry'!M89</f>
        <v/>
      </c>
      <c r="N89" s="346" t="str">
        <f>'att Data Entry'!N89</f>
        <v/>
      </c>
    </row>
    <row r="90" spans="3:14" ht="15.6" x14ac:dyDescent="0.3">
      <c r="C90" s="389">
        <v>77</v>
      </c>
      <c r="D90" s="393" t="str">
        <f>IF(ISBLANK('att Data Entry'!D90),"-",'att Data Entry'!D90)</f>
        <v>-</v>
      </c>
      <c r="E90" s="391" t="str">
        <f>IF(ISBLANK('att Data Entry'!E90),"-",'att Data Entry'!E90)</f>
        <v>-</v>
      </c>
      <c r="F90" s="391" t="str">
        <f>IF(ISBLANK('att Data Entry'!F90),"-",'att Data Entry'!F90)</f>
        <v>-</v>
      </c>
      <c r="G90" s="345"/>
      <c r="H90" s="391" t="str">
        <f>IF(ISBLANK('att Data Entry'!H90),"-",'att Data Entry'!H90)</f>
        <v>-</v>
      </c>
      <c r="I90" s="391" t="str">
        <f>IF(ISBLANK('att Data Entry'!I90),"-",'att Data Entry'!I90)</f>
        <v>-</v>
      </c>
      <c r="J90" s="345"/>
      <c r="K90" s="391" t="str">
        <f>IF(ISBLANK('att Data Entry'!K90),"-",'att Data Entry'!K90)</f>
        <v>-</v>
      </c>
      <c r="L90" s="391" t="str">
        <f>IF(ISBLANK('att Data Entry'!L90),"-",'att Data Entry'!L90)</f>
        <v>-</v>
      </c>
      <c r="M90" s="346" t="str">
        <f>'att Data Entry'!M90</f>
        <v/>
      </c>
      <c r="N90" s="346" t="str">
        <f>'att Data Entry'!N90</f>
        <v/>
      </c>
    </row>
    <row r="91" spans="3:14" ht="15.6" x14ac:dyDescent="0.3">
      <c r="C91" s="389">
        <v>78</v>
      </c>
      <c r="D91" s="393" t="str">
        <f>IF(ISBLANK('att Data Entry'!D91),"-",'att Data Entry'!D91)</f>
        <v>-</v>
      </c>
      <c r="E91" s="391" t="str">
        <f>IF(ISBLANK('att Data Entry'!E91),"-",'att Data Entry'!E91)</f>
        <v>-</v>
      </c>
      <c r="F91" s="391" t="str">
        <f>IF(ISBLANK('att Data Entry'!F91),"-",'att Data Entry'!F91)</f>
        <v>-</v>
      </c>
      <c r="G91" s="345"/>
      <c r="H91" s="391" t="str">
        <f>IF(ISBLANK('att Data Entry'!H91),"-",'att Data Entry'!H91)</f>
        <v>-</v>
      </c>
      <c r="I91" s="391" t="str">
        <f>IF(ISBLANK('att Data Entry'!I91),"-",'att Data Entry'!I91)</f>
        <v>-</v>
      </c>
      <c r="J91" s="345"/>
      <c r="K91" s="391" t="str">
        <f>IF(ISBLANK('att Data Entry'!K91),"-",'att Data Entry'!K91)</f>
        <v>-</v>
      </c>
      <c r="L91" s="391" t="str">
        <f>IF(ISBLANK('att Data Entry'!L91),"-",'att Data Entry'!L91)</f>
        <v>-</v>
      </c>
      <c r="M91" s="346" t="str">
        <f>'att Data Entry'!M91</f>
        <v/>
      </c>
      <c r="N91" s="346" t="str">
        <f>'att Data Entry'!N91</f>
        <v/>
      </c>
    </row>
    <row r="92" spans="3:14" ht="15.6" x14ac:dyDescent="0.3">
      <c r="C92" s="389">
        <v>79</v>
      </c>
      <c r="D92" s="393" t="str">
        <f>IF(ISBLANK('att Data Entry'!D92),"-",'att Data Entry'!D92)</f>
        <v>-</v>
      </c>
      <c r="E92" s="391" t="str">
        <f>IF(ISBLANK('att Data Entry'!E92),"-",'att Data Entry'!E92)</f>
        <v>-</v>
      </c>
      <c r="F92" s="391" t="str">
        <f>IF(ISBLANK('att Data Entry'!F92),"-",'att Data Entry'!F92)</f>
        <v>-</v>
      </c>
      <c r="G92" s="345"/>
      <c r="H92" s="391" t="str">
        <f>IF(ISBLANK('att Data Entry'!H92),"-",'att Data Entry'!H92)</f>
        <v>-</v>
      </c>
      <c r="I92" s="391" t="str">
        <f>IF(ISBLANK('att Data Entry'!I92),"-",'att Data Entry'!I92)</f>
        <v>-</v>
      </c>
      <c r="J92" s="345"/>
      <c r="K92" s="391" t="str">
        <f>IF(ISBLANK('att Data Entry'!K92),"-",'att Data Entry'!K92)</f>
        <v>-</v>
      </c>
      <c r="L92" s="391" t="str">
        <f>IF(ISBLANK('att Data Entry'!L92),"-",'att Data Entry'!L92)</f>
        <v>-</v>
      </c>
      <c r="M92" s="346" t="str">
        <f>'att Data Entry'!M92</f>
        <v/>
      </c>
      <c r="N92" s="346" t="str">
        <f>'att Data Entry'!N92</f>
        <v/>
      </c>
    </row>
    <row r="93" spans="3:14" ht="15.6" x14ac:dyDescent="0.3">
      <c r="C93" s="389">
        <v>80</v>
      </c>
      <c r="D93" s="393" t="str">
        <f>IF(ISBLANK('att Data Entry'!D93),"-",'att Data Entry'!D93)</f>
        <v>-</v>
      </c>
      <c r="E93" s="391" t="str">
        <f>IF(ISBLANK('att Data Entry'!E93),"-",'att Data Entry'!E93)</f>
        <v>-</v>
      </c>
      <c r="F93" s="391" t="str">
        <f>IF(ISBLANK('att Data Entry'!F93),"-",'att Data Entry'!F93)</f>
        <v>-</v>
      </c>
      <c r="G93" s="345"/>
      <c r="H93" s="391" t="str">
        <f>IF(ISBLANK('att Data Entry'!H93),"-",'att Data Entry'!H93)</f>
        <v>-</v>
      </c>
      <c r="I93" s="391" t="str">
        <f>IF(ISBLANK('att Data Entry'!I93),"-",'att Data Entry'!I93)</f>
        <v>-</v>
      </c>
      <c r="J93" s="345"/>
      <c r="K93" s="391" t="str">
        <f>IF(ISBLANK('att Data Entry'!K93),"-",'att Data Entry'!K93)</f>
        <v>-</v>
      </c>
      <c r="L93" s="391" t="str">
        <f>IF(ISBLANK('att Data Entry'!L93),"-",'att Data Entry'!L93)</f>
        <v>-</v>
      </c>
      <c r="M93" s="346" t="str">
        <f>'att Data Entry'!M93</f>
        <v/>
      </c>
      <c r="N93" s="346" t="str">
        <f>'att Data Entry'!N93</f>
        <v/>
      </c>
    </row>
    <row r="94" spans="3:14" ht="15.6" x14ac:dyDescent="0.3">
      <c r="C94" s="389">
        <v>81</v>
      </c>
      <c r="D94" s="393" t="str">
        <f>IF(ISBLANK('att Data Entry'!D94),"-",'att Data Entry'!D94)</f>
        <v>-</v>
      </c>
      <c r="E94" s="391" t="str">
        <f>IF(ISBLANK('att Data Entry'!E94),"-",'att Data Entry'!E94)</f>
        <v>-</v>
      </c>
      <c r="F94" s="391" t="str">
        <f>IF(ISBLANK('att Data Entry'!F94),"-",'att Data Entry'!F94)</f>
        <v>-</v>
      </c>
      <c r="G94" s="345"/>
      <c r="H94" s="391" t="str">
        <f>IF(ISBLANK('att Data Entry'!H94),"-",'att Data Entry'!H94)</f>
        <v>-</v>
      </c>
      <c r="I94" s="391" t="str">
        <f>IF(ISBLANK('att Data Entry'!I94),"-",'att Data Entry'!I94)</f>
        <v>-</v>
      </c>
      <c r="J94" s="345"/>
      <c r="K94" s="391" t="str">
        <f>IF(ISBLANK('att Data Entry'!K94),"-",'att Data Entry'!K94)</f>
        <v>-</v>
      </c>
      <c r="L94" s="391" t="str">
        <f>IF(ISBLANK('att Data Entry'!L94),"-",'att Data Entry'!L94)</f>
        <v>-</v>
      </c>
      <c r="M94" s="346" t="str">
        <f>'att Data Entry'!M94</f>
        <v/>
      </c>
      <c r="N94" s="346" t="str">
        <f>'att Data Entry'!N94</f>
        <v/>
      </c>
    </row>
    <row r="95" spans="3:14" ht="15.6" x14ac:dyDescent="0.3">
      <c r="C95" s="389">
        <v>82</v>
      </c>
      <c r="D95" s="393" t="str">
        <f>IF(ISBLANK('att Data Entry'!D95),"-",'att Data Entry'!D95)</f>
        <v>-</v>
      </c>
      <c r="E95" s="391" t="str">
        <f>IF(ISBLANK('att Data Entry'!E95),"-",'att Data Entry'!E95)</f>
        <v>-</v>
      </c>
      <c r="F95" s="391" t="str">
        <f>IF(ISBLANK('att Data Entry'!F95),"-",'att Data Entry'!F95)</f>
        <v>-</v>
      </c>
      <c r="G95" s="345"/>
      <c r="H95" s="391" t="str">
        <f>IF(ISBLANK('att Data Entry'!H95),"-",'att Data Entry'!H95)</f>
        <v>-</v>
      </c>
      <c r="I95" s="391" t="str">
        <f>IF(ISBLANK('att Data Entry'!I95),"-",'att Data Entry'!I95)</f>
        <v>-</v>
      </c>
      <c r="J95" s="345"/>
      <c r="K95" s="391" t="str">
        <f>IF(ISBLANK('att Data Entry'!K95),"-",'att Data Entry'!K95)</f>
        <v>-</v>
      </c>
      <c r="L95" s="391" t="str">
        <f>IF(ISBLANK('att Data Entry'!L95),"-",'att Data Entry'!L95)</f>
        <v>-</v>
      </c>
      <c r="M95" s="346" t="str">
        <f>'att Data Entry'!M95</f>
        <v/>
      </c>
      <c r="N95" s="346" t="str">
        <f>'att Data Entry'!N95</f>
        <v/>
      </c>
    </row>
    <row r="96" spans="3:14" ht="15.6" x14ac:dyDescent="0.3">
      <c r="C96" s="389">
        <v>83</v>
      </c>
      <c r="D96" s="393" t="str">
        <f>IF(ISBLANK('att Data Entry'!D96),"-",'att Data Entry'!D96)</f>
        <v>-</v>
      </c>
      <c r="E96" s="391" t="str">
        <f>IF(ISBLANK('att Data Entry'!E96),"-",'att Data Entry'!E96)</f>
        <v>-</v>
      </c>
      <c r="F96" s="391" t="str">
        <f>IF(ISBLANK('att Data Entry'!F96),"-",'att Data Entry'!F96)</f>
        <v>-</v>
      </c>
      <c r="G96" s="345"/>
      <c r="H96" s="391" t="str">
        <f>IF(ISBLANK('att Data Entry'!H96),"-",'att Data Entry'!H96)</f>
        <v>-</v>
      </c>
      <c r="I96" s="391" t="str">
        <f>IF(ISBLANK('att Data Entry'!I96),"-",'att Data Entry'!I96)</f>
        <v>-</v>
      </c>
      <c r="J96" s="345"/>
      <c r="K96" s="391" t="str">
        <f>IF(ISBLANK('att Data Entry'!K96),"-",'att Data Entry'!K96)</f>
        <v>-</v>
      </c>
      <c r="L96" s="391" t="str">
        <f>IF(ISBLANK('att Data Entry'!L96),"-",'att Data Entry'!L96)</f>
        <v>-</v>
      </c>
      <c r="M96" s="346" t="str">
        <f>'att Data Entry'!M96</f>
        <v/>
      </c>
      <c r="N96" s="346" t="str">
        <f>'att Data Entry'!N96</f>
        <v/>
      </c>
    </row>
    <row r="97" spans="3:14" ht="15.6" x14ac:dyDescent="0.3">
      <c r="C97" s="389">
        <v>84</v>
      </c>
      <c r="D97" s="393" t="str">
        <f>IF(ISBLANK('att Data Entry'!D97),"-",'att Data Entry'!D97)</f>
        <v>-</v>
      </c>
      <c r="E97" s="391" t="str">
        <f>IF(ISBLANK('att Data Entry'!E97),"-",'att Data Entry'!E97)</f>
        <v>-</v>
      </c>
      <c r="F97" s="391" t="str">
        <f>IF(ISBLANK('att Data Entry'!F97),"-",'att Data Entry'!F97)</f>
        <v>-</v>
      </c>
      <c r="G97" s="345"/>
      <c r="H97" s="391" t="str">
        <f>IF(ISBLANK('att Data Entry'!H97),"-",'att Data Entry'!H97)</f>
        <v>-</v>
      </c>
      <c r="I97" s="391" t="str">
        <f>IF(ISBLANK('att Data Entry'!I97),"-",'att Data Entry'!I97)</f>
        <v>-</v>
      </c>
      <c r="J97" s="345"/>
      <c r="K97" s="391" t="str">
        <f>IF(ISBLANK('att Data Entry'!K97),"-",'att Data Entry'!K97)</f>
        <v>-</v>
      </c>
      <c r="L97" s="391" t="str">
        <f>IF(ISBLANK('att Data Entry'!L97),"-",'att Data Entry'!L97)</f>
        <v>-</v>
      </c>
      <c r="M97" s="346" t="str">
        <f>'att Data Entry'!M97</f>
        <v/>
      </c>
      <c r="N97" s="346" t="str">
        <f>'att Data Entry'!N97</f>
        <v/>
      </c>
    </row>
    <row r="98" spans="3:14" ht="15.6" x14ac:dyDescent="0.3">
      <c r="C98" s="389">
        <v>85</v>
      </c>
      <c r="D98" s="393" t="str">
        <f>IF(ISBLANK('att Data Entry'!D98),"-",'att Data Entry'!D98)</f>
        <v>-</v>
      </c>
      <c r="E98" s="391" t="str">
        <f>IF(ISBLANK('att Data Entry'!E98),"-",'att Data Entry'!E98)</f>
        <v>-</v>
      </c>
      <c r="F98" s="391" t="str">
        <f>IF(ISBLANK('att Data Entry'!F98),"-",'att Data Entry'!F98)</f>
        <v>-</v>
      </c>
      <c r="G98" s="345"/>
      <c r="H98" s="391" t="str">
        <f>IF(ISBLANK('att Data Entry'!H98),"-",'att Data Entry'!H98)</f>
        <v>-</v>
      </c>
      <c r="I98" s="391" t="str">
        <f>IF(ISBLANK('att Data Entry'!I98),"-",'att Data Entry'!I98)</f>
        <v>-</v>
      </c>
      <c r="J98" s="345"/>
      <c r="K98" s="391" t="str">
        <f>IF(ISBLANK('att Data Entry'!K98),"-",'att Data Entry'!K98)</f>
        <v>-</v>
      </c>
      <c r="L98" s="391" t="str">
        <f>IF(ISBLANK('att Data Entry'!L98),"-",'att Data Entry'!L98)</f>
        <v>-</v>
      </c>
      <c r="M98" s="346" t="str">
        <f>'att Data Entry'!M98</f>
        <v/>
      </c>
      <c r="N98" s="346" t="str">
        <f>'att Data Entry'!N98</f>
        <v/>
      </c>
    </row>
    <row r="99" spans="3:14" ht="15.6" x14ac:dyDescent="0.3">
      <c r="C99" s="389">
        <v>86</v>
      </c>
      <c r="D99" s="393" t="str">
        <f>IF(ISBLANK('att Data Entry'!D99),"-",'att Data Entry'!D99)</f>
        <v>-</v>
      </c>
      <c r="E99" s="391" t="str">
        <f>IF(ISBLANK('att Data Entry'!E99),"-",'att Data Entry'!E99)</f>
        <v>-</v>
      </c>
      <c r="F99" s="391" t="str">
        <f>IF(ISBLANK('att Data Entry'!F99),"-",'att Data Entry'!F99)</f>
        <v>-</v>
      </c>
      <c r="G99" s="345"/>
      <c r="H99" s="391" t="str">
        <f>IF(ISBLANK('att Data Entry'!H99),"-",'att Data Entry'!H99)</f>
        <v>-</v>
      </c>
      <c r="I99" s="391" t="str">
        <f>IF(ISBLANK('att Data Entry'!I99),"-",'att Data Entry'!I99)</f>
        <v>-</v>
      </c>
      <c r="J99" s="345"/>
      <c r="K99" s="391" t="str">
        <f>IF(ISBLANK('att Data Entry'!K99),"-",'att Data Entry'!K99)</f>
        <v>-</v>
      </c>
      <c r="L99" s="391" t="str">
        <f>IF(ISBLANK('att Data Entry'!L99),"-",'att Data Entry'!L99)</f>
        <v>-</v>
      </c>
      <c r="M99" s="346" t="str">
        <f>'att Data Entry'!M99</f>
        <v/>
      </c>
      <c r="N99" s="346" t="str">
        <f>'att Data Entry'!N99</f>
        <v/>
      </c>
    </row>
    <row r="100" spans="3:14" ht="15.6" x14ac:dyDescent="0.3">
      <c r="C100" s="389">
        <v>87</v>
      </c>
      <c r="D100" s="393" t="str">
        <f>IF(ISBLANK('att Data Entry'!D100),"-",'att Data Entry'!D100)</f>
        <v>-</v>
      </c>
      <c r="E100" s="391" t="str">
        <f>IF(ISBLANK('att Data Entry'!E100),"-",'att Data Entry'!E100)</f>
        <v>-</v>
      </c>
      <c r="F100" s="391" t="str">
        <f>IF(ISBLANK('att Data Entry'!F100),"-",'att Data Entry'!F100)</f>
        <v>-</v>
      </c>
      <c r="G100" s="345"/>
      <c r="H100" s="391" t="str">
        <f>IF(ISBLANK('att Data Entry'!H100),"-",'att Data Entry'!H100)</f>
        <v>-</v>
      </c>
      <c r="I100" s="391" t="str">
        <f>IF(ISBLANK('att Data Entry'!I100),"-",'att Data Entry'!I100)</f>
        <v>-</v>
      </c>
      <c r="J100" s="345"/>
      <c r="K100" s="391" t="str">
        <f>IF(ISBLANK('att Data Entry'!K100),"-",'att Data Entry'!K100)</f>
        <v>-</v>
      </c>
      <c r="L100" s="391" t="str">
        <f>IF(ISBLANK('att Data Entry'!L100),"-",'att Data Entry'!L100)</f>
        <v>-</v>
      </c>
      <c r="M100" s="346" t="str">
        <f>'att Data Entry'!M100</f>
        <v/>
      </c>
      <c r="N100" s="346" t="str">
        <f>'att Data Entry'!N100</f>
        <v/>
      </c>
    </row>
    <row r="101" spans="3:14" ht="15.6" x14ac:dyDescent="0.3">
      <c r="C101" s="389">
        <v>88</v>
      </c>
      <c r="D101" s="393" t="str">
        <f>IF(ISBLANK('att Data Entry'!D101),"-",'att Data Entry'!D101)</f>
        <v>-</v>
      </c>
      <c r="E101" s="391" t="str">
        <f>IF(ISBLANK('att Data Entry'!E101),"-",'att Data Entry'!E101)</f>
        <v>-</v>
      </c>
      <c r="F101" s="391" t="str">
        <f>IF(ISBLANK('att Data Entry'!F101),"-",'att Data Entry'!F101)</f>
        <v>-</v>
      </c>
      <c r="G101" s="345"/>
      <c r="H101" s="391" t="str">
        <f>IF(ISBLANK('att Data Entry'!H101),"-",'att Data Entry'!H101)</f>
        <v>-</v>
      </c>
      <c r="I101" s="391" t="str">
        <f>IF(ISBLANK('att Data Entry'!I101),"-",'att Data Entry'!I101)</f>
        <v>-</v>
      </c>
      <c r="J101" s="345"/>
      <c r="K101" s="391" t="str">
        <f>IF(ISBLANK('att Data Entry'!K101),"-",'att Data Entry'!K101)</f>
        <v>-</v>
      </c>
      <c r="L101" s="391" t="str">
        <f>IF(ISBLANK('att Data Entry'!L101),"-",'att Data Entry'!L101)</f>
        <v>-</v>
      </c>
      <c r="M101" s="346" t="str">
        <f>'att Data Entry'!M101</f>
        <v/>
      </c>
      <c r="N101" s="346" t="str">
        <f>'att Data Entry'!N101</f>
        <v/>
      </c>
    </row>
    <row r="102" spans="3:14" ht="15.6" x14ac:dyDescent="0.3">
      <c r="C102" s="389">
        <v>89</v>
      </c>
      <c r="D102" s="393" t="str">
        <f>IF(ISBLANK('att Data Entry'!D102),"-",'att Data Entry'!D102)</f>
        <v>-</v>
      </c>
      <c r="E102" s="391" t="str">
        <f>IF(ISBLANK('att Data Entry'!E102),"-",'att Data Entry'!E102)</f>
        <v>-</v>
      </c>
      <c r="F102" s="391" t="str">
        <f>IF(ISBLANK('att Data Entry'!F102),"-",'att Data Entry'!F102)</f>
        <v>-</v>
      </c>
      <c r="G102" s="345"/>
      <c r="H102" s="391" t="str">
        <f>IF(ISBLANK('att Data Entry'!H102),"-",'att Data Entry'!H102)</f>
        <v>-</v>
      </c>
      <c r="I102" s="391" t="str">
        <f>IF(ISBLANK('att Data Entry'!I102),"-",'att Data Entry'!I102)</f>
        <v>-</v>
      </c>
      <c r="J102" s="345"/>
      <c r="K102" s="391" t="str">
        <f>IF(ISBLANK('att Data Entry'!K102),"-",'att Data Entry'!K102)</f>
        <v>-</v>
      </c>
      <c r="L102" s="391" t="str">
        <f>IF(ISBLANK('att Data Entry'!L102),"-",'att Data Entry'!L102)</f>
        <v>-</v>
      </c>
      <c r="M102" s="346" t="str">
        <f>'att Data Entry'!M102</f>
        <v/>
      </c>
      <c r="N102" s="346" t="str">
        <f>'att Data Entry'!N102</f>
        <v/>
      </c>
    </row>
    <row r="103" spans="3:14" ht="15.6" x14ac:dyDescent="0.3">
      <c r="C103" s="389">
        <v>90</v>
      </c>
      <c r="D103" s="393" t="str">
        <f>IF(ISBLANK('att Data Entry'!D103),"-",'att Data Entry'!D103)</f>
        <v>-</v>
      </c>
      <c r="E103" s="391" t="str">
        <f>IF(ISBLANK('att Data Entry'!E103),"-",'att Data Entry'!E103)</f>
        <v>-</v>
      </c>
      <c r="F103" s="391" t="str">
        <f>IF(ISBLANK('att Data Entry'!F103),"-",'att Data Entry'!F103)</f>
        <v>-</v>
      </c>
      <c r="G103" s="345"/>
      <c r="H103" s="391" t="str">
        <f>IF(ISBLANK('att Data Entry'!H103),"-",'att Data Entry'!H103)</f>
        <v>-</v>
      </c>
      <c r="I103" s="391" t="str">
        <f>IF(ISBLANK('att Data Entry'!I103),"-",'att Data Entry'!I103)</f>
        <v>-</v>
      </c>
      <c r="J103" s="345"/>
      <c r="K103" s="391" t="str">
        <f>IF(ISBLANK('att Data Entry'!K103),"-",'att Data Entry'!K103)</f>
        <v>-</v>
      </c>
      <c r="L103" s="391" t="str">
        <f>IF(ISBLANK('att Data Entry'!L103),"-",'att Data Entry'!L103)</f>
        <v>-</v>
      </c>
      <c r="M103" s="346" t="str">
        <f>'att Data Entry'!M103</f>
        <v/>
      </c>
      <c r="N103" s="346" t="str">
        <f>'att Data Entry'!N103</f>
        <v/>
      </c>
    </row>
    <row r="104" spans="3:14" ht="15.6" x14ac:dyDescent="0.3">
      <c r="C104" s="389">
        <v>91</v>
      </c>
      <c r="D104" s="393" t="str">
        <f>IF(ISBLANK('att Data Entry'!D104),"-",'att Data Entry'!D104)</f>
        <v>-</v>
      </c>
      <c r="E104" s="391" t="str">
        <f>IF(ISBLANK('att Data Entry'!E104),"-",'att Data Entry'!E104)</f>
        <v>-</v>
      </c>
      <c r="F104" s="391" t="str">
        <f>IF(ISBLANK('att Data Entry'!F104),"-",'att Data Entry'!F104)</f>
        <v>-</v>
      </c>
      <c r="G104" s="345"/>
      <c r="H104" s="391" t="str">
        <f>IF(ISBLANK('att Data Entry'!H104),"-",'att Data Entry'!H104)</f>
        <v>-</v>
      </c>
      <c r="I104" s="391" t="str">
        <f>IF(ISBLANK('att Data Entry'!I104),"-",'att Data Entry'!I104)</f>
        <v>-</v>
      </c>
      <c r="J104" s="345"/>
      <c r="K104" s="391" t="str">
        <f>IF(ISBLANK('att Data Entry'!K104),"-",'att Data Entry'!K104)</f>
        <v>-</v>
      </c>
      <c r="L104" s="391" t="str">
        <f>IF(ISBLANK('att Data Entry'!L104),"-",'att Data Entry'!L104)</f>
        <v>-</v>
      </c>
      <c r="M104" s="346" t="str">
        <f>'att Data Entry'!M104</f>
        <v/>
      </c>
      <c r="N104" s="346" t="str">
        <f>'att Data Entry'!N104</f>
        <v/>
      </c>
    </row>
    <row r="105" spans="3:14" ht="15.6" x14ac:dyDescent="0.3">
      <c r="C105" s="389">
        <v>92</v>
      </c>
      <c r="D105" s="393" t="str">
        <f>IF(ISBLANK('att Data Entry'!D105),"-",'att Data Entry'!D105)</f>
        <v>-</v>
      </c>
      <c r="E105" s="391" t="str">
        <f>IF(ISBLANK('att Data Entry'!E105),"-",'att Data Entry'!E105)</f>
        <v>-</v>
      </c>
      <c r="F105" s="391" t="str">
        <f>IF(ISBLANK('att Data Entry'!F105),"-",'att Data Entry'!F105)</f>
        <v>-</v>
      </c>
      <c r="G105" s="345"/>
      <c r="H105" s="391" t="str">
        <f>IF(ISBLANK('att Data Entry'!H105),"-",'att Data Entry'!H105)</f>
        <v>-</v>
      </c>
      <c r="I105" s="391" t="str">
        <f>IF(ISBLANK('att Data Entry'!I105),"-",'att Data Entry'!I105)</f>
        <v>-</v>
      </c>
      <c r="J105" s="345"/>
      <c r="K105" s="391" t="str">
        <f>IF(ISBLANK('att Data Entry'!K105),"-",'att Data Entry'!K105)</f>
        <v>-</v>
      </c>
      <c r="L105" s="391" t="str">
        <f>IF(ISBLANK('att Data Entry'!L105),"-",'att Data Entry'!L105)</f>
        <v>-</v>
      </c>
      <c r="M105" s="346" t="str">
        <f>'att Data Entry'!M105</f>
        <v/>
      </c>
      <c r="N105" s="346" t="str">
        <f>'att Data Entry'!N105</f>
        <v/>
      </c>
    </row>
    <row r="106" spans="3:14" ht="15.6" x14ac:dyDescent="0.3">
      <c r="C106" s="389">
        <v>93</v>
      </c>
      <c r="D106" s="393" t="str">
        <f>IF(ISBLANK('att Data Entry'!D106),"-",'att Data Entry'!D106)</f>
        <v>-</v>
      </c>
      <c r="E106" s="391" t="str">
        <f>IF(ISBLANK('att Data Entry'!E106),"-",'att Data Entry'!E106)</f>
        <v>-</v>
      </c>
      <c r="F106" s="391" t="str">
        <f>IF(ISBLANK('att Data Entry'!F106),"-",'att Data Entry'!F106)</f>
        <v>-</v>
      </c>
      <c r="G106" s="345"/>
      <c r="H106" s="391" t="str">
        <f>IF(ISBLANK('att Data Entry'!H106),"-",'att Data Entry'!H106)</f>
        <v>-</v>
      </c>
      <c r="I106" s="391" t="str">
        <f>IF(ISBLANK('att Data Entry'!I106),"-",'att Data Entry'!I106)</f>
        <v>-</v>
      </c>
      <c r="J106" s="345"/>
      <c r="K106" s="391" t="str">
        <f>IF(ISBLANK('att Data Entry'!K106),"-",'att Data Entry'!K106)</f>
        <v>-</v>
      </c>
      <c r="L106" s="391" t="str">
        <f>IF(ISBLANK('att Data Entry'!L106),"-",'att Data Entry'!L106)</f>
        <v>-</v>
      </c>
      <c r="M106" s="346" t="str">
        <f>'att Data Entry'!M106</f>
        <v/>
      </c>
      <c r="N106" s="346" t="str">
        <f>'att Data Entry'!N106</f>
        <v/>
      </c>
    </row>
    <row r="107" spans="3:14" ht="15.6" x14ac:dyDescent="0.3">
      <c r="C107" s="389">
        <v>94</v>
      </c>
      <c r="D107" s="393" t="str">
        <f>IF(ISBLANK('att Data Entry'!D107),"-",'att Data Entry'!D107)</f>
        <v>-</v>
      </c>
      <c r="E107" s="391" t="str">
        <f>IF(ISBLANK('att Data Entry'!E107),"-",'att Data Entry'!E107)</f>
        <v>-</v>
      </c>
      <c r="F107" s="391" t="str">
        <f>IF(ISBLANK('att Data Entry'!F107),"-",'att Data Entry'!F107)</f>
        <v>-</v>
      </c>
      <c r="G107" s="345"/>
      <c r="H107" s="391" t="str">
        <f>IF(ISBLANK('att Data Entry'!H107),"-",'att Data Entry'!H107)</f>
        <v>-</v>
      </c>
      <c r="I107" s="391" t="str">
        <f>IF(ISBLANK('att Data Entry'!I107),"-",'att Data Entry'!I107)</f>
        <v>-</v>
      </c>
      <c r="J107" s="345"/>
      <c r="K107" s="391" t="str">
        <f>IF(ISBLANK('att Data Entry'!K107),"-",'att Data Entry'!K107)</f>
        <v>-</v>
      </c>
      <c r="L107" s="391" t="str">
        <f>IF(ISBLANK('att Data Entry'!L107),"-",'att Data Entry'!L107)</f>
        <v>-</v>
      </c>
      <c r="M107" s="346" t="str">
        <f>'att Data Entry'!M107</f>
        <v/>
      </c>
      <c r="N107" s="346" t="str">
        <f>'att Data Entry'!N107</f>
        <v/>
      </c>
    </row>
    <row r="108" spans="3:14" ht="15.6" x14ac:dyDescent="0.3">
      <c r="C108" s="389">
        <v>95</v>
      </c>
      <c r="D108" s="393" t="str">
        <f>IF(ISBLANK('att Data Entry'!D108),"-",'att Data Entry'!D108)</f>
        <v>-</v>
      </c>
      <c r="E108" s="391" t="str">
        <f>IF(ISBLANK('att Data Entry'!E108),"-",'att Data Entry'!E108)</f>
        <v>-</v>
      </c>
      <c r="F108" s="391" t="str">
        <f>IF(ISBLANK('att Data Entry'!F108),"-",'att Data Entry'!F108)</f>
        <v>-</v>
      </c>
      <c r="G108" s="345"/>
      <c r="H108" s="391" t="str">
        <f>IF(ISBLANK('att Data Entry'!H108),"-",'att Data Entry'!H108)</f>
        <v>-</v>
      </c>
      <c r="I108" s="391" t="str">
        <f>IF(ISBLANK('att Data Entry'!I108),"-",'att Data Entry'!I108)</f>
        <v>-</v>
      </c>
      <c r="J108" s="345"/>
      <c r="K108" s="391" t="str">
        <f>IF(ISBLANK('att Data Entry'!K108),"-",'att Data Entry'!K108)</f>
        <v>-</v>
      </c>
      <c r="L108" s="391" t="str">
        <f>IF(ISBLANK('att Data Entry'!L108),"-",'att Data Entry'!L108)</f>
        <v>-</v>
      </c>
      <c r="M108" s="346" t="str">
        <f>'att Data Entry'!M108</f>
        <v/>
      </c>
      <c r="N108" s="346" t="str">
        <f>'att Data Entry'!N108</f>
        <v/>
      </c>
    </row>
    <row r="109" spans="3:14" ht="15.6" x14ac:dyDescent="0.3">
      <c r="C109" s="389">
        <v>96</v>
      </c>
      <c r="D109" s="393" t="str">
        <f>IF(ISBLANK('att Data Entry'!D109),"-",'att Data Entry'!D109)</f>
        <v>-</v>
      </c>
      <c r="E109" s="391" t="str">
        <f>IF(ISBLANK('att Data Entry'!E109),"-",'att Data Entry'!E109)</f>
        <v>-</v>
      </c>
      <c r="F109" s="391" t="str">
        <f>IF(ISBLANK('att Data Entry'!F109),"-",'att Data Entry'!F109)</f>
        <v>-</v>
      </c>
      <c r="G109" s="345"/>
      <c r="H109" s="391" t="str">
        <f>IF(ISBLANK('att Data Entry'!H109),"-",'att Data Entry'!H109)</f>
        <v>-</v>
      </c>
      <c r="I109" s="391" t="str">
        <f>IF(ISBLANK('att Data Entry'!I109),"-",'att Data Entry'!I109)</f>
        <v>-</v>
      </c>
      <c r="J109" s="345"/>
      <c r="K109" s="391" t="str">
        <f>IF(ISBLANK('att Data Entry'!K109),"-",'att Data Entry'!K109)</f>
        <v>-</v>
      </c>
      <c r="L109" s="391" t="str">
        <f>IF(ISBLANK('att Data Entry'!L109),"-",'att Data Entry'!L109)</f>
        <v>-</v>
      </c>
      <c r="M109" s="346" t="str">
        <f>'att Data Entry'!M109</f>
        <v/>
      </c>
      <c r="N109" s="346" t="str">
        <f>'att Data Entry'!N109</f>
        <v/>
      </c>
    </row>
    <row r="110" spans="3:14" ht="15.6" x14ac:dyDescent="0.3">
      <c r="C110" s="389">
        <v>97</v>
      </c>
      <c r="D110" s="393" t="str">
        <f>IF(ISBLANK('att Data Entry'!D110),"-",'att Data Entry'!D110)</f>
        <v>-</v>
      </c>
      <c r="E110" s="391" t="str">
        <f>IF(ISBLANK('att Data Entry'!E110),"-",'att Data Entry'!E110)</f>
        <v>-</v>
      </c>
      <c r="F110" s="391" t="str">
        <f>IF(ISBLANK('att Data Entry'!F110),"-",'att Data Entry'!F110)</f>
        <v>-</v>
      </c>
      <c r="G110" s="345"/>
      <c r="H110" s="391" t="str">
        <f>IF(ISBLANK('att Data Entry'!H110),"-",'att Data Entry'!H110)</f>
        <v>-</v>
      </c>
      <c r="I110" s="391" t="str">
        <f>IF(ISBLANK('att Data Entry'!I110),"-",'att Data Entry'!I110)</f>
        <v>-</v>
      </c>
      <c r="J110" s="345"/>
      <c r="K110" s="391" t="str">
        <f>IF(ISBLANK('att Data Entry'!K110),"-",'att Data Entry'!K110)</f>
        <v>-</v>
      </c>
      <c r="L110" s="391" t="str">
        <f>IF(ISBLANK('att Data Entry'!L110),"-",'att Data Entry'!L110)</f>
        <v>-</v>
      </c>
      <c r="M110" s="346" t="str">
        <f>'att Data Entry'!M110</f>
        <v/>
      </c>
      <c r="N110" s="346" t="str">
        <f>'att Data Entry'!N110</f>
        <v/>
      </c>
    </row>
    <row r="111" spans="3:14" ht="15.6" x14ac:dyDescent="0.3">
      <c r="C111" s="389">
        <v>98</v>
      </c>
      <c r="D111" s="393" t="str">
        <f>IF(ISBLANK('att Data Entry'!D111),"-",'att Data Entry'!D111)</f>
        <v>-</v>
      </c>
      <c r="E111" s="391" t="str">
        <f>IF(ISBLANK('att Data Entry'!E111),"-",'att Data Entry'!E111)</f>
        <v>-</v>
      </c>
      <c r="F111" s="391" t="str">
        <f>IF(ISBLANK('att Data Entry'!F111),"-",'att Data Entry'!F111)</f>
        <v>-</v>
      </c>
      <c r="G111" s="345"/>
      <c r="H111" s="391" t="str">
        <f>IF(ISBLANK('att Data Entry'!H111),"-",'att Data Entry'!H111)</f>
        <v>-</v>
      </c>
      <c r="I111" s="391" t="str">
        <f>IF(ISBLANK('att Data Entry'!I111),"-",'att Data Entry'!I111)</f>
        <v>-</v>
      </c>
      <c r="J111" s="345"/>
      <c r="K111" s="391" t="str">
        <f>IF(ISBLANK('att Data Entry'!K111),"-",'att Data Entry'!K111)</f>
        <v>-</v>
      </c>
      <c r="L111" s="391" t="str">
        <f>IF(ISBLANK('att Data Entry'!L111),"-",'att Data Entry'!L111)</f>
        <v>-</v>
      </c>
      <c r="M111" s="346" t="str">
        <f>'att Data Entry'!M111</f>
        <v/>
      </c>
      <c r="N111" s="346" t="str">
        <f>'att Data Entry'!N111</f>
        <v/>
      </c>
    </row>
    <row r="112" spans="3:14" ht="15.6" x14ac:dyDescent="0.3">
      <c r="C112" s="389">
        <v>99</v>
      </c>
      <c r="D112" s="393" t="str">
        <f>IF(ISBLANK('att Data Entry'!D112),"-",'att Data Entry'!D112)</f>
        <v>-</v>
      </c>
      <c r="E112" s="391" t="str">
        <f>IF(ISBLANK('att Data Entry'!E112),"-",'att Data Entry'!E112)</f>
        <v>-</v>
      </c>
      <c r="F112" s="391" t="str">
        <f>IF(ISBLANK('att Data Entry'!F112),"-",'att Data Entry'!F112)</f>
        <v>-</v>
      </c>
      <c r="G112" s="345"/>
      <c r="H112" s="391" t="str">
        <f>IF(ISBLANK('att Data Entry'!H112),"-",'att Data Entry'!H112)</f>
        <v>-</v>
      </c>
      <c r="I112" s="391" t="str">
        <f>IF(ISBLANK('att Data Entry'!I112),"-",'att Data Entry'!I112)</f>
        <v>-</v>
      </c>
      <c r="J112" s="345"/>
      <c r="K112" s="391" t="str">
        <f>IF(ISBLANK('att Data Entry'!K112),"-",'att Data Entry'!K112)</f>
        <v>-</v>
      </c>
      <c r="L112" s="391" t="str">
        <f>IF(ISBLANK('att Data Entry'!L112),"-",'att Data Entry'!L112)</f>
        <v>-</v>
      </c>
      <c r="M112" s="346" t="str">
        <f>'att Data Entry'!M112</f>
        <v/>
      </c>
      <c r="N112" s="346" t="str">
        <f>'att Data Entry'!N112</f>
        <v/>
      </c>
    </row>
    <row r="113" spans="3:14" ht="16.2" thickBot="1" x14ac:dyDescent="0.35">
      <c r="C113" s="389">
        <v>100</v>
      </c>
      <c r="D113" s="394" t="str">
        <f>IF(ISBLANK('att Data Entry'!D113),"-",'att Data Entry'!D113)</f>
        <v>-</v>
      </c>
      <c r="E113" s="391" t="str">
        <f>IF(ISBLANK('att Data Entry'!E113),"-",'att Data Entry'!E113)</f>
        <v>-</v>
      </c>
      <c r="F113" s="391" t="str">
        <f>IF(ISBLANK('att Data Entry'!F113),"-",'att Data Entry'!F113)</f>
        <v>-</v>
      </c>
      <c r="G113" s="357"/>
      <c r="H113" s="391" t="str">
        <f>IF(ISBLANK('att Data Entry'!H113),"-",'att Data Entry'!H113)</f>
        <v>-</v>
      </c>
      <c r="I113" s="391" t="str">
        <f>IF(ISBLANK('att Data Entry'!I113),"-",'att Data Entry'!I113)</f>
        <v>-</v>
      </c>
      <c r="J113" s="357"/>
      <c r="K113" s="391" t="str">
        <f>IF(ISBLANK('att Data Entry'!K113),"-",'att Data Entry'!K113)</f>
        <v>-</v>
      </c>
      <c r="L113" s="391" t="str">
        <f>IF(ISBLANK('att Data Entry'!L113),"-",'att Data Entry'!L113)</f>
        <v>-</v>
      </c>
      <c r="M113" s="346" t="str">
        <f>'att Data Entry'!M113</f>
        <v/>
      </c>
      <c r="N113" s="358" t="str">
        <f>'att Data Entry'!N113</f>
        <v/>
      </c>
    </row>
    <row r="114" spans="3:14" ht="18" thickBot="1" x14ac:dyDescent="0.35">
      <c r="C114" s="360"/>
      <c r="D114" s="395" t="s">
        <v>305</v>
      </c>
      <c r="E114" s="396"/>
      <c r="F114" s="397">
        <f>'att Data Entry'!F114</f>
        <v>1</v>
      </c>
      <c r="G114" s="364"/>
      <c r="H114" s="398"/>
      <c r="I114" s="397">
        <f>'att Data Entry'!I114</f>
        <v>1</v>
      </c>
      <c r="J114" s="364"/>
      <c r="K114" s="398"/>
      <c r="L114" s="397">
        <f>'att Data Entry'!L114</f>
        <v>1</v>
      </c>
      <c r="M114" s="366"/>
      <c r="N114" s="18"/>
    </row>
    <row r="115" spans="3:14" ht="18" thickBot="1" x14ac:dyDescent="0.35">
      <c r="C115" s="367"/>
      <c r="D115" s="368" t="s">
        <v>306</v>
      </c>
      <c r="E115" s="369"/>
      <c r="F115" s="370">
        <f>'att Data Entry'!F115</f>
        <v>0.7</v>
      </c>
      <c r="G115" s="371"/>
      <c r="H115" s="371"/>
      <c r="I115" s="372">
        <f>'att Data Entry'!I115</f>
        <v>0.7</v>
      </c>
      <c r="J115" s="371"/>
      <c r="K115" s="371"/>
      <c r="L115" s="372">
        <f>'att Data Entry'!L115</f>
        <v>0.7</v>
      </c>
      <c r="M115" s="373"/>
      <c r="N115" s="18"/>
    </row>
    <row r="116" spans="3:14" ht="15.6" thickBot="1" x14ac:dyDescent="0.3">
      <c r="C116" s="143"/>
      <c r="D116" s="159"/>
      <c r="N116" s="18"/>
    </row>
    <row r="117" spans="3:14" ht="18" thickBot="1" x14ac:dyDescent="0.35">
      <c r="C117" s="143"/>
      <c r="D117" s="159"/>
      <c r="F117" s="374"/>
      <c r="G117" s="374"/>
      <c r="H117" s="374"/>
      <c r="I117" s="374"/>
      <c r="J117" s="374"/>
      <c r="K117" s="374"/>
      <c r="L117" s="375" t="s">
        <v>307</v>
      </c>
      <c r="M117" s="376">
        <f>'att Data Entry'!M117</f>
        <v>1</v>
      </c>
      <c r="N117" s="18"/>
    </row>
    <row r="118" spans="3:14" ht="18" thickBot="1" x14ac:dyDescent="0.35">
      <c r="C118" s="143"/>
      <c r="D118" s="159"/>
      <c r="F118" s="374"/>
      <c r="G118" s="374"/>
      <c r="H118" s="374"/>
      <c r="I118" s="374"/>
      <c r="J118" s="371"/>
      <c r="K118" s="374"/>
      <c r="L118" s="374"/>
      <c r="M118" s="377" t="s">
        <v>308</v>
      </c>
      <c r="N118" s="399">
        <f>'att Data Entry'!N118</f>
        <v>0.7</v>
      </c>
    </row>
    <row r="119" spans="3:14" ht="17.399999999999999" x14ac:dyDescent="0.3">
      <c r="I119" s="378"/>
      <c r="J119" s="373"/>
      <c r="K119" s="373"/>
      <c r="L119" s="373"/>
      <c r="M119" s="373"/>
      <c r="N119" s="13"/>
    </row>
    <row r="121" spans="3:14" ht="17.399999999999999" x14ac:dyDescent="0.3">
      <c r="C121" s="318"/>
      <c r="D121" s="159"/>
    </row>
    <row r="122" spans="3:14" ht="15" x14ac:dyDescent="0.25">
      <c r="C122" s="379"/>
      <c r="D122" s="316"/>
    </row>
    <row r="123" spans="3:14" ht="15" x14ac:dyDescent="0.25">
      <c r="C123" s="380"/>
      <c r="D123" s="316"/>
    </row>
    <row r="124" spans="3:14" ht="15" x14ac:dyDescent="0.25">
      <c r="C124" s="379"/>
      <c r="D124" s="316"/>
    </row>
    <row r="125" spans="3:14" ht="15" x14ac:dyDescent="0.25">
      <c r="C125" s="143"/>
      <c r="D125" s="316"/>
    </row>
    <row r="126" spans="3:14" ht="15" x14ac:dyDescent="0.25">
      <c r="C126" s="380"/>
      <c r="D126" s="316"/>
    </row>
    <row r="127" spans="3:14" ht="15" x14ac:dyDescent="0.25">
      <c r="C127" s="143"/>
      <c r="D127" s="316"/>
    </row>
    <row r="128" spans="3:14" ht="15" x14ac:dyDescent="0.25">
      <c r="C128" s="380"/>
      <c r="D128" s="316"/>
    </row>
  </sheetData>
  <hyperlinks>
    <hyperlink ref="P1" location="Menu!A1" display="Return to menu" xr:uid="{00000000-0004-0000-0A00-000000000000}"/>
  </hyperlinks>
  <printOptions horizontalCentered="1" verticalCentered="1" gridLinesSet="0"/>
  <pageMargins left="0.25" right="0.25" top="0.5" bottom="0.47" header="0.5" footer="0.5"/>
  <pageSetup scale="69" orientation="portrait" horizontalDpi="4294967292" r:id="rId1"/>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J50"/>
  <sheetViews>
    <sheetView showGridLines="0" topLeftCell="A4" workbookViewId="0">
      <selection activeCell="J1" sqref="J1"/>
    </sheetView>
  </sheetViews>
  <sheetFormatPr defaultColWidth="8.88671875" defaultRowHeight="13.2" x14ac:dyDescent="0.25"/>
  <cols>
    <col min="1" max="1" width="16.109375" style="13" customWidth="1"/>
    <col min="2" max="7" width="11.6640625" style="13" customWidth="1"/>
    <col min="8" max="9" width="8.88671875" style="13"/>
    <col min="10" max="10" width="20.6640625" style="13" bestFit="1" customWidth="1"/>
    <col min="11" max="256" width="8.88671875" style="13"/>
    <col min="257" max="257" width="16.109375" style="13" customWidth="1"/>
    <col min="258" max="263" width="11.6640625" style="13" customWidth="1"/>
    <col min="264" max="512" width="8.88671875" style="13"/>
    <col min="513" max="513" width="16.109375" style="13" customWidth="1"/>
    <col min="514" max="519" width="11.6640625" style="13" customWidth="1"/>
    <col min="520" max="768" width="8.88671875" style="13"/>
    <col min="769" max="769" width="16.109375" style="13" customWidth="1"/>
    <col min="770" max="775" width="11.6640625" style="13" customWidth="1"/>
    <col min="776" max="1024" width="8.88671875" style="13"/>
    <col min="1025" max="1025" width="16.109375" style="13" customWidth="1"/>
    <col min="1026" max="1031" width="11.6640625" style="13" customWidth="1"/>
    <col min="1032" max="1280" width="8.88671875" style="13"/>
    <col min="1281" max="1281" width="16.109375" style="13" customWidth="1"/>
    <col min="1282" max="1287" width="11.6640625" style="13" customWidth="1"/>
    <col min="1288" max="1536" width="8.88671875" style="13"/>
    <col min="1537" max="1537" width="16.109375" style="13" customWidth="1"/>
    <col min="1538" max="1543" width="11.6640625" style="13" customWidth="1"/>
    <col min="1544" max="1792" width="8.88671875" style="13"/>
    <col min="1793" max="1793" width="16.109375" style="13" customWidth="1"/>
    <col min="1794" max="1799" width="11.6640625" style="13" customWidth="1"/>
    <col min="1800" max="2048" width="8.88671875" style="13"/>
    <col min="2049" max="2049" width="16.109375" style="13" customWidth="1"/>
    <col min="2050" max="2055" width="11.6640625" style="13" customWidth="1"/>
    <col min="2056" max="2304" width="8.88671875" style="13"/>
    <col min="2305" max="2305" width="16.109375" style="13" customWidth="1"/>
    <col min="2306" max="2311" width="11.6640625" style="13" customWidth="1"/>
    <col min="2312" max="2560" width="8.88671875" style="13"/>
    <col min="2561" max="2561" width="16.109375" style="13" customWidth="1"/>
    <col min="2562" max="2567" width="11.6640625" style="13" customWidth="1"/>
    <col min="2568" max="2816" width="8.88671875" style="13"/>
    <col min="2817" max="2817" width="16.109375" style="13" customWidth="1"/>
    <col min="2818" max="2823" width="11.6640625" style="13" customWidth="1"/>
    <col min="2824" max="3072" width="8.88671875" style="13"/>
    <col min="3073" max="3073" width="16.109375" style="13" customWidth="1"/>
    <col min="3074" max="3079" width="11.6640625" style="13" customWidth="1"/>
    <col min="3080" max="3328" width="8.88671875" style="13"/>
    <col min="3329" max="3329" width="16.109375" style="13" customWidth="1"/>
    <col min="3330" max="3335" width="11.6640625" style="13" customWidth="1"/>
    <col min="3336" max="3584" width="8.88671875" style="13"/>
    <col min="3585" max="3585" width="16.109375" style="13" customWidth="1"/>
    <col min="3586" max="3591" width="11.6640625" style="13" customWidth="1"/>
    <col min="3592" max="3840" width="8.88671875" style="13"/>
    <col min="3841" max="3841" width="16.109375" style="13" customWidth="1"/>
    <col min="3842" max="3847" width="11.6640625" style="13" customWidth="1"/>
    <col min="3848" max="4096" width="8.88671875" style="13"/>
    <col min="4097" max="4097" width="16.109375" style="13" customWidth="1"/>
    <col min="4098" max="4103" width="11.6640625" style="13" customWidth="1"/>
    <col min="4104" max="4352" width="8.88671875" style="13"/>
    <col min="4353" max="4353" width="16.109375" style="13" customWidth="1"/>
    <col min="4354" max="4359" width="11.6640625" style="13" customWidth="1"/>
    <col min="4360" max="4608" width="8.88671875" style="13"/>
    <col min="4609" max="4609" width="16.109375" style="13" customWidth="1"/>
    <col min="4610" max="4615" width="11.6640625" style="13" customWidth="1"/>
    <col min="4616" max="4864" width="8.88671875" style="13"/>
    <col min="4865" max="4865" width="16.109375" style="13" customWidth="1"/>
    <col min="4866" max="4871" width="11.6640625" style="13" customWidth="1"/>
    <col min="4872" max="5120" width="8.88671875" style="13"/>
    <col min="5121" max="5121" width="16.109375" style="13" customWidth="1"/>
    <col min="5122" max="5127" width="11.6640625" style="13" customWidth="1"/>
    <col min="5128" max="5376" width="8.88671875" style="13"/>
    <col min="5377" max="5377" width="16.109375" style="13" customWidth="1"/>
    <col min="5378" max="5383" width="11.6640625" style="13" customWidth="1"/>
    <col min="5384" max="5632" width="8.88671875" style="13"/>
    <col min="5633" max="5633" width="16.109375" style="13" customWidth="1"/>
    <col min="5634" max="5639" width="11.6640625" style="13" customWidth="1"/>
    <col min="5640" max="5888" width="8.88671875" style="13"/>
    <col min="5889" max="5889" width="16.109375" style="13" customWidth="1"/>
    <col min="5890" max="5895" width="11.6640625" style="13" customWidth="1"/>
    <col min="5896" max="6144" width="8.88671875" style="13"/>
    <col min="6145" max="6145" width="16.109375" style="13" customWidth="1"/>
    <col min="6146" max="6151" width="11.6640625" style="13" customWidth="1"/>
    <col min="6152" max="6400" width="8.88671875" style="13"/>
    <col min="6401" max="6401" width="16.109375" style="13" customWidth="1"/>
    <col min="6402" max="6407" width="11.6640625" style="13" customWidth="1"/>
    <col min="6408" max="6656" width="8.88671875" style="13"/>
    <col min="6657" max="6657" width="16.109375" style="13" customWidth="1"/>
    <col min="6658" max="6663" width="11.6640625" style="13" customWidth="1"/>
    <col min="6664" max="6912" width="8.88671875" style="13"/>
    <col min="6913" max="6913" width="16.109375" style="13" customWidth="1"/>
    <col min="6914" max="6919" width="11.6640625" style="13" customWidth="1"/>
    <col min="6920" max="7168" width="8.88671875" style="13"/>
    <col min="7169" max="7169" width="16.109375" style="13" customWidth="1"/>
    <col min="7170" max="7175" width="11.6640625" style="13" customWidth="1"/>
    <col min="7176" max="7424" width="8.88671875" style="13"/>
    <col min="7425" max="7425" width="16.109375" style="13" customWidth="1"/>
    <col min="7426" max="7431" width="11.6640625" style="13" customWidth="1"/>
    <col min="7432" max="7680" width="8.88671875" style="13"/>
    <col min="7681" max="7681" width="16.109375" style="13" customWidth="1"/>
    <col min="7682" max="7687" width="11.6640625" style="13" customWidth="1"/>
    <col min="7688" max="7936" width="8.88671875" style="13"/>
    <col min="7937" max="7937" width="16.109375" style="13" customWidth="1"/>
    <col min="7938" max="7943" width="11.6640625" style="13" customWidth="1"/>
    <col min="7944" max="8192" width="8.88671875" style="13"/>
    <col min="8193" max="8193" width="16.109375" style="13" customWidth="1"/>
    <col min="8194" max="8199" width="11.6640625" style="13" customWidth="1"/>
    <col min="8200" max="8448" width="8.88671875" style="13"/>
    <col min="8449" max="8449" width="16.109375" style="13" customWidth="1"/>
    <col min="8450" max="8455" width="11.6640625" style="13" customWidth="1"/>
    <col min="8456" max="8704" width="8.88671875" style="13"/>
    <col min="8705" max="8705" width="16.109375" style="13" customWidth="1"/>
    <col min="8706" max="8711" width="11.6640625" style="13" customWidth="1"/>
    <col min="8712" max="8960" width="8.88671875" style="13"/>
    <col min="8961" max="8961" width="16.109375" style="13" customWidth="1"/>
    <col min="8962" max="8967" width="11.6640625" style="13" customWidth="1"/>
    <col min="8968" max="9216" width="8.88671875" style="13"/>
    <col min="9217" max="9217" width="16.109375" style="13" customWidth="1"/>
    <col min="9218" max="9223" width="11.6640625" style="13" customWidth="1"/>
    <col min="9224" max="9472" width="8.88671875" style="13"/>
    <col min="9473" max="9473" width="16.109375" style="13" customWidth="1"/>
    <col min="9474" max="9479" width="11.6640625" style="13" customWidth="1"/>
    <col min="9480" max="9728" width="8.88671875" style="13"/>
    <col min="9729" max="9729" width="16.109375" style="13" customWidth="1"/>
    <col min="9730" max="9735" width="11.6640625" style="13" customWidth="1"/>
    <col min="9736" max="9984" width="8.88671875" style="13"/>
    <col min="9985" max="9985" width="16.109375" style="13" customWidth="1"/>
    <col min="9986" max="9991" width="11.6640625" style="13" customWidth="1"/>
    <col min="9992" max="10240" width="8.88671875" style="13"/>
    <col min="10241" max="10241" width="16.109375" style="13" customWidth="1"/>
    <col min="10242" max="10247" width="11.6640625" style="13" customWidth="1"/>
    <col min="10248" max="10496" width="8.88671875" style="13"/>
    <col min="10497" max="10497" width="16.109375" style="13" customWidth="1"/>
    <col min="10498" max="10503" width="11.6640625" style="13" customWidth="1"/>
    <col min="10504" max="10752" width="8.88671875" style="13"/>
    <col min="10753" max="10753" width="16.109375" style="13" customWidth="1"/>
    <col min="10754" max="10759" width="11.6640625" style="13" customWidth="1"/>
    <col min="10760" max="11008" width="8.88671875" style="13"/>
    <col min="11009" max="11009" width="16.109375" style="13" customWidth="1"/>
    <col min="11010" max="11015" width="11.6640625" style="13" customWidth="1"/>
    <col min="11016" max="11264" width="8.88671875" style="13"/>
    <col min="11265" max="11265" width="16.109375" style="13" customWidth="1"/>
    <col min="11266" max="11271" width="11.6640625" style="13" customWidth="1"/>
    <col min="11272" max="11520" width="8.88671875" style="13"/>
    <col min="11521" max="11521" width="16.109375" style="13" customWidth="1"/>
    <col min="11522" max="11527" width="11.6640625" style="13" customWidth="1"/>
    <col min="11528" max="11776" width="8.88671875" style="13"/>
    <col min="11777" max="11777" width="16.109375" style="13" customWidth="1"/>
    <col min="11778" max="11783" width="11.6640625" style="13" customWidth="1"/>
    <col min="11784" max="12032" width="8.88671875" style="13"/>
    <col min="12033" max="12033" width="16.109375" style="13" customWidth="1"/>
    <col min="12034" max="12039" width="11.6640625" style="13" customWidth="1"/>
    <col min="12040" max="12288" width="8.88671875" style="13"/>
    <col min="12289" max="12289" width="16.109375" style="13" customWidth="1"/>
    <col min="12290" max="12295" width="11.6640625" style="13" customWidth="1"/>
    <col min="12296" max="12544" width="8.88671875" style="13"/>
    <col min="12545" max="12545" width="16.109375" style="13" customWidth="1"/>
    <col min="12546" max="12551" width="11.6640625" style="13" customWidth="1"/>
    <col min="12552" max="12800" width="8.88671875" style="13"/>
    <col min="12801" max="12801" width="16.109375" style="13" customWidth="1"/>
    <col min="12802" max="12807" width="11.6640625" style="13" customWidth="1"/>
    <col min="12808" max="13056" width="8.88671875" style="13"/>
    <col min="13057" max="13057" width="16.109375" style="13" customWidth="1"/>
    <col min="13058" max="13063" width="11.6640625" style="13" customWidth="1"/>
    <col min="13064" max="13312" width="8.88671875" style="13"/>
    <col min="13313" max="13313" width="16.109375" style="13" customWidth="1"/>
    <col min="13314" max="13319" width="11.6640625" style="13" customWidth="1"/>
    <col min="13320" max="13568" width="8.88671875" style="13"/>
    <col min="13569" max="13569" width="16.109375" style="13" customWidth="1"/>
    <col min="13570" max="13575" width="11.6640625" style="13" customWidth="1"/>
    <col min="13576" max="13824" width="8.88671875" style="13"/>
    <col min="13825" max="13825" width="16.109375" style="13" customWidth="1"/>
    <col min="13826" max="13831" width="11.6640625" style="13" customWidth="1"/>
    <col min="13832" max="14080" width="8.88671875" style="13"/>
    <col min="14081" max="14081" width="16.109375" style="13" customWidth="1"/>
    <col min="14082" max="14087" width="11.6640625" style="13" customWidth="1"/>
    <col min="14088" max="14336" width="8.88671875" style="13"/>
    <col min="14337" max="14337" width="16.109375" style="13" customWidth="1"/>
    <col min="14338" max="14343" width="11.6640625" style="13" customWidth="1"/>
    <col min="14344" max="14592" width="8.88671875" style="13"/>
    <col min="14593" max="14593" width="16.109375" style="13" customWidth="1"/>
    <col min="14594" max="14599" width="11.6640625" style="13" customWidth="1"/>
    <col min="14600" max="14848" width="8.88671875" style="13"/>
    <col min="14849" max="14849" width="16.109375" style="13" customWidth="1"/>
    <col min="14850" max="14855" width="11.6640625" style="13" customWidth="1"/>
    <col min="14856" max="15104" width="8.88671875" style="13"/>
    <col min="15105" max="15105" width="16.109375" style="13" customWidth="1"/>
    <col min="15106" max="15111" width="11.6640625" style="13" customWidth="1"/>
    <col min="15112" max="15360" width="8.88671875" style="13"/>
    <col min="15361" max="15361" width="16.109375" style="13" customWidth="1"/>
    <col min="15362" max="15367" width="11.6640625" style="13" customWidth="1"/>
    <col min="15368" max="15616" width="8.88671875" style="13"/>
    <col min="15617" max="15617" width="16.109375" style="13" customWidth="1"/>
    <col min="15618" max="15623" width="11.6640625" style="13" customWidth="1"/>
    <col min="15624" max="15872" width="8.88671875" style="13"/>
    <col min="15873" max="15873" width="16.109375" style="13" customWidth="1"/>
    <col min="15874" max="15879" width="11.6640625" style="13" customWidth="1"/>
    <col min="15880" max="16128" width="8.88671875" style="13"/>
    <col min="16129" max="16129" width="16.109375" style="13" customWidth="1"/>
    <col min="16130" max="16135" width="11.6640625" style="13" customWidth="1"/>
    <col min="16136" max="16384" width="8.88671875" style="13"/>
  </cols>
  <sheetData>
    <row r="1" spans="1:10" ht="21" x14ac:dyDescent="0.4">
      <c r="A1" s="400" t="s">
        <v>312</v>
      </c>
      <c r="B1" s="400"/>
      <c r="C1" s="400"/>
      <c r="D1" s="400"/>
      <c r="E1" s="400"/>
      <c r="F1" s="400"/>
      <c r="G1" s="400"/>
      <c r="J1" s="7" t="s">
        <v>19</v>
      </c>
    </row>
    <row r="2" spans="1:10" ht="12" customHeight="1" x14ac:dyDescent="0.3">
      <c r="B2" s="143"/>
      <c r="D2" s="400"/>
      <c r="E2" s="400"/>
      <c r="F2" s="400"/>
      <c r="G2" s="400"/>
    </row>
    <row r="3" spans="1:10" ht="12" customHeight="1" x14ac:dyDescent="0.3">
      <c r="A3" s="318"/>
      <c r="C3" s="401" t="s">
        <v>287</v>
      </c>
      <c r="D3" s="276">
        <f>'att Data Entry'!$I6</f>
        <v>0</v>
      </c>
      <c r="E3" s="400"/>
      <c r="F3" s="400"/>
      <c r="G3" s="400"/>
    </row>
    <row r="4" spans="1:10" ht="12" customHeight="1" x14ac:dyDescent="0.3">
      <c r="A4" s="318"/>
      <c r="C4" s="401" t="s">
        <v>289</v>
      </c>
      <c r="D4" s="402">
        <f>'att Data Entry'!$I7</f>
        <v>0</v>
      </c>
      <c r="E4" s="400"/>
      <c r="F4" s="400"/>
      <c r="G4" s="400"/>
    </row>
    <row r="5" spans="1:10" ht="12" customHeight="1" x14ac:dyDescent="0.3">
      <c r="A5" s="318"/>
      <c r="C5" s="401" t="s">
        <v>291</v>
      </c>
      <c r="D5" s="402">
        <f>'att Data Entry'!$I8</f>
        <v>0</v>
      </c>
      <c r="E5" s="400"/>
      <c r="F5" s="400"/>
      <c r="G5" s="400"/>
    </row>
    <row r="6" spans="1:10" ht="12" customHeight="1" x14ac:dyDescent="0.3">
      <c r="A6" s="318"/>
      <c r="C6" s="401" t="s">
        <v>293</v>
      </c>
      <c r="D6" s="402">
        <f>'att Data Entry'!$I9</f>
        <v>0</v>
      </c>
      <c r="E6" s="400"/>
      <c r="F6" s="400"/>
      <c r="G6" s="400"/>
      <c r="I6" s="454" t="s">
        <v>341</v>
      </c>
    </row>
    <row r="7" spans="1:10" ht="12" customHeight="1" x14ac:dyDescent="0.3">
      <c r="A7" s="400"/>
      <c r="B7" s="400"/>
      <c r="C7" s="403"/>
      <c r="D7" s="400"/>
      <c r="E7" s="400"/>
      <c r="F7" s="400"/>
      <c r="G7" s="400"/>
    </row>
    <row r="8" spans="1:10" x14ac:dyDescent="0.25">
      <c r="B8" s="404" t="s">
        <v>313</v>
      </c>
      <c r="C8" s="405"/>
      <c r="D8" s="406"/>
      <c r="E8" s="404" t="s">
        <v>314</v>
      </c>
      <c r="F8" s="405"/>
      <c r="G8" s="406"/>
    </row>
    <row r="9" spans="1:10" x14ac:dyDescent="0.25">
      <c r="A9" s="13" t="s">
        <v>315</v>
      </c>
      <c r="B9" s="407" t="str">
        <f>'att Data Entry'!$E$12</f>
        <v>Individual 1</v>
      </c>
      <c r="C9" s="408" t="str">
        <f>'att Data Entry'!$H$12</f>
        <v>Individual 2</v>
      </c>
      <c r="D9" s="409" t="str">
        <f>'att Data Entry'!$K$12</f>
        <v>Individual 3</v>
      </c>
      <c r="E9" s="407" t="str">
        <f>'att Data Entry'!$E$12</f>
        <v>Individual 1</v>
      </c>
      <c r="F9" s="408" t="str">
        <f>'att Data Entry'!$H$12</f>
        <v>Individual 2</v>
      </c>
      <c r="G9" s="409" t="str">
        <f>'att Data Entry'!$K$12</f>
        <v>Individual 3</v>
      </c>
    </row>
    <row r="10" spans="1:10" x14ac:dyDescent="0.25">
      <c r="A10" s="13" t="s">
        <v>316</v>
      </c>
      <c r="B10" s="410">
        <f>COUNTIF('att Calculations'!G11:G110,"&gt;=0")</f>
        <v>10</v>
      </c>
      <c r="C10" s="410">
        <f>COUNTIF('att Calculations'!K11:K110,"&gt;=0")</f>
        <v>10</v>
      </c>
      <c r="D10" s="410">
        <f>COUNTIF('att Calculations'!O11:O110,"&gt;=0")</f>
        <v>10</v>
      </c>
      <c r="E10" s="410">
        <f>COUNTIF('att Calculations'!G11:G110,"&gt;=0")</f>
        <v>10</v>
      </c>
      <c r="F10" s="410">
        <f>COUNTIF('att Calculations'!K11:K110,"&gt;=0")</f>
        <v>10</v>
      </c>
      <c r="G10" s="410">
        <f>COUNTIF('att Calculations'!O11:O110,"&gt;=0")</f>
        <v>10</v>
      </c>
    </row>
    <row r="11" spans="1:10" x14ac:dyDescent="0.25">
      <c r="A11" s="13" t="s">
        <v>317</v>
      </c>
      <c r="B11" s="410">
        <f>(COUNTIF('att Calculations'!G11:G110,"=1"))</f>
        <v>10</v>
      </c>
      <c r="C11" s="410">
        <f>(COUNTIF('att Calculations'!K11:K110,"=1"))</f>
        <v>10</v>
      </c>
      <c r="D11" s="410">
        <f>(COUNTIF('att Calculations'!O11:O110,"=1"))</f>
        <v>10</v>
      </c>
      <c r="E11" s="410">
        <f>(COUNTIF('att Calculations'!H11:H110,"=1"))</f>
        <v>7</v>
      </c>
      <c r="F11" s="410">
        <f>(COUNTIF('att Calculations'!L11:L110,"=1"))</f>
        <v>7</v>
      </c>
      <c r="G11" s="410">
        <f>(COUNTIF('att Calculations'!P11:P110,"=1"))</f>
        <v>7</v>
      </c>
    </row>
    <row r="12" spans="1:10" ht="13.8" x14ac:dyDescent="0.25">
      <c r="A12" s="13" t="s">
        <v>318</v>
      </c>
      <c r="E12" s="411">
        <f>'att Calculations'!$AA$111</f>
        <v>0</v>
      </c>
      <c r="F12" s="411">
        <f>'att Calculations'!$AD$111</f>
        <v>0</v>
      </c>
      <c r="G12" s="411">
        <f>'att Calculations'!$AG$111</f>
        <v>0</v>
      </c>
    </row>
    <row r="13" spans="1:10" ht="13.8" x14ac:dyDescent="0.25">
      <c r="A13" s="13" t="s">
        <v>319</v>
      </c>
      <c r="E13" s="411">
        <f>'att Calculations'!$AB$111</f>
        <v>3</v>
      </c>
      <c r="F13" s="411">
        <f>'att Calculations'!$AE$111</f>
        <v>3</v>
      </c>
      <c r="G13" s="411">
        <f>'att Calculations'!$AH$111</f>
        <v>3</v>
      </c>
    </row>
    <row r="14" spans="1:10" ht="13.8" x14ac:dyDescent="0.25">
      <c r="A14" s="13" t="s">
        <v>320</v>
      </c>
      <c r="E14" s="411">
        <f>'att Calculations'!$AC$111</f>
        <v>0</v>
      </c>
      <c r="F14" s="411">
        <f>'att Calculations'!$AF$111</f>
        <v>0</v>
      </c>
      <c r="G14" s="411">
        <f>'att Calculations'!$AI$111</f>
        <v>0</v>
      </c>
    </row>
    <row r="15" spans="1:10" ht="13.8" x14ac:dyDescent="0.25">
      <c r="A15" s="13" t="s">
        <v>280</v>
      </c>
      <c r="B15" s="412">
        <f t="shared" ref="B15:G15" si="0">IF(B11=0,1-10^(LOG10((1-0.95)/2)/B10),IF(B10=B11,1,BETAINV((1+0.95)/2,B11+1,B10-B11)))</f>
        <v>1</v>
      </c>
      <c r="C15" s="412">
        <f t="shared" si="0"/>
        <v>1</v>
      </c>
      <c r="D15" s="412">
        <f t="shared" si="0"/>
        <v>1</v>
      </c>
      <c r="E15" s="412">
        <f t="shared" si="0"/>
        <v>0.93326048882226564</v>
      </c>
      <c r="F15" s="412">
        <f t="shared" si="0"/>
        <v>0.93326048882226564</v>
      </c>
      <c r="G15" s="412">
        <f t="shared" si="0"/>
        <v>0.93326048882226564</v>
      </c>
    </row>
    <row r="16" spans="1:10" ht="13.8" x14ac:dyDescent="0.25">
      <c r="A16" s="143" t="s">
        <v>282</v>
      </c>
      <c r="B16" s="413">
        <f t="shared" ref="B16:G16" si="1">B11/B10</f>
        <v>1</v>
      </c>
      <c r="C16" s="413">
        <f t="shared" si="1"/>
        <v>1</v>
      </c>
      <c r="D16" s="413">
        <f t="shared" si="1"/>
        <v>1</v>
      </c>
      <c r="E16" s="413">
        <f t="shared" si="1"/>
        <v>0.7</v>
      </c>
      <c r="F16" s="413">
        <f t="shared" si="1"/>
        <v>0.7</v>
      </c>
      <c r="G16" s="413">
        <f t="shared" si="1"/>
        <v>0.7</v>
      </c>
    </row>
    <row r="17" spans="1:7" ht="13.8" x14ac:dyDescent="0.25">
      <c r="A17" s="13" t="s">
        <v>284</v>
      </c>
      <c r="B17" s="412">
        <f t="shared" ref="B17:G17" si="2">IF(B10=B11,10^(LOG10((1-0.95)/2)/B10),IF(B11=0,0,1-BETAINV((1+0.95)/2,B10+1-B11,B11)))</f>
        <v>0.69150289218123917</v>
      </c>
      <c r="C17" s="412">
        <f t="shared" si="2"/>
        <v>0.69150289218123917</v>
      </c>
      <c r="D17" s="412">
        <f t="shared" si="2"/>
        <v>0.69150289218123917</v>
      </c>
      <c r="E17" s="412">
        <f t="shared" si="2"/>
        <v>0.3475471499400028</v>
      </c>
      <c r="F17" s="412">
        <f t="shared" si="2"/>
        <v>0.3475471499400028</v>
      </c>
      <c r="G17" s="412">
        <f t="shared" si="2"/>
        <v>0.3475471499400028</v>
      </c>
    </row>
    <row r="18" spans="1:7" ht="13.8" x14ac:dyDescent="0.25">
      <c r="B18" s="414"/>
      <c r="C18" s="414"/>
      <c r="D18" s="414"/>
      <c r="E18" s="414"/>
      <c r="F18" s="414"/>
      <c r="G18" s="414"/>
    </row>
    <row r="20" spans="1:7" x14ac:dyDescent="0.25">
      <c r="B20" s="415" t="s">
        <v>321</v>
      </c>
      <c r="C20" s="416"/>
      <c r="D20" s="417"/>
      <c r="E20" s="415" t="s">
        <v>322</v>
      </c>
      <c r="F20" s="416"/>
      <c r="G20" s="417"/>
    </row>
    <row r="21" spans="1:7" x14ac:dyDescent="0.25">
      <c r="A21" s="13" t="s">
        <v>316</v>
      </c>
      <c r="C21" s="418">
        <f>(100-COUNTBLANK('att Data Entry'!M14:M113))</f>
        <v>10</v>
      </c>
      <c r="F21" s="418">
        <f>(100-COUNTBLANK('att Data Entry'!N14:N113))</f>
        <v>10</v>
      </c>
    </row>
    <row r="22" spans="1:7" x14ac:dyDescent="0.25">
      <c r="A22" s="13" t="s">
        <v>323</v>
      </c>
      <c r="C22" s="419">
        <f>COUNTIF('att Data Entry'!M14:M113,"Y")</f>
        <v>10</v>
      </c>
      <c r="F22" s="419">
        <f>COUNTIF('att Data Entry'!N14:N113,"Y")</f>
        <v>7</v>
      </c>
    </row>
    <row r="23" spans="1:7" ht="13.8" x14ac:dyDescent="0.25">
      <c r="A23" s="13" t="s">
        <v>280</v>
      </c>
      <c r="C23" s="412">
        <f>IF(C22=0,1-10^(LOG10((1-0.95)/2)/C21),IF(C21=C22,1,BETAINV((1+0.95)/2,C22+1,C21-C22)))</f>
        <v>1</v>
      </c>
      <c r="F23" s="412">
        <f>IF(F22=0,1-10^(LOG10((1-0.95)/2)/F21),IF(F21=F22,1,BETAINV((1+0.95)/2,F22+1,F21-F22)))</f>
        <v>0.93326048882226564</v>
      </c>
    </row>
    <row r="24" spans="1:7" ht="13.8" x14ac:dyDescent="0.25">
      <c r="A24" s="143" t="s">
        <v>282</v>
      </c>
      <c r="C24" s="413">
        <f>C22/C21</f>
        <v>1</v>
      </c>
      <c r="F24" s="413">
        <f>F22/F21</f>
        <v>0.7</v>
      </c>
    </row>
    <row r="25" spans="1:7" ht="13.8" x14ac:dyDescent="0.25">
      <c r="A25" s="13" t="s">
        <v>284</v>
      </c>
      <c r="C25" s="412">
        <f>IF(C21=C22,10^(LOG10((1-0.95)/2)/C21),IF(C22=0,0,1-BETAINV((1+0.95)/2,C21+1-C22,C22)))</f>
        <v>0.69150289218123917</v>
      </c>
      <c r="F25" s="412">
        <f>IF(F21=F22,10^(LOG10((1-0.95)/2)/F21),IF(F22=0,0,1-BETAINV((1+0.95)/2,F21+1-F22,F22)))</f>
        <v>0.3475471499400028</v>
      </c>
    </row>
    <row r="26" spans="1:7" ht="13.8" x14ac:dyDescent="0.25">
      <c r="C26" s="414"/>
      <c r="F26" s="414"/>
    </row>
    <row r="27" spans="1:7" x14ac:dyDescent="0.25">
      <c r="D27" s="13" t="s">
        <v>190</v>
      </c>
    </row>
    <row r="44" spans="1:7" ht="13.8" thickBot="1" x14ac:dyDescent="0.3"/>
    <row r="45" spans="1:7" x14ac:dyDescent="0.25">
      <c r="A45" s="420" t="s">
        <v>324</v>
      </c>
      <c r="B45" s="421"/>
      <c r="C45" s="421"/>
      <c r="D45" s="421"/>
      <c r="E45" s="421"/>
      <c r="F45" s="421"/>
      <c r="G45" s="422"/>
    </row>
    <row r="46" spans="1:7" x14ac:dyDescent="0.25">
      <c r="A46" s="423"/>
      <c r="B46" s="201"/>
      <c r="C46" s="201"/>
      <c r="D46" s="201"/>
      <c r="E46" s="201"/>
      <c r="F46" s="201"/>
      <c r="G46" s="424"/>
    </row>
    <row r="47" spans="1:7" x14ac:dyDescent="0.25">
      <c r="A47" s="423"/>
      <c r="B47" s="201"/>
      <c r="C47" s="201"/>
      <c r="D47" s="201"/>
      <c r="E47" s="201"/>
      <c r="F47" s="201"/>
      <c r="G47" s="424"/>
    </row>
    <row r="48" spans="1:7" x14ac:dyDescent="0.25">
      <c r="A48" s="423"/>
      <c r="B48" s="201"/>
      <c r="C48" s="201"/>
      <c r="D48" s="201"/>
      <c r="E48" s="201"/>
      <c r="F48" s="201"/>
      <c r="G48" s="424"/>
    </row>
    <row r="49" spans="1:7" x14ac:dyDescent="0.25">
      <c r="A49" s="423"/>
      <c r="B49" s="201"/>
      <c r="C49" s="201"/>
      <c r="D49" s="201"/>
      <c r="E49" s="201"/>
      <c r="F49" s="201"/>
      <c r="G49" s="424"/>
    </row>
    <row r="50" spans="1:7" ht="13.8" thickBot="1" x14ac:dyDescent="0.3">
      <c r="A50" s="425"/>
      <c r="B50" s="426"/>
      <c r="C50" s="426"/>
      <c r="D50" s="426"/>
      <c r="E50" s="426"/>
      <c r="F50" s="426"/>
      <c r="G50" s="427"/>
    </row>
  </sheetData>
  <hyperlinks>
    <hyperlink ref="J1" location="Menu!A1" display="Return to menu" xr:uid="{00000000-0004-0000-0B00-000000000000}"/>
  </hyperlink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16</vt:i4>
      </vt:variant>
    </vt:vector>
  </HeadingPairs>
  <TitlesOfParts>
    <vt:vector size="65" baseType="lpstr">
      <vt:lpstr>Menu</vt:lpstr>
      <vt:lpstr>5W-2H</vt:lpstr>
      <vt:lpstr>5 whys</vt:lpstr>
      <vt:lpstr>A3 Template</vt:lpstr>
      <vt:lpstr>Project Charter</vt:lpstr>
      <vt:lpstr>att Instructions</vt:lpstr>
      <vt:lpstr>att Data Entry</vt:lpstr>
      <vt:lpstr>att Report</vt:lpstr>
      <vt:lpstr>att Statistical Report</vt:lpstr>
      <vt:lpstr>att Calculations</vt:lpstr>
      <vt:lpstr>Benefit vs Effort</vt:lpstr>
      <vt:lpstr>Boxplot</vt:lpstr>
      <vt:lpstr>C chart Data and calculations</vt:lpstr>
      <vt:lpstr>c-chart</vt:lpstr>
      <vt:lpstr>Communication Plan</vt:lpstr>
      <vt:lpstr>Control plan</vt:lpstr>
      <vt:lpstr>Decision Matrix</vt:lpstr>
      <vt:lpstr>FMEA</vt:lpstr>
      <vt:lpstr>Force Field Analysis</vt:lpstr>
      <vt:lpstr>GRR Instructions</vt:lpstr>
      <vt:lpstr>GRR AIAG GR&amp;R</vt:lpstr>
      <vt:lpstr>GRR Graphical Summary</vt:lpstr>
      <vt:lpstr>GRR Numerical Summary</vt:lpstr>
      <vt:lpstr>Hist 10 bars</vt:lpstr>
      <vt:lpstr>Hoshin Kanri</vt:lpstr>
      <vt:lpstr>IMR Data and calculations</vt:lpstr>
      <vt:lpstr>IMR chart</vt:lpstr>
      <vt:lpstr>Ishikawa</vt:lpstr>
      <vt:lpstr>np Data and calculations</vt:lpstr>
      <vt:lpstr>np-chart</vt:lpstr>
      <vt:lpstr>p Data and calculations</vt:lpstr>
      <vt:lpstr>p-chart</vt:lpstr>
      <vt:lpstr>p-chart (approx. ctl. limits)</vt:lpstr>
      <vt:lpstr>Pareto</vt:lpstr>
      <vt:lpstr>Pie Chart</vt:lpstr>
      <vt:lpstr>Proc. Cap Table</vt:lpstr>
      <vt:lpstr>Process Map</vt:lpstr>
      <vt:lpstr>Pugh Matrix</vt:lpstr>
      <vt:lpstr>SIPOC</vt:lpstr>
      <vt:lpstr>To Do List</vt:lpstr>
      <vt:lpstr>SPC Selection Guide</vt:lpstr>
      <vt:lpstr>Xbar R chart data</vt:lpstr>
      <vt:lpstr>X-bar R chart</vt:lpstr>
      <vt:lpstr>u Data and calculations</vt:lpstr>
      <vt:lpstr>u-chart</vt:lpstr>
      <vt:lpstr>VSM</vt:lpstr>
      <vt:lpstr>VSM example</vt:lpstr>
      <vt:lpstr>SWOT</vt:lpstr>
      <vt:lpstr>GRR Calculations (2)</vt:lpstr>
      <vt:lpstr>'5W-2H'!Print_Area</vt:lpstr>
      <vt:lpstr>'A3 Template'!Print_Area</vt:lpstr>
      <vt:lpstr>'att Data Entry'!Print_Area</vt:lpstr>
      <vt:lpstr>'att Instructions'!Print_Area</vt:lpstr>
      <vt:lpstr>'att Report'!Print_Area</vt:lpstr>
      <vt:lpstr>'att Statistical Report'!Print_Area</vt:lpstr>
      <vt:lpstr>'Communication Plan'!Print_Area</vt:lpstr>
      <vt:lpstr>'GRR AIAG GR&amp;R'!Print_Area</vt:lpstr>
      <vt:lpstr>'GRR Calculations (2)'!Print_Area</vt:lpstr>
      <vt:lpstr>'GRR Graphical Summary'!Print_Area</vt:lpstr>
      <vt:lpstr>'GRR Instructions'!Print_Area</vt:lpstr>
      <vt:lpstr>'Hist 10 bars'!Print_Area</vt:lpstr>
      <vt:lpstr>Pareto!Print_Area</vt:lpstr>
      <vt:lpstr>SIPOC!Print_Area</vt:lpstr>
      <vt:lpstr>FMEA!Print_Titles</vt:lpstr>
      <vt:lpstr>'To Do List'!Print_Titles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2021-08-31T12:40:16Z</dcterms:modified>
</cp:coreProperties>
</file>