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filterPrivacy="1"/>
  <xr:revisionPtr revIDLastSave="0" documentId="13_ncr:1_{8C2B8B69-8F0B-6044-8CB1-5B6113AF9288}" xr6:coauthVersionLast="47" xr6:coauthVersionMax="47" xr10:uidLastSave="{00000000-0000-0000-0000-000000000000}"/>
  <bookViews>
    <workbookView xWindow="3980" yWindow="760" windowWidth="24940" windowHeight="17620" xr2:uid="{00000000-000D-0000-FFFF-FFFF00000000}"/>
  </bookViews>
  <sheets>
    <sheet name="START" sheetId="2" r:id="rId1"/>
    <sheet name="YEARLY BUDGET" sheetId="3" r:id="rId2"/>
    <sheet name="PERSONAL MONTHLY BUDGET (1)" sheetId="1" r:id="rId3"/>
    <sheet name="PERSONAL MONTHLY BUDGET (2)" sheetId="4" r:id="rId4"/>
    <sheet name="PERSONAL MONTHLY BUDGET (3)" sheetId="5" r:id="rId5"/>
    <sheet name="PERSONAL MONTHLY BUDGET (4)" sheetId="6" r:id="rId6"/>
    <sheet name="PERSONAL MONTHLY BUDGET (5)" sheetId="7" r:id="rId7"/>
    <sheet name="PERSONAL MONTHLY BUDGET (6)" sheetId="8" r:id="rId8"/>
    <sheet name="PERSONAL MONTHLY BUDGET (7)" sheetId="9" r:id="rId9"/>
    <sheet name="PERSONAL MONTHLY BUDGET (8)" sheetId="10" r:id="rId10"/>
    <sheet name="PERSONAL MONTHLY BUDGET (9)" sheetId="11" r:id="rId11"/>
    <sheet name="PERSONAL MONTHLY BUDGET (10)" sheetId="12" r:id="rId12"/>
    <sheet name="PERSONAL MONTHLY BUDGET (11)" sheetId="13" r:id="rId13"/>
    <sheet name="PERSONAL MONTHLY BUDGET (12)" sheetId="1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9" i="3" l="1"/>
  <c r="O98" i="3"/>
  <c r="O97" i="3"/>
  <c r="O96" i="3"/>
  <c r="O95" i="3"/>
  <c r="O94" i="3"/>
  <c r="O92" i="3"/>
  <c r="O91" i="3"/>
  <c r="O90" i="3"/>
  <c r="O89" i="3"/>
  <c r="O87" i="3"/>
  <c r="O86" i="3"/>
  <c r="O85" i="3"/>
  <c r="O84" i="3"/>
  <c r="O82" i="3"/>
  <c r="O81" i="3"/>
  <c r="O80" i="3"/>
  <c r="O79" i="3"/>
  <c r="O78" i="3"/>
  <c r="O76" i="3"/>
  <c r="O75" i="3"/>
  <c r="O74" i="3"/>
  <c r="O73" i="3"/>
  <c r="O72" i="3"/>
  <c r="O71" i="3"/>
  <c r="O70" i="3"/>
  <c r="O68" i="3"/>
  <c r="O67" i="3"/>
  <c r="O66" i="3"/>
  <c r="O65" i="3"/>
  <c r="O64" i="3"/>
  <c r="O63" i="3"/>
  <c r="O62" i="3"/>
  <c r="O61" i="3"/>
  <c r="O60" i="3"/>
  <c r="O59" i="3"/>
  <c r="O57" i="3"/>
  <c r="O56" i="3"/>
  <c r="O55" i="3"/>
  <c r="O54" i="3"/>
  <c r="O53" i="3"/>
  <c r="O52" i="3"/>
  <c r="O51" i="3"/>
  <c r="O50" i="3"/>
  <c r="O48" i="3"/>
  <c r="O47" i="3"/>
  <c r="O46" i="3"/>
  <c r="O45" i="3"/>
  <c r="O44" i="3"/>
  <c r="O43" i="3"/>
  <c r="O41" i="3"/>
  <c r="O40" i="3"/>
  <c r="O39" i="3"/>
  <c r="O38" i="3"/>
  <c r="O36" i="3"/>
  <c r="O35" i="3"/>
  <c r="O34" i="3"/>
  <c r="O33" i="3"/>
  <c r="O32" i="3"/>
  <c r="O30" i="3"/>
  <c r="O29" i="3"/>
  <c r="O28" i="3"/>
  <c r="O27" i="3"/>
  <c r="O26" i="3"/>
  <c r="O25" i="3"/>
  <c r="O24" i="3"/>
  <c r="O23" i="3"/>
  <c r="O21" i="3"/>
  <c r="O20" i="3"/>
  <c r="O19" i="3"/>
  <c r="O18" i="3"/>
  <c r="O17" i="3"/>
  <c r="O16" i="3"/>
  <c r="O15" i="3"/>
  <c r="O14" i="3"/>
  <c r="O13" i="3"/>
  <c r="O12" i="3"/>
  <c r="O11" i="3"/>
  <c r="O8" i="3"/>
  <c r="O7" i="3"/>
  <c r="O6" i="3"/>
  <c r="O4" i="3"/>
  <c r="O3" i="3"/>
  <c r="O2" i="3"/>
  <c r="C7" i="3"/>
  <c r="D7" i="3"/>
  <c r="E7" i="3"/>
  <c r="F7" i="3"/>
  <c r="G7" i="3"/>
  <c r="H7" i="3"/>
  <c r="I7" i="3"/>
  <c r="J7" i="3"/>
  <c r="K7" i="3"/>
  <c r="L7" i="3"/>
  <c r="M7" i="3"/>
  <c r="M6" i="3"/>
  <c r="L6" i="3"/>
  <c r="K6" i="3"/>
  <c r="J6" i="3"/>
  <c r="I6" i="3"/>
  <c r="H6" i="3"/>
  <c r="G6" i="3"/>
  <c r="F6" i="3"/>
  <c r="E6" i="3"/>
  <c r="D6" i="3"/>
  <c r="C6" i="3"/>
  <c r="B7" i="3"/>
  <c r="B6" i="3"/>
  <c r="M29" i="3"/>
  <c r="B95" i="3"/>
  <c r="C95" i="3"/>
  <c r="D95" i="3"/>
  <c r="E95" i="3"/>
  <c r="F95" i="3"/>
  <c r="G95" i="3"/>
  <c r="H95" i="3"/>
  <c r="I95" i="3"/>
  <c r="J95" i="3"/>
  <c r="K95" i="3"/>
  <c r="L95" i="3"/>
  <c r="M95" i="3"/>
  <c r="B96" i="3"/>
  <c r="C96" i="3"/>
  <c r="D96" i="3"/>
  <c r="E96" i="3"/>
  <c r="F96" i="3"/>
  <c r="G96" i="3"/>
  <c r="H96" i="3"/>
  <c r="I96" i="3"/>
  <c r="J96" i="3"/>
  <c r="K96" i="3"/>
  <c r="L96" i="3"/>
  <c r="M96" i="3"/>
  <c r="B97" i="3"/>
  <c r="C97" i="3"/>
  <c r="D97" i="3"/>
  <c r="E97" i="3"/>
  <c r="F97" i="3"/>
  <c r="G97" i="3"/>
  <c r="H97" i="3"/>
  <c r="I97" i="3"/>
  <c r="J97" i="3"/>
  <c r="K97" i="3"/>
  <c r="L97" i="3"/>
  <c r="M97" i="3"/>
  <c r="M94" i="3"/>
  <c r="L94" i="3"/>
  <c r="K94" i="3"/>
  <c r="J94" i="3"/>
  <c r="I94" i="3"/>
  <c r="H94" i="3"/>
  <c r="G94" i="3"/>
  <c r="F94" i="3"/>
  <c r="E94" i="3"/>
  <c r="D94" i="3"/>
  <c r="C94" i="3"/>
  <c r="B90" i="3"/>
  <c r="C90" i="3"/>
  <c r="D90" i="3"/>
  <c r="E90" i="3"/>
  <c r="F90" i="3"/>
  <c r="G90" i="3"/>
  <c r="H90" i="3"/>
  <c r="I90" i="3"/>
  <c r="J90" i="3"/>
  <c r="K90" i="3"/>
  <c r="L90" i="3"/>
  <c r="M90" i="3"/>
  <c r="B91" i="3"/>
  <c r="C91" i="3"/>
  <c r="D91" i="3"/>
  <c r="E91" i="3"/>
  <c r="F91" i="3"/>
  <c r="G91" i="3"/>
  <c r="H91" i="3"/>
  <c r="I91" i="3"/>
  <c r="J91" i="3"/>
  <c r="K91" i="3"/>
  <c r="L91" i="3"/>
  <c r="M91" i="3"/>
  <c r="M89" i="3"/>
  <c r="L89" i="3"/>
  <c r="K89" i="3"/>
  <c r="J89" i="3"/>
  <c r="I89" i="3"/>
  <c r="H89" i="3"/>
  <c r="G89" i="3"/>
  <c r="F89" i="3"/>
  <c r="E89" i="3"/>
  <c r="D89" i="3"/>
  <c r="C89" i="3"/>
  <c r="B94" i="3"/>
  <c r="B89" i="3"/>
  <c r="B85" i="3"/>
  <c r="C85" i="3"/>
  <c r="D85" i="3"/>
  <c r="E85" i="3"/>
  <c r="F85" i="3"/>
  <c r="G85" i="3"/>
  <c r="H85" i="3"/>
  <c r="I85" i="3"/>
  <c r="J85" i="3"/>
  <c r="K85" i="3"/>
  <c r="L85" i="3"/>
  <c r="M85" i="3"/>
  <c r="B86" i="3"/>
  <c r="C86" i="3"/>
  <c r="D86" i="3"/>
  <c r="E86" i="3"/>
  <c r="F86" i="3"/>
  <c r="G86" i="3"/>
  <c r="H86" i="3"/>
  <c r="I86" i="3"/>
  <c r="J86" i="3"/>
  <c r="K86" i="3"/>
  <c r="L86" i="3"/>
  <c r="M86" i="3"/>
  <c r="M84" i="3"/>
  <c r="L84" i="3"/>
  <c r="K84" i="3"/>
  <c r="J84" i="3"/>
  <c r="I84" i="3"/>
  <c r="H84" i="3"/>
  <c r="G84" i="3"/>
  <c r="F84" i="3"/>
  <c r="E84" i="3"/>
  <c r="D84" i="3"/>
  <c r="C84" i="3"/>
  <c r="B84" i="3"/>
  <c r="B79" i="3"/>
  <c r="C79" i="3"/>
  <c r="D79" i="3"/>
  <c r="E79" i="3"/>
  <c r="F79" i="3"/>
  <c r="G79" i="3"/>
  <c r="H79" i="3"/>
  <c r="I79" i="3"/>
  <c r="J79" i="3"/>
  <c r="K79" i="3"/>
  <c r="L79" i="3"/>
  <c r="M79" i="3"/>
  <c r="B80" i="3"/>
  <c r="C80" i="3"/>
  <c r="D80" i="3"/>
  <c r="E80" i="3"/>
  <c r="F80" i="3"/>
  <c r="G80" i="3"/>
  <c r="H80" i="3"/>
  <c r="I80" i="3"/>
  <c r="J80" i="3"/>
  <c r="K80" i="3"/>
  <c r="L80" i="3"/>
  <c r="M80" i="3"/>
  <c r="B81" i="3"/>
  <c r="C81" i="3"/>
  <c r="D81" i="3"/>
  <c r="E81" i="3"/>
  <c r="F81" i="3"/>
  <c r="G81" i="3"/>
  <c r="H81" i="3"/>
  <c r="I81" i="3"/>
  <c r="J81" i="3"/>
  <c r="K81" i="3"/>
  <c r="L81" i="3"/>
  <c r="M81" i="3"/>
  <c r="M78" i="3"/>
  <c r="L78" i="3"/>
  <c r="K78" i="3"/>
  <c r="J78" i="3"/>
  <c r="I78" i="3"/>
  <c r="H78" i="3"/>
  <c r="G78" i="3"/>
  <c r="F78" i="3"/>
  <c r="E78" i="3"/>
  <c r="D78" i="3"/>
  <c r="C78" i="3"/>
  <c r="B78" i="3"/>
  <c r="B71" i="3"/>
  <c r="C71" i="3"/>
  <c r="D71" i="3"/>
  <c r="E71" i="3"/>
  <c r="F71" i="3"/>
  <c r="G71" i="3"/>
  <c r="H71" i="3"/>
  <c r="I71" i="3"/>
  <c r="J71" i="3"/>
  <c r="K71" i="3"/>
  <c r="L71" i="3"/>
  <c r="M71" i="3"/>
  <c r="B72" i="3"/>
  <c r="C72" i="3"/>
  <c r="D72" i="3"/>
  <c r="E72" i="3"/>
  <c r="F72" i="3"/>
  <c r="G72" i="3"/>
  <c r="H72" i="3"/>
  <c r="I72" i="3"/>
  <c r="J72" i="3"/>
  <c r="K72" i="3"/>
  <c r="L72" i="3"/>
  <c r="M72" i="3"/>
  <c r="B73" i="3"/>
  <c r="C73" i="3"/>
  <c r="D73" i="3"/>
  <c r="E73" i="3"/>
  <c r="F73" i="3"/>
  <c r="G73" i="3"/>
  <c r="H73" i="3"/>
  <c r="I73" i="3"/>
  <c r="J73" i="3"/>
  <c r="K73" i="3"/>
  <c r="L73" i="3"/>
  <c r="M73" i="3"/>
  <c r="B74" i="3"/>
  <c r="C74" i="3"/>
  <c r="D74" i="3"/>
  <c r="E74" i="3"/>
  <c r="F74" i="3"/>
  <c r="G74" i="3"/>
  <c r="H74" i="3"/>
  <c r="I74" i="3"/>
  <c r="J74" i="3"/>
  <c r="K74" i="3"/>
  <c r="L74" i="3"/>
  <c r="M74" i="3"/>
  <c r="B75" i="3"/>
  <c r="C75" i="3"/>
  <c r="D75" i="3"/>
  <c r="E75" i="3"/>
  <c r="F75" i="3"/>
  <c r="G75" i="3"/>
  <c r="H75" i="3"/>
  <c r="I75" i="3"/>
  <c r="J75" i="3"/>
  <c r="K75" i="3"/>
  <c r="L75" i="3"/>
  <c r="M75" i="3"/>
  <c r="M70" i="3"/>
  <c r="L70" i="3"/>
  <c r="K70" i="3"/>
  <c r="J70" i="3"/>
  <c r="I70" i="3"/>
  <c r="H70" i="3"/>
  <c r="G70" i="3"/>
  <c r="F70" i="3"/>
  <c r="E70" i="3"/>
  <c r="D70" i="3"/>
  <c r="C70" i="3"/>
  <c r="B70" i="3"/>
  <c r="B60" i="3"/>
  <c r="C60" i="3"/>
  <c r="D60" i="3"/>
  <c r="E60" i="3"/>
  <c r="F60" i="3"/>
  <c r="G60" i="3"/>
  <c r="H60" i="3"/>
  <c r="I60" i="3"/>
  <c r="J60" i="3"/>
  <c r="K60" i="3"/>
  <c r="L60" i="3"/>
  <c r="M60" i="3"/>
  <c r="B61" i="3"/>
  <c r="C61" i="3"/>
  <c r="D61" i="3"/>
  <c r="E61" i="3"/>
  <c r="F61" i="3"/>
  <c r="G61" i="3"/>
  <c r="H61" i="3"/>
  <c r="I61" i="3"/>
  <c r="J61" i="3"/>
  <c r="K61" i="3"/>
  <c r="L61" i="3"/>
  <c r="M61" i="3"/>
  <c r="B62" i="3"/>
  <c r="C62" i="3"/>
  <c r="D62" i="3"/>
  <c r="E62" i="3"/>
  <c r="F62" i="3"/>
  <c r="G62" i="3"/>
  <c r="H62" i="3"/>
  <c r="I62" i="3"/>
  <c r="J62" i="3"/>
  <c r="K62" i="3"/>
  <c r="L62" i="3"/>
  <c r="M62" i="3"/>
  <c r="B63" i="3"/>
  <c r="C63" i="3"/>
  <c r="D63" i="3"/>
  <c r="E63" i="3"/>
  <c r="F63" i="3"/>
  <c r="G63" i="3"/>
  <c r="H63" i="3"/>
  <c r="I63" i="3"/>
  <c r="J63" i="3"/>
  <c r="K63" i="3"/>
  <c r="L63" i="3"/>
  <c r="M63" i="3"/>
  <c r="B64" i="3"/>
  <c r="C64" i="3"/>
  <c r="D64" i="3"/>
  <c r="E64" i="3"/>
  <c r="F64" i="3"/>
  <c r="G64" i="3"/>
  <c r="H64" i="3"/>
  <c r="I64" i="3"/>
  <c r="J64" i="3"/>
  <c r="K64" i="3"/>
  <c r="L64" i="3"/>
  <c r="M64" i="3"/>
  <c r="B65" i="3"/>
  <c r="C65" i="3"/>
  <c r="D65" i="3"/>
  <c r="E65" i="3"/>
  <c r="F65" i="3"/>
  <c r="G65" i="3"/>
  <c r="H65" i="3"/>
  <c r="I65" i="3"/>
  <c r="J65" i="3"/>
  <c r="K65" i="3"/>
  <c r="L65" i="3"/>
  <c r="M65" i="3"/>
  <c r="B66" i="3"/>
  <c r="C66" i="3"/>
  <c r="D66" i="3"/>
  <c r="E66" i="3"/>
  <c r="F66" i="3"/>
  <c r="G66" i="3"/>
  <c r="H66" i="3"/>
  <c r="I66" i="3"/>
  <c r="J66" i="3"/>
  <c r="K66" i="3"/>
  <c r="L66" i="3"/>
  <c r="M66" i="3"/>
  <c r="B67" i="3"/>
  <c r="C67" i="3"/>
  <c r="D67" i="3"/>
  <c r="E67" i="3"/>
  <c r="F67" i="3"/>
  <c r="G67" i="3"/>
  <c r="H67" i="3"/>
  <c r="I67" i="3"/>
  <c r="J67" i="3"/>
  <c r="K67" i="3"/>
  <c r="L67" i="3"/>
  <c r="M67" i="3"/>
  <c r="M59" i="3"/>
  <c r="L59" i="3"/>
  <c r="K59" i="3"/>
  <c r="J59" i="3"/>
  <c r="I59" i="3"/>
  <c r="H59" i="3"/>
  <c r="G59" i="3"/>
  <c r="F59" i="3"/>
  <c r="E59" i="3"/>
  <c r="D59" i="3"/>
  <c r="C59" i="3"/>
  <c r="B59" i="3"/>
  <c r="B51" i="3"/>
  <c r="C51" i="3"/>
  <c r="D51" i="3"/>
  <c r="E51" i="3"/>
  <c r="F51" i="3"/>
  <c r="G51" i="3"/>
  <c r="H51" i="3"/>
  <c r="I51" i="3"/>
  <c r="J51" i="3"/>
  <c r="K51" i="3"/>
  <c r="L51" i="3"/>
  <c r="M51" i="3"/>
  <c r="B52" i="3"/>
  <c r="C52" i="3"/>
  <c r="D52" i="3"/>
  <c r="E52" i="3"/>
  <c r="F52" i="3"/>
  <c r="G52" i="3"/>
  <c r="H52" i="3"/>
  <c r="I52" i="3"/>
  <c r="J52" i="3"/>
  <c r="K52" i="3"/>
  <c r="L52" i="3"/>
  <c r="M52" i="3"/>
  <c r="B53" i="3"/>
  <c r="C53" i="3"/>
  <c r="D53" i="3"/>
  <c r="E53" i="3"/>
  <c r="F53" i="3"/>
  <c r="G53" i="3"/>
  <c r="H53" i="3"/>
  <c r="I53" i="3"/>
  <c r="J53" i="3"/>
  <c r="K53" i="3"/>
  <c r="L53" i="3"/>
  <c r="M53" i="3"/>
  <c r="B54" i="3"/>
  <c r="C54" i="3"/>
  <c r="D54" i="3"/>
  <c r="E54" i="3"/>
  <c r="F54" i="3"/>
  <c r="G54" i="3"/>
  <c r="H54" i="3"/>
  <c r="I54" i="3"/>
  <c r="J54" i="3"/>
  <c r="K54" i="3"/>
  <c r="L54" i="3"/>
  <c r="M54" i="3"/>
  <c r="B55" i="3"/>
  <c r="C55" i="3"/>
  <c r="D55" i="3"/>
  <c r="E55" i="3"/>
  <c r="F55" i="3"/>
  <c r="G55" i="3"/>
  <c r="H55" i="3"/>
  <c r="I55" i="3"/>
  <c r="J55" i="3"/>
  <c r="K55" i="3"/>
  <c r="L55" i="3"/>
  <c r="M55" i="3"/>
  <c r="B56" i="3"/>
  <c r="C56" i="3"/>
  <c r="D56" i="3"/>
  <c r="E56" i="3"/>
  <c r="F56" i="3"/>
  <c r="G56" i="3"/>
  <c r="H56" i="3"/>
  <c r="I56" i="3"/>
  <c r="J56" i="3"/>
  <c r="K56" i="3"/>
  <c r="L56" i="3"/>
  <c r="M56" i="3"/>
  <c r="M50" i="3"/>
  <c r="L50" i="3"/>
  <c r="K50" i="3"/>
  <c r="J50" i="3"/>
  <c r="I50" i="3"/>
  <c r="H50" i="3"/>
  <c r="G50" i="3"/>
  <c r="F50" i="3"/>
  <c r="E50" i="3"/>
  <c r="D50" i="3"/>
  <c r="C50" i="3"/>
  <c r="B50" i="3"/>
  <c r="B44" i="3"/>
  <c r="C44" i="3"/>
  <c r="D44" i="3"/>
  <c r="E44" i="3"/>
  <c r="F44" i="3"/>
  <c r="G44" i="3"/>
  <c r="H44" i="3"/>
  <c r="I44" i="3"/>
  <c r="J44" i="3"/>
  <c r="K44" i="3"/>
  <c r="L44" i="3"/>
  <c r="M44" i="3"/>
  <c r="B45" i="3"/>
  <c r="C45" i="3"/>
  <c r="D45" i="3"/>
  <c r="E45" i="3"/>
  <c r="F45" i="3"/>
  <c r="G45" i="3"/>
  <c r="H45" i="3"/>
  <c r="I45" i="3"/>
  <c r="J45" i="3"/>
  <c r="K45" i="3"/>
  <c r="L45" i="3"/>
  <c r="M45" i="3"/>
  <c r="B46" i="3"/>
  <c r="C46" i="3"/>
  <c r="D46" i="3"/>
  <c r="E46" i="3"/>
  <c r="F46" i="3"/>
  <c r="G46" i="3"/>
  <c r="H46" i="3"/>
  <c r="I46" i="3"/>
  <c r="J46" i="3"/>
  <c r="K46" i="3"/>
  <c r="L46" i="3"/>
  <c r="M46" i="3"/>
  <c r="B47" i="3"/>
  <c r="C47" i="3"/>
  <c r="D47" i="3"/>
  <c r="E47" i="3"/>
  <c r="F47" i="3"/>
  <c r="G47" i="3"/>
  <c r="H47" i="3"/>
  <c r="I47" i="3"/>
  <c r="J47" i="3"/>
  <c r="K47" i="3"/>
  <c r="L47" i="3"/>
  <c r="M47" i="3"/>
  <c r="M43" i="3"/>
  <c r="L43" i="3"/>
  <c r="K43" i="3"/>
  <c r="J43" i="3"/>
  <c r="I43" i="3"/>
  <c r="H43" i="3"/>
  <c r="G43" i="3"/>
  <c r="F43" i="3"/>
  <c r="E43" i="3"/>
  <c r="D43" i="3"/>
  <c r="C43" i="3"/>
  <c r="B43" i="3"/>
  <c r="B39" i="3"/>
  <c r="C39" i="3"/>
  <c r="D39" i="3"/>
  <c r="E39" i="3"/>
  <c r="F39" i="3"/>
  <c r="G39" i="3"/>
  <c r="H39" i="3"/>
  <c r="I39" i="3"/>
  <c r="J39" i="3"/>
  <c r="K39" i="3"/>
  <c r="L39" i="3"/>
  <c r="M39" i="3"/>
  <c r="B40" i="3"/>
  <c r="C40" i="3"/>
  <c r="D40" i="3"/>
  <c r="E40" i="3"/>
  <c r="F40" i="3"/>
  <c r="G40" i="3"/>
  <c r="H40" i="3"/>
  <c r="I40" i="3"/>
  <c r="J40" i="3"/>
  <c r="K40" i="3"/>
  <c r="L40" i="3"/>
  <c r="M40" i="3"/>
  <c r="M38" i="3"/>
  <c r="L38" i="3"/>
  <c r="K38" i="3"/>
  <c r="J38" i="3"/>
  <c r="I38" i="3"/>
  <c r="H38" i="3"/>
  <c r="G38" i="3"/>
  <c r="F38" i="3"/>
  <c r="E38" i="3"/>
  <c r="D38" i="3"/>
  <c r="C38" i="3"/>
  <c r="B38" i="3"/>
  <c r="D33" i="3"/>
  <c r="E33" i="3"/>
  <c r="F33" i="3"/>
  <c r="G33" i="3"/>
  <c r="H33" i="3"/>
  <c r="I33" i="3"/>
  <c r="J33" i="3"/>
  <c r="K33" i="3"/>
  <c r="L33" i="3"/>
  <c r="M33" i="3"/>
  <c r="D34" i="3"/>
  <c r="E34" i="3"/>
  <c r="F34" i="3"/>
  <c r="G34" i="3"/>
  <c r="H34" i="3"/>
  <c r="I34" i="3"/>
  <c r="J34" i="3"/>
  <c r="K34" i="3"/>
  <c r="L34" i="3"/>
  <c r="M34" i="3"/>
  <c r="D35" i="3"/>
  <c r="E35" i="3"/>
  <c r="F35" i="3"/>
  <c r="G35" i="3"/>
  <c r="H35" i="3"/>
  <c r="I35" i="3"/>
  <c r="J35" i="3"/>
  <c r="K35" i="3"/>
  <c r="L35" i="3"/>
  <c r="M35" i="3"/>
  <c r="C33" i="3"/>
  <c r="C34" i="3"/>
  <c r="C35" i="3"/>
  <c r="L32" i="3"/>
  <c r="M32" i="3"/>
  <c r="K32" i="3"/>
  <c r="J32" i="3"/>
  <c r="I32" i="3"/>
  <c r="H32" i="3"/>
  <c r="G32" i="3"/>
  <c r="F32" i="3"/>
  <c r="E32" i="3"/>
  <c r="E36" i="3" s="1"/>
  <c r="D32" i="3"/>
  <c r="C32" i="3"/>
  <c r="B33" i="3"/>
  <c r="B34" i="3"/>
  <c r="B35" i="3"/>
  <c r="B32" i="3"/>
  <c r="M24" i="3"/>
  <c r="M25" i="3"/>
  <c r="M26" i="3"/>
  <c r="M27" i="3"/>
  <c r="M28" i="3"/>
  <c r="L24" i="3"/>
  <c r="L25" i="3"/>
  <c r="L26" i="3"/>
  <c r="L27" i="3"/>
  <c r="L28" i="3"/>
  <c r="L29" i="3"/>
  <c r="K24" i="3"/>
  <c r="K25" i="3"/>
  <c r="K26" i="3"/>
  <c r="K27" i="3"/>
  <c r="K28" i="3"/>
  <c r="K29" i="3"/>
  <c r="J29" i="3"/>
  <c r="J24" i="3"/>
  <c r="J25" i="3"/>
  <c r="J26" i="3"/>
  <c r="J27" i="3"/>
  <c r="J28" i="3"/>
  <c r="I24" i="3"/>
  <c r="I25" i="3"/>
  <c r="I26" i="3"/>
  <c r="I27" i="3"/>
  <c r="I28" i="3"/>
  <c r="I29" i="3"/>
  <c r="H24" i="3"/>
  <c r="H25" i="3"/>
  <c r="H26" i="3"/>
  <c r="H27" i="3"/>
  <c r="H28" i="3"/>
  <c r="H29" i="3"/>
  <c r="G24" i="3"/>
  <c r="G25" i="3"/>
  <c r="G26" i="3"/>
  <c r="G27" i="3"/>
  <c r="G28" i="3"/>
  <c r="G29" i="3"/>
  <c r="F29" i="3"/>
  <c r="F24" i="3"/>
  <c r="F25" i="3"/>
  <c r="F26" i="3"/>
  <c r="F27" i="3"/>
  <c r="F28" i="3"/>
  <c r="E24" i="3"/>
  <c r="E25" i="3"/>
  <c r="E26" i="3"/>
  <c r="E27" i="3"/>
  <c r="E28" i="3"/>
  <c r="E29" i="3"/>
  <c r="D24" i="3"/>
  <c r="D25" i="3"/>
  <c r="D26" i="3"/>
  <c r="D27" i="3"/>
  <c r="D28" i="3"/>
  <c r="D29" i="3"/>
  <c r="C24" i="3"/>
  <c r="C25" i="3"/>
  <c r="C26" i="3"/>
  <c r="C27" i="3"/>
  <c r="C28" i="3"/>
  <c r="C29" i="3"/>
  <c r="M23" i="3"/>
  <c r="L23" i="3"/>
  <c r="K23" i="3"/>
  <c r="J23" i="3"/>
  <c r="I23" i="3"/>
  <c r="H23" i="3"/>
  <c r="G23" i="3"/>
  <c r="F23" i="3"/>
  <c r="E23" i="3"/>
  <c r="D23" i="3"/>
  <c r="C23" i="3"/>
  <c r="B24" i="3"/>
  <c r="B25" i="3"/>
  <c r="B26" i="3"/>
  <c r="B27" i="3"/>
  <c r="B28" i="3"/>
  <c r="B29" i="3"/>
  <c r="B23" i="3"/>
  <c r="M12" i="3"/>
  <c r="M13" i="3"/>
  <c r="M14" i="3"/>
  <c r="M15" i="3"/>
  <c r="M16" i="3"/>
  <c r="M17" i="3"/>
  <c r="M18" i="3"/>
  <c r="M19" i="3"/>
  <c r="M20" i="3"/>
  <c r="L12" i="3"/>
  <c r="L13" i="3"/>
  <c r="L14" i="3"/>
  <c r="L15" i="3"/>
  <c r="L16" i="3"/>
  <c r="L17" i="3"/>
  <c r="L18" i="3"/>
  <c r="L19" i="3"/>
  <c r="L20" i="3"/>
  <c r="K12" i="3"/>
  <c r="K13" i="3"/>
  <c r="K14" i="3"/>
  <c r="K15" i="3"/>
  <c r="K16" i="3"/>
  <c r="K17" i="3"/>
  <c r="K18" i="3"/>
  <c r="K19" i="3"/>
  <c r="K20" i="3"/>
  <c r="J12" i="3"/>
  <c r="J13" i="3"/>
  <c r="J14" i="3"/>
  <c r="J15" i="3"/>
  <c r="J16" i="3"/>
  <c r="J17" i="3"/>
  <c r="J18" i="3"/>
  <c r="J19" i="3"/>
  <c r="J20" i="3"/>
  <c r="M11" i="3"/>
  <c r="L11" i="3"/>
  <c r="K11" i="3"/>
  <c r="J11" i="3"/>
  <c r="I12" i="3"/>
  <c r="I13" i="3"/>
  <c r="I14" i="3"/>
  <c r="I15" i="3"/>
  <c r="I16" i="3"/>
  <c r="I17" i="3"/>
  <c r="I18" i="3"/>
  <c r="I19" i="3"/>
  <c r="I20" i="3"/>
  <c r="I11" i="3"/>
  <c r="H20" i="3"/>
  <c r="H19" i="3"/>
  <c r="H18" i="3"/>
  <c r="H17" i="3"/>
  <c r="H16" i="3"/>
  <c r="H15" i="3"/>
  <c r="H14" i="3"/>
  <c r="H13" i="3"/>
  <c r="H12" i="3"/>
  <c r="H11" i="3"/>
  <c r="G20" i="3"/>
  <c r="G19" i="3"/>
  <c r="G18" i="3"/>
  <c r="G17" i="3"/>
  <c r="G16" i="3"/>
  <c r="G15" i="3"/>
  <c r="G14" i="3"/>
  <c r="G13" i="3"/>
  <c r="G12" i="3"/>
  <c r="G11" i="3"/>
  <c r="F20" i="3"/>
  <c r="F19" i="3"/>
  <c r="F18" i="3"/>
  <c r="F17" i="3"/>
  <c r="F16" i="3"/>
  <c r="F15" i="3"/>
  <c r="F14" i="3"/>
  <c r="F13" i="3"/>
  <c r="F12" i="3"/>
  <c r="F11" i="3"/>
  <c r="E20" i="3"/>
  <c r="E19" i="3"/>
  <c r="E18" i="3"/>
  <c r="E17" i="3"/>
  <c r="E16" i="3"/>
  <c r="E15" i="3"/>
  <c r="E14" i="3"/>
  <c r="E13" i="3"/>
  <c r="E12" i="3"/>
  <c r="E11" i="3"/>
  <c r="D20" i="3"/>
  <c r="D19" i="3"/>
  <c r="D18" i="3"/>
  <c r="D17" i="3"/>
  <c r="D16" i="3"/>
  <c r="D15" i="3"/>
  <c r="D14" i="3"/>
  <c r="D13" i="3"/>
  <c r="D12" i="3"/>
  <c r="D11" i="3"/>
  <c r="C20" i="3"/>
  <c r="C19" i="3"/>
  <c r="C18" i="3"/>
  <c r="C17" i="3"/>
  <c r="C16" i="3"/>
  <c r="C15" i="3"/>
  <c r="C14" i="3"/>
  <c r="C13" i="3"/>
  <c r="C12" i="3"/>
  <c r="C11" i="3"/>
  <c r="B20" i="3"/>
  <c r="B19" i="3"/>
  <c r="B18" i="3"/>
  <c r="B17" i="3"/>
  <c r="B16" i="3"/>
  <c r="B15" i="3"/>
  <c r="B14" i="3"/>
  <c r="B13" i="3"/>
  <c r="B12" i="3"/>
  <c r="B11" i="3"/>
  <c r="E64" i="14"/>
  <c r="D64" i="14"/>
  <c r="E63" i="14"/>
  <c r="E62" i="14"/>
  <c r="J61" i="14"/>
  <c r="E61" i="14"/>
  <c r="E60" i="14"/>
  <c r="J59" i="14"/>
  <c r="J63" i="14" s="1"/>
  <c r="E59" i="14"/>
  <c r="E58" i="14"/>
  <c r="J57" i="14"/>
  <c r="I57" i="14"/>
  <c r="E57" i="14"/>
  <c r="J56" i="14"/>
  <c r="J55" i="14"/>
  <c r="J54" i="14"/>
  <c r="E54" i="14"/>
  <c r="D54" i="14"/>
  <c r="J53" i="14"/>
  <c r="E53" i="14"/>
  <c r="E52" i="14"/>
  <c r="E51" i="14"/>
  <c r="J50" i="14"/>
  <c r="I50" i="14"/>
  <c r="E50" i="14"/>
  <c r="J49" i="14"/>
  <c r="E49" i="14"/>
  <c r="J48" i="14"/>
  <c r="J47" i="14"/>
  <c r="E46" i="14"/>
  <c r="D46" i="14"/>
  <c r="E45" i="14"/>
  <c r="J44" i="14"/>
  <c r="I44" i="14"/>
  <c r="E44" i="14"/>
  <c r="J43" i="14"/>
  <c r="E43" i="14"/>
  <c r="J42" i="14"/>
  <c r="J41" i="14"/>
  <c r="E40" i="14"/>
  <c r="D40" i="14"/>
  <c r="E39" i="14"/>
  <c r="J38" i="14"/>
  <c r="I38" i="14"/>
  <c r="E38" i="14"/>
  <c r="J37" i="14"/>
  <c r="E37" i="14"/>
  <c r="J36" i="14"/>
  <c r="E36" i="14"/>
  <c r="J35" i="14"/>
  <c r="J34" i="14"/>
  <c r="E33" i="14"/>
  <c r="D33" i="14"/>
  <c r="E32" i="14"/>
  <c r="J31" i="14"/>
  <c r="I31" i="14"/>
  <c r="E31" i="14"/>
  <c r="J30" i="14"/>
  <c r="E30" i="14"/>
  <c r="J29" i="14"/>
  <c r="E29" i="14"/>
  <c r="J28" i="14"/>
  <c r="E28" i="14"/>
  <c r="J27" i="14"/>
  <c r="E27" i="14"/>
  <c r="J26" i="14"/>
  <c r="E26" i="14"/>
  <c r="J25" i="14"/>
  <c r="D23" i="14"/>
  <c r="J22" i="14"/>
  <c r="I22" i="14"/>
  <c r="E22" i="14"/>
  <c r="J21" i="14"/>
  <c r="E21" i="14"/>
  <c r="J20" i="14"/>
  <c r="E20" i="14"/>
  <c r="J19" i="14"/>
  <c r="E19" i="14"/>
  <c r="J18" i="14"/>
  <c r="E18" i="14"/>
  <c r="J17" i="14"/>
  <c r="E17" i="14"/>
  <c r="J16" i="14"/>
  <c r="E16" i="14"/>
  <c r="J15" i="14"/>
  <c r="E15" i="14"/>
  <c r="J14" i="14"/>
  <c r="E14" i="14"/>
  <c r="E23" i="14" s="1"/>
  <c r="J13" i="14"/>
  <c r="E13" i="14"/>
  <c r="E10" i="14"/>
  <c r="E6" i="14"/>
  <c r="E64" i="13"/>
  <c r="D64" i="13"/>
  <c r="E63" i="13"/>
  <c r="E62" i="13"/>
  <c r="J61" i="13"/>
  <c r="J6" i="13" s="1"/>
  <c r="E61" i="13"/>
  <c r="E60" i="13"/>
  <c r="J59" i="13"/>
  <c r="J63" i="13" s="1"/>
  <c r="E59" i="13"/>
  <c r="E58" i="13"/>
  <c r="J57" i="13"/>
  <c r="I57" i="13"/>
  <c r="E57" i="13"/>
  <c r="J56" i="13"/>
  <c r="J55" i="13"/>
  <c r="J54" i="13"/>
  <c r="E54" i="13"/>
  <c r="D54" i="13"/>
  <c r="J53" i="13"/>
  <c r="E53" i="13"/>
  <c r="E52" i="13"/>
  <c r="E51" i="13"/>
  <c r="J50" i="13"/>
  <c r="I50" i="13"/>
  <c r="E50" i="13"/>
  <c r="J49" i="13"/>
  <c r="E49" i="13"/>
  <c r="J48" i="13"/>
  <c r="J47" i="13"/>
  <c r="E46" i="13"/>
  <c r="D46" i="13"/>
  <c r="E45" i="13"/>
  <c r="J44" i="13"/>
  <c r="I44" i="13"/>
  <c r="E44" i="13"/>
  <c r="J43" i="13"/>
  <c r="E43" i="13"/>
  <c r="J42" i="13"/>
  <c r="J41" i="13"/>
  <c r="E40" i="13"/>
  <c r="D40" i="13"/>
  <c r="E39" i="13"/>
  <c r="J38" i="13"/>
  <c r="I38" i="13"/>
  <c r="E38" i="13"/>
  <c r="J37" i="13"/>
  <c r="E37" i="13"/>
  <c r="J36" i="13"/>
  <c r="E36" i="13"/>
  <c r="J35" i="13"/>
  <c r="J34" i="13"/>
  <c r="E33" i="13"/>
  <c r="D33" i="13"/>
  <c r="E32" i="13"/>
  <c r="J31" i="13"/>
  <c r="I31" i="13"/>
  <c r="E31" i="13"/>
  <c r="J30" i="13"/>
  <c r="E30" i="13"/>
  <c r="J29" i="13"/>
  <c r="E29" i="13"/>
  <c r="J28" i="13"/>
  <c r="E28" i="13"/>
  <c r="J27" i="13"/>
  <c r="E27" i="13"/>
  <c r="J26" i="13"/>
  <c r="E26" i="13"/>
  <c r="J25" i="13"/>
  <c r="D23" i="13"/>
  <c r="J22" i="13"/>
  <c r="I22" i="13"/>
  <c r="E22" i="13"/>
  <c r="J21" i="13"/>
  <c r="E21" i="13"/>
  <c r="J20" i="13"/>
  <c r="E20" i="13"/>
  <c r="J19" i="13"/>
  <c r="E19" i="13"/>
  <c r="J18" i="13"/>
  <c r="E18" i="13"/>
  <c r="J17" i="13"/>
  <c r="E17" i="13"/>
  <c r="J16" i="13"/>
  <c r="E16" i="13"/>
  <c r="J15" i="13"/>
  <c r="E15" i="13"/>
  <c r="J14" i="13"/>
  <c r="E14" i="13"/>
  <c r="E23" i="13" s="1"/>
  <c r="J13" i="13"/>
  <c r="E13" i="13"/>
  <c r="E10" i="13"/>
  <c r="E6" i="13"/>
  <c r="E64" i="12"/>
  <c r="D64" i="12"/>
  <c r="E63" i="12"/>
  <c r="E62" i="12"/>
  <c r="J61" i="12"/>
  <c r="E61" i="12"/>
  <c r="E60" i="12"/>
  <c r="J59" i="12"/>
  <c r="E59" i="12"/>
  <c r="E58" i="12"/>
  <c r="J57" i="12"/>
  <c r="I57" i="12"/>
  <c r="E57" i="12"/>
  <c r="J56" i="12"/>
  <c r="J55" i="12"/>
  <c r="J54" i="12"/>
  <c r="E54" i="12"/>
  <c r="D54" i="12"/>
  <c r="J53" i="12"/>
  <c r="E53" i="12"/>
  <c r="E52" i="12"/>
  <c r="E51" i="12"/>
  <c r="J50" i="12"/>
  <c r="I50" i="12"/>
  <c r="E50" i="12"/>
  <c r="J49" i="12"/>
  <c r="E49" i="12"/>
  <c r="J48" i="12"/>
  <c r="J47" i="12"/>
  <c r="E46" i="12"/>
  <c r="D46" i="12"/>
  <c r="E45" i="12"/>
  <c r="J44" i="12"/>
  <c r="I44" i="12"/>
  <c r="E44" i="12"/>
  <c r="J43" i="12"/>
  <c r="E43" i="12"/>
  <c r="J42" i="12"/>
  <c r="J41" i="12"/>
  <c r="E40" i="12"/>
  <c r="D40" i="12"/>
  <c r="E39" i="12"/>
  <c r="J38" i="12"/>
  <c r="I38" i="12"/>
  <c r="E38" i="12"/>
  <c r="J37" i="12"/>
  <c r="E37" i="12"/>
  <c r="J36" i="12"/>
  <c r="E36" i="12"/>
  <c r="J35" i="12"/>
  <c r="J34" i="12"/>
  <c r="E33" i="12"/>
  <c r="D33" i="12"/>
  <c r="E32" i="12"/>
  <c r="J31" i="12"/>
  <c r="I31" i="12"/>
  <c r="E31" i="12"/>
  <c r="J30" i="12"/>
  <c r="E30" i="12"/>
  <c r="J29" i="12"/>
  <c r="E29" i="12"/>
  <c r="J28" i="12"/>
  <c r="E28" i="12"/>
  <c r="J27" i="12"/>
  <c r="E27" i="12"/>
  <c r="J26" i="12"/>
  <c r="E26" i="12"/>
  <c r="J25" i="12"/>
  <c r="D23" i="12"/>
  <c r="J22" i="12"/>
  <c r="I22" i="12"/>
  <c r="E22" i="12"/>
  <c r="J21" i="12"/>
  <c r="E21" i="12"/>
  <c r="J20" i="12"/>
  <c r="E20" i="12"/>
  <c r="J19" i="12"/>
  <c r="E19" i="12"/>
  <c r="J18" i="12"/>
  <c r="E18" i="12"/>
  <c r="J17" i="12"/>
  <c r="E17" i="12"/>
  <c r="J16" i="12"/>
  <c r="E16" i="12"/>
  <c r="J15" i="12"/>
  <c r="E15" i="12"/>
  <c r="J14" i="12"/>
  <c r="E14" i="12"/>
  <c r="E23" i="12" s="1"/>
  <c r="J13" i="12"/>
  <c r="E13" i="12"/>
  <c r="E10" i="12"/>
  <c r="E6" i="12"/>
  <c r="E64" i="11"/>
  <c r="D64" i="11"/>
  <c r="E63" i="11"/>
  <c r="E62" i="11"/>
  <c r="J61" i="11"/>
  <c r="E61" i="11"/>
  <c r="E60" i="11"/>
  <c r="J59" i="11"/>
  <c r="E59" i="11"/>
  <c r="E58" i="11"/>
  <c r="J57" i="11"/>
  <c r="I57" i="11"/>
  <c r="E57" i="11"/>
  <c r="J56" i="11"/>
  <c r="J55" i="11"/>
  <c r="J54" i="11"/>
  <c r="E54" i="11"/>
  <c r="D54" i="11"/>
  <c r="J53" i="11"/>
  <c r="E53" i="11"/>
  <c r="E52" i="11"/>
  <c r="E51" i="11"/>
  <c r="J50" i="11"/>
  <c r="I50" i="11"/>
  <c r="E50" i="11"/>
  <c r="J49" i="11"/>
  <c r="E49" i="11"/>
  <c r="J48" i="11"/>
  <c r="J47" i="11"/>
  <c r="E46" i="11"/>
  <c r="D46" i="11"/>
  <c r="E45" i="11"/>
  <c r="J44" i="11"/>
  <c r="I44" i="11"/>
  <c r="E44" i="11"/>
  <c r="J43" i="11"/>
  <c r="E43" i="11"/>
  <c r="J42" i="11"/>
  <c r="J41" i="11"/>
  <c r="E40" i="11"/>
  <c r="D40" i="11"/>
  <c r="E39" i="11"/>
  <c r="J38" i="11"/>
  <c r="I38" i="11"/>
  <c r="E38" i="11"/>
  <c r="J37" i="11"/>
  <c r="E37" i="11"/>
  <c r="J36" i="11"/>
  <c r="E36" i="11"/>
  <c r="J35" i="11"/>
  <c r="J34" i="11"/>
  <c r="E33" i="11"/>
  <c r="D33" i="11"/>
  <c r="E32" i="11"/>
  <c r="J31" i="11"/>
  <c r="I31" i="11"/>
  <c r="E31" i="11"/>
  <c r="J30" i="11"/>
  <c r="E30" i="11"/>
  <c r="J29" i="11"/>
  <c r="E29" i="11"/>
  <c r="J28" i="11"/>
  <c r="E28" i="11"/>
  <c r="J27" i="11"/>
  <c r="E27" i="11"/>
  <c r="J26" i="11"/>
  <c r="E26" i="11"/>
  <c r="J25" i="11"/>
  <c r="D23" i="11"/>
  <c r="J22" i="11"/>
  <c r="I22" i="11"/>
  <c r="E22" i="11"/>
  <c r="J21" i="11"/>
  <c r="E21" i="11"/>
  <c r="J20" i="11"/>
  <c r="E20" i="11"/>
  <c r="J19" i="11"/>
  <c r="E19" i="11"/>
  <c r="J18" i="11"/>
  <c r="E18" i="11"/>
  <c r="J17" i="11"/>
  <c r="E17" i="11"/>
  <c r="J16" i="11"/>
  <c r="E16" i="11"/>
  <c r="J15" i="11"/>
  <c r="E15" i="11"/>
  <c r="J14" i="11"/>
  <c r="E14" i="11"/>
  <c r="E23" i="11" s="1"/>
  <c r="J13" i="11"/>
  <c r="E13" i="11"/>
  <c r="E10" i="11"/>
  <c r="E6" i="11"/>
  <c r="E64" i="10"/>
  <c r="D64" i="10"/>
  <c r="E63" i="10"/>
  <c r="E62" i="10"/>
  <c r="J61" i="10"/>
  <c r="J6" i="10" s="1"/>
  <c r="E61" i="10"/>
  <c r="E60" i="10"/>
  <c r="J59" i="10"/>
  <c r="J4" i="10" s="1"/>
  <c r="E59" i="10"/>
  <c r="E58" i="10"/>
  <c r="J57" i="10"/>
  <c r="I57" i="10"/>
  <c r="E57" i="10"/>
  <c r="J56" i="10"/>
  <c r="J55" i="10"/>
  <c r="J54" i="10"/>
  <c r="E54" i="10"/>
  <c r="D54" i="10"/>
  <c r="J53" i="10"/>
  <c r="E53" i="10"/>
  <c r="E52" i="10"/>
  <c r="E51" i="10"/>
  <c r="J50" i="10"/>
  <c r="I50" i="10"/>
  <c r="E50" i="10"/>
  <c r="J49" i="10"/>
  <c r="E49" i="10"/>
  <c r="J48" i="10"/>
  <c r="J47" i="10"/>
  <c r="E46" i="10"/>
  <c r="D46" i="10"/>
  <c r="E45" i="10"/>
  <c r="J44" i="10"/>
  <c r="I44" i="10"/>
  <c r="E44" i="10"/>
  <c r="J43" i="10"/>
  <c r="E43" i="10"/>
  <c r="J42" i="10"/>
  <c r="J41" i="10"/>
  <c r="E40" i="10"/>
  <c r="D40" i="10"/>
  <c r="E39" i="10"/>
  <c r="J38" i="10"/>
  <c r="I38" i="10"/>
  <c r="E38" i="10"/>
  <c r="J37" i="10"/>
  <c r="E37" i="10"/>
  <c r="J36" i="10"/>
  <c r="E36" i="10"/>
  <c r="J35" i="10"/>
  <c r="J34" i="10"/>
  <c r="E33" i="10"/>
  <c r="D33" i="10"/>
  <c r="E32" i="10"/>
  <c r="J31" i="10"/>
  <c r="I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D23" i="10"/>
  <c r="J22" i="10"/>
  <c r="I22" i="10"/>
  <c r="E22" i="10"/>
  <c r="J21" i="10"/>
  <c r="E21" i="10"/>
  <c r="J20" i="10"/>
  <c r="E20" i="10"/>
  <c r="J19" i="10"/>
  <c r="E19" i="10"/>
  <c r="J18" i="10"/>
  <c r="E18" i="10"/>
  <c r="J17" i="10"/>
  <c r="E17" i="10"/>
  <c r="J16" i="10"/>
  <c r="E16" i="10"/>
  <c r="J15" i="10"/>
  <c r="E15" i="10"/>
  <c r="J14" i="10"/>
  <c r="E14" i="10"/>
  <c r="E23" i="10" s="1"/>
  <c r="J13" i="10"/>
  <c r="E13" i="10"/>
  <c r="E10" i="10"/>
  <c r="E6" i="10"/>
  <c r="E64" i="9"/>
  <c r="D64" i="9"/>
  <c r="E63" i="9"/>
  <c r="E62" i="9"/>
  <c r="J61" i="9"/>
  <c r="E61" i="9"/>
  <c r="E60" i="9"/>
  <c r="J59" i="9"/>
  <c r="E59" i="9"/>
  <c r="E58" i="9"/>
  <c r="J57" i="9"/>
  <c r="I57" i="9"/>
  <c r="E57" i="9"/>
  <c r="J56" i="9"/>
  <c r="J55" i="9"/>
  <c r="J54" i="9"/>
  <c r="E54" i="9"/>
  <c r="D54" i="9"/>
  <c r="J53" i="9"/>
  <c r="E53" i="9"/>
  <c r="E52" i="9"/>
  <c r="E51" i="9"/>
  <c r="J50" i="9"/>
  <c r="I50" i="9"/>
  <c r="E50" i="9"/>
  <c r="J49" i="9"/>
  <c r="E49" i="9"/>
  <c r="J48" i="9"/>
  <c r="J47" i="9"/>
  <c r="E46" i="9"/>
  <c r="D46" i="9"/>
  <c r="E45" i="9"/>
  <c r="J44" i="9"/>
  <c r="I44" i="9"/>
  <c r="E44" i="9"/>
  <c r="J43" i="9"/>
  <c r="E43" i="9"/>
  <c r="J42" i="9"/>
  <c r="J41" i="9"/>
  <c r="E40" i="9"/>
  <c r="D40" i="9"/>
  <c r="E39" i="9"/>
  <c r="J38" i="9"/>
  <c r="I38" i="9"/>
  <c r="E38" i="9"/>
  <c r="J37" i="9"/>
  <c r="E37" i="9"/>
  <c r="J36" i="9"/>
  <c r="E36" i="9"/>
  <c r="J35" i="9"/>
  <c r="J34" i="9"/>
  <c r="E33" i="9"/>
  <c r="D33" i="9"/>
  <c r="E32" i="9"/>
  <c r="J31" i="9"/>
  <c r="I31" i="9"/>
  <c r="E31" i="9"/>
  <c r="J30" i="9"/>
  <c r="E30" i="9"/>
  <c r="J29" i="9"/>
  <c r="E29" i="9"/>
  <c r="J28" i="9"/>
  <c r="E28" i="9"/>
  <c r="J27" i="9"/>
  <c r="E27" i="9"/>
  <c r="J26" i="9"/>
  <c r="E26" i="9"/>
  <c r="J25" i="9"/>
  <c r="E23" i="9"/>
  <c r="D23" i="9"/>
  <c r="J22" i="9"/>
  <c r="I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E10" i="9"/>
  <c r="E6" i="9"/>
  <c r="E64" i="8"/>
  <c r="D64" i="8"/>
  <c r="E63" i="8"/>
  <c r="E62" i="8"/>
  <c r="J61" i="8"/>
  <c r="E61" i="8"/>
  <c r="E60" i="8"/>
  <c r="J59" i="8"/>
  <c r="E59" i="8"/>
  <c r="E58" i="8"/>
  <c r="J57" i="8"/>
  <c r="I57" i="8"/>
  <c r="E57" i="8"/>
  <c r="J56" i="8"/>
  <c r="J55" i="8"/>
  <c r="J54" i="8"/>
  <c r="E54" i="8"/>
  <c r="D54" i="8"/>
  <c r="J53" i="8"/>
  <c r="E53" i="8"/>
  <c r="E52" i="8"/>
  <c r="E51" i="8"/>
  <c r="J50" i="8"/>
  <c r="I50" i="8"/>
  <c r="E50" i="8"/>
  <c r="J49" i="8"/>
  <c r="E49" i="8"/>
  <c r="J48" i="8"/>
  <c r="J47" i="8"/>
  <c r="E46" i="8"/>
  <c r="D46" i="8"/>
  <c r="E45" i="8"/>
  <c r="J44" i="8"/>
  <c r="I44" i="8"/>
  <c r="E44" i="8"/>
  <c r="J43" i="8"/>
  <c r="E43" i="8"/>
  <c r="J42" i="8"/>
  <c r="J41" i="8"/>
  <c r="E40" i="8"/>
  <c r="D40" i="8"/>
  <c r="E39" i="8"/>
  <c r="J38" i="8"/>
  <c r="I38" i="8"/>
  <c r="E38" i="8"/>
  <c r="J37" i="8"/>
  <c r="E37" i="8"/>
  <c r="J36" i="8"/>
  <c r="E36" i="8"/>
  <c r="J35" i="8"/>
  <c r="J34" i="8"/>
  <c r="E33" i="8"/>
  <c r="D33" i="8"/>
  <c r="E32" i="8"/>
  <c r="J31" i="8"/>
  <c r="I31" i="8"/>
  <c r="E31" i="8"/>
  <c r="J30" i="8"/>
  <c r="E30" i="8"/>
  <c r="J29" i="8"/>
  <c r="E29" i="8"/>
  <c r="J28" i="8"/>
  <c r="E28" i="8"/>
  <c r="J27" i="8"/>
  <c r="E27" i="8"/>
  <c r="J26" i="8"/>
  <c r="E26" i="8"/>
  <c r="J25" i="8"/>
  <c r="D23" i="8"/>
  <c r="J22" i="8"/>
  <c r="I22" i="8"/>
  <c r="E22" i="8"/>
  <c r="J21" i="8"/>
  <c r="E21" i="8"/>
  <c r="J20" i="8"/>
  <c r="E20" i="8"/>
  <c r="J19" i="8"/>
  <c r="E19" i="8"/>
  <c r="J18" i="8"/>
  <c r="E18" i="8"/>
  <c r="J17" i="8"/>
  <c r="E17" i="8"/>
  <c r="J16" i="8"/>
  <c r="E16" i="8"/>
  <c r="J15" i="8"/>
  <c r="E15" i="8"/>
  <c r="J14" i="8"/>
  <c r="E14" i="8"/>
  <c r="J13" i="8"/>
  <c r="E13" i="8"/>
  <c r="E10" i="8"/>
  <c r="E6" i="8"/>
  <c r="E64" i="7"/>
  <c r="D64" i="7"/>
  <c r="E63" i="7"/>
  <c r="E62" i="7"/>
  <c r="J61" i="7"/>
  <c r="E61" i="7"/>
  <c r="E60" i="7"/>
  <c r="J59" i="7"/>
  <c r="E59" i="7"/>
  <c r="E58" i="7"/>
  <c r="J57" i="7"/>
  <c r="I57" i="7"/>
  <c r="E57" i="7"/>
  <c r="J56" i="7"/>
  <c r="J55" i="7"/>
  <c r="J54" i="7"/>
  <c r="E54" i="7"/>
  <c r="D54" i="7"/>
  <c r="J53" i="7"/>
  <c r="E53" i="7"/>
  <c r="E52" i="7"/>
  <c r="E51" i="7"/>
  <c r="J50" i="7"/>
  <c r="I50" i="7"/>
  <c r="E50" i="7"/>
  <c r="J49" i="7"/>
  <c r="E49" i="7"/>
  <c r="J48" i="7"/>
  <c r="J47" i="7"/>
  <c r="E46" i="7"/>
  <c r="D46" i="7"/>
  <c r="E45" i="7"/>
  <c r="J44" i="7"/>
  <c r="I44" i="7"/>
  <c r="E44" i="7"/>
  <c r="J43" i="7"/>
  <c r="E43" i="7"/>
  <c r="J42" i="7"/>
  <c r="J41" i="7"/>
  <c r="E40" i="7"/>
  <c r="D40" i="7"/>
  <c r="E39" i="7"/>
  <c r="J38" i="7"/>
  <c r="I38" i="7"/>
  <c r="E38" i="7"/>
  <c r="J37" i="7"/>
  <c r="E37" i="7"/>
  <c r="J36" i="7"/>
  <c r="E36" i="7"/>
  <c r="J35" i="7"/>
  <c r="J34" i="7"/>
  <c r="E33" i="7"/>
  <c r="D33" i="7"/>
  <c r="E32" i="7"/>
  <c r="J31" i="7"/>
  <c r="I31" i="7"/>
  <c r="E31" i="7"/>
  <c r="J30" i="7"/>
  <c r="E30" i="7"/>
  <c r="J29" i="7"/>
  <c r="E29" i="7"/>
  <c r="J28" i="7"/>
  <c r="E28" i="7"/>
  <c r="J27" i="7"/>
  <c r="E27" i="7"/>
  <c r="J26" i="7"/>
  <c r="E26" i="7"/>
  <c r="J25" i="7"/>
  <c r="D23" i="7"/>
  <c r="J22" i="7"/>
  <c r="I22" i="7"/>
  <c r="E22" i="7"/>
  <c r="J21" i="7"/>
  <c r="E21" i="7"/>
  <c r="J20" i="7"/>
  <c r="E20" i="7"/>
  <c r="J19" i="7"/>
  <c r="E19" i="7"/>
  <c r="J18" i="7"/>
  <c r="E18" i="7"/>
  <c r="J17" i="7"/>
  <c r="E17" i="7"/>
  <c r="J16" i="7"/>
  <c r="E16" i="7"/>
  <c r="J15" i="7"/>
  <c r="E15" i="7"/>
  <c r="J14" i="7"/>
  <c r="E14" i="7"/>
  <c r="E23" i="7" s="1"/>
  <c r="J13" i="7"/>
  <c r="E13" i="7"/>
  <c r="E10" i="7"/>
  <c r="E6" i="7"/>
  <c r="E64" i="6"/>
  <c r="D64" i="6"/>
  <c r="E63" i="6"/>
  <c r="E62" i="6"/>
  <c r="J61" i="6"/>
  <c r="E61" i="6"/>
  <c r="E60" i="6"/>
  <c r="J59" i="6"/>
  <c r="E59" i="6"/>
  <c r="E58" i="6"/>
  <c r="J57" i="6"/>
  <c r="I57" i="6"/>
  <c r="E57" i="6"/>
  <c r="J56" i="6"/>
  <c r="J55" i="6"/>
  <c r="J54" i="6"/>
  <c r="E54" i="6"/>
  <c r="D54" i="6"/>
  <c r="J53" i="6"/>
  <c r="E53" i="6"/>
  <c r="E52" i="6"/>
  <c r="E51" i="6"/>
  <c r="J50" i="6"/>
  <c r="I50" i="6"/>
  <c r="E50" i="6"/>
  <c r="J49" i="6"/>
  <c r="E49" i="6"/>
  <c r="J48" i="6"/>
  <c r="J47" i="6"/>
  <c r="E46" i="6"/>
  <c r="D46" i="6"/>
  <c r="E45" i="6"/>
  <c r="J44" i="6"/>
  <c r="I44" i="6"/>
  <c r="E44" i="6"/>
  <c r="J43" i="6"/>
  <c r="E43" i="6"/>
  <c r="J42" i="6"/>
  <c r="J41" i="6"/>
  <c r="E40" i="6"/>
  <c r="D40" i="6"/>
  <c r="E39" i="6"/>
  <c r="J38" i="6"/>
  <c r="I38" i="6"/>
  <c r="E38" i="6"/>
  <c r="J37" i="6"/>
  <c r="E37" i="6"/>
  <c r="J36" i="6"/>
  <c r="E36" i="6"/>
  <c r="J35" i="6"/>
  <c r="J34" i="6"/>
  <c r="E33" i="6"/>
  <c r="D33" i="6"/>
  <c r="E32" i="6"/>
  <c r="J31" i="6"/>
  <c r="I31" i="6"/>
  <c r="E31" i="6"/>
  <c r="J30" i="6"/>
  <c r="E30" i="6"/>
  <c r="J29" i="6"/>
  <c r="E29" i="6"/>
  <c r="J28" i="6"/>
  <c r="E28" i="6"/>
  <c r="J27" i="6"/>
  <c r="E27" i="6"/>
  <c r="J26" i="6"/>
  <c r="E26" i="6"/>
  <c r="J25" i="6"/>
  <c r="D23" i="6"/>
  <c r="J22" i="6"/>
  <c r="I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E10" i="6"/>
  <c r="E6" i="6"/>
  <c r="E64" i="5"/>
  <c r="D64" i="5"/>
  <c r="E63" i="5"/>
  <c r="E62" i="5"/>
  <c r="J61" i="5"/>
  <c r="J6" i="5" s="1"/>
  <c r="E61" i="5"/>
  <c r="E60" i="5"/>
  <c r="J59" i="5"/>
  <c r="E59" i="5"/>
  <c r="E58" i="5"/>
  <c r="J57" i="5"/>
  <c r="I57" i="5"/>
  <c r="E57" i="5"/>
  <c r="J56" i="5"/>
  <c r="J55" i="5"/>
  <c r="J54" i="5"/>
  <c r="E54" i="5"/>
  <c r="D54" i="5"/>
  <c r="J53" i="5"/>
  <c r="E53" i="5"/>
  <c r="E52" i="5"/>
  <c r="E51" i="5"/>
  <c r="J50" i="5"/>
  <c r="I50" i="5"/>
  <c r="E50" i="5"/>
  <c r="J49" i="5"/>
  <c r="E49" i="5"/>
  <c r="J48" i="5"/>
  <c r="J47" i="5"/>
  <c r="E46" i="5"/>
  <c r="D46" i="5"/>
  <c r="E45" i="5"/>
  <c r="J44" i="5"/>
  <c r="I44" i="5"/>
  <c r="E44" i="5"/>
  <c r="J43" i="5"/>
  <c r="E43" i="5"/>
  <c r="J42" i="5"/>
  <c r="J41" i="5"/>
  <c r="E40" i="5"/>
  <c r="D40" i="5"/>
  <c r="E39" i="5"/>
  <c r="J38" i="5"/>
  <c r="I38" i="5"/>
  <c r="E38" i="5"/>
  <c r="J37" i="5"/>
  <c r="E37" i="5"/>
  <c r="J36" i="5"/>
  <c r="E36" i="5"/>
  <c r="J35" i="5"/>
  <c r="J34" i="5"/>
  <c r="E33" i="5"/>
  <c r="D33" i="5"/>
  <c r="E32" i="5"/>
  <c r="J31" i="5"/>
  <c r="I31" i="5"/>
  <c r="E31" i="5"/>
  <c r="J30" i="5"/>
  <c r="E30" i="5"/>
  <c r="J29" i="5"/>
  <c r="E29" i="5"/>
  <c r="J28" i="5"/>
  <c r="E28" i="5"/>
  <c r="J27" i="5"/>
  <c r="E27" i="5"/>
  <c r="J26" i="5"/>
  <c r="E26" i="5"/>
  <c r="J25" i="5"/>
  <c r="D23" i="5"/>
  <c r="J22" i="5"/>
  <c r="I22" i="5"/>
  <c r="E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E10" i="5"/>
  <c r="E6" i="5"/>
  <c r="E64" i="4"/>
  <c r="D64" i="4"/>
  <c r="E63" i="4"/>
  <c r="E62" i="4"/>
  <c r="J61" i="4"/>
  <c r="J6" i="4" s="1"/>
  <c r="E61" i="4"/>
  <c r="E60" i="4"/>
  <c r="J59" i="4"/>
  <c r="E59" i="4"/>
  <c r="E58" i="4"/>
  <c r="J57" i="4"/>
  <c r="I57" i="4"/>
  <c r="E57" i="4"/>
  <c r="J56" i="4"/>
  <c r="J55" i="4"/>
  <c r="J54" i="4"/>
  <c r="E54" i="4"/>
  <c r="D54" i="4"/>
  <c r="J53" i="4"/>
  <c r="E53" i="4"/>
  <c r="E52" i="4"/>
  <c r="E51" i="4"/>
  <c r="J50" i="4"/>
  <c r="I50" i="4"/>
  <c r="E50" i="4"/>
  <c r="J49" i="4"/>
  <c r="E49" i="4"/>
  <c r="J48" i="4"/>
  <c r="J47" i="4"/>
  <c r="E46" i="4"/>
  <c r="D46" i="4"/>
  <c r="E45" i="4"/>
  <c r="J44" i="4"/>
  <c r="I44" i="4"/>
  <c r="E44" i="4"/>
  <c r="J43" i="4"/>
  <c r="E43" i="4"/>
  <c r="J42" i="4"/>
  <c r="J41" i="4"/>
  <c r="E40" i="4"/>
  <c r="D40" i="4"/>
  <c r="E39" i="4"/>
  <c r="J38" i="4"/>
  <c r="I38" i="4"/>
  <c r="E38" i="4"/>
  <c r="J37" i="4"/>
  <c r="E37" i="4"/>
  <c r="J36" i="4"/>
  <c r="E36" i="4"/>
  <c r="J35" i="4"/>
  <c r="J34" i="4"/>
  <c r="E33" i="4"/>
  <c r="D33" i="4"/>
  <c r="E32" i="4"/>
  <c r="J31" i="4"/>
  <c r="I31" i="4"/>
  <c r="E31" i="4"/>
  <c r="J30" i="4"/>
  <c r="E30" i="4"/>
  <c r="J29" i="4"/>
  <c r="E29" i="4"/>
  <c r="J28" i="4"/>
  <c r="E28" i="4"/>
  <c r="J27" i="4"/>
  <c r="E27" i="4"/>
  <c r="J26" i="4"/>
  <c r="E26" i="4"/>
  <c r="J25" i="4"/>
  <c r="D23" i="4"/>
  <c r="J22" i="4"/>
  <c r="I22" i="4"/>
  <c r="E22" i="4"/>
  <c r="J21" i="4"/>
  <c r="E21" i="4"/>
  <c r="J20" i="4"/>
  <c r="E20" i="4"/>
  <c r="J19" i="4"/>
  <c r="E19" i="4"/>
  <c r="J18" i="4"/>
  <c r="E18" i="4"/>
  <c r="J17" i="4"/>
  <c r="E17" i="4"/>
  <c r="J16" i="4"/>
  <c r="E16" i="4"/>
  <c r="J15" i="4"/>
  <c r="E15" i="4"/>
  <c r="J14" i="4"/>
  <c r="E14" i="4"/>
  <c r="J13" i="4"/>
  <c r="E13" i="4"/>
  <c r="E10" i="4"/>
  <c r="E6" i="4"/>
  <c r="J57" i="1"/>
  <c r="I57" i="1"/>
  <c r="J50" i="1"/>
  <c r="I50" i="1"/>
  <c r="J44" i="1"/>
  <c r="I44" i="1"/>
  <c r="J38" i="1"/>
  <c r="I38" i="1"/>
  <c r="J31" i="1"/>
  <c r="I31" i="1"/>
  <c r="J22" i="1"/>
  <c r="I22" i="1"/>
  <c r="E64" i="1"/>
  <c r="D64" i="1"/>
  <c r="E54" i="1"/>
  <c r="D54" i="1"/>
  <c r="E46" i="1"/>
  <c r="D46" i="1"/>
  <c r="E40" i="1"/>
  <c r="D40" i="1"/>
  <c r="E33" i="1"/>
  <c r="D33" i="1"/>
  <c r="E23" i="1"/>
  <c r="D23" i="1"/>
  <c r="E10" i="1"/>
  <c r="E6" i="1"/>
  <c r="J61" i="1"/>
  <c r="J59" i="1"/>
  <c r="J53" i="1"/>
  <c r="J54" i="1"/>
  <c r="J55" i="1"/>
  <c r="J56" i="1"/>
  <c r="J47" i="1"/>
  <c r="J48" i="1"/>
  <c r="J49" i="1"/>
  <c r="J41" i="1"/>
  <c r="J42" i="1"/>
  <c r="J43" i="1"/>
  <c r="J34" i="1"/>
  <c r="J35" i="1"/>
  <c r="J36" i="1"/>
  <c r="J37" i="1"/>
  <c r="J25" i="1"/>
  <c r="J26" i="1"/>
  <c r="J27" i="1"/>
  <c r="J28" i="1"/>
  <c r="J29" i="1"/>
  <c r="J30" i="1"/>
  <c r="J13" i="1"/>
  <c r="J14" i="1"/>
  <c r="J15" i="1"/>
  <c r="J16" i="1"/>
  <c r="J17" i="1"/>
  <c r="J18" i="1"/>
  <c r="J19" i="1"/>
  <c r="J20" i="1"/>
  <c r="J21" i="1"/>
  <c r="E57" i="1"/>
  <c r="E58" i="1"/>
  <c r="E59" i="1"/>
  <c r="E60" i="1"/>
  <c r="E61" i="1"/>
  <c r="E62" i="1"/>
  <c r="E63" i="1"/>
  <c r="E49" i="1"/>
  <c r="E50" i="1"/>
  <c r="E51" i="1"/>
  <c r="E52" i="1"/>
  <c r="E53" i="1"/>
  <c r="E43" i="1"/>
  <c r="E44" i="1"/>
  <c r="E45" i="1"/>
  <c r="E36" i="1"/>
  <c r="E37" i="1"/>
  <c r="E38" i="1"/>
  <c r="E39" i="1"/>
  <c r="E26" i="1"/>
  <c r="E27" i="1"/>
  <c r="E28" i="1"/>
  <c r="E29" i="1"/>
  <c r="E30" i="1"/>
  <c r="E31" i="1"/>
  <c r="E32" i="1"/>
  <c r="E13" i="1"/>
  <c r="E14" i="1"/>
  <c r="E15" i="1"/>
  <c r="E16" i="1"/>
  <c r="E17" i="1"/>
  <c r="E18" i="1"/>
  <c r="E19" i="1"/>
  <c r="E20" i="1"/>
  <c r="E21" i="1"/>
  <c r="E22" i="1"/>
  <c r="B8" i="3" l="1"/>
  <c r="E8" i="3"/>
  <c r="E2" i="3" s="1"/>
  <c r="K36" i="3"/>
  <c r="D8" i="3"/>
  <c r="D2" i="3" s="1"/>
  <c r="I8" i="3"/>
  <c r="I2" i="3" s="1"/>
  <c r="J36" i="3"/>
  <c r="K41" i="3"/>
  <c r="L82" i="3"/>
  <c r="I87" i="3"/>
  <c r="B87" i="3"/>
  <c r="L87" i="3"/>
  <c r="J8" i="3"/>
  <c r="J2" i="3" s="1"/>
  <c r="G8" i="3"/>
  <c r="G2" i="3" s="1"/>
  <c r="F36" i="3"/>
  <c r="H41" i="3"/>
  <c r="F92" i="3"/>
  <c r="M92" i="3"/>
  <c r="C92" i="3"/>
  <c r="G36" i="3"/>
  <c r="E98" i="3"/>
  <c r="G41" i="3"/>
  <c r="D92" i="3"/>
  <c r="H8" i="3"/>
  <c r="H2" i="3" s="1"/>
  <c r="B30" i="3"/>
  <c r="H48" i="3"/>
  <c r="C87" i="3"/>
  <c r="M87" i="3"/>
  <c r="J48" i="3"/>
  <c r="H87" i="3"/>
  <c r="M21" i="3"/>
  <c r="E30" i="3"/>
  <c r="D30" i="3"/>
  <c r="J41" i="3"/>
  <c r="D48" i="3"/>
  <c r="D57" i="3"/>
  <c r="B76" i="3"/>
  <c r="L76" i="3"/>
  <c r="K76" i="3"/>
  <c r="J82" i="3"/>
  <c r="E92" i="3"/>
  <c r="J98" i="3"/>
  <c r="M36" i="3"/>
  <c r="K8" i="3"/>
  <c r="K2" i="3" s="1"/>
  <c r="L41" i="3"/>
  <c r="H36" i="3"/>
  <c r="L8" i="3"/>
  <c r="L2" i="3" s="1"/>
  <c r="B41" i="3"/>
  <c r="I57" i="3"/>
  <c r="J87" i="3"/>
  <c r="J92" i="3"/>
  <c r="F48" i="3"/>
  <c r="F57" i="3"/>
  <c r="B68" i="3"/>
  <c r="L68" i="3"/>
  <c r="I68" i="3"/>
  <c r="D76" i="3"/>
  <c r="B82" i="3"/>
  <c r="I82" i="3"/>
  <c r="D87" i="3"/>
  <c r="G92" i="3"/>
  <c r="L92" i="3"/>
  <c r="B92" i="3"/>
  <c r="L98" i="3"/>
  <c r="B21" i="3"/>
  <c r="K68" i="3"/>
  <c r="M76" i="3"/>
  <c r="K82" i="3"/>
  <c r="K98" i="3"/>
  <c r="K21" i="3"/>
  <c r="K30" i="3"/>
  <c r="L21" i="3"/>
  <c r="H30" i="3"/>
  <c r="L36" i="3"/>
  <c r="C41" i="3"/>
  <c r="M41" i="3"/>
  <c r="F41" i="3"/>
  <c r="G48" i="3"/>
  <c r="G57" i="3"/>
  <c r="J57" i="3"/>
  <c r="C68" i="3"/>
  <c r="M68" i="3"/>
  <c r="H68" i="3"/>
  <c r="E76" i="3"/>
  <c r="J76" i="3"/>
  <c r="C82" i="3"/>
  <c r="M82" i="3"/>
  <c r="H82" i="3"/>
  <c r="E87" i="3"/>
  <c r="H92" i="3"/>
  <c r="K92" i="3"/>
  <c r="C98" i="3"/>
  <c r="M98" i="3"/>
  <c r="C21" i="3"/>
  <c r="J21" i="3"/>
  <c r="C36" i="3"/>
  <c r="J68" i="3"/>
  <c r="I30" i="3"/>
  <c r="C30" i="3"/>
  <c r="B36" i="3"/>
  <c r="I36" i="3"/>
  <c r="D41" i="3"/>
  <c r="H57" i="3"/>
  <c r="D68" i="3"/>
  <c r="G68" i="3"/>
  <c r="F76" i="3"/>
  <c r="I76" i="3"/>
  <c r="D82" i="3"/>
  <c r="F87" i="3"/>
  <c r="K87" i="3"/>
  <c r="I92" i="3"/>
  <c r="D98" i="3"/>
  <c r="G98" i="3"/>
  <c r="D21" i="3"/>
  <c r="I21" i="3"/>
  <c r="E57" i="3"/>
  <c r="C76" i="3"/>
  <c r="G30" i="3"/>
  <c r="J30" i="3"/>
  <c r="L30" i="3"/>
  <c r="E41" i="3"/>
  <c r="I48" i="3"/>
  <c r="E68" i="3"/>
  <c r="F68" i="3"/>
  <c r="G76" i="3"/>
  <c r="H76" i="3"/>
  <c r="E82" i="3"/>
  <c r="G87" i="3"/>
  <c r="B98" i="3"/>
  <c r="F98" i="3"/>
  <c r="C8" i="3"/>
  <c r="M8" i="3"/>
  <c r="M2" i="3" s="1"/>
  <c r="E21" i="3"/>
  <c r="H21" i="3"/>
  <c r="F30" i="3"/>
  <c r="D36" i="3"/>
  <c r="E48" i="3"/>
  <c r="G21" i="3"/>
  <c r="K57" i="3"/>
  <c r="G82" i="3"/>
  <c r="B48" i="3"/>
  <c r="L48" i="3"/>
  <c r="B57" i="3"/>
  <c r="L57" i="3"/>
  <c r="H98" i="3"/>
  <c r="F8" i="3"/>
  <c r="F2" i="3" s="1"/>
  <c r="F21" i="3"/>
  <c r="F82" i="3"/>
  <c r="K48" i="3"/>
  <c r="I41" i="3"/>
  <c r="C48" i="3"/>
  <c r="M48" i="3"/>
  <c r="C57" i="3"/>
  <c r="M57" i="3"/>
  <c r="I98" i="3"/>
  <c r="M30" i="3"/>
  <c r="J6" i="14"/>
  <c r="J6" i="12"/>
  <c r="J4" i="12"/>
  <c r="J6" i="11"/>
  <c r="J4" i="11"/>
  <c r="J6" i="9"/>
  <c r="J4" i="9"/>
  <c r="J6" i="8"/>
  <c r="J4" i="8"/>
  <c r="J6" i="7"/>
  <c r="J8" i="7" s="1"/>
  <c r="J4" i="7"/>
  <c r="J6" i="6"/>
  <c r="J4" i="5"/>
  <c r="J4" i="4"/>
  <c r="E23" i="4"/>
  <c r="J4" i="14"/>
  <c r="J8" i="14" s="1"/>
  <c r="J4" i="13"/>
  <c r="J8" i="13" s="1"/>
  <c r="J8" i="12"/>
  <c r="J63" i="12"/>
  <c r="J63" i="11"/>
  <c r="J8" i="10"/>
  <c r="J63" i="10"/>
  <c r="J8" i="9"/>
  <c r="J63" i="9"/>
  <c r="E23" i="5"/>
  <c r="E23" i="6"/>
  <c r="J63" i="6"/>
  <c r="E23" i="8"/>
  <c r="J8" i="8"/>
  <c r="J63" i="8"/>
  <c r="J63" i="7"/>
  <c r="J4" i="6"/>
  <c r="J8" i="5"/>
  <c r="J63" i="5"/>
  <c r="J8" i="4"/>
  <c r="J63" i="4"/>
  <c r="J6" i="1"/>
  <c r="J4" i="1"/>
  <c r="J8" i="1" s="1"/>
  <c r="J63" i="1"/>
  <c r="B2" i="3" l="1"/>
  <c r="C2" i="3"/>
  <c r="M99" i="3"/>
  <c r="M3" i="3" s="1"/>
  <c r="M4" i="3" s="1"/>
  <c r="L99" i="3"/>
  <c r="L3" i="3" s="1"/>
  <c r="L4" i="3" s="1"/>
  <c r="K99" i="3"/>
  <c r="K3" i="3" s="1"/>
  <c r="K4" i="3" s="1"/>
  <c r="F99" i="3"/>
  <c r="F3" i="3" s="1"/>
  <c r="F4" i="3" s="1"/>
  <c r="G99" i="3"/>
  <c r="G3" i="3" s="1"/>
  <c r="G4" i="3" s="1"/>
  <c r="J99" i="3"/>
  <c r="J3" i="3" s="1"/>
  <c r="J4" i="3" s="1"/>
  <c r="H99" i="3"/>
  <c r="H3" i="3" s="1"/>
  <c r="H4" i="3" s="1"/>
  <c r="B99" i="3"/>
  <c r="I99" i="3"/>
  <c r="I3" i="3" s="1"/>
  <c r="I4" i="3" s="1"/>
  <c r="D99" i="3"/>
  <c r="D3" i="3" s="1"/>
  <c r="D4" i="3" s="1"/>
  <c r="C99" i="3"/>
  <c r="E99" i="3"/>
  <c r="E3" i="3" s="1"/>
  <c r="E4" i="3" s="1"/>
  <c r="J8" i="11"/>
  <c r="J8" i="6"/>
  <c r="B3" i="3" l="1"/>
  <c r="C3" i="3"/>
  <c r="B4" i="3" l="1"/>
  <c r="C4" i="3"/>
</calcChain>
</file>

<file path=xl/sharedStrings.xml><?xml version="1.0" encoding="utf-8"?>
<sst xmlns="http://schemas.openxmlformats.org/spreadsheetml/2006/main" count="1962" uniqueCount="146">
  <si>
    <t>ABOUT THIS TEMPLATE</t>
  </si>
  <si>
    <t>Enter expenses incurred on various categories in respective tables.</t>
  </si>
  <si>
    <t>Projected balance, actual balance, and difference are auto-calculated.</t>
  </si>
  <si>
    <t>Note: </t>
  </si>
  <si>
    <t>To learn more about tables in the worksheet, press SHIFT and then F10 within a table, select the TABLE option, and then select ALTERNATIVE TEXT.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</si>
  <si>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</si>
  <si>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</si>
  <si>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Projected Monthly Income label is in cell at right. Enter Income 1 in cell E4 and Extra Income in E5 to calculate Total monthly income in E6. Next instruction is in cell A6.</t>
  </si>
  <si>
    <t>PROJECTED MONTHLY INCOME</t>
  </si>
  <si>
    <t>Income 1</t>
  </si>
  <si>
    <t>PROJECTED BALANCE 
(Projected income minus expenses)</t>
  </si>
  <si>
    <t>Extra income</t>
  </si>
  <si>
    <t>Projected Balance is auto calculated in cell J4, Actual Balance in J6, and Difference in J8. Next instruction is in cell A8.</t>
  </si>
  <si>
    <t>Total monthly income</t>
  </si>
  <si>
    <t>ACTUAL BALANCE 
(Actual income minus expenses)</t>
  </si>
  <si>
    <t>Actual Monthly Income label is in cell at right. Enter Income 1 in cell E8 and Extra Income in E9 to calculate Total monthly income in E10. Next instruction is in cell A12.</t>
  </si>
  <si>
    <t>ACTUAL MONTHLY INCOME</t>
  </si>
  <si>
    <t>DIFFERENCE 
(Actual minus projected)</t>
  </si>
  <si>
    <t>Enter details in Housing table starting in cell at right and in Entertainment table starting in cell G12. Next instruction is in cell A25.</t>
  </si>
  <si>
    <t>HOUSING</t>
  </si>
  <si>
    <t>Projected Cost</t>
  </si>
  <si>
    <t>Actual Cost</t>
  </si>
  <si>
    <t>Difference</t>
  </si>
  <si>
    <t>ENTERTAINMENT</t>
  </si>
  <si>
    <t>Mortgage or rent</t>
  </si>
  <si>
    <t>Night out</t>
  </si>
  <si>
    <t>Phone</t>
  </si>
  <si>
    <t>Music platforms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</si>
  <si>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</si>
  <si>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</si>
  <si>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</si>
  <si>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</si>
  <si>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</si>
  <si>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</si>
  <si>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</si>
  <si>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</si>
  <si>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</si>
  <si>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</si>
  <si>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</si>
  <si>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</si>
  <si>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LOANS</t>
  </si>
  <si>
    <t>Enter details in Transportation table starting in cell at right and in Loans table starting in cell G24. Next instruction is in cell A35.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</si>
  <si>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</si>
  <si>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</si>
  <si>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</si>
  <si>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</si>
  <si>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</si>
  <si>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</si>
  <si>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</si>
  <si>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</si>
  <si>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</si>
  <si>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TAXES</t>
  </si>
  <si>
    <t>Federal</t>
  </si>
  <si>
    <t>Enter details in Insurance table starting in cell at right and in Taxes table starting in cell G33. Next instruction is in cell A42.</t>
  </si>
  <si>
    <t>INSURANCE</t>
  </si>
  <si>
    <t>State</t>
  </si>
  <si>
    <t>Local</t>
  </si>
  <si>
    <t>Health</t>
  </si>
  <si>
    <t>Life</t>
  </si>
  <si>
    <t>SAVINGS OR INVESTMENTS</t>
  </si>
  <si>
    <t>Retirement account</t>
  </si>
  <si>
    <t>Enter details in Food table starting in cell at right and in Savings table starting in cell G40. Next instruction is in cell A48.</t>
  </si>
  <si>
    <t>FOOD</t>
  </si>
  <si>
    <t>Investment account</t>
  </si>
  <si>
    <t>Groceries</t>
  </si>
  <si>
    <t>Dining out</t>
  </si>
  <si>
    <t>GIFTS AND DONATIONS</t>
  </si>
  <si>
    <t>Charity 1</t>
  </si>
  <si>
    <t>Enter details in Pets table starting in cell at right and in Gifts table starting in cell G46. Next instruction is in cell A56.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</si>
  <si>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</si>
  <si>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</si>
  <si>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</si>
  <si>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</si>
  <si>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</si>
  <si>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</si>
  <si>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</si>
  <si>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</si>
  <si>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</si>
  <si>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</si>
  <si>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</si>
  <si>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Enter details in Personal Care table starting in cell at right and in Legal table starting in cell G52. Next instruction is in cell A59.</t>
  </si>
  <si>
    <t>PERSONAL CARE</t>
  </si>
  <si>
    <t>Hair/nails</t>
  </si>
  <si>
    <t>Total Projected Cost is auto calculated in cell J59, Total Actual Cost in J61, and Total Difference in J63.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</si>
  <si>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</si>
  <si>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</si>
  <si>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</si>
  <si>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</si>
  <si>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</si>
  <si>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</si>
  <si>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TOTAL DIFFERENCE</t>
  </si>
  <si>
    <t>Expenses</t>
  </si>
  <si>
    <t>Income</t>
  </si>
  <si>
    <t>TOTAL</t>
  </si>
  <si>
    <t>Home / Renter's Ins</t>
  </si>
  <si>
    <t>Extra Income</t>
  </si>
  <si>
    <t>Mortgage or Rent</t>
  </si>
  <si>
    <t>Water and electricity</t>
  </si>
  <si>
    <t>Waste Removal</t>
  </si>
  <si>
    <t>Maintenance or Repairs</t>
  </si>
  <si>
    <t>Vehicle Payment</t>
  </si>
  <si>
    <t>Bus / Taxi fare</t>
  </si>
  <si>
    <t>Dining Out</t>
  </si>
  <si>
    <t>Hair / Nails</t>
  </si>
  <si>
    <t>Organization dues / fees</t>
  </si>
  <si>
    <t>Sporting Events</t>
  </si>
  <si>
    <t>Live Theater</t>
  </si>
  <si>
    <t>Payments on liens or judgement</t>
  </si>
  <si>
    <t>TOTAL MONTHLY INCOME</t>
  </si>
  <si>
    <t>TOTAL MONTHLY EXPENSES</t>
  </si>
  <si>
    <t>PERSONAL MONTHLY BUDGET - MONTH 12</t>
  </si>
  <si>
    <t>PERSONAL MONTHLY BUDGET - MONTH 11</t>
  </si>
  <si>
    <t>PERSONAL MONTHLY BUDGET - MONTH 10</t>
  </si>
  <si>
    <t>PERSONAL MONTHLY BUDGET - MONTH 9</t>
  </si>
  <si>
    <t>PERSONAL MONTHLY BUDGET - MONTH 8</t>
  </si>
  <si>
    <t>PERSONAL MONTHLY BUDGET - MONTH 7</t>
  </si>
  <si>
    <t>PERSONAL MONTHLY BUDGET - MONTH 6</t>
  </si>
  <si>
    <t>PERSONAL MONTHLY BUDGET - MONTH 5</t>
  </si>
  <si>
    <t>PERSONAL MONTHLY BUDGET - MONTH 4</t>
  </si>
  <si>
    <t>PERSONAL MONTHLY BUDGET - MONTH 3</t>
  </si>
  <si>
    <t>PERSONAL MONTHLY BUDGET - MONTH 2</t>
  </si>
  <si>
    <t>PERSONAL MONTHLY BUDGET - MONTH 1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</si>
  <si>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</si>
  <si>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</si>
  <si>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</si>
  <si>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</si>
  <si>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</si>
  <si>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</si>
  <si>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</si>
  <si>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</si>
  <si>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</si>
  <si>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</si>
  <si>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</si>
  <si>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</si>
  <si>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Cash extra / short</t>
  </si>
  <si>
    <t>YEAR</t>
  </si>
  <si>
    <t>EXPENSES</t>
  </si>
  <si>
    <t>INCOME</t>
  </si>
  <si>
    <t>The months are labeled 1-12 instead of with names to encourage an immediate start to budgeting rather than waiting for the new calendar year.</t>
  </si>
  <si>
    <t xml:space="preserve">This document contains 14 sheets: START, YEARLY BUDGET, and 12 PERSONAL MONTHLY BUDGET worksheets. </t>
  </si>
  <si>
    <t>Use the PERSONAL MONTHLY BUDGET worksheets to track your projected and actual monthly income and projected and actual cost.</t>
  </si>
  <si>
    <t xml:space="preserve">Additional instructions have been provided in column A in PERSONAL MONTHLY BUDGET worksheet. </t>
  </si>
  <si>
    <t xml:space="preserve">This text has been intentionally hidden. </t>
  </si>
  <si>
    <r>
      <t xml:space="preserve">To </t>
    </r>
    <r>
      <rPr>
        <b/>
        <u/>
        <sz val="12"/>
        <color theme="1" tint="0.24994659260841701"/>
        <rFont val="Calibri (Body)"/>
      </rPr>
      <t>unhide</t>
    </r>
    <r>
      <rPr>
        <sz val="12"/>
        <color theme="1" tint="0.24994659260841701"/>
        <rFont val="Calibri"/>
        <family val="2"/>
        <scheme val="minor"/>
      </rPr>
      <t xml:space="preserve"> text, select column A, then change font color.</t>
    </r>
  </si>
  <si>
    <r>
      <t xml:space="preserve">To </t>
    </r>
    <r>
      <rPr>
        <b/>
        <u/>
        <sz val="12"/>
        <color theme="1" tint="0.24994659260841701"/>
        <rFont val="Calibri (Body)"/>
      </rPr>
      <t>remove</t>
    </r>
    <r>
      <rPr>
        <sz val="12"/>
        <color theme="1" tint="0.24994659260841701"/>
        <rFont val="Calibri"/>
        <family val="2"/>
        <scheme val="minor"/>
      </rPr>
      <t xml:space="preserve"> text, select column A, then select DELETE. </t>
    </r>
  </si>
  <si>
    <r>
      <t xml:space="preserve">The YEARLY BUDGET sheet is all </t>
    </r>
    <r>
      <rPr>
        <b/>
        <u/>
        <sz val="12"/>
        <color theme="1" tint="0.24994659260841701"/>
        <rFont val="Calibri (Body)"/>
      </rPr>
      <t>automatically calculated</t>
    </r>
    <r>
      <rPr>
        <u/>
        <sz val="12"/>
        <color theme="1" tint="0.24994659260841701"/>
        <rFont val="Calibri"/>
        <family val="2"/>
        <scheme val="minor"/>
      </rPr>
      <t xml:space="preserve"> </t>
    </r>
    <r>
      <rPr>
        <sz val="12"/>
        <color theme="1" tint="0.24994659260841701"/>
        <rFont val="Calibri"/>
        <family val="2"/>
        <scheme val="minor"/>
      </rPr>
      <t>based on inputs from the PERSONAL MONTHLY BUDGET worksheets.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</si>
</sst>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&quot;$&quot;#,##0"/>
  </numFmts>
  <fonts count="25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6"/>
      <color theme="1" tint="0.24994659260841701"/>
      <name val="Century Gothic"/>
      <family val="2"/>
      <scheme val="maj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ntarell"/>
    </font>
    <font>
      <sz val="8"/>
      <color theme="1"/>
      <name val="Cantarell"/>
    </font>
    <font>
      <b/>
      <sz val="10"/>
      <color theme="1"/>
      <name val="Cantarell"/>
    </font>
    <font>
      <sz val="10"/>
      <name val="Arial"/>
      <family val="2"/>
    </font>
    <font>
      <b/>
      <sz val="10"/>
      <color rgb="FFFFFFFF"/>
      <name val="Cantarell"/>
    </font>
    <font>
      <b/>
      <sz val="12"/>
      <color rgb="FFFFFFFF"/>
      <name val="Cantarell"/>
    </font>
    <font>
      <b/>
      <sz val="8"/>
      <color rgb="FFFFFFFF"/>
      <name val="Cantarell"/>
    </font>
    <font>
      <b/>
      <sz val="10"/>
      <color theme="1" tint="0.24994659260841701"/>
      <name val="Calibri"/>
      <family val="2"/>
      <scheme val="minor"/>
    </font>
    <font>
      <b/>
      <sz val="8"/>
      <color theme="1"/>
      <name val="Cantarell"/>
    </font>
    <font>
      <b/>
      <sz val="10"/>
      <color rgb="FF000000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u/>
      <sz val="12"/>
      <color theme="1" tint="0.24994659260841701"/>
      <name val="Calibri (Body)"/>
    </font>
    <font>
      <u/>
      <sz val="12"/>
      <color theme="1" tint="0.24994659260841701"/>
      <name val="Calibri"/>
      <family val="2"/>
      <scheme val="minor"/>
    </font>
    <font>
      <b/>
      <u/>
      <sz val="20"/>
      <color theme="1" tint="0.2499465926084170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B8C8"/>
        <bgColor rgb="FFBAB8C8"/>
      </patternFill>
    </fill>
    <fill>
      <patternFill patternType="solid">
        <fgColor rgb="FF8D89A4"/>
        <bgColor rgb="FF8D89A4"/>
      </patternFill>
    </fill>
    <fill>
      <patternFill patternType="solid">
        <fgColor rgb="FFFFFFFF"/>
        <bgColor rgb="FFFFFFFF"/>
      </patternFill>
    </fill>
    <fill>
      <patternFill patternType="solid">
        <fgColor rgb="FFABB89D"/>
        <bgColor rgb="FFABB89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BB8C9"/>
        <bgColor rgb="FFBAB8C8"/>
      </patternFill>
    </fill>
    <fill>
      <patternFill patternType="solid">
        <fgColor rgb="FFBBB8C9"/>
        <bgColor indexed="64"/>
      </patternFill>
    </fill>
    <fill>
      <patternFill patternType="solid">
        <fgColor rgb="FFFEFFBD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  <xf numFmtId="0" fontId="10" fillId="0" borderId="0"/>
  </cellStyleXfs>
  <cellXfs count="78">
    <xf numFmtId="0" fontId="0" fillId="0" borderId="0" xfId="0"/>
    <xf numFmtId="0" fontId="4" fillId="0" borderId="7" xfId="1"/>
    <xf numFmtId="0" fontId="1" fillId="0" borderId="0" xfId="0" applyFont="1"/>
    <xf numFmtId="0" fontId="2" fillId="0" borderId="0" xfId="0" applyFont="1"/>
    <xf numFmtId="8" fontId="2" fillId="0" borderId="2" xfId="0" applyNumberFormat="1" applyFont="1" applyBorder="1"/>
    <xf numFmtId="8" fontId="2" fillId="0" borderId="3" xfId="0" applyNumberFormat="1" applyFont="1" applyBorder="1"/>
    <xf numFmtId="8" fontId="3" fillId="2" borderId="4" xfId="0" applyNumberFormat="1" applyFont="1" applyFill="1" applyBorder="1"/>
    <xf numFmtId="0" fontId="6" fillId="0" borderId="0" xfId="0" applyFont="1" applyAlignment="1">
      <alignment vertical="center" wrapText="1"/>
    </xf>
    <xf numFmtId="0" fontId="5" fillId="0" borderId="0" xfId="0" applyFont="1"/>
    <xf numFmtId="0" fontId="8" fillId="0" borderId="0" xfId="0" applyFont="1"/>
    <xf numFmtId="0" fontId="7" fillId="3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0" fillId="0" borderId="0" xfId="4"/>
    <xf numFmtId="0" fontId="11" fillId="0" borderId="0" xfId="4" applyFont="1"/>
    <xf numFmtId="0" fontId="12" fillId="0" borderId="0" xfId="4" applyFont="1"/>
    <xf numFmtId="0" fontId="0" fillId="0" borderId="11" xfId="0" applyBorder="1"/>
    <xf numFmtId="164" fontId="0" fillId="0" borderId="11" xfId="0" applyNumberFormat="1" applyBorder="1"/>
    <xf numFmtId="0" fontId="18" fillId="8" borderId="11" xfId="0" applyFont="1" applyFill="1" applyBorder="1"/>
    <xf numFmtId="164" fontId="18" fillId="8" borderId="11" xfId="0" applyNumberFormat="1" applyFont="1" applyFill="1" applyBorder="1"/>
    <xf numFmtId="0" fontId="12" fillId="0" borderId="11" xfId="4" applyFont="1" applyBorder="1" applyAlignment="1">
      <alignment vertical="center" wrapText="1"/>
    </xf>
    <xf numFmtId="165" fontId="11" fillId="0" borderId="11" xfId="4" applyNumberFormat="1" applyFont="1" applyBorder="1" applyAlignment="1">
      <alignment vertical="center"/>
    </xf>
    <xf numFmtId="0" fontId="12" fillId="0" borderId="11" xfId="4" applyFont="1" applyBorder="1" applyAlignment="1">
      <alignment vertical="center"/>
    </xf>
    <xf numFmtId="165" fontId="13" fillId="0" borderId="11" xfId="4" applyNumberFormat="1" applyFont="1" applyBorder="1" applyAlignment="1">
      <alignment vertical="center"/>
    </xf>
    <xf numFmtId="0" fontId="17" fillId="5" borderId="12" xfId="4" applyFont="1" applyFill="1" applyBorder="1" applyAlignment="1">
      <alignment horizontal="center" vertical="center"/>
    </xf>
    <xf numFmtId="0" fontId="12" fillId="7" borderId="11" xfId="4" applyFont="1" applyFill="1" applyBorder="1" applyAlignment="1">
      <alignment vertical="center"/>
    </xf>
    <xf numFmtId="165" fontId="12" fillId="7" borderId="11" xfId="4" applyNumberFormat="1" applyFont="1" applyFill="1" applyBorder="1" applyAlignment="1">
      <alignment vertical="center"/>
    </xf>
    <xf numFmtId="0" fontId="12" fillId="6" borderId="11" xfId="4" applyFont="1" applyFill="1" applyBorder="1" applyAlignment="1">
      <alignment vertical="center"/>
    </xf>
    <xf numFmtId="165" fontId="11" fillId="0" borderId="14" xfId="4" applyNumberFormat="1" applyFont="1" applyBorder="1" applyAlignment="1">
      <alignment vertical="center"/>
    </xf>
    <xf numFmtId="0" fontId="19" fillId="0" borderId="15" xfId="4" applyFont="1" applyBorder="1"/>
    <xf numFmtId="0" fontId="12" fillId="0" borderId="14" xfId="4" applyFont="1" applyBorder="1" applyAlignment="1">
      <alignment vertical="center" wrapText="1"/>
    </xf>
    <xf numFmtId="0" fontId="19" fillId="0" borderId="15" xfId="4" applyFont="1" applyBorder="1" applyAlignment="1">
      <alignment vertical="center"/>
    </xf>
    <xf numFmtId="165" fontId="13" fillId="0" borderId="16" xfId="4" applyNumberFormat="1" applyFont="1" applyBorder="1" applyAlignment="1">
      <alignment vertical="center"/>
    </xf>
    <xf numFmtId="0" fontId="20" fillId="0" borderId="0" xfId="4" applyFont="1"/>
    <xf numFmtId="165" fontId="19" fillId="0" borderId="11" xfId="4" applyNumberFormat="1" applyFont="1" applyBorder="1" applyAlignment="1">
      <alignment vertical="center"/>
    </xf>
    <xf numFmtId="0" fontId="19" fillId="0" borderId="11" xfId="4" applyFont="1" applyBorder="1" applyAlignment="1">
      <alignment vertical="center"/>
    </xf>
    <xf numFmtId="0" fontId="19" fillId="0" borderId="14" xfId="4" applyFont="1" applyBorder="1" applyAlignment="1">
      <alignment vertical="center"/>
    </xf>
    <xf numFmtId="165" fontId="13" fillId="0" borderId="14" xfId="4" applyNumberFormat="1" applyFont="1" applyBorder="1" applyAlignment="1">
      <alignment vertical="center"/>
    </xf>
    <xf numFmtId="165" fontId="13" fillId="0" borderId="16" xfId="4" applyNumberFormat="1" applyFont="1" applyBorder="1"/>
    <xf numFmtId="165" fontId="13" fillId="0" borderId="17" xfId="4" applyNumberFormat="1" applyFont="1" applyBorder="1" applyAlignment="1">
      <alignment vertical="center"/>
    </xf>
    <xf numFmtId="165" fontId="13" fillId="0" borderId="17" xfId="4" applyNumberFormat="1" applyFont="1" applyBorder="1"/>
    <xf numFmtId="165" fontId="12" fillId="7" borderId="18" xfId="4" applyNumberFormat="1" applyFont="1" applyFill="1" applyBorder="1" applyAlignment="1">
      <alignment vertical="center"/>
    </xf>
    <xf numFmtId="165" fontId="13" fillId="0" borderId="18" xfId="4" applyNumberFormat="1" applyFont="1" applyBorder="1" applyAlignment="1">
      <alignment vertical="center"/>
    </xf>
    <xf numFmtId="165" fontId="11" fillId="0" borderId="18" xfId="4" applyNumberFormat="1" applyFont="1" applyBorder="1" applyAlignment="1">
      <alignment vertical="center"/>
    </xf>
    <xf numFmtId="165" fontId="13" fillId="0" borderId="19" xfId="4" applyNumberFormat="1" applyFont="1" applyBorder="1" applyAlignment="1">
      <alignment vertical="center"/>
    </xf>
    <xf numFmtId="0" fontId="10" fillId="9" borderId="18" xfId="4" applyFill="1" applyBorder="1"/>
    <xf numFmtId="0" fontId="20" fillId="9" borderId="18" xfId="4" applyFont="1" applyFill="1" applyBorder="1"/>
    <xf numFmtId="0" fontId="17" fillId="5" borderId="21" xfId="4" applyFont="1" applyFill="1" applyBorder="1" applyAlignment="1">
      <alignment horizontal="center" vertical="center"/>
    </xf>
    <xf numFmtId="0" fontId="17" fillId="5" borderId="22" xfId="4" applyFont="1" applyFill="1" applyBorder="1" applyAlignment="1">
      <alignment horizontal="center" vertical="center"/>
    </xf>
    <xf numFmtId="0" fontId="9" fillId="11" borderId="20" xfId="4" applyFont="1" applyFill="1" applyBorder="1" applyAlignment="1">
      <alignment horizontal="center"/>
    </xf>
    <xf numFmtId="0" fontId="10" fillId="0" borderId="0" xfId="4" applyAlignment="1">
      <alignment horizontal="center"/>
    </xf>
    <xf numFmtId="165" fontId="10" fillId="0" borderId="20" xfId="4" applyNumberFormat="1" applyBorder="1" applyAlignment="1">
      <alignment horizontal="center"/>
    </xf>
    <xf numFmtId="165" fontId="20" fillId="0" borderId="23" xfId="4" applyNumberFormat="1" applyFont="1" applyBorder="1" applyAlignment="1">
      <alignment horizontal="center"/>
    </xf>
    <xf numFmtId="165" fontId="20" fillId="0" borderId="13" xfId="4" applyNumberFormat="1" applyFont="1" applyBorder="1" applyAlignment="1">
      <alignment horizontal="center"/>
    </xf>
    <xf numFmtId="165" fontId="20" fillId="0" borderId="20" xfId="4" applyNumberFormat="1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12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0" fontId="15" fillId="4" borderId="0" xfId="4" applyFont="1" applyFill="1" applyAlignment="1">
      <alignment horizontal="left" vertical="center"/>
    </xf>
    <xf numFmtId="0" fontId="14" fillId="0" borderId="0" xfId="4" applyFont="1"/>
    <xf numFmtId="0" fontId="16" fillId="5" borderId="0" xfId="4" applyFont="1" applyFill="1" applyAlignment="1">
      <alignment horizontal="left" vertical="center"/>
    </xf>
    <xf numFmtId="0" fontId="16" fillId="5" borderId="10" xfId="4" applyFont="1" applyFill="1" applyBorder="1" applyAlignment="1">
      <alignment horizontal="left" vertical="center"/>
    </xf>
    <xf numFmtId="0" fontId="14" fillId="0" borderId="10" xfId="4" applyFont="1" applyBorder="1"/>
    <xf numFmtId="0" fontId="15" fillId="10" borderId="12" xfId="4" applyFont="1" applyFill="1" applyBorder="1" applyAlignment="1">
      <alignment horizontal="left" vertical="center"/>
    </xf>
    <xf numFmtId="0" fontId="14" fillId="11" borderId="12" xfId="4" applyFont="1" applyFill="1" applyBorder="1"/>
    <xf numFmtId="0" fontId="3" fillId="0" borderId="1" xfId="3" applyBorder="1" applyAlignment="1">
      <alignment horizontal="left" vertical="center"/>
    </xf>
    <xf numFmtId="8" fontId="3" fillId="2" borderId="1" xfId="0" applyNumberFormat="1" applyFont="1" applyFill="1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2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Normal 2" xfId="4" xr:uid="{B93E8722-5EE4-9A4A-8D76-126691FC8CCD}"/>
  </cellStyles>
  <dxfs count="1591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</font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</font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</font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</font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</font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</font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</font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</font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</font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</font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Calibri"/>
        <family val="2"/>
        <scheme val="none"/>
      </font>
      <numFmt numFmtId="164" formatCode="&quot;$&quot;#,##0.00"/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</font>
      <fill>
        <patternFill patternType="solid">
          <fgColor rgb="FF000000"/>
          <bgColor rgb="FFD9D9D9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Personal monthly budget" pivot="0" count="7" xr9:uid="{DF2684C2-C435-47FA-9646-E632C3AE8948}">
      <tableStyleElement type="wholeTable" dxfId="1590"/>
      <tableStyleElement type="headerRow" dxfId="1589"/>
      <tableStyleElement type="totalRow" dxfId="1588"/>
      <tableStyleElement type="firstColumn" dxfId="1587"/>
      <tableStyleElement type="lastColumn" dxfId="1586"/>
      <tableStyleElement type="firstRowStripe" dxfId="1585"/>
      <tableStyleElement type="firstColumnStripe" dxfId="1584"/>
    </tableStyle>
  </tableStyles>
  <colors>
    <mruColors>
      <color rgb="FFFEFFBD"/>
      <color rgb="FFBBB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2:E23" totalsRowCount="1" headerRowDxfId="1583" totalsRowDxfId="1582" totalsRowBorderDxfId="158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TOTAL" dataDxfId="1580" totalsRowDxfId="1579"/>
    <tableColumn id="2" xr3:uid="{00000000-0010-0000-0000-000002000000}" name="Projected Cost" dataDxfId="1578" totalsRowDxfId="1577"/>
    <tableColumn id="3" xr3:uid="{00000000-0010-0000-0000-000003000000}" name="Actual Cost" totalsRowFunction="custom" dataDxfId="1576" totalsRowDxfId="1575">
      <totalsRowFormula>SUM(D13:D22)</totalsRowFormula>
    </tableColumn>
    <tableColumn id="4" xr3:uid="{00000000-0010-0000-0000-000004000000}" name="Difference" totalsRowFunction="custom" dataDxfId="1574" totalsRowDxfId="1573">
      <calculatedColumnFormula>Housing[[#This Row],[Projected Cost]]-Housing[[#This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48:E54" totalsRowCount="1" headerRowDxfId="1486" totalsRowDxfId="1485" totalsRowBorderDxfId="148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TOTAL" dataDxfId="1483" totalsRowDxfId="1482"/>
    <tableColumn id="2" xr3:uid="{00000000-0010-0000-0900-000002000000}" name="Projected Cost" dataDxfId="1481" totalsRowDxfId="1480"/>
    <tableColumn id="3" xr3:uid="{00000000-0010-0000-0900-000003000000}" name="Actual Cost" totalsRowFunction="custom" dataDxfId="1479" totalsRowDxfId="1478">
      <totalsRowFormula>SUM(Pets[Actual Cost])</totalsRowFormula>
    </tableColumn>
    <tableColumn id="4" xr3:uid="{00000000-0010-0000-0900-000004000000}" name="Difference" totalsRowFunction="custom" dataDxfId="1477" totalsRowDxfId="1476">
      <calculatedColumnFormula>Pets[[#This Row],[Projected Cost]]-Pets[[#This Row],[Actual Cost]]</calculatedColumnFormula>
      <totalsRowFormula>SUM(Pets[Actual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54CC1B76-9337-D84E-A2F7-BAE1BEA28C31}" name="Transportation17294153657789101" displayName="Transportation17294153657789101" ref="B25:E33" totalsRowCount="1" headerRowDxfId="510" totalsRowDxfId="509" totalsRowBorderDxfId="50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786222A9-F739-0A49-B921-0D4DE74F90A7}" name="TRANSPORTATION" totalsRowLabel="TOTAL" dataDxfId="507" totalsRowDxfId="506"/>
    <tableColumn id="2" xr3:uid="{CA0994B0-ECD8-5F45-BFF9-236A975638F3}" name="Projected Cost" dataDxfId="505" totalsRowDxfId="504"/>
    <tableColumn id="3" xr3:uid="{85D72635-6B5C-5948-AE22-BDF0C18BCC3E}" name="Actual Cost" totalsRowFunction="custom" dataDxfId="503" totalsRowDxfId="502">
      <totalsRowFormula>SUM(Transportation17294153657789101[Actual Cost])</totalsRowFormula>
    </tableColumn>
    <tableColumn id="4" xr3:uid="{444A81C9-B6BE-DA4F-BB3A-DBF115D0E05E}" name="Difference" totalsRowFunction="custom" dataDxfId="501" totalsRowDxfId="500">
      <calculatedColumnFormula>Transportation17294153657789101[[#This Row],[Projected Cost]]-Transportation17294153657789101[[#This Row],[Actual Cost]]</calculatedColumnFormula>
      <totalsRowFormula>SUM(Transportation17294153657789101[Actual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B2FE7DEF-0BCE-1D48-8529-F2E75ADDDB9E}" name="Insurance18304254667890102" displayName="Insurance18304254667890102" ref="B35:E40" totalsRowCount="1" headerRowDxfId="499" totalsRowDxfId="498" totalsRowBorderDxfId="49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45AED076-E32F-E643-8087-A563E1F38E16}" name="INSURANCE" totalsRowLabel="TOTAL" dataDxfId="496" totalsRowDxfId="495"/>
    <tableColumn id="2" xr3:uid="{8E41CAFB-6DCD-AF4D-9D80-AA85D6C7848F}" name="Projected Cost" dataDxfId="494" totalsRowDxfId="493"/>
    <tableColumn id="3" xr3:uid="{F02E9A8B-C606-6B4E-9AF6-426B5520F97F}" name="Actual Cost" totalsRowFunction="custom" dataDxfId="492" totalsRowDxfId="491">
      <totalsRowFormula>SUM(Insurance18304254667890102[Actual Cost])</totalsRowFormula>
    </tableColumn>
    <tableColumn id="4" xr3:uid="{4ACBCA4B-19F5-2A40-B27A-B951F4AE263C}" name="Difference" totalsRowFunction="custom" dataDxfId="490" totalsRowDxfId="489">
      <calculatedColumnFormula>Insurance18304254667890102[[#This Row],[Projected Cost]]-Insurance18304254667890102[[#This Row],[Actual Cost]]</calculatedColumnFormula>
      <totalsRowFormula>SUM(Insurance18304254667890102[Actual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5248EDDE-4508-7A48-89C5-017F7EAEE040}" name="Taxes19314355677991103" displayName="Taxes19314355677991103" ref="G33:J38" totalsRowCount="1" totalsRowDxfId="488" totalsRowBorderDxfId="48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5439A887-A462-344D-A223-BAE493D680DA}" name="TAXES" totalsRowLabel="TOTAL" dataDxfId="486" totalsRowDxfId="485"/>
    <tableColumn id="2" xr3:uid="{8CF0D314-3689-4A4C-85C5-6CCE2FF12155}" name="Projected Cost" dataDxfId="484" totalsRowDxfId="483"/>
    <tableColumn id="3" xr3:uid="{27990EB6-5669-B748-AE88-8AD8E89003E1}" name="Actual Cost" totalsRowFunction="custom" dataDxfId="482" totalsRowDxfId="481">
      <totalsRowFormula>SUM(Taxes19314355677991103[Actual Cost])</totalsRowFormula>
    </tableColumn>
    <tableColumn id="4" xr3:uid="{8C0F691D-DA54-E64E-B6A7-CDE0964D88C5}" name="Difference" totalsRowFunction="custom" dataDxfId="480" totalsRowDxfId="479">
      <calculatedColumnFormula>Taxes19314355677991103[[#This Row],[Projected Cost]]-Taxes19314355677991103[[#This Row],[Actual Cost]]</calculatedColumnFormula>
      <totalsRowFormula>SUM(Taxes19314355677991103[Actual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3DF6702F-CE6D-CC4A-980D-BB41A3F30514}" name="Savings20324456688092104" displayName="Savings20324456688092104" ref="G40:J44" totalsRowCount="1" totalsRowDxfId="478" totalsRowBorderDxfId="47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4EEE3E4A-737D-DE44-ADB8-25F80D23FD25}" name="SAVINGS OR INVESTMENTS" totalsRowLabel="TOTAL" dataDxfId="476" totalsRowDxfId="475"/>
    <tableColumn id="2" xr3:uid="{6EFBC10C-9E05-B540-802E-B97F10B3BF7F}" name="Projected Cost" dataDxfId="474" totalsRowDxfId="473"/>
    <tableColumn id="3" xr3:uid="{10C9C985-A0F6-2342-8975-8A7774E5E92F}" name="Actual Cost" totalsRowFunction="custom" dataDxfId="472" totalsRowDxfId="471">
      <totalsRowFormula>SUM(Savings20324456688092104[Actual Cost])</totalsRowFormula>
    </tableColumn>
    <tableColumn id="4" xr3:uid="{9BF77647-EB26-6F45-A4F8-D8B4B87512DC}" name="Difference" totalsRowFunction="custom" dataDxfId="470" totalsRowDxfId="469">
      <calculatedColumnFormula>Savings20324456688092104[[#This Row],[Projected Cost]]-Savings20324456688092104[[#This Row],[Actual Cost]]</calculatedColumnFormula>
      <totalsRowFormula>SUM(Savings20324456688092104[Actual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9ED27D5B-B2E4-2845-8EAF-D9D111AD195D}" name="Food21334557698193105" displayName="Food21334557698193105" ref="B42:E46" totalsRowCount="1" headerRowDxfId="468" totalsRowDxfId="467" totalsRowBorderDxfId="46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24F8CD5F-8A1F-5B43-937F-D2BD23378562}" name="FOOD" totalsRowLabel="TOTAL" dataDxfId="465" totalsRowDxfId="464"/>
    <tableColumn id="2" xr3:uid="{E7529189-39F7-BA49-A1D8-E6491B42C8CA}" name="Projected Cost" dataDxfId="463" totalsRowDxfId="462"/>
    <tableColumn id="3" xr3:uid="{AD61E6E9-6227-CA4C-8834-D30CFD4197E8}" name="Actual Cost" totalsRowFunction="custom" dataDxfId="461" totalsRowDxfId="460">
      <totalsRowFormula>SUM(Food21334557698193105[Actual Cost])</totalsRowFormula>
    </tableColumn>
    <tableColumn id="4" xr3:uid="{CB4AC1C9-55E8-1F47-9CAB-9DF3CACE352D}" name="Difference" totalsRowFunction="custom" dataDxfId="459" totalsRowDxfId="458">
      <calculatedColumnFormula>Food21334557698193105[[#This Row],[Projected Cost]]-Food21334557698193105[[#This Row],[Actual Cost]]</calculatedColumnFormula>
      <totalsRowFormula>SUM(Food21334557698193105[Actual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CBF5FED7-5D07-1F4F-82E4-BBBF5A4CB129}" name="Gifts22344658708294106" displayName="Gifts22344658708294106" ref="G46:J50" totalsRowCount="1" headerRowDxfId="457" totalsRowDxfId="456" totalsRowBorderDxfId="45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CE84D486-ABE1-6240-86B6-7491A1BFD682}" name="GIFTS AND DONATIONS" totalsRowLabel="TOTAL" dataDxfId="454" totalsRowDxfId="453"/>
    <tableColumn id="2" xr3:uid="{E502A152-E2CE-3740-A063-CEF76FD326F2}" name="Projected Cost" dataDxfId="452" totalsRowDxfId="451"/>
    <tableColumn id="3" xr3:uid="{A5253A23-6BC0-524E-B9F6-627A8CD0585A}" name="Actual Cost" totalsRowFunction="custom" dataDxfId="450" totalsRowDxfId="449">
      <totalsRowFormula>SUM(Gifts22344658708294106[Actual Cost])</totalsRowFormula>
    </tableColumn>
    <tableColumn id="4" xr3:uid="{3DB98312-258B-C340-A2C7-32BE11B24AD0}" name="Difference" totalsRowFunction="custom" dataDxfId="448" totalsRowDxfId="447">
      <calculatedColumnFormula>Gifts22344658708294106[[#This Row],[Projected Cost]]-Gifts22344658708294106[[#This Row],[Actual Cost]]</calculatedColumnFormula>
      <totalsRowFormula>SUM(Gifts22344658708294106[Actual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ECFE7213-5FD1-F34F-B737-F1577A69FCE7}" name="Pets23354759718395107" displayName="Pets23354759718395107" ref="B48:E54" totalsRowCount="1" headerRowDxfId="446" totalsRowDxfId="445" totalsRowBorderDxfId="44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C9761830-98FB-1648-A11A-0A3DDD2F2D81}" name="PETS" totalsRowLabel="TOTAL" dataDxfId="443" totalsRowDxfId="442"/>
    <tableColumn id="2" xr3:uid="{F5087F61-4C27-AC44-9DD7-BAE6D06498A7}" name="Projected Cost" dataDxfId="441" totalsRowDxfId="440"/>
    <tableColumn id="3" xr3:uid="{213969C8-47BC-DC43-B57A-967038438B75}" name="Actual Cost" totalsRowFunction="custom" dataDxfId="439" totalsRowDxfId="438">
      <totalsRowFormula>SUM(Pets23354759718395107[Actual Cost])</totalsRowFormula>
    </tableColumn>
    <tableColumn id="4" xr3:uid="{511B42D0-5A20-A74A-B9FA-B9D00C038D0B}" name="Difference" totalsRowFunction="custom" dataDxfId="437" totalsRowDxfId="436">
      <calculatedColumnFormula>Pets23354759718395107[[#This Row],[Projected Cost]]-Pets23354759718395107[[#This Row],[Actual Cost]]</calculatedColumnFormula>
      <totalsRowFormula>SUM(Pets23354759718395107[Actual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2E161E90-A827-764B-9566-080CA4542F72}" name="Legal24364860728496108" displayName="Legal24364860728496108" ref="G52:J57" totalsRowCount="1" headerRowDxfId="435" totalsRowDxfId="434" totalsRowBorderDxfId="43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1032E675-1650-784F-89EB-7B5BCD5BB6C4}" name="LEGAL" totalsRowLabel="TOTAL" dataDxfId="432" totalsRowDxfId="431"/>
    <tableColumn id="2" xr3:uid="{01D3452B-35DB-D04F-9C01-B10D5FF22726}" name="Projected Cost" dataDxfId="430" totalsRowDxfId="429"/>
    <tableColumn id="3" xr3:uid="{32369981-F071-6046-8EF0-312849218B5C}" name="Actual Cost" totalsRowFunction="custom" dataDxfId="428" totalsRowDxfId="427">
      <totalsRowFormula>SUM(Legal24364860728496108[Actual Cost])</totalsRowFormula>
    </tableColumn>
    <tableColumn id="4" xr3:uid="{722AD882-9E19-6749-AEC7-14AF52411485}" name="Difference" totalsRowFunction="custom" dataDxfId="426" totalsRowDxfId="425">
      <calculatedColumnFormula>Legal24364860728496108[[#This Row],[Projected Cost]]-Legal24364860728496108[[#This Row],[Actual Cost]]</calculatedColumnFormula>
      <totalsRowFormula>SUM(Legal24364860728496108[Actual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1A51A319-5C32-3F4B-855F-4CFB48453318}" name="PersonalCare25374961738597109" displayName="PersonalCare25374961738597109" ref="B56:E64" totalsRowCount="1" headerRowDxfId="424" totalsRowDxfId="423" totalsRowBorderDxfId="42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102A0A25-F24A-3949-8809-268B56F5DE20}" name="PERSONAL CARE" totalsRowLabel="TOTAL" dataDxfId="421" totalsRowDxfId="420"/>
    <tableColumn id="2" xr3:uid="{C046B184-5536-D84A-96F9-24ED9F5D48A6}" name="Projected Cost" dataDxfId="419" totalsRowDxfId="418"/>
    <tableColumn id="3" xr3:uid="{56246D08-74C9-BC4F-9A02-ECD2EFEF2D1A}" name="Actual Cost" totalsRowFunction="custom" dataDxfId="417" totalsRowDxfId="416">
      <totalsRowFormula>SUM(PersonalCare25374961738597109[Actual Cost])</totalsRowFormula>
    </tableColumn>
    <tableColumn id="4" xr3:uid="{BCE57D18-E0F2-7746-955C-724426CDD607}" name="Difference" totalsRowFunction="custom" dataDxfId="415" totalsRowDxfId="414">
      <calculatedColumnFormula>PersonalCare25374961738597109[[#This Row],[Projected Cost]]-PersonalCare25374961738597109[[#This Row],[Actual Cost]]</calculatedColumnFormula>
      <totalsRowFormula>SUM(PersonalCare25374961738597109[Actual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8ECDAF3D-6FE4-CB4F-A1B2-6F6DFCA47DF6}" name="Housing1426385062748698110" displayName="Housing1426385062748698110" ref="B12:E23" totalsRowCount="1" headerRowDxfId="413" totalsRowDxfId="412" totalsRowBorderDxfId="41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F60743C8-0B78-B344-AA63-85042C8C8923}" name="HOUSING" totalsRowLabel="TOTAL" dataDxfId="410" totalsRowDxfId="409"/>
    <tableColumn id="2" xr3:uid="{C9FAECCE-21D4-2140-AC2B-39CD4A4C6D0F}" name="Projected Cost" dataDxfId="408" totalsRowDxfId="407"/>
    <tableColumn id="3" xr3:uid="{0848D7AA-2198-654D-B10B-E37C219A80D2}" name="Actual Cost" totalsRowFunction="custom" dataDxfId="406" totalsRowDxfId="405">
      <totalsRowFormula>SUM(D13:D22)</totalsRowFormula>
    </tableColumn>
    <tableColumn id="4" xr3:uid="{4236A3C5-590A-5C4B-86BC-244E8C66C283}" name="Difference" totalsRowFunction="custom" dataDxfId="404" totalsRowDxfId="403">
      <calculatedColumnFormula>Housing1426385062748698110[[#This Row],[Projected Cost]]-Housing1426385062748698110[[#This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2:J57" totalsRowCount="1" headerRowDxfId="1475" totalsRowDxfId="1474" totalsRowBorderDxfId="147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TOTAL" dataDxfId="1472" totalsRowDxfId="1471"/>
    <tableColumn id="2" xr3:uid="{00000000-0010-0000-0A00-000002000000}" name="Projected Cost" dataDxfId="1470" totalsRowDxfId="1469"/>
    <tableColumn id="3" xr3:uid="{00000000-0010-0000-0A00-000003000000}" name="Actual Cost" totalsRowFunction="custom" dataDxfId="1468" totalsRowDxfId="1467">
      <totalsRowFormula>SUM(Legal[Actual Cost])</totalsRowFormula>
    </tableColumn>
    <tableColumn id="4" xr3:uid="{00000000-0010-0000-0A00-000004000000}" name="Difference" totalsRowFunction="custom" dataDxfId="1466" totalsRowDxfId="1465">
      <calculatedColumnFormula>Legal[[#This Row],[Projected Cost]]-Legal[[#This Row],[Actual Cost]]</calculatedColumnFormula>
      <totalsRowFormula>SUM(Legal[Actual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92BD2BF9-EBA0-2642-A6D4-4C14D9177C87}" name="Entertainment1527395163758799111" displayName="Entertainment1527395163758799111" ref="G12:J22" totalsRowCount="1" headerRowDxfId="402" totalsRowDxfId="401" totalsRowBorderDxfId="40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9760AF40-6D87-0544-9F8A-03E608B83EE8}" name="ENTERTAINMENT" totalsRowLabel="TOTAL" dataDxfId="399" totalsRowDxfId="398"/>
    <tableColumn id="2" xr3:uid="{D387A3B8-7E84-9B4E-8FE2-7C3B8BF47D73}" name="Projected Cost" dataDxfId="397" totalsRowDxfId="396"/>
    <tableColumn id="3" xr3:uid="{13A997BA-01E0-4E41-A111-55DE510A06FA}" name="Actual Cost" totalsRowFunction="custom" dataDxfId="395" totalsRowDxfId="394">
      <totalsRowFormula>SUM(Entertainment1527395163758799111[Actual Cost])</totalsRowFormula>
    </tableColumn>
    <tableColumn id="4" xr3:uid="{53B74A0C-7148-544E-9D61-111D4B0919FF}" name="Difference" totalsRowFunction="custom" dataDxfId="393" totalsRowDxfId="392">
      <calculatedColumnFormula>Entertainment1527395163758799111[[#This Row],[Projected Cost]]-Entertainment1527395163758799111[[#This Row],[Actual Cost]]</calculatedColumnFormula>
      <totalsRowFormula>SUM(Entertainment1527395163758799111[Actual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80C202A3-FF5B-D743-9EDA-39E31017E99B}" name="Loans16284052647688100112" displayName="Loans16284052647688100112" ref="G24:J31" totalsRowCount="1" headerRowDxfId="391" totalsRowDxfId="390" totalsRowBorderDxfId="38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74EA9BE1-175F-C143-8FB1-2B43E475A6D1}" name="LOANS" totalsRowLabel="TOTAL" dataDxfId="388" totalsRowDxfId="387"/>
    <tableColumn id="2" xr3:uid="{E914E281-87B6-5D48-AAD5-CFCEBE508B9B}" name="Projected Cost" dataDxfId="386" totalsRowDxfId="385"/>
    <tableColumn id="3" xr3:uid="{29451C67-1D21-4140-AB24-C55AC925F57E}" name="Actual Cost" totalsRowFunction="custom" dataDxfId="384" totalsRowDxfId="383">
      <totalsRowFormula>SUM(Loans16284052647688100112[Actual Cost])</totalsRowFormula>
    </tableColumn>
    <tableColumn id="4" xr3:uid="{D7C40A86-B9EA-EA44-AF12-D0C03CBAF087}" name="Difference" totalsRowFunction="custom" dataDxfId="382" totalsRowDxfId="381">
      <calculatedColumnFormula>Loans16284052647688100112[[#This Row],[Projected Cost]]-Loans16284052647688100112[[#This Row],[Actual Cost]]</calculatedColumnFormula>
      <totalsRowFormula>SUM(Loans16284052647688100112[Actual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30D1E977-C6F2-8845-839B-C4C16FD8E783}" name="Transportation17294153657789101113" displayName="Transportation17294153657789101113" ref="B25:E33" totalsRowCount="1" headerRowDxfId="380" totalsRowDxfId="379" totalsRowBorderDxfId="37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68F6096B-A74C-4344-8C94-C95928DD4C28}" name="TRANSPORTATION" totalsRowLabel="TOTAL" dataDxfId="377" totalsRowDxfId="376"/>
    <tableColumn id="2" xr3:uid="{2D728AB9-7507-7C46-AC97-8F0399E37702}" name="Projected Cost" dataDxfId="375" totalsRowDxfId="374"/>
    <tableColumn id="3" xr3:uid="{CD7D7585-E5F0-854B-AB73-81891F69DF86}" name="Actual Cost" totalsRowFunction="custom" dataDxfId="373" totalsRowDxfId="372">
      <totalsRowFormula>SUM(Transportation17294153657789101113[Actual Cost])</totalsRowFormula>
    </tableColumn>
    <tableColumn id="4" xr3:uid="{FF73E71B-F84B-814B-8A63-0EE8FCAF3BF3}" name="Difference" totalsRowFunction="custom" dataDxfId="371" totalsRowDxfId="370">
      <calculatedColumnFormula>Transportation17294153657789101113[[#This Row],[Projected Cost]]-Transportation17294153657789101113[[#This Row],[Actual Cost]]</calculatedColumnFormula>
      <totalsRowFormula>SUM(Transportation17294153657789101113[Actual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22A0A3EB-89DB-044B-9C63-4518BEA54B09}" name="Insurance18304254667890102114" displayName="Insurance18304254667890102114" ref="B35:E40" totalsRowCount="1" headerRowDxfId="369" totalsRowDxfId="368" totalsRowBorderDxfId="36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C4E48877-FFB5-6440-ACFE-962D768E83D0}" name="INSURANCE" totalsRowLabel="TOTAL" dataDxfId="366" totalsRowDxfId="365"/>
    <tableColumn id="2" xr3:uid="{BC6904D7-C333-AB4B-AC42-1EAF71015328}" name="Projected Cost" dataDxfId="364" totalsRowDxfId="363"/>
    <tableColumn id="3" xr3:uid="{5900822E-6DAF-6C45-965E-A87051B51300}" name="Actual Cost" totalsRowFunction="custom" dataDxfId="362" totalsRowDxfId="361">
      <totalsRowFormula>SUM(Insurance18304254667890102114[Actual Cost])</totalsRowFormula>
    </tableColumn>
    <tableColumn id="4" xr3:uid="{8F923505-D947-AA4A-BE2E-D43DDA24D25B}" name="Difference" totalsRowFunction="custom" dataDxfId="360" totalsRowDxfId="359">
      <calculatedColumnFormula>Insurance18304254667890102114[[#This Row],[Projected Cost]]-Insurance18304254667890102114[[#This Row],[Actual Cost]]</calculatedColumnFormula>
      <totalsRowFormula>SUM(Insurance18304254667890102114[Actual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F82E5BB6-F4F6-C944-AA49-43C7758EECC3}" name="Taxes19314355677991103115" displayName="Taxes19314355677991103115" ref="G33:J38" totalsRowCount="1" totalsRowDxfId="358" totalsRowBorderDxfId="35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E5952448-F841-ED45-AE32-DD6C6562664C}" name="TAXES" totalsRowLabel="TOTAL" dataDxfId="356" totalsRowDxfId="355"/>
    <tableColumn id="2" xr3:uid="{1B52C350-C393-8E48-AD6F-62D1C72C6AC5}" name="Projected Cost" dataDxfId="354" totalsRowDxfId="353"/>
    <tableColumn id="3" xr3:uid="{735ECA0A-7709-0A4E-8F14-18A0F3D5F1AD}" name="Actual Cost" totalsRowFunction="custom" dataDxfId="352" totalsRowDxfId="351">
      <totalsRowFormula>SUM(Taxes19314355677991103115[Actual Cost])</totalsRowFormula>
    </tableColumn>
    <tableColumn id="4" xr3:uid="{13817250-5D62-AD48-BF09-7065F245A487}" name="Difference" totalsRowFunction="custom" dataDxfId="350" totalsRowDxfId="349">
      <calculatedColumnFormula>Taxes19314355677991103115[[#This Row],[Projected Cost]]-Taxes19314355677991103115[[#This Row],[Actual Cost]]</calculatedColumnFormula>
      <totalsRowFormula>SUM(Taxes19314355677991103115[Actual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3D8B67A1-2A68-A240-98FF-1903B1F86A95}" name="Savings20324456688092104116" displayName="Savings20324456688092104116" ref="G40:J44" totalsRowCount="1" totalsRowDxfId="348" totalsRowBorderDxfId="34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9886A76F-3193-6A46-90CE-D7A06E9BF468}" name="SAVINGS OR INVESTMENTS" totalsRowLabel="TOTAL" dataDxfId="346" totalsRowDxfId="345"/>
    <tableColumn id="2" xr3:uid="{3910A07B-66BE-AA46-8DA5-5AB3C2B3F1B5}" name="Projected Cost" dataDxfId="344" totalsRowDxfId="343"/>
    <tableColumn id="3" xr3:uid="{389EBD7C-26A4-964B-AD34-D2BAD2645B54}" name="Actual Cost" totalsRowFunction="custom" dataDxfId="342" totalsRowDxfId="341">
      <totalsRowFormula>SUM(Savings20324456688092104116[Actual Cost])</totalsRowFormula>
    </tableColumn>
    <tableColumn id="4" xr3:uid="{596604F5-2DD0-384E-AC4A-A770A20094D3}" name="Difference" totalsRowFunction="custom" dataDxfId="340" totalsRowDxfId="339">
      <calculatedColumnFormula>Savings20324456688092104116[[#This Row],[Projected Cost]]-Savings20324456688092104116[[#This Row],[Actual Cost]]</calculatedColumnFormula>
      <totalsRowFormula>SUM(Savings20324456688092104116[Actual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4BF6A3F0-512E-FE4E-8FBC-9641CFBD73BC}" name="Food21334557698193105117" displayName="Food21334557698193105117" ref="B42:E46" totalsRowCount="1" headerRowDxfId="338" totalsRowDxfId="337" totalsRowBorderDxfId="33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124673FD-0028-F440-8829-8E18CAC5E26D}" name="FOOD" totalsRowLabel="TOTAL" dataDxfId="335" totalsRowDxfId="334"/>
    <tableColumn id="2" xr3:uid="{063BCF58-7C4A-684F-B814-CF37605582A0}" name="Projected Cost" dataDxfId="333" totalsRowDxfId="332"/>
    <tableColumn id="3" xr3:uid="{0721D618-8D0A-404A-8B95-06536211EC1E}" name="Actual Cost" totalsRowFunction="custom" dataDxfId="331" totalsRowDxfId="330">
      <totalsRowFormula>SUM(Food21334557698193105117[Actual Cost])</totalsRowFormula>
    </tableColumn>
    <tableColumn id="4" xr3:uid="{A7D99F40-C765-0E4E-9AB4-535F61B4EB8D}" name="Difference" totalsRowFunction="custom" dataDxfId="329" totalsRowDxfId="328">
      <calculatedColumnFormula>Food21334557698193105117[[#This Row],[Projected Cost]]-Food21334557698193105117[[#This Row],[Actual Cost]]</calculatedColumnFormula>
      <totalsRowFormula>SUM(Food21334557698193105117[Actual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9B3D2C6B-C91C-9840-8B32-1A5D12970281}" name="Gifts22344658708294106118" displayName="Gifts22344658708294106118" ref="G46:J50" totalsRowCount="1" headerRowDxfId="327" totalsRowDxfId="326" totalsRowBorderDxfId="32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285C1A5F-E611-2645-B762-F8C942AA172E}" name="GIFTS AND DONATIONS" totalsRowLabel="TOTAL" dataDxfId="324" totalsRowDxfId="323"/>
    <tableColumn id="2" xr3:uid="{0E424A4C-44B0-4148-9A19-8882ABD6ABD7}" name="Projected Cost" dataDxfId="322" totalsRowDxfId="321"/>
    <tableColumn id="3" xr3:uid="{3BB00745-B2B3-094F-8D7C-9D81243FE60C}" name="Actual Cost" totalsRowFunction="custom" dataDxfId="320" totalsRowDxfId="319">
      <totalsRowFormula>SUM(Gifts22344658708294106118[Actual Cost])</totalsRowFormula>
    </tableColumn>
    <tableColumn id="4" xr3:uid="{D6613002-A4A7-C540-A5A0-07634A37BA6E}" name="Difference" totalsRowFunction="custom" dataDxfId="318" totalsRowDxfId="317">
      <calculatedColumnFormula>Gifts22344658708294106118[[#This Row],[Projected Cost]]-Gifts22344658708294106118[[#This Row],[Actual Cost]]</calculatedColumnFormula>
      <totalsRowFormula>SUM(Gifts22344658708294106118[Actual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9F9BA09A-E94B-BA48-A5DE-5357CCDA639C}" name="Pets23354759718395107119" displayName="Pets23354759718395107119" ref="B48:E54" totalsRowCount="1" headerRowDxfId="316" totalsRowDxfId="315" totalsRowBorderDxfId="31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6E14C6AE-E74A-B849-87A5-5C3FDA66BFDF}" name="PETS" totalsRowLabel="TOTAL" dataDxfId="313" totalsRowDxfId="312"/>
    <tableColumn id="2" xr3:uid="{06F8B071-3600-3747-9F90-D53D7583FB22}" name="Projected Cost" dataDxfId="311" totalsRowDxfId="310"/>
    <tableColumn id="3" xr3:uid="{22931F2C-3B3F-2944-8095-2B71D189B5A6}" name="Actual Cost" totalsRowFunction="custom" dataDxfId="309" totalsRowDxfId="308">
      <totalsRowFormula>SUM(Pets23354759718395107119[Actual Cost])</totalsRowFormula>
    </tableColumn>
    <tableColumn id="4" xr3:uid="{3F4871CE-8762-E44C-AA3F-C06A4BD4FB4F}" name="Difference" totalsRowFunction="custom" dataDxfId="307" totalsRowDxfId="306">
      <calculatedColumnFormula>Pets23354759718395107119[[#This Row],[Projected Cost]]-Pets23354759718395107119[[#This Row],[Actual Cost]]</calculatedColumnFormula>
      <totalsRowFormula>SUM(Pets23354759718395107119[Actual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F9F14BAD-F6C6-EC42-AABC-BDF81F65A525}" name="Legal24364860728496108120" displayName="Legal24364860728496108120" ref="G52:J57" totalsRowCount="1" headerRowDxfId="305" totalsRowDxfId="304" totalsRowBorderDxfId="30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76FFE6C6-0250-9B4E-A2B7-59384BA40D16}" name="LEGAL" totalsRowLabel="TOTAL" dataDxfId="302" totalsRowDxfId="301"/>
    <tableColumn id="2" xr3:uid="{6E9157AD-6388-B944-B5D4-E5FEB1FCA7AA}" name="Projected Cost" dataDxfId="300" totalsRowDxfId="299"/>
    <tableColumn id="3" xr3:uid="{313794AE-1B03-6141-B04D-7FA5DD4DC528}" name="Actual Cost" totalsRowFunction="custom" dataDxfId="298" totalsRowDxfId="297">
      <totalsRowFormula>SUM(Legal24364860728496108120[Actual Cost])</totalsRowFormula>
    </tableColumn>
    <tableColumn id="4" xr3:uid="{07824DC0-CF06-E048-B11C-DA72F2EC20AF}" name="Difference" totalsRowFunction="custom" dataDxfId="296" totalsRowDxfId="295">
      <calculatedColumnFormula>Legal24364860728496108120[[#This Row],[Projected Cost]]-Legal24364860728496108120[[#This Row],[Actual Cost]]</calculatedColumnFormula>
      <totalsRowFormula>SUM(Legal24364860728496108120[Actual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6:E64" totalsRowCount="1" headerRowDxfId="1464" totalsRowDxfId="1463" totalsRowBorderDxfId="146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TOTAL" dataDxfId="1461" totalsRowDxfId="1460"/>
    <tableColumn id="2" xr3:uid="{00000000-0010-0000-0B00-000002000000}" name="Projected Cost" dataDxfId="1459" totalsRowDxfId="1458"/>
    <tableColumn id="3" xr3:uid="{00000000-0010-0000-0B00-000003000000}" name="Actual Cost" totalsRowFunction="custom" dataDxfId="1457" totalsRowDxfId="1456">
      <totalsRowFormula>SUM(PersonalCare[Actual Cost])</totalsRowFormula>
    </tableColumn>
    <tableColumn id="4" xr3:uid="{00000000-0010-0000-0B00-000004000000}" name="Difference" totalsRowFunction="custom" dataDxfId="1455" totalsRowDxfId="1454">
      <calculatedColumnFormula>PersonalCare[[#This Row],[Projected Cost]]-PersonalCare[[#This Row],[Actual Cost]]</calculatedColumnFormula>
      <totalsRowFormula>SUM(PersonalCare[Actual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4DC70AA7-E9F8-D848-82BF-6DC47A02CE3B}" name="PersonalCare25374961738597109121" displayName="PersonalCare25374961738597109121" ref="B56:E64" totalsRowCount="1" headerRowDxfId="294" totalsRowDxfId="293" totalsRowBorderDxfId="29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EA0D9D7A-3E5B-A54D-8BD1-7386DE3F9DEE}" name="PERSONAL CARE" totalsRowLabel="TOTAL" dataDxfId="291" totalsRowDxfId="290"/>
    <tableColumn id="2" xr3:uid="{FD5E59BF-5D07-DC4A-B180-2E835C65F0FA}" name="Projected Cost" dataDxfId="289" totalsRowDxfId="288"/>
    <tableColumn id="3" xr3:uid="{8EC66788-0E91-0441-A570-EEF465EC271A}" name="Actual Cost" totalsRowFunction="custom" dataDxfId="287" totalsRowDxfId="286">
      <totalsRowFormula>SUM(PersonalCare25374961738597109121[Actual Cost])</totalsRowFormula>
    </tableColumn>
    <tableColumn id="4" xr3:uid="{95408FD9-8B5A-B64C-9C04-5E92E0E482A5}" name="Difference" totalsRowFunction="custom" dataDxfId="285" totalsRowDxfId="284">
      <calculatedColumnFormula>PersonalCare25374961738597109121[[#This Row],[Projected Cost]]-PersonalCare25374961738597109121[[#This Row],[Actual Cost]]</calculatedColumnFormula>
      <totalsRowFormula>SUM(PersonalCare25374961738597109121[Actual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030342BF-40D6-374F-ADD1-C4EFE747910D}" name="Housing1426385062748698110122" displayName="Housing1426385062748698110122" ref="B12:E23" totalsRowCount="1" headerRowDxfId="283" totalsRowDxfId="282" totalsRowBorderDxfId="28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4BE0D64E-ECD6-B246-BD90-0EFF556B667D}" name="HOUSING" totalsRowLabel="TOTAL" dataDxfId="280" totalsRowDxfId="279"/>
    <tableColumn id="2" xr3:uid="{15E0FE2A-D1A1-BA45-9E39-FCF4A528DDF8}" name="Projected Cost" dataDxfId="278" totalsRowDxfId="277"/>
    <tableColumn id="3" xr3:uid="{4735C298-11F9-0F40-B08F-68744781B345}" name="Actual Cost" totalsRowFunction="custom" dataDxfId="276" totalsRowDxfId="275">
      <totalsRowFormula>SUM(D13:D22)</totalsRowFormula>
    </tableColumn>
    <tableColumn id="4" xr3:uid="{B4F9AFA6-B4B8-F64E-B0E9-44C062AE8F77}" name="Difference" totalsRowFunction="custom" dataDxfId="274" totalsRowDxfId="273">
      <calculatedColumnFormula>Housing1426385062748698110122[[#This Row],[Projected Cost]]-Housing1426385062748698110122[[#This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C4F11962-B6CD-3A4F-A8F8-7A70623F4B51}" name="Entertainment1527395163758799111123" displayName="Entertainment1527395163758799111123" ref="G12:J22" totalsRowCount="1" headerRowDxfId="272" totalsRowDxfId="271" totalsRowBorderDxfId="27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992413F-C9C6-3247-87ED-AFF1A01AA50C}" name="ENTERTAINMENT" totalsRowLabel="TOTAL" dataDxfId="269" totalsRowDxfId="268"/>
    <tableColumn id="2" xr3:uid="{B772C5A9-713B-A44E-8751-D4EE1D310112}" name="Projected Cost" dataDxfId="267" totalsRowDxfId="266"/>
    <tableColumn id="3" xr3:uid="{8A0C82B1-97D3-EF47-B4B4-CA8E8CF39C82}" name="Actual Cost" totalsRowFunction="custom" dataDxfId="265" totalsRowDxfId="264">
      <totalsRowFormula>SUM(Entertainment1527395163758799111123[Actual Cost])</totalsRowFormula>
    </tableColumn>
    <tableColumn id="4" xr3:uid="{C8065299-6841-8544-94B2-79333DB62315}" name="Difference" totalsRowFunction="custom" dataDxfId="263" totalsRowDxfId="262">
      <calculatedColumnFormula>Entertainment1527395163758799111123[[#This Row],[Projected Cost]]-Entertainment1527395163758799111123[[#This Row],[Actual Cost]]</calculatedColumnFormula>
      <totalsRowFormula>SUM(Entertainment1527395163758799111123[Actual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A5E0F2D8-44CD-0F40-A803-FDD6E487458C}" name="Loans16284052647688100112124" displayName="Loans16284052647688100112124" ref="G24:J31" totalsRowCount="1" headerRowDxfId="261" totalsRowDxfId="260" totalsRowBorderDxfId="25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1A1D536F-12A7-E549-A0B9-5033C4541E5D}" name="LOANS" totalsRowLabel="TOTAL" dataDxfId="258" totalsRowDxfId="257"/>
    <tableColumn id="2" xr3:uid="{403B8F39-3152-BB44-9E5C-4B5AC8629E91}" name="Projected Cost" dataDxfId="256" totalsRowDxfId="255"/>
    <tableColumn id="3" xr3:uid="{F48D5159-3802-4B4A-ACB8-647A5ACEB439}" name="Actual Cost" totalsRowFunction="custom" dataDxfId="254" totalsRowDxfId="253">
      <totalsRowFormula>SUM(Loans16284052647688100112124[Actual Cost])</totalsRowFormula>
    </tableColumn>
    <tableColumn id="4" xr3:uid="{C23CC1C8-F8FD-3042-80B8-F451C99E5B75}" name="Difference" totalsRowFunction="custom" dataDxfId="252" totalsRowDxfId="251">
      <calculatedColumnFormula>Loans16284052647688100112124[[#This Row],[Projected Cost]]-Loans16284052647688100112124[[#This Row],[Actual Cost]]</calculatedColumnFormula>
      <totalsRowFormula>SUM(Loans16284052647688100112124[Actual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FD86AAB1-B755-9046-89CE-E725C6EF8C6B}" name="Transportation17294153657789101113125" displayName="Transportation17294153657789101113125" ref="B25:E33" totalsRowCount="1" headerRowDxfId="250" totalsRowDxfId="249" totalsRowBorderDxfId="24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12757E89-1784-5943-910D-C18578512CEB}" name="TRANSPORTATION" totalsRowLabel="TOTAL" dataDxfId="247" totalsRowDxfId="246"/>
    <tableColumn id="2" xr3:uid="{C3F07169-662F-0E48-B39B-C62998C70D35}" name="Projected Cost" dataDxfId="245" totalsRowDxfId="244"/>
    <tableColumn id="3" xr3:uid="{4153335D-4878-D94C-9099-7E92B93B44DE}" name="Actual Cost" totalsRowFunction="custom" dataDxfId="243" totalsRowDxfId="242">
      <totalsRowFormula>SUM(Transportation17294153657789101113125[Actual Cost])</totalsRowFormula>
    </tableColumn>
    <tableColumn id="4" xr3:uid="{6837B372-135B-CB4B-92C8-29FFD0C8124C}" name="Difference" totalsRowFunction="custom" dataDxfId="241" totalsRowDxfId="240">
      <calculatedColumnFormula>Transportation17294153657789101113125[[#This Row],[Projected Cost]]-Transportation17294153657789101113125[[#This Row],[Actual Cost]]</calculatedColumnFormula>
      <totalsRowFormula>SUM(Transportation17294153657789101113125[Actual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3375889E-CC97-6444-A8E1-91F2E473BB6A}" name="Insurance18304254667890102114126" displayName="Insurance18304254667890102114126" ref="B35:E40" totalsRowCount="1" headerRowDxfId="239" totalsRowDxfId="238" totalsRowBorderDxfId="23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BF74ADC8-2833-0D4E-AC11-CCD24D8AC5ED}" name="INSURANCE" totalsRowLabel="TOTAL" dataDxfId="236" totalsRowDxfId="235"/>
    <tableColumn id="2" xr3:uid="{2CA59316-2806-C04A-A00A-C8BD23C68055}" name="Projected Cost" dataDxfId="234" totalsRowDxfId="233"/>
    <tableColumn id="3" xr3:uid="{79DB90B9-710F-034A-BDB5-F2177B721C0C}" name="Actual Cost" totalsRowFunction="custom" dataDxfId="232" totalsRowDxfId="231">
      <totalsRowFormula>SUM(Insurance18304254667890102114126[Actual Cost])</totalsRowFormula>
    </tableColumn>
    <tableColumn id="4" xr3:uid="{79C68328-415A-264A-BBAB-2F6C6D25CD04}" name="Difference" totalsRowFunction="custom" dataDxfId="230" totalsRowDxfId="229">
      <calculatedColumnFormula>Insurance18304254667890102114126[[#This Row],[Projected Cost]]-Insurance18304254667890102114126[[#This Row],[Actual Cost]]</calculatedColumnFormula>
      <totalsRowFormula>SUM(Insurance18304254667890102114126[Actual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6E33209C-C565-DA40-BF24-4A20B031CCE2}" name="Taxes19314355677991103115127" displayName="Taxes19314355677991103115127" ref="G33:J38" totalsRowCount="1" totalsRowDxfId="228" totalsRowBorderDxfId="22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51DE5E7F-0118-1342-A003-13722250EF25}" name="TAXES" totalsRowLabel="TOTAL" dataDxfId="226" totalsRowDxfId="225"/>
    <tableColumn id="2" xr3:uid="{12B65049-E42C-5A4A-A2D2-A8797AC0EFBE}" name="Projected Cost" dataDxfId="224" totalsRowDxfId="223"/>
    <tableColumn id="3" xr3:uid="{338F0125-5984-B94A-B0D7-592478AB9BA4}" name="Actual Cost" totalsRowFunction="custom" dataDxfId="222" totalsRowDxfId="221">
      <totalsRowFormula>SUM(Taxes19314355677991103115127[Actual Cost])</totalsRowFormula>
    </tableColumn>
    <tableColumn id="4" xr3:uid="{FDBE85AA-0424-8442-B9FE-DADC3BEF7910}" name="Difference" totalsRowFunction="custom" dataDxfId="220" totalsRowDxfId="219">
      <calculatedColumnFormula>Taxes19314355677991103115127[[#This Row],[Projected Cost]]-Taxes19314355677991103115127[[#This Row],[Actual Cost]]</calculatedColumnFormula>
      <totalsRowFormula>SUM(Taxes19314355677991103115127[Actual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391DE109-88A0-DA4D-A80C-5C7461D36291}" name="Savings20324456688092104116128" displayName="Savings20324456688092104116128" ref="G40:J44" totalsRowCount="1" totalsRowDxfId="218" totalsRowBorderDxfId="21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C3499F0B-7751-CC45-A73F-AAB5797ACFF0}" name="SAVINGS OR INVESTMENTS" totalsRowLabel="TOTAL" dataDxfId="216" totalsRowDxfId="215"/>
    <tableColumn id="2" xr3:uid="{C430F9AD-C502-0B46-A13D-17A8DE86F6BC}" name="Projected Cost" dataDxfId="214" totalsRowDxfId="213"/>
    <tableColumn id="3" xr3:uid="{F5530862-08CA-7245-9688-EC95175E0F03}" name="Actual Cost" totalsRowFunction="custom" dataDxfId="212" totalsRowDxfId="211">
      <totalsRowFormula>SUM(Savings20324456688092104116128[Actual Cost])</totalsRowFormula>
    </tableColumn>
    <tableColumn id="4" xr3:uid="{5BC6D58E-B922-644A-BB12-DC02B1D37E77}" name="Difference" totalsRowFunction="custom" dataDxfId="210" totalsRowDxfId="209">
      <calculatedColumnFormula>Savings20324456688092104116128[[#This Row],[Projected Cost]]-Savings20324456688092104116128[[#This Row],[Actual Cost]]</calculatedColumnFormula>
      <totalsRowFormula>SUM(Savings20324456688092104116128[Actual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6FB6F977-92FC-5045-B80A-131EE223D95E}" name="Food21334557698193105117129" displayName="Food21334557698193105117129" ref="B42:E46" totalsRowCount="1" headerRowDxfId="208" totalsRowDxfId="207" totalsRowBorderDxfId="20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7248FDAF-A1BB-9741-B222-CA3E2DE0A07D}" name="FOOD" totalsRowLabel="TOTAL" dataDxfId="205" totalsRowDxfId="204"/>
    <tableColumn id="2" xr3:uid="{0F18FAE6-1180-E949-9EB7-0DAF16D2E294}" name="Projected Cost" dataDxfId="203" totalsRowDxfId="202"/>
    <tableColumn id="3" xr3:uid="{2E94A034-1C83-504A-8E8A-0F3A76F80311}" name="Actual Cost" totalsRowFunction="custom" dataDxfId="201" totalsRowDxfId="200">
      <totalsRowFormula>SUM(Food21334557698193105117129[Actual Cost])</totalsRowFormula>
    </tableColumn>
    <tableColumn id="4" xr3:uid="{C2BDAA88-383C-AF49-9C2E-CE36FBAEF668}" name="Difference" totalsRowFunction="custom" dataDxfId="199" totalsRowDxfId="198">
      <calculatedColumnFormula>Food21334557698193105117129[[#This Row],[Projected Cost]]-Food21334557698193105117129[[#This Row],[Actual Cost]]</calculatedColumnFormula>
      <totalsRowFormula>SUM(Food21334557698193105117129[Actual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1A1E2235-0048-F645-A65D-E22CFCE17033}" name="Gifts22344658708294106118130" displayName="Gifts22344658708294106118130" ref="G46:J50" totalsRowCount="1" headerRowDxfId="197" totalsRowDxfId="196" totalsRowBorderDxfId="19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CBE592D0-B4C6-804B-95A8-C7062FC08BAC}" name="GIFTS AND DONATIONS" totalsRowLabel="TOTAL" dataDxfId="194" totalsRowDxfId="193"/>
    <tableColumn id="2" xr3:uid="{8049A35F-2312-F749-B170-13C71066CB04}" name="Projected Cost" dataDxfId="192" totalsRowDxfId="191"/>
    <tableColumn id="3" xr3:uid="{F35D1213-5091-D44E-A377-4FEECE800F15}" name="Actual Cost" totalsRowFunction="custom" dataDxfId="190" totalsRowDxfId="189">
      <totalsRowFormula>SUM(Gifts22344658708294106118130[Actual Cost])</totalsRowFormula>
    </tableColumn>
    <tableColumn id="4" xr3:uid="{4FFEDC2E-7F99-DE42-A514-17140FA58F89}" name="Difference" totalsRowFunction="custom" dataDxfId="188" totalsRowDxfId="187">
      <calculatedColumnFormula>Gifts22344658708294106118130[[#This Row],[Projected Cost]]-Gifts22344658708294106118130[[#This Row],[Actual Cost]]</calculatedColumnFormula>
      <totalsRowFormula>SUM(Gifts22344658708294106118130[Actual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E62EDE8-45DE-B24B-A473-B080527C36EF}" name="Housing14" displayName="Housing14" ref="B12:E23" totalsRowCount="1" headerRowDxfId="1453" totalsRowDxfId="1452" totalsRowBorderDxfId="145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308B434-B62E-8A47-A4F8-F0B0E7EA9D1C}" name="HOUSING" totalsRowLabel="TOTAL" dataDxfId="1450" totalsRowDxfId="1449"/>
    <tableColumn id="2" xr3:uid="{3B45993C-4806-8844-AAE5-AC5055B749C0}" name="Projected Cost" dataDxfId="1448" totalsRowDxfId="1447"/>
    <tableColumn id="3" xr3:uid="{C527FA92-D53E-9B40-AD38-6DE25A4BBAF7}" name="Actual Cost" totalsRowFunction="custom" dataDxfId="1446" totalsRowDxfId="1445">
      <totalsRowFormula>SUM(D13:D22)</totalsRowFormula>
    </tableColumn>
    <tableColumn id="4" xr3:uid="{F7E1A9AF-BDEC-794B-B72E-573E822F9DDB}" name="Difference" totalsRowFunction="custom" dataDxfId="1444" totalsRowDxfId="1443">
      <calculatedColumnFormula>Housing14[[#This Row],[Projected Cost]]-Housing14[[#This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720804F6-BB25-F142-AC00-42C70BC83C2D}" name="Pets23354759718395107119131" displayName="Pets23354759718395107119131" ref="B48:E54" totalsRowCount="1" headerRowDxfId="186" totalsRowDxfId="185" totalsRowBorderDxfId="18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2DBF73BB-4E40-D747-AC3C-93C06002A712}" name="PETS" totalsRowLabel="TOTAL" dataDxfId="183" totalsRowDxfId="182"/>
    <tableColumn id="2" xr3:uid="{85AB3CDE-7120-CF46-BDF3-5E1F58902382}" name="Projected Cost" dataDxfId="181" totalsRowDxfId="180"/>
    <tableColumn id="3" xr3:uid="{9D759F2E-83FB-0044-BF92-D782BEBC3583}" name="Actual Cost" totalsRowFunction="custom" dataDxfId="179" totalsRowDxfId="178">
      <totalsRowFormula>SUM(Pets23354759718395107119131[Actual Cost])</totalsRowFormula>
    </tableColumn>
    <tableColumn id="4" xr3:uid="{5709A139-3368-274F-B163-96F89D7AC11B}" name="Difference" totalsRowFunction="custom" dataDxfId="177" totalsRowDxfId="176">
      <calculatedColumnFormula>Pets23354759718395107119131[[#This Row],[Projected Cost]]-Pets23354759718395107119131[[#This Row],[Actual Cost]]</calculatedColumnFormula>
      <totalsRowFormula>SUM(Pets23354759718395107119131[Actual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CA8ECAAE-B100-A840-826F-A70C76E32AF9}" name="Legal24364860728496108120132" displayName="Legal24364860728496108120132" ref="G52:J57" totalsRowCount="1" headerRowDxfId="175" totalsRowDxfId="174" totalsRowBorderDxfId="17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13024F5A-2767-F048-BF74-BCEAF0CB6918}" name="LEGAL" totalsRowLabel="TOTAL" dataDxfId="172" totalsRowDxfId="171"/>
    <tableColumn id="2" xr3:uid="{E95E68B1-F618-E24A-8722-FEEE0D1464C1}" name="Projected Cost" dataDxfId="170" totalsRowDxfId="169"/>
    <tableColumn id="3" xr3:uid="{766F06DA-F3A5-B649-B24D-B26276D529DA}" name="Actual Cost" totalsRowFunction="custom" dataDxfId="168" totalsRowDxfId="167">
      <totalsRowFormula>SUM(Legal24364860728496108120132[Actual Cost])</totalsRowFormula>
    </tableColumn>
    <tableColumn id="4" xr3:uid="{FE5AF42C-E697-1442-8DDB-07C5F6957178}" name="Difference" totalsRowFunction="custom" dataDxfId="166" totalsRowDxfId="165">
      <calculatedColumnFormula>Legal24364860728496108120132[[#This Row],[Projected Cost]]-Legal24364860728496108120132[[#This Row],[Actual Cost]]</calculatedColumnFormula>
      <totalsRowFormula>SUM(Legal24364860728496108120132[Actual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22D399AC-2994-C94D-B0F1-6A1C0E2CE654}" name="PersonalCare25374961738597109121133" displayName="PersonalCare25374961738597109121133" ref="B56:E64" totalsRowCount="1" headerRowDxfId="164" totalsRowDxfId="163" totalsRowBorderDxfId="16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10463795-03EA-9B41-B736-A8F9079667AB}" name="PERSONAL CARE" totalsRowLabel="TOTAL" dataDxfId="161" totalsRowDxfId="160"/>
    <tableColumn id="2" xr3:uid="{76342EA7-7741-B649-A522-FBA5F5C0E40C}" name="Projected Cost" dataDxfId="159" totalsRowDxfId="158"/>
    <tableColumn id="3" xr3:uid="{D721B4B2-E721-D649-95A0-94C0E3053D11}" name="Actual Cost" totalsRowFunction="custom" dataDxfId="157" totalsRowDxfId="156">
      <totalsRowFormula>SUM(PersonalCare25374961738597109121133[Actual Cost])</totalsRowFormula>
    </tableColumn>
    <tableColumn id="4" xr3:uid="{792AE6AE-7B5E-E143-B80C-D480DFB91719}" name="Difference" totalsRowFunction="custom" dataDxfId="155" totalsRowDxfId="154">
      <calculatedColumnFormula>PersonalCare25374961738597109121133[[#This Row],[Projected Cost]]-PersonalCare25374961738597109121133[[#This Row],[Actual Cost]]</calculatedColumnFormula>
      <totalsRowFormula>SUM(PersonalCare25374961738597109121133[Actual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C3C5E321-3F57-714D-9F79-5E75DB03016C}" name="Housing1426385062748698110122134" displayName="Housing1426385062748698110122134" ref="B12:E23" totalsRowCount="1" headerRowDxfId="153" totalsRowDxfId="152" totalsRowBorderDxfId="15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F7EAD174-8594-9142-823E-D69D2956812B}" name="HOUSING" totalsRowLabel="TOTAL" dataDxfId="150" totalsRowDxfId="149"/>
    <tableColumn id="2" xr3:uid="{032D8028-7E6B-A14F-BDC9-B5EF44C27023}" name="Projected Cost" dataDxfId="148" totalsRowDxfId="147"/>
    <tableColumn id="3" xr3:uid="{2F4C3DCE-BC18-F840-AD6E-601E66EFBB46}" name="Actual Cost" totalsRowFunction="custom" dataDxfId="146" totalsRowDxfId="145">
      <totalsRowFormula>SUM(D13:D22)</totalsRowFormula>
    </tableColumn>
    <tableColumn id="4" xr3:uid="{01FB45F2-936E-224C-AB32-475589C4BEBA}" name="Difference" totalsRowFunction="custom" dataDxfId="144" totalsRowDxfId="143">
      <calculatedColumnFormula>Housing1426385062748698110122134[[#This Row],[Projected Cost]]-Housing1426385062748698110122134[[#This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3B7FD730-1259-2041-B442-2E7300FD26CB}" name="Entertainment1527395163758799111123135" displayName="Entertainment1527395163758799111123135" ref="G12:J22" totalsRowCount="1" headerRowDxfId="142" totalsRowDxfId="141" totalsRowBorderDxfId="14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A4A514A0-A20A-0647-A493-D88B28E59AD9}" name="ENTERTAINMENT" totalsRowLabel="TOTAL" dataDxfId="139" totalsRowDxfId="138"/>
    <tableColumn id="2" xr3:uid="{A1097547-954B-7B47-B2B6-32A9EF737087}" name="Projected Cost" dataDxfId="137" totalsRowDxfId="136"/>
    <tableColumn id="3" xr3:uid="{F5BF0FAD-B622-E647-8386-9E7A31BA7347}" name="Actual Cost" totalsRowFunction="custom" dataDxfId="135" totalsRowDxfId="134">
      <totalsRowFormula>SUM(Entertainment1527395163758799111123135[Actual Cost])</totalsRowFormula>
    </tableColumn>
    <tableColumn id="4" xr3:uid="{A68A3317-5914-9547-90B3-3C45DDA68789}" name="Difference" totalsRowFunction="custom" dataDxfId="133" totalsRowDxfId="132">
      <calculatedColumnFormula>Entertainment1527395163758799111123135[[#This Row],[Projected Cost]]-Entertainment1527395163758799111123135[[#This Row],[Actual Cost]]</calculatedColumnFormula>
      <totalsRowFormula>SUM(Entertainment1527395163758799111123135[Actual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1DF8E787-64CF-1147-8B08-D5770F655E88}" name="Loans16284052647688100112124136" displayName="Loans16284052647688100112124136" ref="G24:J31" totalsRowCount="1" headerRowDxfId="131" totalsRowDxfId="130" totalsRowBorderDxfId="12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923CA431-8886-584B-B839-C7D6ED9AF3E2}" name="LOANS" totalsRowLabel="TOTAL" dataDxfId="128" totalsRowDxfId="127"/>
    <tableColumn id="2" xr3:uid="{8A6C7F32-F255-9842-8EB4-1DD60243BF6F}" name="Projected Cost" dataDxfId="126" totalsRowDxfId="125"/>
    <tableColumn id="3" xr3:uid="{E4DEE90C-19CD-9048-8F37-889AD6B8DBCF}" name="Actual Cost" totalsRowFunction="custom" dataDxfId="124" totalsRowDxfId="123">
      <totalsRowFormula>SUM(Loans16284052647688100112124136[Actual Cost])</totalsRowFormula>
    </tableColumn>
    <tableColumn id="4" xr3:uid="{E67D55E4-C317-C346-B297-0A03E047075B}" name="Difference" totalsRowFunction="custom" dataDxfId="122" totalsRowDxfId="121">
      <calculatedColumnFormula>Loans16284052647688100112124136[[#This Row],[Projected Cost]]-Loans16284052647688100112124136[[#This Row],[Actual Cost]]</calculatedColumnFormula>
      <totalsRowFormula>SUM(Loans16284052647688100112124136[Actual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00D96776-8128-8840-ADC0-EE34643D22F2}" name="Transportation17294153657789101113125137" displayName="Transportation17294153657789101113125137" ref="B25:E33" totalsRowCount="1" headerRowDxfId="120" totalsRowDxfId="119" totalsRowBorderDxfId="11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32CE3573-D92F-5646-96E4-AFB3FB9FBFF5}" name="TRANSPORTATION" totalsRowLabel="TOTAL" dataDxfId="117" totalsRowDxfId="116"/>
    <tableColumn id="2" xr3:uid="{5EBC497F-AF3F-FB4B-B238-3FCF6DFFF6CA}" name="Projected Cost" dataDxfId="115" totalsRowDxfId="114"/>
    <tableColumn id="3" xr3:uid="{E7FABAF1-DF1B-2B4D-833F-17BEBB6F59FD}" name="Actual Cost" totalsRowFunction="custom" dataDxfId="113" totalsRowDxfId="112">
      <totalsRowFormula>SUM(Transportation17294153657789101113125137[Actual Cost])</totalsRowFormula>
    </tableColumn>
    <tableColumn id="4" xr3:uid="{1F6E976D-F10C-5447-872E-879F9DFDB124}" name="Difference" totalsRowFunction="custom" dataDxfId="111" totalsRowDxfId="110">
      <calculatedColumnFormula>Transportation17294153657789101113125137[[#This Row],[Projected Cost]]-Transportation17294153657789101113125137[[#This Row],[Actual Cost]]</calculatedColumnFormula>
      <totalsRowFormula>SUM(Transportation17294153657789101113125137[Actual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F9669BB4-D989-4B45-801A-C0FD2A411A0A}" name="Insurance18304254667890102114126138" displayName="Insurance18304254667890102114126138" ref="B35:E40" totalsRowCount="1" headerRowDxfId="109" totalsRowDxfId="108" totalsRowBorderDxfId="10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5156BD05-495B-0C44-868F-EAC860368AEE}" name="INSURANCE" totalsRowLabel="TOTAL" dataDxfId="106" totalsRowDxfId="105"/>
    <tableColumn id="2" xr3:uid="{3383F64E-ACED-6643-970C-5A3FD3A95B4F}" name="Projected Cost" dataDxfId="104" totalsRowDxfId="103"/>
    <tableColumn id="3" xr3:uid="{211ACAF1-9198-8449-8EA9-D143F7748D81}" name="Actual Cost" totalsRowFunction="custom" dataDxfId="102" totalsRowDxfId="101">
      <totalsRowFormula>SUM(Insurance18304254667890102114126138[Actual Cost])</totalsRowFormula>
    </tableColumn>
    <tableColumn id="4" xr3:uid="{066CE757-C9F4-D74E-9A87-91D03D6F0E73}" name="Difference" totalsRowFunction="custom" dataDxfId="100" totalsRowDxfId="99">
      <calculatedColumnFormula>Insurance18304254667890102114126138[[#This Row],[Projected Cost]]-Insurance18304254667890102114126138[[#This Row],[Actual Cost]]</calculatedColumnFormula>
      <totalsRowFormula>SUM(Insurance18304254667890102114126138[Actual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957F628C-8BAD-1443-88E5-58898FF6B06F}" name="Taxes19314355677991103115127139" displayName="Taxes19314355677991103115127139" ref="G33:J38" totalsRowCount="1" totalsRowDxfId="98" totalsRowBorderDxfId="9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78CE06B7-F93C-3747-956E-BB64D60EA490}" name="TAXES" totalsRowLabel="TOTAL" dataDxfId="96" totalsRowDxfId="95"/>
    <tableColumn id="2" xr3:uid="{2579349F-3A98-E843-B96F-2AC60048FDCC}" name="Projected Cost" dataDxfId="94" totalsRowDxfId="93"/>
    <tableColumn id="3" xr3:uid="{238C6286-1F25-FA40-87F0-6D51E00724CB}" name="Actual Cost" totalsRowFunction="custom" dataDxfId="92" totalsRowDxfId="91">
      <totalsRowFormula>SUM(Taxes19314355677991103115127139[Actual Cost])</totalsRowFormula>
    </tableColumn>
    <tableColumn id="4" xr3:uid="{34B28B7F-3204-4546-89C5-3F6D486D479B}" name="Difference" totalsRowFunction="custom" dataDxfId="90" totalsRowDxfId="89">
      <calculatedColumnFormula>Taxes19314355677991103115127139[[#This Row],[Projected Cost]]-Taxes19314355677991103115127139[[#This Row],[Actual Cost]]</calculatedColumnFormula>
      <totalsRowFormula>SUM(Taxes19314355677991103115127139[Actual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C001441D-6A3D-7846-8DE3-CFB5B395290E}" name="Savings20324456688092104116128140" displayName="Savings20324456688092104116128140" ref="G40:J44" totalsRowCount="1" totalsRowDxfId="88" totalsRowBorderDxfId="8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61D6270A-F41E-9348-BA6B-14684DEB2C40}" name="SAVINGS OR INVESTMENTS" totalsRowLabel="TOTAL" dataDxfId="86" totalsRowDxfId="85"/>
    <tableColumn id="2" xr3:uid="{F8177E9E-A843-F640-9B40-1E61BDA0FD7B}" name="Projected Cost" dataDxfId="84" totalsRowDxfId="83"/>
    <tableColumn id="3" xr3:uid="{2D1ECC70-DAEA-F441-A8A6-61AC631A7939}" name="Actual Cost" totalsRowFunction="custom" dataDxfId="82" totalsRowDxfId="81">
      <totalsRowFormula>SUM(Savings20324456688092104116128140[Actual Cost])</totalsRowFormula>
    </tableColumn>
    <tableColumn id="4" xr3:uid="{9DF27580-C85C-914C-B51A-A5CE97E658AD}" name="Difference" totalsRowFunction="custom" dataDxfId="80" totalsRowDxfId="79">
      <calculatedColumnFormula>Savings20324456688092104116128140[[#This Row],[Projected Cost]]-Savings20324456688092104116128140[[#This Row],[Actual Cost]]</calculatedColumnFormula>
      <totalsRowFormula>SUM(Savings20324456688092104116128140[Actual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45A270E-CF88-9143-9218-E7BE464C9B25}" name="Entertainment15" displayName="Entertainment15" ref="G12:J22" totalsRowCount="1" headerRowDxfId="1442" totalsRowDxfId="1441" totalsRowBorderDxfId="144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ED95B105-79EC-5549-8B70-C498FAF42F77}" name="ENTERTAINMENT" totalsRowLabel="TOTAL" dataDxfId="1439" totalsRowDxfId="1438"/>
    <tableColumn id="2" xr3:uid="{7A46806C-1B5C-6746-ACFB-029ED5BC9571}" name="Projected Cost" dataDxfId="1437" totalsRowDxfId="1436"/>
    <tableColumn id="3" xr3:uid="{19892AD6-5FFF-CA49-BC7A-43157B63E2DE}" name="Actual Cost" totalsRowFunction="custom" dataDxfId="1435" totalsRowDxfId="1434">
      <totalsRowFormula>SUM(Entertainment15[Actual Cost])</totalsRowFormula>
    </tableColumn>
    <tableColumn id="4" xr3:uid="{C199131F-9BB8-BF4E-865D-48E0BEB736DD}" name="Difference" totalsRowFunction="custom" dataDxfId="1433" totalsRowDxfId="1432">
      <calculatedColumnFormula>Entertainment15[[#This Row],[Projected Cost]]-Entertainment15[[#This Row],[Actual Cost]]</calculatedColumnFormula>
      <totalsRowFormula>SUM(Entertainment15[Actual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705A7CA0-B9FB-EB48-B13E-EE90920B11E6}" name="Food21334557698193105117129141" displayName="Food21334557698193105117129141" ref="B42:E46" totalsRowCount="1" headerRowDxfId="78" totalsRowDxfId="77" totalsRowBorderDxfId="7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8278C23B-B131-5A47-B01B-A0C195D25004}" name="FOOD" totalsRowLabel="TOTAL" dataDxfId="75" totalsRowDxfId="74"/>
    <tableColumn id="2" xr3:uid="{D045BCCB-FF60-F640-B9B2-BB5F05A97090}" name="Projected Cost" dataDxfId="73" totalsRowDxfId="72"/>
    <tableColumn id="3" xr3:uid="{2FF9D175-1269-BE41-A99B-456592F001B9}" name="Actual Cost" totalsRowFunction="custom" dataDxfId="71" totalsRowDxfId="70">
      <totalsRowFormula>SUM(Food21334557698193105117129141[Actual Cost])</totalsRowFormula>
    </tableColumn>
    <tableColumn id="4" xr3:uid="{F79E5BBD-45E9-4B4A-A04F-39E2F620D7D4}" name="Difference" totalsRowFunction="custom" dataDxfId="69" totalsRowDxfId="68">
      <calculatedColumnFormula>Food21334557698193105117129141[[#This Row],[Projected Cost]]-Food21334557698193105117129141[[#This Row],[Actual Cost]]</calculatedColumnFormula>
      <totalsRowFormula>SUM(Food21334557698193105117129141[Actual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3EC4B989-293F-804E-8C29-2B124D90297C}" name="Gifts22344658708294106118130142" displayName="Gifts22344658708294106118130142" ref="G46:J50" totalsRowCount="1" headerRowDxfId="67" totalsRowDxfId="66" totalsRowBorderDxfId="6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465B5E55-9E20-A64D-8E86-30B874A60EBB}" name="GIFTS AND DONATIONS" totalsRowLabel="TOTAL" dataDxfId="64" totalsRowDxfId="63"/>
    <tableColumn id="2" xr3:uid="{768F21DC-D283-774E-89B1-4B6F123FEC86}" name="Projected Cost" dataDxfId="62" totalsRowDxfId="61"/>
    <tableColumn id="3" xr3:uid="{AD320F06-6062-DE48-B515-C0E7C7CB9D18}" name="Actual Cost" totalsRowFunction="custom" dataDxfId="60" totalsRowDxfId="59">
      <totalsRowFormula>SUM(Gifts22344658708294106118130142[Actual Cost])</totalsRowFormula>
    </tableColumn>
    <tableColumn id="4" xr3:uid="{1D054DAB-AD6C-294D-95E0-2468C5672191}" name="Difference" totalsRowFunction="custom" dataDxfId="58" totalsRowDxfId="57">
      <calculatedColumnFormula>Gifts22344658708294106118130142[[#This Row],[Projected Cost]]-Gifts22344658708294106118130142[[#This Row],[Actual Cost]]</calculatedColumnFormula>
      <totalsRowFormula>SUM(Gifts22344658708294106118130142[Actual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CB63DDE9-E87F-9D42-A965-8FF9C20D76A0}" name="Pets23354759718395107119131143" displayName="Pets23354759718395107119131143" ref="B48:E54" totalsRowCount="1" headerRowDxfId="56" totalsRowDxfId="55" totalsRowBorderDxfId="5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88432D0C-78DE-3847-A224-5B662E800E63}" name="PETS" totalsRowLabel="TOTAL" dataDxfId="53" totalsRowDxfId="52"/>
    <tableColumn id="2" xr3:uid="{6BCDA804-6B9D-CE47-A0C8-53E7E2B17E9C}" name="Projected Cost" dataDxfId="51" totalsRowDxfId="50"/>
    <tableColumn id="3" xr3:uid="{1C7E3305-7CE8-9342-B165-ECD2C6C90B14}" name="Actual Cost" totalsRowFunction="custom" dataDxfId="49" totalsRowDxfId="48">
      <totalsRowFormula>SUM(Pets23354759718395107119131143[Actual Cost])</totalsRowFormula>
    </tableColumn>
    <tableColumn id="4" xr3:uid="{E7EA9C86-2F73-0640-A087-7AB747BF75B8}" name="Difference" totalsRowFunction="custom" dataDxfId="47" totalsRowDxfId="46">
      <calculatedColumnFormula>Pets23354759718395107119131143[[#This Row],[Projected Cost]]-Pets23354759718395107119131143[[#This Row],[Actual Cost]]</calculatedColumnFormula>
      <totalsRowFormula>SUM(Pets23354759718395107119131143[Actual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29D32886-E78A-2F4A-B2A1-B0543547D09C}" name="Legal24364860728496108120132144" displayName="Legal24364860728496108120132144" ref="G52:J57" totalsRowCount="1" headerRowDxfId="45" totalsRowDxfId="44" totalsRowBorderDxfId="4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C74289BD-0FAF-6441-BBE4-208F3316862B}" name="LEGAL" totalsRowLabel="TOTAL" dataDxfId="42" totalsRowDxfId="41"/>
    <tableColumn id="2" xr3:uid="{151C65EC-C53B-6445-96D3-17FFC57D1B91}" name="Projected Cost" dataDxfId="40" totalsRowDxfId="39"/>
    <tableColumn id="3" xr3:uid="{E3AFF501-7336-6B47-9920-0B79E6B31F3B}" name="Actual Cost" totalsRowFunction="custom" dataDxfId="38" totalsRowDxfId="37">
      <totalsRowFormula>SUM(Legal24364860728496108120132144[Actual Cost])</totalsRowFormula>
    </tableColumn>
    <tableColumn id="4" xr3:uid="{25782F3C-C782-F64C-8369-F2838D5BA747}" name="Difference" totalsRowFunction="custom" dataDxfId="36" totalsRowDxfId="35">
      <calculatedColumnFormula>Legal24364860728496108120132144[[#This Row],[Projected Cost]]-Legal24364860728496108120132144[[#This Row],[Actual Cost]]</calculatedColumnFormula>
      <totalsRowFormula>SUM(Legal24364860728496108120132144[Actual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CDF5E660-DBF5-8341-8A8F-4C7E60264981}" name="PersonalCare25374961738597109121133145" displayName="PersonalCare25374961738597109121133145" ref="B56:E64" totalsRowCount="1" headerRowDxfId="34" totalsRowDxfId="33" totalsRowBorderDxfId="3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615E198B-22A4-F943-8878-97F4AF7EF9DF}" name="PERSONAL CARE" totalsRowLabel="TOTAL" dataDxfId="31" totalsRowDxfId="30"/>
    <tableColumn id="2" xr3:uid="{995B0128-9378-D343-AD78-A6AB9B1DF2D2}" name="Projected Cost" dataDxfId="29" totalsRowDxfId="28"/>
    <tableColumn id="3" xr3:uid="{6C21AC17-916D-DA40-B968-7640559786EF}" name="Actual Cost" totalsRowFunction="custom" dataDxfId="27" totalsRowDxfId="26">
      <totalsRowFormula>SUM(PersonalCare25374961738597109121133145[Actual Cost])</totalsRowFormula>
    </tableColumn>
    <tableColumn id="4" xr3:uid="{8BDFB969-71BC-F541-B4AB-1C509C5EF93B}" name="Difference" totalsRowFunction="custom" dataDxfId="25" totalsRowDxfId="24">
      <calculatedColumnFormula>PersonalCare25374961738597109121133145[[#This Row],[Projected Cost]]-PersonalCare25374961738597109121133145[[#This Row],[Actual Cost]]</calculatedColumnFormula>
      <totalsRowFormula>SUM(PersonalCare25374961738597109121133145[Actual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F1AF9E7-8CB2-DC46-8E61-C29D11A70F64}" name="Loans16" displayName="Loans16" ref="G24:J31" totalsRowCount="1" headerRowDxfId="1431" totalsRowDxfId="1430" totalsRowBorderDxfId="142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9C2FDA9D-2C75-8944-A19C-B3D6065E44BE}" name="LOANS" totalsRowLabel="TOTAL" dataDxfId="1428" totalsRowDxfId="1427"/>
    <tableColumn id="2" xr3:uid="{CD46555B-01EA-BD45-866D-39BBEB1FBF88}" name="Projected Cost" dataDxfId="1426" totalsRowDxfId="1425"/>
    <tableColumn id="3" xr3:uid="{760F5140-BBE5-DC47-8929-0814E251C43F}" name="Actual Cost" totalsRowFunction="custom" dataDxfId="1424" totalsRowDxfId="1423">
      <totalsRowFormula>SUM(Loans16[Actual Cost])</totalsRowFormula>
    </tableColumn>
    <tableColumn id="4" xr3:uid="{1D747796-1CB0-B54F-9072-57ADD550DB2A}" name="Difference" totalsRowFunction="custom" dataDxfId="1422" totalsRowDxfId="1421">
      <calculatedColumnFormula>Loans16[[#This Row],[Projected Cost]]-Loans16[[#This Row],[Actual Cost]]</calculatedColumnFormula>
      <totalsRowFormula>SUM(Loans16[Actual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8D1B7C7-AE26-BE49-A57F-100EA566BC43}" name="Transportation17" displayName="Transportation17" ref="B25:E33" totalsRowCount="1" headerRowDxfId="1420" totalsRowDxfId="1419" totalsRowBorderDxfId="141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E7B55390-62BE-BD4B-A1C6-3B1BCD5368E5}" name="TRANSPORTATION" totalsRowLabel="TOTAL" dataDxfId="1417" totalsRowDxfId="1416"/>
    <tableColumn id="2" xr3:uid="{9E413561-43F2-C248-A11E-45E2C46309DA}" name="Projected Cost" dataDxfId="1415" totalsRowDxfId="1414"/>
    <tableColumn id="3" xr3:uid="{BB206A7E-8B61-9A4A-96EE-CFCE2542B55A}" name="Actual Cost" totalsRowFunction="custom" dataDxfId="1413" totalsRowDxfId="1412">
      <totalsRowFormula>SUM(Transportation17[Actual Cost])</totalsRowFormula>
    </tableColumn>
    <tableColumn id="4" xr3:uid="{DCD0F51F-EADA-1648-8751-D1F709C136B9}" name="Difference" totalsRowFunction="custom" dataDxfId="1411" totalsRowDxfId="1410">
      <calculatedColumnFormula>Transportation17[[#This Row],[Projected Cost]]-Transportation17[[#This Row],[Actual Cost]]</calculatedColumnFormula>
      <totalsRowFormula>SUM(Transportation17[Actual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942C575-AEA3-2D4D-8B81-F0DB76C6529E}" name="Insurance18" displayName="Insurance18" ref="B35:E40" totalsRowCount="1" headerRowDxfId="1409" totalsRowDxfId="1408" totalsRowBorderDxfId="140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C5423AD2-B2B4-014A-B555-DDEEFC53B286}" name="INSURANCE" totalsRowLabel="TOTAL" dataDxfId="1406" totalsRowDxfId="1405"/>
    <tableColumn id="2" xr3:uid="{094B5D7E-86C2-9547-A43E-9459247585F8}" name="Projected Cost" dataDxfId="1404" totalsRowDxfId="1403"/>
    <tableColumn id="3" xr3:uid="{1D0F405B-DAF9-0343-B14A-85011FB6DB73}" name="Actual Cost" totalsRowFunction="custom" dataDxfId="1402" totalsRowDxfId="1401">
      <totalsRowFormula>SUM(Insurance18[Actual Cost])</totalsRowFormula>
    </tableColumn>
    <tableColumn id="4" xr3:uid="{C49A62A0-8DE2-554C-BAFE-54D5CD46F625}" name="Difference" totalsRowFunction="custom" dataDxfId="1400" totalsRowDxfId="1399">
      <calculatedColumnFormula>Insurance18[[#This Row],[Projected Cost]]-Insurance18[[#This Row],[Actual Cost]]</calculatedColumnFormula>
      <totalsRowFormula>SUM(Insurance18[Actual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A36E876-9AC6-1B4F-8BBC-76D07FA9D9AB}" name="Taxes19" displayName="Taxes19" ref="G33:J38" totalsRowCount="1" totalsRowDxfId="1398" totalsRowBorderDxfId="139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8AD4214C-E927-744E-8348-502342392DA9}" name="TAXES" totalsRowLabel="TOTAL" dataDxfId="1396" totalsRowDxfId="1395"/>
    <tableColumn id="2" xr3:uid="{188C3607-AF7A-0544-B798-E5DC572CAD21}" name="Projected Cost" dataDxfId="1394" totalsRowDxfId="1393"/>
    <tableColumn id="3" xr3:uid="{227C21DB-DC3D-6942-B716-9B30C9D6377C}" name="Actual Cost" totalsRowFunction="custom" dataDxfId="1392" totalsRowDxfId="1391">
      <totalsRowFormula>SUM(Taxes19[Actual Cost])</totalsRowFormula>
    </tableColumn>
    <tableColumn id="4" xr3:uid="{C432FB1E-E534-B645-A3B6-AB07069D73D7}" name="Difference" totalsRowFunction="custom" dataDxfId="1390" totalsRowDxfId="1389">
      <calculatedColumnFormula>Taxes19[[#This Row],[Projected Cost]]-Taxes19[[#This Row],[Actual Cost]]</calculatedColumnFormula>
      <totalsRowFormula>SUM(Taxes19[Actual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8CC6A31-60CA-C34D-B32B-68FCC43E7B47}" name="Savings20" displayName="Savings20" ref="G40:J44" totalsRowCount="1" totalsRowDxfId="1388" totalsRowBorderDxfId="138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16DBDD6E-0DF3-7E45-B0D5-34FBA1B4B325}" name="SAVINGS OR INVESTMENTS" totalsRowLabel="TOTAL" dataDxfId="1386" totalsRowDxfId="1385"/>
    <tableColumn id="2" xr3:uid="{0694E3BB-CA40-D44D-B42D-760C10F6D876}" name="Projected Cost" dataDxfId="1384" totalsRowDxfId="1383"/>
    <tableColumn id="3" xr3:uid="{C2EA53D5-2045-E84F-8599-93C70AD3B4EE}" name="Actual Cost" totalsRowFunction="custom" dataDxfId="1382" totalsRowDxfId="1381">
      <totalsRowFormula>SUM(Savings20[Actual Cost])</totalsRowFormula>
    </tableColumn>
    <tableColumn id="4" xr3:uid="{51CA449C-D6AD-9C43-9B0F-CB22B8672D9E}" name="Difference" totalsRowFunction="custom" dataDxfId="1380" totalsRowDxfId="1379">
      <calculatedColumnFormula>Savings20[[#This Row],[Projected Cost]]-Savings20[[#This Row],[Actual Cost]]</calculatedColumnFormula>
      <totalsRowFormula>SUM(Savings20[Actual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2:J22" totalsRowCount="1" headerRowDxfId="1572" totalsRowDxfId="1571" totalsRowBorderDxfId="157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TOTAL" dataDxfId="1569" totalsRowDxfId="1568"/>
    <tableColumn id="2" xr3:uid="{00000000-0010-0000-0100-000002000000}" name="Projected Cost" dataDxfId="1567" totalsRowDxfId="1566"/>
    <tableColumn id="3" xr3:uid="{00000000-0010-0000-0100-000003000000}" name="Actual Cost" totalsRowFunction="custom" dataDxfId="1565" totalsRowDxfId="1564">
      <totalsRowFormula>SUM(Entertainment[Actual Cost])</totalsRowFormula>
    </tableColumn>
    <tableColumn id="4" xr3:uid="{00000000-0010-0000-0100-000004000000}" name="Difference" totalsRowFunction="custom" dataDxfId="1563" totalsRowDxfId="1562">
      <calculatedColumnFormula>Entertainment[[#This Row],[Projected Cost]]-Entertainment[[#This Row],[Actual Cost]]</calculatedColumnFormula>
      <totalsRowFormula>SUM(Entertainment[Actual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A41AF79-F92D-EB46-BFB1-2CE1074C60F3}" name="Food21" displayName="Food21" ref="B42:E46" totalsRowCount="1" headerRowDxfId="1378" totalsRowDxfId="1377" totalsRowBorderDxfId="137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D7FC820-896B-0C4D-B87F-44B34CCFD6EC}" name="FOOD" totalsRowLabel="TOTAL" dataDxfId="1375" totalsRowDxfId="1374"/>
    <tableColumn id="2" xr3:uid="{EE161923-ACDE-5345-9D85-FFEFB9324318}" name="Projected Cost" dataDxfId="1373" totalsRowDxfId="1372"/>
    <tableColumn id="3" xr3:uid="{DEE8B79E-B696-024E-8C18-189635408E5D}" name="Actual Cost" totalsRowFunction="custom" dataDxfId="1371" totalsRowDxfId="1370">
      <totalsRowFormula>SUM(Food21[Actual Cost])</totalsRowFormula>
    </tableColumn>
    <tableColumn id="4" xr3:uid="{373538FF-B444-B34B-8C2C-67511E093F7E}" name="Difference" totalsRowFunction="custom" dataDxfId="1369" totalsRowDxfId="1368">
      <calculatedColumnFormula>Food21[[#This Row],[Projected Cost]]-Food21[[#This Row],[Actual Cost]]</calculatedColumnFormula>
      <totalsRowFormula>SUM(Food21[Actual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A454E4A-77B7-8246-87FE-83D740D2CEDC}" name="Gifts22" displayName="Gifts22" ref="G46:J50" totalsRowCount="1" headerRowDxfId="1367" totalsRowDxfId="1366" totalsRowBorderDxfId="136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FB536EBA-0AB6-414E-A9A5-5AD5A2EA492D}" name="GIFTS AND DONATIONS" totalsRowLabel="TOTAL" dataDxfId="1364" totalsRowDxfId="1363"/>
    <tableColumn id="2" xr3:uid="{9C2CEB4C-C5F7-B846-A6A2-C980AA377E19}" name="Projected Cost" dataDxfId="1362" totalsRowDxfId="1361"/>
    <tableColumn id="3" xr3:uid="{3DDB7F35-177E-C147-AE8A-52236CBAFEA9}" name="Actual Cost" totalsRowFunction="custom" dataDxfId="1360" totalsRowDxfId="1359">
      <totalsRowFormula>SUM(Gifts22[Actual Cost])</totalsRowFormula>
    </tableColumn>
    <tableColumn id="4" xr3:uid="{072A1890-A33D-804D-B4DA-1B08AEEDB758}" name="Difference" totalsRowFunction="custom" dataDxfId="1358" totalsRowDxfId="1357">
      <calculatedColumnFormula>Gifts22[[#This Row],[Projected Cost]]-Gifts22[[#This Row],[Actual Cost]]</calculatedColumnFormula>
      <totalsRowFormula>SUM(Gifts22[Actual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8C1A556-D1F8-AC48-AE28-8DBB55B83639}" name="Pets23" displayName="Pets23" ref="B48:E54" totalsRowCount="1" headerRowDxfId="1356" totalsRowDxfId="1355" totalsRowBorderDxfId="135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7562F383-C3E2-5B47-8BCF-7217453DF05F}" name="PETS" totalsRowLabel="TOTAL" dataDxfId="1353" totalsRowDxfId="1352"/>
    <tableColumn id="2" xr3:uid="{F3988ABF-9C7E-6A43-9F1F-A941B3C20D16}" name="Projected Cost" dataDxfId="1351" totalsRowDxfId="1350"/>
    <tableColumn id="3" xr3:uid="{17B17316-B7F5-794D-951C-9055EEA61D62}" name="Actual Cost" totalsRowFunction="custom" dataDxfId="1349" totalsRowDxfId="1348">
      <totalsRowFormula>SUM(Pets23[Actual Cost])</totalsRowFormula>
    </tableColumn>
    <tableColumn id="4" xr3:uid="{7E8E7F80-4381-984C-8123-78CFB47D1338}" name="Difference" totalsRowFunction="custom" dataDxfId="1347" totalsRowDxfId="1346">
      <calculatedColumnFormula>Pets23[[#This Row],[Projected Cost]]-Pets23[[#This Row],[Actual Cost]]</calculatedColumnFormula>
      <totalsRowFormula>SUM(Pets23[Actual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9693AC9-B7E4-DD4A-8B29-1B048FF6C353}" name="Legal24" displayName="Legal24" ref="G52:J57" totalsRowCount="1" headerRowDxfId="1345" totalsRowDxfId="1344" totalsRowBorderDxfId="134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F39675C0-23F0-E041-BC8C-0ECFE97C5757}" name="LEGAL" totalsRowLabel="TOTAL" dataDxfId="1342" totalsRowDxfId="1341"/>
    <tableColumn id="2" xr3:uid="{7DC44932-532A-A742-B533-CA262FFAECB4}" name="Projected Cost" dataDxfId="1340" totalsRowDxfId="1339"/>
    <tableColumn id="3" xr3:uid="{A6590B53-A1DF-FC49-92ED-69005D0A19F6}" name="Actual Cost" totalsRowFunction="custom" dataDxfId="1338" totalsRowDxfId="1337">
      <totalsRowFormula>SUM(Legal24[Actual Cost])</totalsRowFormula>
    </tableColumn>
    <tableColumn id="4" xr3:uid="{C2859D91-1B61-8E4E-8700-3D48427E0954}" name="Difference" totalsRowFunction="custom" dataDxfId="1336" totalsRowDxfId="1335">
      <calculatedColumnFormula>Legal24[[#This Row],[Projected Cost]]-Legal24[[#This Row],[Actual Cost]]</calculatedColumnFormula>
      <totalsRowFormula>SUM(Legal24[Actual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A905901-12E2-634B-971D-77A6DCA2336B}" name="PersonalCare25" displayName="PersonalCare25" ref="B56:E64" totalsRowCount="1" headerRowDxfId="1334" totalsRowDxfId="1333" totalsRowBorderDxfId="133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5BC1B6E1-058F-A541-B450-531A324A2537}" name="PERSONAL CARE" totalsRowLabel="TOTAL" dataDxfId="1331" totalsRowDxfId="1330"/>
    <tableColumn id="2" xr3:uid="{4E2E3CDC-6503-004F-8AEF-34E31C282073}" name="Projected Cost" dataDxfId="1329" totalsRowDxfId="1328"/>
    <tableColumn id="3" xr3:uid="{3DCDF9D4-4134-BA4E-AF89-0CFDA458FEEA}" name="Actual Cost" totalsRowFunction="custom" dataDxfId="1327" totalsRowDxfId="1326">
      <totalsRowFormula>SUM(PersonalCare25[Actual Cost])</totalsRowFormula>
    </tableColumn>
    <tableColumn id="4" xr3:uid="{4ECD2432-5ECA-3B4A-A5C7-050EF818B14E}" name="Difference" totalsRowFunction="custom" dataDxfId="1325" totalsRowDxfId="1324">
      <calculatedColumnFormula>PersonalCare25[[#This Row],[Projected Cost]]-PersonalCare25[[#This Row],[Actual Cost]]</calculatedColumnFormula>
      <totalsRowFormula>SUM(PersonalCare25[Actual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889D852-8280-CC48-90DB-60B0716A8287}" name="Housing1426" displayName="Housing1426" ref="B12:E23" totalsRowCount="1" headerRowDxfId="1323" totalsRowDxfId="1322" totalsRowBorderDxfId="132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89663956-BC57-DF49-9837-B049A6E4B8F2}" name="HOUSING" totalsRowLabel="TOTAL" dataDxfId="1320" totalsRowDxfId="1319"/>
    <tableColumn id="2" xr3:uid="{DAB0D913-8592-9F4C-93B8-C4624B1277D8}" name="Projected Cost" dataDxfId="1318" totalsRowDxfId="1317"/>
    <tableColumn id="3" xr3:uid="{A2713B94-2D8A-3940-8900-D0586FC904E4}" name="Actual Cost" totalsRowFunction="custom" dataDxfId="1316" totalsRowDxfId="1315">
      <totalsRowFormula>SUM(D13:D22)</totalsRowFormula>
    </tableColumn>
    <tableColumn id="4" xr3:uid="{63CAFB83-CD26-4D4E-B1DF-54D69EAC8677}" name="Difference" totalsRowFunction="custom" dataDxfId="1314" totalsRowDxfId="1313">
      <calculatedColumnFormula>Housing1426[[#This Row],[Projected Cost]]-Housing1426[[#This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1D84090-B143-384B-B83E-42E2CCBD5427}" name="Entertainment1527" displayName="Entertainment1527" ref="G12:J22" totalsRowCount="1" headerRowDxfId="1312" totalsRowDxfId="1311" totalsRowBorderDxfId="131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59BB929D-AF50-5445-9A59-F5D423F82770}" name="ENTERTAINMENT" totalsRowLabel="TOTAL" dataDxfId="1309" totalsRowDxfId="1308"/>
    <tableColumn id="2" xr3:uid="{93B02730-B163-2B4A-A4CD-181AB1AF9FC7}" name="Projected Cost" dataDxfId="1307" totalsRowDxfId="1306"/>
    <tableColumn id="3" xr3:uid="{D14C9CAB-8FBB-204C-B988-132310EF8E55}" name="Actual Cost" totalsRowFunction="custom" dataDxfId="1305" totalsRowDxfId="1304">
      <totalsRowFormula>SUM(Entertainment1527[Actual Cost])</totalsRowFormula>
    </tableColumn>
    <tableColumn id="4" xr3:uid="{1508DCC2-51C9-F140-B337-B40629673F97}" name="Difference" totalsRowFunction="custom" dataDxfId="1303" totalsRowDxfId="1302">
      <calculatedColumnFormula>Entertainment1527[[#This Row],[Projected Cost]]-Entertainment1527[[#This Row],[Actual Cost]]</calculatedColumnFormula>
      <totalsRowFormula>SUM(Entertainment1527[Actual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E8D649F-89FB-9A45-96EA-2D035C768A0E}" name="Loans1628" displayName="Loans1628" ref="G24:J31" totalsRowCount="1" headerRowDxfId="1301" totalsRowDxfId="1300" totalsRowBorderDxfId="129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7D1BB73B-AED9-6B41-9EA4-78ACF94563FD}" name="LOANS" totalsRowLabel="TOTAL" dataDxfId="1298" totalsRowDxfId="1297"/>
    <tableColumn id="2" xr3:uid="{4A7E96B9-450F-C04E-AA5F-F1D354190418}" name="Projected Cost" dataDxfId="1296" totalsRowDxfId="1295"/>
    <tableColumn id="3" xr3:uid="{21A85926-B96D-7D46-BAD3-DAFAE40F83BB}" name="Actual Cost" totalsRowFunction="custom" dataDxfId="1294" totalsRowDxfId="1293">
      <totalsRowFormula>SUM(Loans1628[Actual Cost])</totalsRowFormula>
    </tableColumn>
    <tableColumn id="4" xr3:uid="{0B4EE86C-25A3-6B46-9FAE-F71DA8E6BE99}" name="Difference" totalsRowFunction="custom" dataDxfId="1292" totalsRowDxfId="1291">
      <calculatedColumnFormula>Loans1628[[#This Row],[Projected Cost]]-Loans1628[[#This Row],[Actual Cost]]</calculatedColumnFormula>
      <totalsRowFormula>SUM(Loans1628[Actual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8FEF9A7-FC1C-B940-AAAA-178BC30695F1}" name="Transportation1729" displayName="Transportation1729" ref="B25:E33" totalsRowCount="1" headerRowDxfId="1290" totalsRowDxfId="1289" totalsRowBorderDxfId="128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26307AAE-D3F1-214F-83F0-F9E1BC39DFA5}" name="TRANSPORTATION" totalsRowLabel="TOTAL" dataDxfId="1287" totalsRowDxfId="1286"/>
    <tableColumn id="2" xr3:uid="{6B1F98ED-7CAC-DE42-9CAE-4989F8C8C11D}" name="Projected Cost" dataDxfId="1285" totalsRowDxfId="1284"/>
    <tableColumn id="3" xr3:uid="{6D1CAE8B-7B78-9E4F-B267-7E14D2C0A4E5}" name="Actual Cost" totalsRowFunction="custom" dataDxfId="1283" totalsRowDxfId="1282">
      <totalsRowFormula>SUM(Transportation1729[Actual Cost])</totalsRowFormula>
    </tableColumn>
    <tableColumn id="4" xr3:uid="{056F7E54-CC36-BF45-81D1-43C486573174}" name="Difference" totalsRowFunction="custom" dataDxfId="1281" totalsRowDxfId="1280">
      <calculatedColumnFormula>Transportation1729[[#This Row],[Projected Cost]]-Transportation1729[[#This Row],[Actual Cost]]</calculatedColumnFormula>
      <totalsRowFormula>SUM(Transportation1729[Actual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97EE686-793A-214A-8799-80CE2ED73C43}" name="Insurance1830" displayName="Insurance1830" ref="B35:E40" totalsRowCount="1" headerRowDxfId="1279" totalsRowDxfId="1278" totalsRowBorderDxfId="127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BF6EB9F-F7B5-8B4C-8BC1-D632DA572681}" name="INSURANCE" totalsRowLabel="TOTAL" dataDxfId="1276" totalsRowDxfId="1275"/>
    <tableColumn id="2" xr3:uid="{195C74C5-51F2-E44B-9D36-FCFC82D09B04}" name="Projected Cost" dataDxfId="1274" totalsRowDxfId="1273"/>
    <tableColumn id="3" xr3:uid="{232B7E76-CBEA-CD40-ACD3-FCBABB2E6282}" name="Actual Cost" totalsRowFunction="custom" dataDxfId="1272" totalsRowDxfId="1271">
      <totalsRowFormula>SUM(Insurance1830[Actual Cost])</totalsRowFormula>
    </tableColumn>
    <tableColumn id="4" xr3:uid="{2E227C2D-13F4-8F42-95D9-3FA17F0F770B}" name="Difference" totalsRowFunction="custom" dataDxfId="1270" totalsRowDxfId="1269">
      <calculatedColumnFormula>Insurance1830[[#This Row],[Projected Cost]]-Insurance1830[[#This Row],[Actual Cost]]</calculatedColumnFormula>
      <totalsRowFormula>SUM(Insurance1830[Actual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4:J31" totalsRowCount="1" headerRowDxfId="1561" totalsRowDxfId="1560" totalsRowBorderDxfId="155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TOTAL" dataDxfId="1558" totalsRowDxfId="1557"/>
    <tableColumn id="2" xr3:uid="{00000000-0010-0000-0200-000002000000}" name="Projected Cost" dataDxfId="1556" totalsRowDxfId="1555"/>
    <tableColumn id="3" xr3:uid="{00000000-0010-0000-0200-000003000000}" name="Actual Cost" totalsRowFunction="custom" dataDxfId="1554" totalsRowDxfId="1553">
      <totalsRowFormula>SUM(Loans[Actual Cost])</totalsRowFormula>
    </tableColumn>
    <tableColumn id="4" xr3:uid="{00000000-0010-0000-0200-000004000000}" name="Difference" totalsRowFunction="custom" dataDxfId="1552" totalsRowDxfId="1551">
      <calculatedColumnFormula>Loans[[#This Row],[Projected Cost]]-Loans[[#This Row],[Actual Cost]]</calculatedColumnFormula>
      <totalsRowFormula>SUM(Loans[Actual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2879A32-8472-8E49-ADF8-FF8675C20DF3}" name="Taxes1931" displayName="Taxes1931" ref="G33:J38" totalsRowCount="1" totalsRowDxfId="1268" totalsRowBorderDxfId="126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E3B053BC-90E9-594D-9130-C0AE931FAC45}" name="TAXES" totalsRowLabel="TOTAL" dataDxfId="1266" totalsRowDxfId="1265"/>
    <tableColumn id="2" xr3:uid="{141488C0-A3F3-E247-B3CD-EEA34D3DC26F}" name="Projected Cost" dataDxfId="1264" totalsRowDxfId="1263"/>
    <tableColumn id="3" xr3:uid="{8F62A137-FD0D-F545-AFAA-15DF0F4D48F0}" name="Actual Cost" totalsRowFunction="custom" dataDxfId="1262" totalsRowDxfId="1261">
      <totalsRowFormula>SUM(Taxes1931[Actual Cost])</totalsRowFormula>
    </tableColumn>
    <tableColumn id="4" xr3:uid="{E3D5380A-7D88-0844-ADB6-134A2C7F3934}" name="Difference" totalsRowFunction="custom" dataDxfId="1260" totalsRowDxfId="1259">
      <calculatedColumnFormula>Taxes1931[[#This Row],[Projected Cost]]-Taxes1931[[#This Row],[Actual Cost]]</calculatedColumnFormula>
      <totalsRowFormula>SUM(Taxes1931[Actual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3054CF3-54E8-2C41-9580-E600815ECF36}" name="Savings2032" displayName="Savings2032" ref="G40:J44" totalsRowCount="1" totalsRowDxfId="1258" totalsRowBorderDxfId="125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AA70441C-0BED-EB4A-859A-4E248DA3FD42}" name="SAVINGS OR INVESTMENTS" totalsRowLabel="TOTAL" dataDxfId="1256" totalsRowDxfId="1255"/>
    <tableColumn id="2" xr3:uid="{B84478C4-D37C-EF4A-A952-7F574E5448AB}" name="Projected Cost" dataDxfId="1254" totalsRowDxfId="1253"/>
    <tableColumn id="3" xr3:uid="{37A8A0CC-E51B-DE45-9314-48C54C71A2B1}" name="Actual Cost" totalsRowFunction="custom" dataDxfId="1252" totalsRowDxfId="1251">
      <totalsRowFormula>SUM(Savings2032[Actual Cost])</totalsRowFormula>
    </tableColumn>
    <tableColumn id="4" xr3:uid="{864ABCB5-36E7-6844-9ECE-051E48ABC7E0}" name="Difference" totalsRowFunction="custom" dataDxfId="1250" totalsRowDxfId="1249">
      <calculatedColumnFormula>Savings2032[[#This Row],[Projected Cost]]-Savings2032[[#This Row],[Actual Cost]]</calculatedColumnFormula>
      <totalsRowFormula>SUM(Savings2032[Actual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164B4C2-9799-FE4B-8F8A-A35721473F50}" name="Food2133" displayName="Food2133" ref="B42:E46" totalsRowCount="1" headerRowDxfId="1248" totalsRowDxfId="1247" totalsRowBorderDxfId="124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E2C1551F-E478-D748-A685-4A0C3910DF84}" name="FOOD" totalsRowLabel="TOTAL" dataDxfId="1245" totalsRowDxfId="1244"/>
    <tableColumn id="2" xr3:uid="{71E70DE8-A3EC-DC4C-9718-C433AD5636CC}" name="Projected Cost" dataDxfId="1243" totalsRowDxfId="1242"/>
    <tableColumn id="3" xr3:uid="{7DE25F78-C3D5-854B-905B-598579462E3C}" name="Actual Cost" totalsRowFunction="custom" dataDxfId="1241" totalsRowDxfId="1240">
      <totalsRowFormula>SUM(Food2133[Actual Cost])</totalsRowFormula>
    </tableColumn>
    <tableColumn id="4" xr3:uid="{A2393873-A7D4-8C4B-AB9F-9CD00ACBB4CE}" name="Difference" totalsRowFunction="custom" dataDxfId="1239" totalsRowDxfId="1238">
      <calculatedColumnFormula>Food2133[[#This Row],[Projected Cost]]-Food2133[[#This Row],[Actual Cost]]</calculatedColumnFormula>
      <totalsRowFormula>SUM(Food2133[Actual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B119C9F-0F14-DD4D-B361-7083D50E0A17}" name="Gifts2234" displayName="Gifts2234" ref="G46:J50" totalsRowCount="1" headerRowDxfId="1237" totalsRowDxfId="1236" totalsRowBorderDxfId="123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6A20E28E-9579-7742-985A-118C96B0AEB6}" name="GIFTS AND DONATIONS" totalsRowLabel="TOTAL" dataDxfId="1234" totalsRowDxfId="1233"/>
    <tableColumn id="2" xr3:uid="{70B13893-762E-EF42-9BBA-42D7964B662F}" name="Projected Cost" dataDxfId="1232" totalsRowDxfId="1231"/>
    <tableColumn id="3" xr3:uid="{223E4CD6-1263-7E46-8CB7-89482DCCD5F8}" name="Actual Cost" totalsRowFunction="custom" dataDxfId="1230" totalsRowDxfId="1229">
      <totalsRowFormula>SUM(Gifts2234[Actual Cost])</totalsRowFormula>
    </tableColumn>
    <tableColumn id="4" xr3:uid="{0B1EBDDF-DC5C-DD4E-B7B7-61F80D6A7A6E}" name="Difference" totalsRowFunction="custom" dataDxfId="1228" totalsRowDxfId="1227">
      <calculatedColumnFormula>Gifts2234[[#This Row],[Projected Cost]]-Gifts2234[[#This Row],[Actual Cost]]</calculatedColumnFormula>
      <totalsRowFormula>SUM(Gifts2234[Actual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401CD11-A78F-4943-B4F7-14F31916A3E6}" name="Pets2335" displayName="Pets2335" ref="B48:E54" totalsRowCount="1" headerRowDxfId="1226" totalsRowDxfId="1225" totalsRowBorderDxfId="122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D3F9C35C-E580-6A49-ADFB-02E957F116A4}" name="PETS" totalsRowLabel="TOTAL" dataDxfId="1223" totalsRowDxfId="1222"/>
    <tableColumn id="2" xr3:uid="{35B34FBB-D3A5-1442-BED0-273A2E146568}" name="Projected Cost" dataDxfId="1221" totalsRowDxfId="1220"/>
    <tableColumn id="3" xr3:uid="{16B1B62B-EA8C-B041-9027-88A549F95FB5}" name="Actual Cost" totalsRowFunction="custom" dataDxfId="1219" totalsRowDxfId="1218">
      <totalsRowFormula>SUM(Pets2335[Actual Cost])</totalsRowFormula>
    </tableColumn>
    <tableColumn id="4" xr3:uid="{045765A8-FF6E-AF43-814E-C68CF0971B43}" name="Difference" totalsRowFunction="custom" dataDxfId="1217" totalsRowDxfId="1216">
      <calculatedColumnFormula>Pets2335[[#This Row],[Projected Cost]]-Pets2335[[#This Row],[Actual Cost]]</calculatedColumnFormula>
      <totalsRowFormula>SUM(Pets2335[Actual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BCB1685-68F8-1C47-8AAF-2831FFBA762C}" name="Legal2436" displayName="Legal2436" ref="G52:J57" totalsRowCount="1" headerRowDxfId="1215" totalsRowDxfId="1214" totalsRowBorderDxfId="121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4319D2FD-BCD2-4246-8339-1A1E98EE03A1}" name="LEGAL" totalsRowLabel="TOTAL" dataDxfId="1212" totalsRowDxfId="1211"/>
    <tableColumn id="2" xr3:uid="{32C60E02-79AA-7142-B471-FD1917A28E88}" name="Projected Cost" dataDxfId="1210" totalsRowDxfId="1209"/>
    <tableColumn id="3" xr3:uid="{8D116345-FC7E-4846-BB1C-5318CB9D3626}" name="Actual Cost" totalsRowFunction="custom" dataDxfId="1208" totalsRowDxfId="1207">
      <totalsRowFormula>SUM(Legal2436[Actual Cost])</totalsRowFormula>
    </tableColumn>
    <tableColumn id="4" xr3:uid="{A21D4BC3-2A46-C042-A3A6-42B8FC748671}" name="Difference" totalsRowFunction="custom" dataDxfId="1206" totalsRowDxfId="1205">
      <calculatedColumnFormula>Legal2436[[#This Row],[Projected Cost]]-Legal2436[[#This Row],[Actual Cost]]</calculatedColumnFormula>
      <totalsRowFormula>SUM(Legal2436[Actual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C97620B-4559-EB40-9E4D-63D23833C697}" name="PersonalCare2537" displayName="PersonalCare2537" ref="B56:E64" totalsRowCount="1" headerRowDxfId="1204" totalsRowDxfId="1203" totalsRowBorderDxfId="120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1AA6D530-6253-2F48-AFD6-626F1B5E4388}" name="PERSONAL CARE" totalsRowLabel="TOTAL" dataDxfId="1201" totalsRowDxfId="1200"/>
    <tableColumn id="2" xr3:uid="{B0C12322-42A4-B74C-923B-4329D162D265}" name="Projected Cost" dataDxfId="1199" totalsRowDxfId="1198"/>
    <tableColumn id="3" xr3:uid="{15527B40-E6C7-144B-BA77-7929BD8BC25E}" name="Actual Cost" totalsRowFunction="custom" dataDxfId="1197" totalsRowDxfId="1196">
      <totalsRowFormula>SUM(PersonalCare2537[Actual Cost])</totalsRowFormula>
    </tableColumn>
    <tableColumn id="4" xr3:uid="{F10DFBC0-C83F-D149-AD35-7CA25447232A}" name="Difference" totalsRowFunction="custom" dataDxfId="1195" totalsRowDxfId="1194">
      <calculatedColumnFormula>PersonalCare2537[[#This Row],[Projected Cost]]-PersonalCare2537[[#This Row],[Actual Cost]]</calculatedColumnFormula>
      <totalsRowFormula>SUM(PersonalCare2537[Actual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9223822-1C78-5A4C-AA1D-019011BAE35A}" name="Housing142638" displayName="Housing142638" ref="B12:E23" totalsRowCount="1" headerRowDxfId="1193" totalsRowDxfId="1192" totalsRowBorderDxfId="119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730881CC-FB77-1A4A-8F92-16E57C941B00}" name="HOUSING" totalsRowLabel="TOTAL" dataDxfId="1190" totalsRowDxfId="1189"/>
    <tableColumn id="2" xr3:uid="{EFD9B301-D8AD-744B-9C50-9A80C0D3BE13}" name="Projected Cost" dataDxfId="1188" totalsRowDxfId="1187"/>
    <tableColumn id="3" xr3:uid="{5318510A-A72A-094C-89E1-A60D0AA80EAB}" name="Actual Cost" totalsRowFunction="custom" dataDxfId="1186" totalsRowDxfId="1185">
      <totalsRowFormula>SUM(D13:D22)</totalsRowFormula>
    </tableColumn>
    <tableColumn id="4" xr3:uid="{999744F1-4D7D-5C49-9ADF-B3BF8047EA90}" name="Difference" totalsRowFunction="custom" dataDxfId="1184" totalsRowDxfId="1183">
      <calculatedColumnFormula>Housing142638[[#This Row],[Projected Cost]]-Housing142638[[#This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501C5E5-4F29-C040-A924-C0001AC782AB}" name="Entertainment152739" displayName="Entertainment152739" ref="G12:J22" totalsRowCount="1" headerRowDxfId="1182" totalsRowDxfId="1181" totalsRowBorderDxfId="118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D8DF5D77-A09D-0143-88E4-389018415678}" name="ENTERTAINMENT" totalsRowLabel="TOTAL" dataDxfId="1179" totalsRowDxfId="1178"/>
    <tableColumn id="2" xr3:uid="{D3F2639A-9994-B64F-87D2-A74CE4017860}" name="Projected Cost" dataDxfId="1177" totalsRowDxfId="1176"/>
    <tableColumn id="3" xr3:uid="{B1B99970-0FE5-8840-A312-D3FB359C65EF}" name="Actual Cost" totalsRowFunction="custom" dataDxfId="1175" totalsRowDxfId="1174">
      <totalsRowFormula>SUM(Entertainment152739[Actual Cost])</totalsRowFormula>
    </tableColumn>
    <tableColumn id="4" xr3:uid="{AC7EF0E0-46E9-3D4A-81C4-8978D839BF52}" name="Difference" totalsRowFunction="custom" dataDxfId="1173" totalsRowDxfId="1172">
      <calculatedColumnFormula>Entertainment152739[[#This Row],[Projected Cost]]-Entertainment152739[[#This Row],[Actual Cost]]</calculatedColumnFormula>
      <totalsRowFormula>SUM(Entertainment152739[Actual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546DD3F-79F6-8D40-B10E-C8FBF01C7EDE}" name="Loans162840" displayName="Loans162840" ref="G24:J31" totalsRowCount="1" headerRowDxfId="1171" totalsRowDxfId="1170" totalsRowBorderDxfId="116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F4F15359-C495-DC48-8B39-478DFEB75E0F}" name="LOANS" totalsRowLabel="TOTAL" dataDxfId="1168" totalsRowDxfId="1167"/>
    <tableColumn id="2" xr3:uid="{AC42F999-EF75-6048-B39D-3C5A30E6BB23}" name="Projected Cost" dataDxfId="1166" totalsRowDxfId="1165"/>
    <tableColumn id="3" xr3:uid="{9ACC24AF-DBA9-BE4E-B1D4-7DE28A4EC2D9}" name="Actual Cost" totalsRowFunction="custom" dataDxfId="1164" totalsRowDxfId="1163">
      <totalsRowFormula>SUM(Loans162840[Actual Cost])</totalsRowFormula>
    </tableColumn>
    <tableColumn id="4" xr3:uid="{96FC780C-8F1B-BA40-86F8-A46B0DCBF75A}" name="Difference" totalsRowFunction="custom" dataDxfId="1162" totalsRowDxfId="1161">
      <calculatedColumnFormula>Loans162840[[#This Row],[Projected Cost]]-Loans162840[[#This Row],[Actual Cost]]</calculatedColumnFormula>
      <totalsRowFormula>SUM(Loans162840[Actual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5:E33" totalsRowCount="1" headerRowDxfId="1550" totalsRowDxfId="1549" totalsRowBorderDxfId="154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TOTAL" dataDxfId="1547" totalsRowDxfId="1546"/>
    <tableColumn id="2" xr3:uid="{00000000-0010-0000-0300-000002000000}" name="Projected Cost" dataDxfId="1545" totalsRowDxfId="1544"/>
    <tableColumn id="3" xr3:uid="{00000000-0010-0000-0300-000003000000}" name="Actual Cost" totalsRowFunction="custom" dataDxfId="1543" totalsRowDxfId="1542">
      <totalsRowFormula>SUM(Transportation[Actual Cost])</totalsRowFormula>
    </tableColumn>
    <tableColumn id="4" xr3:uid="{00000000-0010-0000-0300-000004000000}" name="Difference" totalsRowFunction="custom" dataDxfId="1541" totalsRowDxfId="1540">
      <calculatedColumnFormula>Transportation[[#This Row],[Projected Cost]]-Transportation[[#This Row],[Actual Cost]]</calculatedColumnFormula>
      <totalsRowFormula>SUM(Transportation[Actual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95FDB395-386B-284B-8A5E-CEFC27223E0B}" name="Transportation172941" displayName="Transportation172941" ref="B25:E33" totalsRowCount="1" headerRowDxfId="1160" totalsRowDxfId="1159" totalsRowBorderDxfId="115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1ECE169E-AB65-E54B-99E6-CAA148F9E42C}" name="TRANSPORTATION" totalsRowLabel="TOTAL" dataDxfId="1157" totalsRowDxfId="1156"/>
    <tableColumn id="2" xr3:uid="{93E9D7E4-C98B-D549-BC38-549CA7353F0E}" name="Projected Cost" dataDxfId="1155" totalsRowDxfId="1154"/>
    <tableColumn id="3" xr3:uid="{A3E7056C-B821-BE48-B120-678B52737FF4}" name="Actual Cost" totalsRowFunction="custom" dataDxfId="1153" totalsRowDxfId="1152">
      <totalsRowFormula>SUM(Transportation172941[Actual Cost])</totalsRowFormula>
    </tableColumn>
    <tableColumn id="4" xr3:uid="{945DAC39-9676-324C-9404-71E8F37BA968}" name="Difference" totalsRowFunction="custom" dataDxfId="1151" totalsRowDxfId="1150">
      <calculatedColumnFormula>Transportation172941[[#This Row],[Projected Cost]]-Transportation172941[[#This Row],[Actual Cost]]</calculatedColumnFormula>
      <totalsRowFormula>SUM(Transportation172941[Actual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7C67A52-A92E-D945-961C-75417651C770}" name="Insurance183042" displayName="Insurance183042" ref="B35:E40" totalsRowCount="1" headerRowDxfId="1149" totalsRowDxfId="1148" totalsRowBorderDxfId="114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CBF8B8AB-F175-154F-8DB2-5E9E32DFB1B5}" name="INSURANCE" totalsRowLabel="TOTAL" dataDxfId="1146" totalsRowDxfId="1145"/>
    <tableColumn id="2" xr3:uid="{09DB4815-AA7F-3441-B499-58D7364DB604}" name="Projected Cost" dataDxfId="1144" totalsRowDxfId="1143"/>
    <tableColumn id="3" xr3:uid="{9CD1D1E6-C721-014D-81E1-85E447D5FD58}" name="Actual Cost" totalsRowFunction="custom" dataDxfId="1142" totalsRowDxfId="1141">
      <totalsRowFormula>SUM(Insurance183042[Actual Cost])</totalsRowFormula>
    </tableColumn>
    <tableColumn id="4" xr3:uid="{86EADFE2-ACB6-0B4D-930C-FD2446E5EB5C}" name="Difference" totalsRowFunction="custom" dataDxfId="1140" totalsRowDxfId="1139">
      <calculatedColumnFormula>Insurance183042[[#This Row],[Projected Cost]]-Insurance183042[[#This Row],[Actual Cost]]</calculatedColumnFormula>
      <totalsRowFormula>SUM(Insurance183042[Actual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BDBE84D-3E08-544D-9243-1A532CB50D88}" name="Taxes193143" displayName="Taxes193143" ref="G33:J38" totalsRowCount="1" totalsRowDxfId="1138" totalsRowBorderDxfId="113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F24AABF9-9D6F-3A40-97C6-38D21815150B}" name="TAXES" totalsRowLabel="TOTAL" dataDxfId="1136" totalsRowDxfId="1135"/>
    <tableColumn id="2" xr3:uid="{9A6976F5-948F-474F-A3E2-88A9078D1767}" name="Projected Cost" dataDxfId="1134" totalsRowDxfId="1133"/>
    <tableColumn id="3" xr3:uid="{324BFA72-E54D-3240-85A4-DFDB9FD80DF9}" name="Actual Cost" totalsRowFunction="custom" dataDxfId="1132" totalsRowDxfId="1131">
      <totalsRowFormula>SUM(Taxes193143[Actual Cost])</totalsRowFormula>
    </tableColumn>
    <tableColumn id="4" xr3:uid="{AC219620-7245-CD45-BD35-21A0CBAD38AC}" name="Difference" totalsRowFunction="custom" dataDxfId="1130" totalsRowDxfId="1129">
      <calculatedColumnFormula>Taxes193143[[#This Row],[Projected Cost]]-Taxes193143[[#This Row],[Actual Cost]]</calculatedColumnFormula>
      <totalsRowFormula>SUM(Taxes193143[Actual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69024F58-0B64-2044-ABDF-981F79B89908}" name="Savings203244" displayName="Savings203244" ref="G40:J44" totalsRowCount="1" totalsRowDxfId="1128" totalsRowBorderDxfId="112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45D841A5-6AD1-014C-8F6E-8A468FC1296C}" name="SAVINGS OR INVESTMENTS" totalsRowLabel="TOTAL" dataDxfId="1126" totalsRowDxfId="1125"/>
    <tableColumn id="2" xr3:uid="{BA7DEC75-550F-2440-8137-31A967C981CE}" name="Projected Cost" dataDxfId="1124" totalsRowDxfId="1123"/>
    <tableColumn id="3" xr3:uid="{4E27537E-875D-074F-B8D8-2583FA80998F}" name="Actual Cost" totalsRowFunction="custom" dataDxfId="1122" totalsRowDxfId="1121">
      <totalsRowFormula>SUM(Savings203244[Actual Cost])</totalsRowFormula>
    </tableColumn>
    <tableColumn id="4" xr3:uid="{68E8F68E-8E30-BE4A-8099-70339DDD7E7F}" name="Difference" totalsRowFunction="custom" dataDxfId="1120" totalsRowDxfId="1119">
      <calculatedColumnFormula>Savings203244[[#This Row],[Projected Cost]]-Savings203244[[#This Row],[Actual Cost]]</calculatedColumnFormula>
      <totalsRowFormula>SUM(Savings203244[Actual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B4AE1E1-C510-0E45-A989-D02E6EDAC9F3}" name="Food213345" displayName="Food213345" ref="B42:E46" totalsRowCount="1" headerRowDxfId="1118" totalsRowDxfId="1117" totalsRowBorderDxfId="111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F649D73B-404F-5441-8C39-476BC0F0F2B1}" name="FOOD" totalsRowLabel="TOTAL" dataDxfId="1115" totalsRowDxfId="1114"/>
    <tableColumn id="2" xr3:uid="{9D658742-1C52-6F41-8880-37F99052946E}" name="Projected Cost" dataDxfId="1113" totalsRowDxfId="1112"/>
    <tableColumn id="3" xr3:uid="{019AA994-91D8-9347-BE60-FA96C1D11220}" name="Actual Cost" totalsRowFunction="custom" dataDxfId="1111" totalsRowDxfId="1110">
      <totalsRowFormula>SUM(Food213345[Actual Cost])</totalsRowFormula>
    </tableColumn>
    <tableColumn id="4" xr3:uid="{2408E761-E096-4A45-9DC0-231EB37C0D44}" name="Difference" totalsRowFunction="custom" dataDxfId="1109" totalsRowDxfId="1108">
      <calculatedColumnFormula>Food213345[[#This Row],[Projected Cost]]-Food213345[[#This Row],[Actual Cost]]</calculatedColumnFormula>
      <totalsRowFormula>SUM(Food213345[Actual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A7778A9-18DA-374B-95EB-D8CCD518DCF0}" name="Gifts223446" displayName="Gifts223446" ref="G46:J50" totalsRowCount="1" headerRowDxfId="1107" totalsRowDxfId="1106" totalsRowBorderDxfId="110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C9E499F3-F27B-9646-B11C-404947FE83DF}" name="GIFTS AND DONATIONS" totalsRowLabel="TOTAL" dataDxfId="1104" totalsRowDxfId="1103"/>
    <tableColumn id="2" xr3:uid="{2CFDB693-3C8B-E441-A707-E8A56FDBC2D0}" name="Projected Cost" dataDxfId="1102" totalsRowDxfId="1101"/>
    <tableColumn id="3" xr3:uid="{703D0334-5A8C-9646-A8D1-0A1F08609BC4}" name="Actual Cost" totalsRowFunction="custom" dataDxfId="1100" totalsRowDxfId="1099">
      <totalsRowFormula>SUM(Gifts223446[Actual Cost])</totalsRowFormula>
    </tableColumn>
    <tableColumn id="4" xr3:uid="{FEA7790D-1F9A-FC46-8C14-E7DCD6F5C3C1}" name="Difference" totalsRowFunction="custom" dataDxfId="1098" totalsRowDxfId="1097">
      <calculatedColumnFormula>Gifts223446[[#This Row],[Projected Cost]]-Gifts223446[[#This Row],[Actual Cost]]</calculatedColumnFormula>
      <totalsRowFormula>SUM(Gifts223446[Actual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365FEC76-7BC6-7746-9CD1-38D37393F735}" name="Pets233547" displayName="Pets233547" ref="B48:E54" totalsRowCount="1" headerRowDxfId="1096" totalsRowDxfId="1095" totalsRowBorderDxfId="109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BB4F7956-D5B3-AF47-8D19-D8B4DEC9624E}" name="PETS" totalsRowLabel="TOTAL" dataDxfId="1093" totalsRowDxfId="1092"/>
    <tableColumn id="2" xr3:uid="{E5E8F946-EC3E-544C-BE92-050F4C05FD19}" name="Projected Cost" dataDxfId="1091" totalsRowDxfId="1090"/>
    <tableColumn id="3" xr3:uid="{6E88BDE4-26D0-C748-91D3-979B1ABA7828}" name="Actual Cost" totalsRowFunction="custom" dataDxfId="1089" totalsRowDxfId="1088">
      <totalsRowFormula>SUM(Pets233547[Actual Cost])</totalsRowFormula>
    </tableColumn>
    <tableColumn id="4" xr3:uid="{8E5132BA-8CED-454C-85CB-C78411AB920A}" name="Difference" totalsRowFunction="custom" dataDxfId="1087" totalsRowDxfId="1086">
      <calculatedColumnFormula>Pets233547[[#This Row],[Projected Cost]]-Pets233547[[#This Row],[Actual Cost]]</calculatedColumnFormula>
      <totalsRowFormula>SUM(Pets233547[Actual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604E33F-19B5-1E4E-9AA8-8CA0735C0C39}" name="Legal243648" displayName="Legal243648" ref="G52:J57" totalsRowCount="1" headerRowDxfId="1085" totalsRowDxfId="1084" totalsRowBorderDxfId="108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BE03809D-CBC0-2C4D-895E-2C610D9C27E4}" name="LEGAL" totalsRowLabel="TOTAL" dataDxfId="1082" totalsRowDxfId="1081"/>
    <tableColumn id="2" xr3:uid="{A639B559-3288-1748-A867-13FC41447D9F}" name="Projected Cost" dataDxfId="1080" totalsRowDxfId="1079"/>
    <tableColumn id="3" xr3:uid="{B4EBD09E-F568-2E48-B0D0-4422F0C8D748}" name="Actual Cost" totalsRowFunction="custom" dataDxfId="1078" totalsRowDxfId="1077">
      <totalsRowFormula>SUM(Legal243648[Actual Cost])</totalsRowFormula>
    </tableColumn>
    <tableColumn id="4" xr3:uid="{BA54D52B-AF2E-5A4D-B700-7E07B38394BB}" name="Difference" totalsRowFunction="custom" dataDxfId="1076" totalsRowDxfId="1075">
      <calculatedColumnFormula>Legal243648[[#This Row],[Projected Cost]]-Legal243648[[#This Row],[Actual Cost]]</calculatedColumnFormula>
      <totalsRowFormula>SUM(Legal243648[Actual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FB747AAE-1654-E841-BEAA-A432E23BE595}" name="PersonalCare253749" displayName="PersonalCare253749" ref="B56:E64" totalsRowCount="1" headerRowDxfId="1074" totalsRowDxfId="1073" totalsRowBorderDxfId="107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FB763E0C-54FB-ED47-9737-5D99684C6938}" name="PERSONAL CARE" totalsRowLabel="TOTAL" dataDxfId="1071" totalsRowDxfId="1070"/>
    <tableColumn id="2" xr3:uid="{0BB23781-6A06-D54B-B20C-DA789E317761}" name="Projected Cost" dataDxfId="1069" totalsRowDxfId="1068"/>
    <tableColumn id="3" xr3:uid="{1CBB37A4-3DE4-5B46-B296-D477BB9E33A0}" name="Actual Cost" totalsRowFunction="custom" dataDxfId="1067" totalsRowDxfId="1066">
      <totalsRowFormula>SUM(PersonalCare253749[Actual Cost])</totalsRowFormula>
    </tableColumn>
    <tableColumn id="4" xr3:uid="{8803A3BA-41A1-8347-AB96-A3BD0C59E42D}" name="Difference" totalsRowFunction="custom" dataDxfId="1065" totalsRowDxfId="1064">
      <calculatedColumnFormula>PersonalCare253749[[#This Row],[Projected Cost]]-PersonalCare253749[[#This Row],[Actual Cost]]</calculatedColumnFormula>
      <totalsRowFormula>SUM(PersonalCare253749[Actual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E00CBEDE-4821-0344-99A2-3EB73345D796}" name="Housing14263850" displayName="Housing14263850" ref="B12:E23" totalsRowCount="1" headerRowDxfId="1063" totalsRowDxfId="1062" totalsRowBorderDxfId="106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92898727-5217-224B-8AC5-D35F6B16C29F}" name="HOUSING" totalsRowLabel="TOTAL" dataDxfId="1060" totalsRowDxfId="1059"/>
    <tableColumn id="2" xr3:uid="{50FFC5FD-1D0E-0449-9F18-3AE7C5C86012}" name="Projected Cost" dataDxfId="1058" totalsRowDxfId="1057"/>
    <tableColumn id="3" xr3:uid="{939586E8-3F58-1941-A435-DD7686A15B84}" name="Actual Cost" totalsRowFunction="custom" dataDxfId="1056" totalsRowDxfId="1055">
      <totalsRowFormula>SUM(D13:D22)</totalsRowFormula>
    </tableColumn>
    <tableColumn id="4" xr3:uid="{7BE405BB-8868-0042-A7E5-4F650EC5E3CA}" name="Difference" totalsRowFunction="custom" dataDxfId="1054" totalsRowDxfId="1053">
      <calculatedColumnFormula>Housing14263850[[#This Row],[Projected Cost]]-Housing14263850[[#This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5:E40" totalsRowCount="1" headerRowDxfId="1539" totalsRowDxfId="1538" totalsRowBorderDxfId="153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TOTAL" dataDxfId="1536" totalsRowDxfId="1535"/>
    <tableColumn id="2" xr3:uid="{00000000-0010-0000-0400-000002000000}" name="Projected Cost" dataDxfId="1534" totalsRowDxfId="1533"/>
    <tableColumn id="3" xr3:uid="{00000000-0010-0000-0400-000003000000}" name="Actual Cost" totalsRowFunction="custom" dataDxfId="1532" totalsRowDxfId="1531">
      <totalsRowFormula>SUM(Insurance[Actual Cost])</totalsRowFormula>
    </tableColumn>
    <tableColumn id="4" xr3:uid="{00000000-0010-0000-0400-000004000000}" name="Difference" totalsRowFunction="custom" dataDxfId="1530" totalsRowDxfId="1529">
      <calculatedColumnFormula>Insurance[[#This Row],[Projected Cost]]-Insurance[[#This Row],[Actual Cost]]</calculatedColumnFormula>
      <totalsRowFormula>SUM(Insurance[Actual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A3D5D8D-D46E-7248-9EA6-672FE62648C1}" name="Entertainment15273951" displayName="Entertainment15273951" ref="G12:J22" totalsRowCount="1" headerRowDxfId="1052" totalsRowDxfId="1051" totalsRowBorderDxfId="105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1D2E8FD9-F2BE-1640-8A3B-5E978D210FB1}" name="ENTERTAINMENT" totalsRowLabel="TOTAL" dataDxfId="1049" totalsRowDxfId="1048"/>
    <tableColumn id="2" xr3:uid="{E73DCF8C-A410-8B45-A915-1B2C281155A8}" name="Projected Cost" dataDxfId="1047" totalsRowDxfId="1046"/>
    <tableColumn id="3" xr3:uid="{9BD00F28-89E7-694A-B150-13C8C1F27CC6}" name="Actual Cost" totalsRowFunction="custom" dataDxfId="1045" totalsRowDxfId="1044">
      <totalsRowFormula>SUM(Entertainment15273951[Actual Cost])</totalsRowFormula>
    </tableColumn>
    <tableColumn id="4" xr3:uid="{8882E6D6-B5A3-0E42-ABC7-3460257D90F8}" name="Difference" totalsRowFunction="custom" dataDxfId="1043" totalsRowDxfId="1042">
      <calculatedColumnFormula>Entertainment15273951[[#This Row],[Projected Cost]]-Entertainment15273951[[#This Row],[Actual Cost]]</calculatedColumnFormula>
      <totalsRowFormula>SUM(Entertainment15273951[Actual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5D47E651-CB6E-734B-82EC-A531E2E37F4C}" name="Loans16284052" displayName="Loans16284052" ref="G24:J31" totalsRowCount="1" headerRowDxfId="1041" totalsRowDxfId="1040" totalsRowBorderDxfId="103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F79621EC-354B-DC4E-AE94-DDAEA93794D3}" name="LOANS" totalsRowLabel="TOTAL" dataDxfId="1038" totalsRowDxfId="1037"/>
    <tableColumn id="2" xr3:uid="{34BE0A17-664F-2F4B-A41A-7F380647FDBC}" name="Projected Cost" dataDxfId="1036" totalsRowDxfId="1035"/>
    <tableColumn id="3" xr3:uid="{9FBADC62-7C90-734F-8A46-DBE8E9B12449}" name="Actual Cost" totalsRowFunction="custom" dataDxfId="1034" totalsRowDxfId="1033">
      <totalsRowFormula>SUM(Loans16284052[Actual Cost])</totalsRowFormula>
    </tableColumn>
    <tableColumn id="4" xr3:uid="{B59014C5-DE2F-1746-AED9-281B678E3E6E}" name="Difference" totalsRowFunction="custom" dataDxfId="1032" totalsRowDxfId="1031">
      <calculatedColumnFormula>Loans16284052[[#This Row],[Projected Cost]]-Loans16284052[[#This Row],[Actual Cost]]</calculatedColumnFormula>
      <totalsRowFormula>SUM(Loans16284052[Actual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043E6D8-B1DD-9341-A538-1FC8BD5C9126}" name="Transportation17294153" displayName="Transportation17294153" ref="B25:E33" totalsRowCount="1" headerRowDxfId="1030" totalsRowDxfId="1029" totalsRowBorderDxfId="102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733B5FD3-C13E-664F-8A55-D640F791A5A4}" name="TRANSPORTATION" totalsRowLabel="TOTAL" dataDxfId="1027" totalsRowDxfId="1026"/>
    <tableColumn id="2" xr3:uid="{164374BD-F61D-8F45-9867-CA2958F8E983}" name="Projected Cost" dataDxfId="1025" totalsRowDxfId="1024"/>
    <tableColumn id="3" xr3:uid="{B23B1996-B1E0-B749-BFE8-900DF77EC43E}" name="Actual Cost" totalsRowFunction="custom" dataDxfId="1023" totalsRowDxfId="1022">
      <totalsRowFormula>SUM(Transportation17294153[Actual Cost])</totalsRowFormula>
    </tableColumn>
    <tableColumn id="4" xr3:uid="{E6E3AEAD-6AC7-D84A-A009-0F5B77D69D5D}" name="Difference" totalsRowFunction="custom" dataDxfId="1021" totalsRowDxfId="1020">
      <calculatedColumnFormula>Transportation17294153[[#This Row],[Projected Cost]]-Transportation17294153[[#This Row],[Actual Cost]]</calculatedColumnFormula>
      <totalsRowFormula>SUM(Transportation17294153[Actual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E2AFBA7-4724-174F-9BD4-7B4F1EA9B967}" name="Insurance18304254" displayName="Insurance18304254" ref="B35:E40" totalsRowCount="1" headerRowDxfId="1019" totalsRowDxfId="1018" totalsRowBorderDxfId="101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D6184BD2-C758-AD4F-A6E5-9644C5345F20}" name="INSURANCE" totalsRowLabel="TOTAL" dataDxfId="1016" totalsRowDxfId="1015"/>
    <tableColumn id="2" xr3:uid="{B3E4C10C-93FE-5147-A4ED-D45579AE3956}" name="Projected Cost" dataDxfId="1014" totalsRowDxfId="1013"/>
    <tableColumn id="3" xr3:uid="{8F339FED-2413-1D45-ACA8-0D6A3F3B014C}" name="Actual Cost" totalsRowFunction="custom" dataDxfId="1012" totalsRowDxfId="1011">
      <totalsRowFormula>SUM(Insurance18304254[Actual Cost])</totalsRowFormula>
    </tableColumn>
    <tableColumn id="4" xr3:uid="{EE57A2FB-E0F0-9040-946D-EC048B02FA53}" name="Difference" totalsRowFunction="custom" dataDxfId="1010" totalsRowDxfId="1009">
      <calculatedColumnFormula>Insurance18304254[[#This Row],[Projected Cost]]-Insurance18304254[[#This Row],[Actual Cost]]</calculatedColumnFormula>
      <totalsRowFormula>SUM(Insurance18304254[Actual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A9BA846-A0BD-5542-957C-D2B3043B1632}" name="Taxes19314355" displayName="Taxes19314355" ref="G33:J38" totalsRowCount="1" totalsRowDxfId="1008" totalsRowBorderDxfId="100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89E3E731-3C7C-534F-8DA9-17E7776E59EF}" name="TAXES" totalsRowLabel="TOTAL" dataDxfId="1006" totalsRowDxfId="1005"/>
    <tableColumn id="2" xr3:uid="{A4CD71AF-6EBC-4543-B04C-15D69D20B09B}" name="Projected Cost" dataDxfId="1004" totalsRowDxfId="1003"/>
    <tableColumn id="3" xr3:uid="{822FEC6A-39AC-F843-9F15-6AF20FE0AD72}" name="Actual Cost" totalsRowFunction="custom" dataDxfId="1002" totalsRowDxfId="1001">
      <totalsRowFormula>SUM(Taxes19314355[Actual Cost])</totalsRowFormula>
    </tableColumn>
    <tableColumn id="4" xr3:uid="{38916D87-90D0-3847-81BD-285BEF0AC187}" name="Difference" totalsRowFunction="custom" dataDxfId="1000" totalsRowDxfId="999">
      <calculatedColumnFormula>Taxes19314355[[#This Row],[Projected Cost]]-Taxes19314355[[#This Row],[Actual Cost]]</calculatedColumnFormula>
      <totalsRowFormula>SUM(Taxes19314355[Actual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F2EBB97-0DCB-DC4A-88EE-1B4B0F3C6BDD}" name="Savings20324456" displayName="Savings20324456" ref="G40:J44" totalsRowCount="1" totalsRowDxfId="998" totalsRowBorderDxfId="99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F1B519D1-58C2-E54F-80F8-454BA82DCA56}" name="SAVINGS OR INVESTMENTS" totalsRowLabel="TOTAL" dataDxfId="996" totalsRowDxfId="995"/>
    <tableColumn id="2" xr3:uid="{5AEE86EE-EB8C-934E-8B99-9D5C1C343682}" name="Projected Cost" dataDxfId="994" totalsRowDxfId="993"/>
    <tableColumn id="3" xr3:uid="{6D1B0875-6AD8-F34F-B6CD-9FE592091D7D}" name="Actual Cost" totalsRowFunction="custom" dataDxfId="992" totalsRowDxfId="991">
      <totalsRowFormula>SUM(Savings20324456[Actual Cost])</totalsRowFormula>
    </tableColumn>
    <tableColumn id="4" xr3:uid="{9D0C7F9B-F6BD-3545-89F6-F1F7C0CC452A}" name="Difference" totalsRowFunction="custom" dataDxfId="990" totalsRowDxfId="989">
      <calculatedColumnFormula>Savings20324456[[#This Row],[Projected Cost]]-Savings20324456[[#This Row],[Actual Cost]]</calculatedColumnFormula>
      <totalsRowFormula>SUM(Savings20324456[Actual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68F2CE9-103B-954E-89C6-BCD9834E55B2}" name="Food21334557" displayName="Food21334557" ref="B42:E46" totalsRowCount="1" headerRowDxfId="988" totalsRowDxfId="987" totalsRowBorderDxfId="98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343FC637-0E37-074B-BA76-FA2A7BD9F3C3}" name="FOOD" totalsRowLabel="TOTAL" dataDxfId="985" totalsRowDxfId="984"/>
    <tableColumn id="2" xr3:uid="{EF3DA51E-2396-8546-8945-5F231D0799A3}" name="Projected Cost" dataDxfId="983" totalsRowDxfId="982"/>
    <tableColumn id="3" xr3:uid="{80B66729-C7F6-524F-A893-5EF59EF67BAE}" name="Actual Cost" totalsRowFunction="custom" dataDxfId="981" totalsRowDxfId="980">
      <totalsRowFormula>SUM(Food21334557[Actual Cost])</totalsRowFormula>
    </tableColumn>
    <tableColumn id="4" xr3:uid="{7B9A1D00-34E7-C94F-B5A0-CC47BA674820}" name="Difference" totalsRowFunction="custom" dataDxfId="979" totalsRowDxfId="978">
      <calculatedColumnFormula>Food21334557[[#This Row],[Projected Cost]]-Food21334557[[#This Row],[Actual Cost]]</calculatedColumnFormula>
      <totalsRowFormula>SUM(Food21334557[Actual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D79E51F-C56E-E94E-AF11-34860AE46E1C}" name="Gifts22344658" displayName="Gifts22344658" ref="G46:J50" totalsRowCount="1" headerRowDxfId="977" totalsRowDxfId="976" totalsRowBorderDxfId="97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978E93F1-7BBF-144D-8D86-5A93678862CE}" name="GIFTS AND DONATIONS" totalsRowLabel="TOTAL" dataDxfId="974" totalsRowDxfId="973"/>
    <tableColumn id="2" xr3:uid="{92B051F1-2F29-6F40-A2EA-5876E7D0A46E}" name="Projected Cost" dataDxfId="972" totalsRowDxfId="971"/>
    <tableColumn id="3" xr3:uid="{362A12B0-8C38-514C-8190-79703C14CB10}" name="Actual Cost" totalsRowFunction="custom" dataDxfId="970" totalsRowDxfId="969">
      <totalsRowFormula>SUM(Gifts22344658[Actual Cost])</totalsRowFormula>
    </tableColumn>
    <tableColumn id="4" xr3:uid="{DB0ABF49-8583-414B-A54F-863DBA38906F}" name="Difference" totalsRowFunction="custom" dataDxfId="968" totalsRowDxfId="967">
      <calculatedColumnFormula>Gifts22344658[[#This Row],[Projected Cost]]-Gifts22344658[[#This Row],[Actual Cost]]</calculatedColumnFormula>
      <totalsRowFormula>SUM(Gifts22344658[Actual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374916D3-A5CF-1949-9435-C8E40EB2023A}" name="Pets23354759" displayName="Pets23354759" ref="B48:E54" totalsRowCount="1" headerRowDxfId="966" totalsRowDxfId="965" totalsRowBorderDxfId="96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A0C486C-EA3F-FC48-933E-E78737B6428E}" name="PETS" totalsRowLabel="TOTAL" dataDxfId="963" totalsRowDxfId="962"/>
    <tableColumn id="2" xr3:uid="{338B10E1-EB97-CD4A-9732-3B0090526F41}" name="Projected Cost" dataDxfId="961" totalsRowDxfId="960"/>
    <tableColumn id="3" xr3:uid="{81E07925-36B7-CA48-BEAF-B10C1A6326A1}" name="Actual Cost" totalsRowFunction="custom" dataDxfId="959" totalsRowDxfId="958">
      <totalsRowFormula>SUM(Pets23354759[Actual Cost])</totalsRowFormula>
    </tableColumn>
    <tableColumn id="4" xr3:uid="{39E52702-8489-1240-9E24-D0FB247CEAF7}" name="Difference" totalsRowFunction="custom" dataDxfId="957" totalsRowDxfId="956">
      <calculatedColumnFormula>Pets23354759[[#This Row],[Projected Cost]]-Pets23354759[[#This Row],[Actual Cost]]</calculatedColumnFormula>
      <totalsRowFormula>SUM(Pets23354759[Actual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602E01E-584F-7640-83B9-35E6A0F39693}" name="Legal24364860" displayName="Legal24364860" ref="G52:J57" totalsRowCount="1" headerRowDxfId="955" totalsRowDxfId="954" totalsRowBorderDxfId="95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4C5446FB-6074-8A4D-831F-34F18AB38D52}" name="LEGAL" totalsRowLabel="TOTAL" dataDxfId="952" totalsRowDxfId="951"/>
    <tableColumn id="2" xr3:uid="{112BBF5D-67DD-4E4D-B3A9-25BD601CFFEC}" name="Projected Cost" dataDxfId="950" totalsRowDxfId="949"/>
    <tableColumn id="3" xr3:uid="{DCEAB6D0-A2DA-8F4C-904D-CEB30341628F}" name="Actual Cost" totalsRowFunction="custom" dataDxfId="948" totalsRowDxfId="947">
      <totalsRowFormula>SUM(Legal24364860[Actual Cost])</totalsRowFormula>
    </tableColumn>
    <tableColumn id="4" xr3:uid="{5BC689F1-2778-A140-AE1F-34343AC89FB9}" name="Difference" totalsRowFunction="custom" dataDxfId="946" totalsRowDxfId="945">
      <calculatedColumnFormula>Legal24364860[[#This Row],[Projected Cost]]-Legal24364860[[#This Row],[Actual Cost]]</calculatedColumnFormula>
      <totalsRowFormula>SUM(Legal24364860[Actual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3:J38" totalsRowCount="1" totalsRowDxfId="1528" totalsRowBorderDxfId="152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TOTAL" dataDxfId="1526" totalsRowDxfId="1525"/>
    <tableColumn id="2" xr3:uid="{00000000-0010-0000-0500-000002000000}" name="Projected Cost" dataDxfId="1524" totalsRowDxfId="1523"/>
    <tableColumn id="3" xr3:uid="{00000000-0010-0000-0500-000003000000}" name="Actual Cost" totalsRowFunction="custom" dataDxfId="1522" totalsRowDxfId="1521">
      <totalsRowFormula>SUM(Taxes[Actual Cost])</totalsRowFormula>
    </tableColumn>
    <tableColumn id="4" xr3:uid="{00000000-0010-0000-0500-000004000000}" name="Difference" totalsRowFunction="custom" dataDxfId="1520" totalsRowDxfId="1519">
      <calculatedColumnFormula>Taxes[[#This Row],[Projected Cost]]-Taxes[[#This Row],[Actual Cost]]</calculatedColumnFormula>
      <totalsRowFormula>SUM(Taxes[Actual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8532916A-31FC-9C4F-80F0-34A5A0A574F7}" name="PersonalCare25374961" displayName="PersonalCare25374961" ref="B56:E64" totalsRowCount="1" headerRowDxfId="944" totalsRowDxfId="943" totalsRowBorderDxfId="94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B2D2AA5-84E4-3048-81E7-3D4D78769104}" name="PERSONAL CARE" totalsRowLabel="TOTAL" dataDxfId="941" totalsRowDxfId="940"/>
    <tableColumn id="2" xr3:uid="{E93C238F-8586-F94B-8F3B-652CB0F30D2A}" name="Projected Cost" dataDxfId="939" totalsRowDxfId="938"/>
    <tableColumn id="3" xr3:uid="{B2FEC96B-1698-0547-96BC-826B5A0BA729}" name="Actual Cost" totalsRowFunction="custom" dataDxfId="937" totalsRowDxfId="936">
      <totalsRowFormula>SUM(PersonalCare25374961[Actual Cost])</totalsRowFormula>
    </tableColumn>
    <tableColumn id="4" xr3:uid="{ACE88661-61E1-464C-A787-8A687AD22C04}" name="Difference" totalsRowFunction="custom" dataDxfId="935" totalsRowDxfId="934">
      <calculatedColumnFormula>PersonalCare25374961[[#This Row],[Projected Cost]]-PersonalCare25374961[[#This Row],[Actual Cost]]</calculatedColumnFormula>
      <totalsRowFormula>SUM(PersonalCare25374961[Actual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48957F7-1EDA-2849-9C23-01829CD5A4B3}" name="Housing1426385062" displayName="Housing1426385062" ref="B12:E23" totalsRowCount="1" headerRowDxfId="933" totalsRowDxfId="932" totalsRowBorderDxfId="93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B33AA1A3-5A97-564D-8578-D482C0ACB822}" name="HOUSING" totalsRowLabel="TOTAL" dataDxfId="930" totalsRowDxfId="929"/>
    <tableColumn id="2" xr3:uid="{A5EF592B-3129-0142-9CCA-543670253383}" name="Projected Cost" dataDxfId="928" totalsRowDxfId="927"/>
    <tableColumn id="3" xr3:uid="{6736170E-1732-1640-97B1-A5994DC0F4D9}" name="Actual Cost" totalsRowFunction="custom" dataDxfId="926" totalsRowDxfId="925">
      <totalsRowFormula>SUM(D13:D22)</totalsRowFormula>
    </tableColumn>
    <tableColumn id="4" xr3:uid="{8E7637EF-7087-5748-A50F-62065559BD8B}" name="Difference" totalsRowFunction="custom" dataDxfId="924" totalsRowDxfId="923">
      <calculatedColumnFormula>Housing1426385062[[#This Row],[Projected Cost]]-Housing1426385062[[#This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9EBEB16-ED08-8C4F-A50F-3C70A1739EA2}" name="Entertainment1527395163" displayName="Entertainment1527395163" ref="G12:J22" totalsRowCount="1" headerRowDxfId="922" totalsRowDxfId="921" totalsRowBorderDxfId="92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A6FE6D7-642F-8E4F-A451-301AE7DE62F7}" name="ENTERTAINMENT" totalsRowLabel="TOTAL" dataDxfId="919" totalsRowDxfId="918"/>
    <tableColumn id="2" xr3:uid="{B8E25A8F-9CCA-2E46-A6DB-0A4704D72082}" name="Projected Cost" dataDxfId="917" totalsRowDxfId="916"/>
    <tableColumn id="3" xr3:uid="{E1F5C7FD-5C6C-2C41-A725-73FC50616C6A}" name="Actual Cost" totalsRowFunction="custom" dataDxfId="915" totalsRowDxfId="914">
      <totalsRowFormula>SUM(Entertainment1527395163[Actual Cost])</totalsRowFormula>
    </tableColumn>
    <tableColumn id="4" xr3:uid="{5625EEF0-7A02-044E-99C7-F6F42BEBE829}" name="Difference" totalsRowFunction="custom" dataDxfId="913" totalsRowDxfId="912">
      <calculatedColumnFormula>Entertainment1527395163[[#This Row],[Projected Cost]]-Entertainment1527395163[[#This Row],[Actual Cost]]</calculatedColumnFormula>
      <totalsRowFormula>SUM(Entertainment1527395163[Actual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2EC2AC8-6F67-D348-99A1-43C2B54AD468}" name="Loans1628405264" displayName="Loans1628405264" ref="G24:J31" totalsRowCount="1" headerRowDxfId="911" totalsRowDxfId="910" totalsRowBorderDxfId="90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7D5D0585-7BA0-A44D-A085-94406C9FB15D}" name="LOANS" totalsRowLabel="TOTAL" dataDxfId="908" totalsRowDxfId="907"/>
    <tableColumn id="2" xr3:uid="{C390CC0A-E307-A645-ACFB-425F1CFD0F24}" name="Projected Cost" dataDxfId="906" totalsRowDxfId="905"/>
    <tableColumn id="3" xr3:uid="{AD3E98B0-3F8A-6445-B8E2-AF8FCD3A9C6C}" name="Actual Cost" totalsRowFunction="custom" dataDxfId="904" totalsRowDxfId="903">
      <totalsRowFormula>SUM(Loans1628405264[Actual Cost])</totalsRowFormula>
    </tableColumn>
    <tableColumn id="4" xr3:uid="{ACB7ABA9-8444-9F42-8E6F-D6ABF5FDB808}" name="Difference" totalsRowFunction="custom" dataDxfId="902" totalsRowDxfId="901">
      <calculatedColumnFormula>Loans1628405264[[#This Row],[Projected Cost]]-Loans1628405264[[#This Row],[Actual Cost]]</calculatedColumnFormula>
      <totalsRowFormula>SUM(Loans1628405264[Actual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F66F44C2-BA73-114E-BC33-FFB8464AF7F5}" name="Transportation1729415365" displayName="Transportation1729415365" ref="B25:E33" totalsRowCount="1" headerRowDxfId="900" totalsRowDxfId="899" totalsRowBorderDxfId="89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ADCB1BD5-0B8F-A84A-B8CC-DEA4743EDC35}" name="TRANSPORTATION" totalsRowLabel="TOTAL" dataDxfId="897" totalsRowDxfId="896"/>
    <tableColumn id="2" xr3:uid="{0B939D61-4A6D-0E4B-B4DD-6C213D187E41}" name="Projected Cost" dataDxfId="895" totalsRowDxfId="894"/>
    <tableColumn id="3" xr3:uid="{27889C29-D15B-E24A-A989-BEC14BCDBD84}" name="Actual Cost" totalsRowFunction="custom" dataDxfId="893" totalsRowDxfId="892">
      <totalsRowFormula>SUM(Transportation1729415365[Actual Cost])</totalsRowFormula>
    </tableColumn>
    <tableColumn id="4" xr3:uid="{B63A686F-703C-5B42-B7E9-AB60172E320C}" name="Difference" totalsRowFunction="custom" dataDxfId="891" totalsRowDxfId="890">
      <calculatedColumnFormula>Transportation1729415365[[#This Row],[Projected Cost]]-Transportation1729415365[[#This Row],[Actual Cost]]</calculatedColumnFormula>
      <totalsRowFormula>SUM(Transportation1729415365[Actual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4986C224-AD7A-2D4C-98CE-C8BEBD18F558}" name="Insurance1830425466" displayName="Insurance1830425466" ref="B35:E40" totalsRowCount="1" headerRowDxfId="889" totalsRowDxfId="888" totalsRowBorderDxfId="88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F48F40FB-7645-174A-A39F-379DC94C0A50}" name="INSURANCE" totalsRowLabel="TOTAL" dataDxfId="886" totalsRowDxfId="885"/>
    <tableColumn id="2" xr3:uid="{95A81922-9ACD-D949-816C-78AEBF937BA9}" name="Projected Cost" dataDxfId="884" totalsRowDxfId="883"/>
    <tableColumn id="3" xr3:uid="{294DB083-D571-0946-B21D-05CC33D4C370}" name="Actual Cost" totalsRowFunction="custom" dataDxfId="882" totalsRowDxfId="881">
      <totalsRowFormula>SUM(Insurance1830425466[Actual Cost])</totalsRowFormula>
    </tableColumn>
    <tableColumn id="4" xr3:uid="{88BE3D71-CBD2-F443-9BDC-13CB6DDB0A67}" name="Difference" totalsRowFunction="custom" dataDxfId="880" totalsRowDxfId="879">
      <calculatedColumnFormula>Insurance1830425466[[#This Row],[Projected Cost]]-Insurance1830425466[[#This Row],[Actual Cost]]</calculatedColumnFormula>
      <totalsRowFormula>SUM(Insurance1830425466[Actual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8089D868-22D1-194F-B2B7-5B464764A9DF}" name="Taxes1931435567" displayName="Taxes1931435567" ref="G33:J38" totalsRowCount="1" totalsRowDxfId="878" totalsRowBorderDxfId="87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6DCBFFBC-1921-8B4E-9C3B-25D4EF2A242D}" name="TAXES" totalsRowLabel="TOTAL" dataDxfId="876" totalsRowDxfId="875"/>
    <tableColumn id="2" xr3:uid="{D660D7DC-6B1E-914F-8A7D-BFA847D0E5F7}" name="Projected Cost" dataDxfId="874" totalsRowDxfId="873"/>
    <tableColumn id="3" xr3:uid="{3266662F-775B-8042-A172-EF707C24E78F}" name="Actual Cost" totalsRowFunction="custom" dataDxfId="872" totalsRowDxfId="871">
      <totalsRowFormula>SUM(Taxes1931435567[Actual Cost])</totalsRowFormula>
    </tableColumn>
    <tableColumn id="4" xr3:uid="{41C5FDD1-39B0-C545-834F-1761D8B438D1}" name="Difference" totalsRowFunction="custom" dataDxfId="870" totalsRowDxfId="869">
      <calculatedColumnFormula>Taxes1931435567[[#This Row],[Projected Cost]]-Taxes1931435567[[#This Row],[Actual Cost]]</calculatedColumnFormula>
      <totalsRowFormula>SUM(Taxes1931435567[Actual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4D384FE9-1AB4-F040-AC51-3C662C3E73B0}" name="Savings2032445668" displayName="Savings2032445668" ref="G40:J44" totalsRowCount="1" totalsRowDxfId="868" totalsRowBorderDxfId="86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4BA48B08-A11C-8D4D-809D-8D5A742E276A}" name="SAVINGS OR INVESTMENTS" totalsRowLabel="TOTAL" dataDxfId="866" totalsRowDxfId="865"/>
    <tableColumn id="2" xr3:uid="{6384E710-47CB-F744-B6AF-145BBACD23CE}" name="Projected Cost" dataDxfId="864" totalsRowDxfId="863"/>
    <tableColumn id="3" xr3:uid="{B9F4B096-FA7A-FC49-AC2D-01B2FD6E7040}" name="Actual Cost" totalsRowFunction="custom" dataDxfId="862" totalsRowDxfId="861">
      <totalsRowFormula>SUM(Savings2032445668[Actual Cost])</totalsRowFormula>
    </tableColumn>
    <tableColumn id="4" xr3:uid="{C4EB475C-7797-904E-B1A8-F560F9CB4A67}" name="Difference" totalsRowFunction="custom" dataDxfId="860" totalsRowDxfId="859">
      <calculatedColumnFormula>Savings2032445668[[#This Row],[Projected Cost]]-Savings2032445668[[#This Row],[Actual Cost]]</calculatedColumnFormula>
      <totalsRowFormula>SUM(Savings2032445668[Actual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A6A0E7C9-886D-A24F-ADBE-F74B00E636EE}" name="Food2133455769" displayName="Food2133455769" ref="B42:E46" totalsRowCount="1" headerRowDxfId="858" totalsRowDxfId="857" totalsRowBorderDxfId="85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7D5507DB-E357-FE4B-A898-CBDC93BFE696}" name="FOOD" totalsRowLabel="TOTAL" dataDxfId="855" totalsRowDxfId="854"/>
    <tableColumn id="2" xr3:uid="{222ABE90-084C-404E-ACAC-7F6138BB7961}" name="Projected Cost" dataDxfId="853" totalsRowDxfId="852"/>
    <tableColumn id="3" xr3:uid="{17E7094A-2C3D-1043-9C2E-4740912CEC4C}" name="Actual Cost" totalsRowFunction="custom" dataDxfId="851" totalsRowDxfId="850">
      <totalsRowFormula>SUM(Food2133455769[Actual Cost])</totalsRowFormula>
    </tableColumn>
    <tableColumn id="4" xr3:uid="{9293FD1F-63C5-AA49-8048-18F9C4D4A5B3}" name="Difference" totalsRowFunction="custom" dataDxfId="849" totalsRowDxfId="848">
      <calculatedColumnFormula>Food2133455769[[#This Row],[Projected Cost]]-Food2133455769[[#This Row],[Actual Cost]]</calculatedColumnFormula>
      <totalsRowFormula>SUM(Food2133455769[Actual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54DB8D97-6220-AE48-8285-5D169FD922B0}" name="Gifts2234465870" displayName="Gifts2234465870" ref="G46:J50" totalsRowCount="1" headerRowDxfId="847" totalsRowDxfId="846" totalsRowBorderDxfId="84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CCD8B935-B79D-1646-955A-86010D6903C8}" name="GIFTS AND DONATIONS" totalsRowLabel="TOTAL" dataDxfId="844" totalsRowDxfId="843"/>
    <tableColumn id="2" xr3:uid="{A794D0B6-6C05-7049-B816-8D1CB56D99B8}" name="Projected Cost" dataDxfId="842" totalsRowDxfId="841"/>
    <tableColumn id="3" xr3:uid="{29BC6201-CE43-7D46-97CA-B4763B2E40EE}" name="Actual Cost" totalsRowFunction="custom" dataDxfId="840" totalsRowDxfId="839">
      <totalsRowFormula>SUM(Gifts2234465870[Actual Cost])</totalsRowFormula>
    </tableColumn>
    <tableColumn id="4" xr3:uid="{3BF1336B-C337-9B4C-BEA3-AF384D4F0465}" name="Difference" totalsRowFunction="custom" dataDxfId="838" totalsRowDxfId="837">
      <calculatedColumnFormula>Gifts2234465870[[#This Row],[Projected Cost]]-Gifts2234465870[[#This Row],[Actual Cost]]</calculatedColumnFormula>
      <totalsRowFormula>SUM(Gifts2234465870[Actual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0:J44" totalsRowCount="1" totalsRowDxfId="1518" totalsRowBorderDxfId="151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TOTAL" dataDxfId="1516" totalsRowDxfId="1515"/>
    <tableColumn id="2" xr3:uid="{00000000-0010-0000-0600-000002000000}" name="Projected Cost" dataDxfId="1514" totalsRowDxfId="1513"/>
    <tableColumn id="3" xr3:uid="{00000000-0010-0000-0600-000003000000}" name="Actual Cost" totalsRowFunction="custom" dataDxfId="1512" totalsRowDxfId="1511">
      <totalsRowFormula>SUM(Savings[Actual Cost])</totalsRowFormula>
    </tableColumn>
    <tableColumn id="4" xr3:uid="{00000000-0010-0000-0600-000004000000}" name="Difference" totalsRowFunction="custom" dataDxfId="1510" totalsRowDxfId="1509">
      <calculatedColumnFormula>Savings[[#This Row],[Projected Cost]]-Savings[[#This Row],[Actual Cost]]</calculatedColumnFormula>
      <totalsRowFormula>SUM(Savings[Actual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CFFC435F-8C05-5142-A71C-EBAE40839A80}" name="Pets2335475971" displayName="Pets2335475971" ref="B48:E54" totalsRowCount="1" headerRowDxfId="836" totalsRowDxfId="835" totalsRowBorderDxfId="83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8A62E0A-42E5-844A-8747-BAD155F1D9EC}" name="PETS" totalsRowLabel="TOTAL" dataDxfId="833" totalsRowDxfId="832"/>
    <tableColumn id="2" xr3:uid="{66397EA6-988B-2B42-B91A-012210251A2C}" name="Projected Cost" dataDxfId="831" totalsRowDxfId="830"/>
    <tableColumn id="3" xr3:uid="{B3B22F3B-9101-6E44-93F3-E101AAD7D085}" name="Actual Cost" totalsRowFunction="custom" dataDxfId="829" totalsRowDxfId="828">
      <totalsRowFormula>SUM(Pets2335475971[Actual Cost])</totalsRowFormula>
    </tableColumn>
    <tableColumn id="4" xr3:uid="{10BDD6AF-B843-0544-BE1A-5970F3A75AEF}" name="Difference" totalsRowFunction="custom" dataDxfId="827" totalsRowDxfId="826">
      <calculatedColumnFormula>Pets2335475971[[#This Row],[Projected Cost]]-Pets2335475971[[#This Row],[Actual Cost]]</calculatedColumnFormula>
      <totalsRowFormula>SUM(Pets2335475971[Actual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E4A8D565-65B2-754E-A2C3-6FF7BB38E5B0}" name="Legal2436486072" displayName="Legal2436486072" ref="G52:J57" totalsRowCount="1" headerRowDxfId="825" totalsRowDxfId="824" totalsRowBorderDxfId="82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872DD7-A693-9342-AA04-142FF7EF76FA}" name="LEGAL" totalsRowLabel="TOTAL" dataDxfId="822" totalsRowDxfId="821"/>
    <tableColumn id="2" xr3:uid="{299010BE-4806-DE4B-A26C-28D3450D93DE}" name="Projected Cost" dataDxfId="820" totalsRowDxfId="819"/>
    <tableColumn id="3" xr3:uid="{1B108499-C164-D14D-90B6-C76A7388733E}" name="Actual Cost" totalsRowFunction="custom" dataDxfId="818" totalsRowDxfId="817">
      <totalsRowFormula>SUM(Legal2436486072[Actual Cost])</totalsRowFormula>
    </tableColumn>
    <tableColumn id="4" xr3:uid="{9EDBDA1F-AE0C-C54E-A611-7B18A0512DF7}" name="Difference" totalsRowFunction="custom" dataDxfId="816" totalsRowDxfId="815">
      <calculatedColumnFormula>Legal2436486072[[#This Row],[Projected Cost]]-Legal2436486072[[#This Row],[Actual Cost]]</calculatedColumnFormula>
      <totalsRowFormula>SUM(Legal2436486072[Actual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7DEDFBE1-4A52-5E47-BAB8-690F1C5B4C50}" name="PersonalCare2537496173" displayName="PersonalCare2537496173" ref="B56:E64" totalsRowCount="1" headerRowDxfId="814" totalsRowDxfId="813" totalsRowBorderDxfId="81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639EEE5F-8C79-274C-9666-5470D401CF5E}" name="PERSONAL CARE" totalsRowLabel="TOTAL" dataDxfId="811" totalsRowDxfId="810"/>
    <tableColumn id="2" xr3:uid="{0C487F00-9C3D-3642-94F3-B8F9F0BE3EA9}" name="Projected Cost" dataDxfId="809" totalsRowDxfId="808"/>
    <tableColumn id="3" xr3:uid="{CFFEB20E-C1DD-1044-9D99-23263AE41707}" name="Actual Cost" totalsRowFunction="custom" dataDxfId="807" totalsRowDxfId="806">
      <totalsRowFormula>SUM(PersonalCare2537496173[Actual Cost])</totalsRowFormula>
    </tableColumn>
    <tableColumn id="4" xr3:uid="{CE95C63C-351E-4348-8EF3-510D3BF5FC71}" name="Difference" totalsRowFunction="custom" dataDxfId="805" totalsRowDxfId="804">
      <calculatedColumnFormula>PersonalCare2537496173[[#This Row],[Projected Cost]]-PersonalCare2537496173[[#This Row],[Actual Cost]]</calculatedColumnFormula>
      <totalsRowFormula>SUM(PersonalCare2537496173[Actual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3D54E7E3-D7EE-3B43-BE8A-1FD8795B1F6C}" name="Housing142638506274" displayName="Housing142638506274" ref="B12:E23" totalsRowCount="1" headerRowDxfId="803" totalsRowDxfId="802" totalsRowBorderDxfId="80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55BCE84E-DFAE-314B-B0F9-5529CDABDD6B}" name="HOUSING" totalsRowLabel="TOTAL" dataDxfId="800" totalsRowDxfId="799"/>
    <tableColumn id="2" xr3:uid="{0454B8A3-A81E-0E42-81C8-A068FB46339F}" name="Projected Cost" dataDxfId="798" totalsRowDxfId="797"/>
    <tableColumn id="3" xr3:uid="{1C4BD090-7405-A841-BB79-1C4C7492420B}" name="Actual Cost" totalsRowFunction="custom" dataDxfId="796" totalsRowDxfId="795">
      <totalsRowFormula>SUM(D13:D22)</totalsRowFormula>
    </tableColumn>
    <tableColumn id="4" xr3:uid="{9F0EFAF5-43CE-F74E-85ED-9CE15C504E5B}" name="Difference" totalsRowFunction="custom" dataDxfId="794" totalsRowDxfId="793">
      <calculatedColumnFormula>Housing142638506274[[#This Row],[Projected Cost]]-Housing142638506274[[#This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FB2C90CA-4332-B642-B2FE-C03CD9DFE75F}" name="Entertainment152739516375" displayName="Entertainment152739516375" ref="G12:J22" totalsRowCount="1" headerRowDxfId="792" totalsRowDxfId="791" totalsRowBorderDxfId="79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1C58149-8CB6-8745-B646-0569C33DD12E}" name="ENTERTAINMENT" totalsRowLabel="TOTAL" dataDxfId="789" totalsRowDxfId="788"/>
    <tableColumn id="2" xr3:uid="{91667DA3-4A79-A94D-A898-404D8A9707B9}" name="Projected Cost" dataDxfId="787" totalsRowDxfId="786"/>
    <tableColumn id="3" xr3:uid="{92756821-26D1-B64A-9252-97E45D7D9D3F}" name="Actual Cost" totalsRowFunction="custom" dataDxfId="785" totalsRowDxfId="784">
      <totalsRowFormula>SUM(Entertainment152739516375[Actual Cost])</totalsRowFormula>
    </tableColumn>
    <tableColumn id="4" xr3:uid="{8D4F3C8B-BC04-134C-995B-B7FF12D2476A}" name="Difference" totalsRowFunction="custom" dataDxfId="783" totalsRowDxfId="782">
      <calculatedColumnFormula>Entertainment152739516375[[#This Row],[Projected Cost]]-Entertainment152739516375[[#This Row],[Actual Cost]]</calculatedColumnFormula>
      <totalsRowFormula>SUM(Entertainment152739516375[Actual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40D6D550-A64B-5249-B78A-A6491B711DCF}" name="Loans162840526476" displayName="Loans162840526476" ref="G24:J31" totalsRowCount="1" headerRowDxfId="781" totalsRowDxfId="780" totalsRowBorderDxfId="77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E8948D35-F3CC-7541-9F19-D3A62389692E}" name="LOANS" totalsRowLabel="TOTAL" dataDxfId="778" totalsRowDxfId="777"/>
    <tableColumn id="2" xr3:uid="{8D4207A1-C21B-1842-8435-D903E8EBDC17}" name="Projected Cost" dataDxfId="776" totalsRowDxfId="775"/>
    <tableColumn id="3" xr3:uid="{AFDAB8AC-D95C-A746-890E-ADCBB207AC68}" name="Actual Cost" totalsRowFunction="custom" dataDxfId="774" totalsRowDxfId="773">
      <totalsRowFormula>SUM(Loans162840526476[Actual Cost])</totalsRowFormula>
    </tableColumn>
    <tableColumn id="4" xr3:uid="{4C35D2F3-DFA3-F14F-AB93-E5C46C86C5D3}" name="Difference" totalsRowFunction="custom" dataDxfId="772" totalsRowDxfId="771">
      <calculatedColumnFormula>Loans162840526476[[#This Row],[Projected Cost]]-Loans162840526476[[#This Row],[Actual Cost]]</calculatedColumnFormula>
      <totalsRowFormula>SUM(Loans162840526476[Actual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8F7A706-477C-C044-90CB-FF847479BE49}" name="Transportation172941536577" displayName="Transportation172941536577" ref="B25:E33" totalsRowCount="1" headerRowDxfId="770" totalsRowDxfId="769" totalsRowBorderDxfId="76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10DECEC2-4DE7-2B4D-8476-1F5725A902F8}" name="TRANSPORTATION" totalsRowLabel="TOTAL" dataDxfId="767" totalsRowDxfId="766"/>
    <tableColumn id="2" xr3:uid="{D95111DB-39BB-8F44-AADB-C5E5ACC79893}" name="Projected Cost" dataDxfId="765" totalsRowDxfId="764"/>
    <tableColumn id="3" xr3:uid="{285DAA84-6570-894A-8738-48F61BD8AC76}" name="Actual Cost" totalsRowFunction="custom" dataDxfId="763" totalsRowDxfId="762">
      <totalsRowFormula>SUM(Transportation172941536577[Actual Cost])</totalsRowFormula>
    </tableColumn>
    <tableColumn id="4" xr3:uid="{2A7E7317-D13B-0C42-9CBA-9FF95E9425B0}" name="Difference" totalsRowFunction="custom" dataDxfId="761" totalsRowDxfId="760">
      <calculatedColumnFormula>Transportation172941536577[[#This Row],[Projected Cost]]-Transportation172941536577[[#This Row],[Actual Cost]]</calculatedColumnFormula>
      <totalsRowFormula>SUM(Transportation172941536577[Actual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6496E6E9-74C6-9448-BBB4-E268A4AD4542}" name="Insurance183042546678" displayName="Insurance183042546678" ref="B35:E40" totalsRowCount="1" headerRowDxfId="759" totalsRowDxfId="758" totalsRowBorderDxfId="75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1B79100F-8C75-784C-B92D-5A9D0C001D15}" name="INSURANCE" totalsRowLabel="TOTAL" dataDxfId="756" totalsRowDxfId="755"/>
    <tableColumn id="2" xr3:uid="{98E44626-5FD6-2B48-A911-198EAC27F19D}" name="Projected Cost" dataDxfId="754" totalsRowDxfId="753"/>
    <tableColumn id="3" xr3:uid="{1C2789FF-BBB8-F341-AC56-F4EF6917FD35}" name="Actual Cost" totalsRowFunction="custom" dataDxfId="752" totalsRowDxfId="751">
      <totalsRowFormula>SUM(Insurance183042546678[Actual Cost])</totalsRowFormula>
    </tableColumn>
    <tableColumn id="4" xr3:uid="{57068FFF-B5AE-2749-B557-BCCEFBE2E0DB}" name="Difference" totalsRowFunction="custom" dataDxfId="750" totalsRowDxfId="749">
      <calculatedColumnFormula>Insurance183042546678[[#This Row],[Projected Cost]]-Insurance183042546678[[#This Row],[Actual Cost]]</calculatedColumnFormula>
      <totalsRowFormula>SUM(Insurance183042546678[Actual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6103DC75-141E-8447-AAF3-9266C7A4E0A5}" name="Taxes193143556779" displayName="Taxes193143556779" ref="G33:J38" totalsRowCount="1" totalsRowDxfId="748" totalsRowBorderDxfId="74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564E8744-0124-F74F-BC9F-3FD635DB83C5}" name="TAXES" totalsRowLabel="TOTAL" dataDxfId="746" totalsRowDxfId="745"/>
    <tableColumn id="2" xr3:uid="{4D1BEEB1-07D9-8740-9E1F-4F7566F5ED8B}" name="Projected Cost" dataDxfId="744" totalsRowDxfId="743"/>
    <tableColumn id="3" xr3:uid="{C6894745-309D-314B-956D-3238AD581EF6}" name="Actual Cost" totalsRowFunction="custom" dataDxfId="742" totalsRowDxfId="741">
      <totalsRowFormula>SUM(Taxes193143556779[Actual Cost])</totalsRowFormula>
    </tableColumn>
    <tableColumn id="4" xr3:uid="{D32E72F0-6418-CE4A-A880-7340B9EB4DA0}" name="Difference" totalsRowFunction="custom" dataDxfId="740" totalsRowDxfId="739">
      <calculatedColumnFormula>Taxes193143556779[[#This Row],[Projected Cost]]-Taxes193143556779[[#This Row],[Actual Cost]]</calculatedColumnFormula>
      <totalsRowFormula>SUM(Taxes193143556779[Actual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B65DCFB5-8F07-F949-900D-4B4694800818}" name="Savings203244566880" displayName="Savings203244566880" ref="G40:J44" totalsRowCount="1" totalsRowDxfId="738" totalsRowBorderDxfId="73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9DA94434-52B0-FF44-83C8-1FA81189FFF2}" name="SAVINGS OR INVESTMENTS" totalsRowLabel="TOTAL" dataDxfId="736" totalsRowDxfId="735"/>
    <tableColumn id="2" xr3:uid="{B80CEE4C-9ED3-0B48-AA0E-785F4A18ECCE}" name="Projected Cost" dataDxfId="734" totalsRowDxfId="733"/>
    <tableColumn id="3" xr3:uid="{957E98AD-0BCF-C240-A719-4C0574EE03C9}" name="Actual Cost" totalsRowFunction="custom" dataDxfId="732" totalsRowDxfId="731">
      <totalsRowFormula>SUM(Savings203244566880[Actual Cost])</totalsRowFormula>
    </tableColumn>
    <tableColumn id="4" xr3:uid="{275BB340-3392-6D46-A81D-0D0AA9F471DC}" name="Difference" totalsRowFunction="custom" dataDxfId="730" totalsRowDxfId="729">
      <calculatedColumnFormula>Savings203244566880[[#This Row],[Projected Cost]]-Savings203244566880[[#This Row],[Actual Cost]]</calculatedColumnFormula>
      <totalsRowFormula>SUM(Savings203244566880[Actual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2:E46" totalsRowCount="1" headerRowDxfId="1508" totalsRowDxfId="1507" totalsRowBorderDxfId="150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TOTAL" dataDxfId="1505" totalsRowDxfId="1504"/>
    <tableColumn id="2" xr3:uid="{00000000-0010-0000-0700-000002000000}" name="Projected Cost" dataDxfId="1503" totalsRowDxfId="1502"/>
    <tableColumn id="3" xr3:uid="{00000000-0010-0000-0700-000003000000}" name="Actual Cost" totalsRowFunction="custom" dataDxfId="1501" totalsRowDxfId="1500">
      <totalsRowFormula>SUM(Food[Actual Cost])</totalsRowFormula>
    </tableColumn>
    <tableColumn id="4" xr3:uid="{00000000-0010-0000-0700-000004000000}" name="Difference" totalsRowFunction="custom" dataDxfId="1499" totalsRowDxfId="1498">
      <calculatedColumnFormula>Food[[#This Row],[Projected Cost]]-Food[[#This Row],[Actual Cost]]</calculatedColumnFormula>
      <totalsRowFormula>SUM(Food[Actual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A5D2132C-42D4-704A-BA51-0F989147CB32}" name="Food213345576981" displayName="Food213345576981" ref="B42:E46" totalsRowCount="1" headerRowDxfId="728" totalsRowDxfId="727" totalsRowBorderDxfId="72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87BBF7E1-F9E9-9B46-996F-D5A8A30CECE5}" name="FOOD" totalsRowLabel="TOTAL" dataDxfId="725" totalsRowDxfId="724"/>
    <tableColumn id="2" xr3:uid="{42711B49-2A70-2F41-9577-05798A0DCF2B}" name="Projected Cost" dataDxfId="723" totalsRowDxfId="722"/>
    <tableColumn id="3" xr3:uid="{7BCD82AC-768C-AB45-BEFB-4717CAC64967}" name="Actual Cost" totalsRowFunction="custom" dataDxfId="721" totalsRowDxfId="720">
      <totalsRowFormula>SUM(Food213345576981[Actual Cost])</totalsRowFormula>
    </tableColumn>
    <tableColumn id="4" xr3:uid="{96916006-5BF9-7141-86EA-FD0B0B6D706D}" name="Difference" totalsRowFunction="custom" dataDxfId="719" totalsRowDxfId="718">
      <calculatedColumnFormula>Food213345576981[[#This Row],[Projected Cost]]-Food213345576981[[#This Row],[Actual Cost]]</calculatedColumnFormula>
      <totalsRowFormula>SUM(Food213345576981[Actual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6708FAE9-CE69-C640-90AD-C497FA50CF64}" name="Gifts223446587082" displayName="Gifts223446587082" ref="G46:J50" totalsRowCount="1" headerRowDxfId="717" totalsRowDxfId="716" totalsRowBorderDxfId="71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2981EED0-F636-F54B-95B2-56A7684B5418}" name="GIFTS AND DONATIONS" totalsRowLabel="TOTAL" dataDxfId="714" totalsRowDxfId="713"/>
    <tableColumn id="2" xr3:uid="{C3D7AE72-E4BA-EA41-A97F-CC5B61A01473}" name="Projected Cost" dataDxfId="712" totalsRowDxfId="711"/>
    <tableColumn id="3" xr3:uid="{5D86A2E9-03B0-6941-B13A-913D700A6FAC}" name="Actual Cost" totalsRowFunction="custom" dataDxfId="710" totalsRowDxfId="709">
      <totalsRowFormula>SUM(Gifts223446587082[Actual Cost])</totalsRowFormula>
    </tableColumn>
    <tableColumn id="4" xr3:uid="{23214977-2F39-2E4F-AB69-7DB6F56D3642}" name="Difference" totalsRowFunction="custom" dataDxfId="708" totalsRowDxfId="707">
      <calculatedColumnFormula>Gifts223446587082[[#This Row],[Projected Cost]]-Gifts223446587082[[#This Row],[Actual Cost]]</calculatedColumnFormula>
      <totalsRowFormula>SUM(Gifts223446587082[Actual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16640E81-7991-ED49-9278-6C6CE786D248}" name="Pets233547597183" displayName="Pets233547597183" ref="B48:E54" totalsRowCount="1" headerRowDxfId="706" totalsRowDxfId="705" totalsRowBorderDxfId="70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985296F9-70B8-394F-B5DF-3187A58D83C8}" name="PETS" totalsRowLabel="TOTAL" dataDxfId="703" totalsRowDxfId="702"/>
    <tableColumn id="2" xr3:uid="{B5BD7AA3-1B7A-CA4D-8C1C-6A8B11502E17}" name="Projected Cost" dataDxfId="701" totalsRowDxfId="700"/>
    <tableColumn id="3" xr3:uid="{0FBB6DAB-EB30-1344-BF12-BEDCCE387B94}" name="Actual Cost" totalsRowFunction="custom" dataDxfId="699" totalsRowDxfId="698">
      <totalsRowFormula>SUM(Pets233547597183[Actual Cost])</totalsRowFormula>
    </tableColumn>
    <tableColumn id="4" xr3:uid="{BEE69D79-C1C4-E545-93C0-4C86A449CCDF}" name="Difference" totalsRowFunction="custom" dataDxfId="697" totalsRowDxfId="696">
      <calculatedColumnFormula>Pets233547597183[[#This Row],[Projected Cost]]-Pets233547597183[[#This Row],[Actual Cost]]</calculatedColumnFormula>
      <totalsRowFormula>SUM(Pets233547597183[Actual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DE6E952D-C70D-0049-93D3-6437E4C7C87B}" name="Legal243648607284" displayName="Legal243648607284" ref="G52:J57" totalsRowCount="1" headerRowDxfId="695" totalsRowDxfId="694" totalsRowBorderDxfId="69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37D47088-414D-B74A-80D6-903F14BA1846}" name="LEGAL" totalsRowLabel="TOTAL" dataDxfId="692" totalsRowDxfId="691"/>
    <tableColumn id="2" xr3:uid="{181DC6D2-A826-2440-937D-9DA6069D0105}" name="Projected Cost" dataDxfId="690" totalsRowDxfId="689"/>
    <tableColumn id="3" xr3:uid="{D72EBC9A-37C8-734B-94CA-6D67B51F0437}" name="Actual Cost" totalsRowFunction="custom" dataDxfId="688" totalsRowDxfId="687">
      <totalsRowFormula>SUM(Legal243648607284[Actual Cost])</totalsRowFormula>
    </tableColumn>
    <tableColumn id="4" xr3:uid="{31294266-7323-534D-BC31-F61DDD5E9862}" name="Difference" totalsRowFunction="custom" dataDxfId="686" totalsRowDxfId="685">
      <calculatedColumnFormula>Legal243648607284[[#This Row],[Projected Cost]]-Legal243648607284[[#This Row],[Actual Cost]]</calculatedColumnFormula>
      <totalsRowFormula>SUM(Legal243648607284[Actual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FFEAC1F4-45CF-854C-869D-F4BE8D306864}" name="PersonalCare253749617385" displayName="PersonalCare253749617385" ref="B56:E64" totalsRowCount="1" headerRowDxfId="684" totalsRowDxfId="683" totalsRowBorderDxfId="68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E464F783-E6C0-E144-A133-C921B5A8BBE3}" name="PERSONAL CARE" totalsRowLabel="TOTAL" dataDxfId="681" totalsRowDxfId="680"/>
    <tableColumn id="2" xr3:uid="{9862FDA2-EE6A-404E-AB97-68AD555FC90F}" name="Projected Cost" dataDxfId="679" totalsRowDxfId="678"/>
    <tableColumn id="3" xr3:uid="{BED7F3C2-A70A-D142-BF4B-C9351A4E89DB}" name="Actual Cost" totalsRowFunction="custom" dataDxfId="677" totalsRowDxfId="676">
      <totalsRowFormula>SUM(PersonalCare253749617385[Actual Cost])</totalsRowFormula>
    </tableColumn>
    <tableColumn id="4" xr3:uid="{FABF1ACE-3BCD-1144-BC5E-81013B3EDD0A}" name="Difference" totalsRowFunction="custom" dataDxfId="675" totalsRowDxfId="674">
      <calculatedColumnFormula>PersonalCare253749617385[[#This Row],[Projected Cost]]-PersonalCare253749617385[[#This Row],[Actual Cost]]</calculatedColumnFormula>
      <totalsRowFormula>SUM(PersonalCare253749617385[Actual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A8186C55-B25C-304C-B4CE-63227F659410}" name="Housing14263850627486" displayName="Housing14263850627486" ref="B12:E23" totalsRowCount="1" headerRowDxfId="673" totalsRowDxfId="672" totalsRowBorderDxfId="67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39A98CE5-E78F-244E-BA20-BB685FFB7450}" name="HOUSING" totalsRowLabel="TOTAL" dataDxfId="670" totalsRowDxfId="669"/>
    <tableColumn id="2" xr3:uid="{73347957-7E5F-6643-AD50-EB69A773F1D4}" name="Projected Cost" dataDxfId="668" totalsRowDxfId="667"/>
    <tableColumn id="3" xr3:uid="{2F8875FB-4C54-2E4F-B41E-EF2ACCE8F18B}" name="Actual Cost" totalsRowFunction="custom" dataDxfId="666" totalsRowDxfId="665">
      <totalsRowFormula>SUM(D13:D22)</totalsRowFormula>
    </tableColumn>
    <tableColumn id="4" xr3:uid="{CFE49D24-B426-3E46-9BAD-C0C22F27E9DB}" name="Difference" totalsRowFunction="custom" dataDxfId="664" totalsRowDxfId="663">
      <calculatedColumnFormula>Housing14263850627486[[#This Row],[Projected Cost]]-Housing14263850627486[[#This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E76A0A46-9C5D-6B4F-9543-EC5C8A691C82}" name="Entertainment15273951637587" displayName="Entertainment15273951637587" ref="G12:J22" totalsRowCount="1" headerRowDxfId="662" totalsRowDxfId="661" totalsRowBorderDxfId="66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7D435BED-3E27-994B-8A80-D3842B1A6562}" name="ENTERTAINMENT" totalsRowLabel="TOTAL" dataDxfId="659" totalsRowDxfId="658"/>
    <tableColumn id="2" xr3:uid="{CA522226-D409-D54C-8332-4699D8364EE3}" name="Projected Cost" dataDxfId="657" totalsRowDxfId="656"/>
    <tableColumn id="3" xr3:uid="{7177B237-6CC0-F94B-9624-146123FCE85E}" name="Actual Cost" totalsRowFunction="custom" dataDxfId="655" totalsRowDxfId="654">
      <totalsRowFormula>SUM(Entertainment15273951637587[Actual Cost])</totalsRowFormula>
    </tableColumn>
    <tableColumn id="4" xr3:uid="{AF96D4DA-8E96-A642-81D5-FA60973EFCA3}" name="Difference" totalsRowFunction="custom" dataDxfId="653" totalsRowDxfId="652">
      <calculatedColumnFormula>Entertainment15273951637587[[#This Row],[Projected Cost]]-Entertainment15273951637587[[#This Row],[Actual Cost]]</calculatedColumnFormula>
      <totalsRowFormula>SUM(Entertainment15273951637587[Actual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4DC17F4E-533B-F547-8529-F29FF30D25D1}" name="Loans16284052647688" displayName="Loans16284052647688" ref="G24:J31" totalsRowCount="1" headerRowDxfId="651" totalsRowDxfId="650" totalsRowBorderDxfId="64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B46994DD-934A-3743-AED7-3900FD12FDA0}" name="LOANS" totalsRowLabel="TOTAL" dataDxfId="648" totalsRowDxfId="647"/>
    <tableColumn id="2" xr3:uid="{A62704B0-EB94-7843-AC7C-E4ABA7447B9C}" name="Projected Cost" dataDxfId="646" totalsRowDxfId="645"/>
    <tableColumn id="3" xr3:uid="{25E6470B-C596-F249-91D3-AAC9F90935B0}" name="Actual Cost" totalsRowFunction="custom" dataDxfId="644" totalsRowDxfId="643">
      <totalsRowFormula>SUM(Loans16284052647688[Actual Cost])</totalsRowFormula>
    </tableColumn>
    <tableColumn id="4" xr3:uid="{2393C634-CFA5-3D4F-8797-688A779E0677}" name="Difference" totalsRowFunction="custom" dataDxfId="642" totalsRowDxfId="641">
      <calculatedColumnFormula>Loans16284052647688[[#This Row],[Projected Cost]]-Loans16284052647688[[#This Row],[Actual Cost]]</calculatedColumnFormula>
      <totalsRowFormula>SUM(Loans16284052647688[Actual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4CDFB13F-BAAE-864B-97A0-8EC0759282D3}" name="Transportation17294153657789" displayName="Transportation17294153657789" ref="B25:E33" totalsRowCount="1" headerRowDxfId="640" totalsRowDxfId="639" totalsRowBorderDxfId="63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8EE45084-CDD9-6B48-8497-D18E7B023870}" name="TRANSPORTATION" totalsRowLabel="TOTAL" dataDxfId="637" totalsRowDxfId="636"/>
    <tableColumn id="2" xr3:uid="{8A9BA399-9A02-FB47-82A5-47E3AA2B8C01}" name="Projected Cost" dataDxfId="635" totalsRowDxfId="634"/>
    <tableColumn id="3" xr3:uid="{84E79C45-DD6D-B149-9835-A44F106B1577}" name="Actual Cost" totalsRowFunction="custom" dataDxfId="633" totalsRowDxfId="632">
      <totalsRowFormula>SUM(Transportation17294153657789[Actual Cost])</totalsRowFormula>
    </tableColumn>
    <tableColumn id="4" xr3:uid="{AC74A625-9019-E340-9BF5-75191988BD48}" name="Difference" totalsRowFunction="custom" dataDxfId="631" totalsRowDxfId="630">
      <calculatedColumnFormula>Transportation17294153657789[[#This Row],[Projected Cost]]-Transportation17294153657789[[#This Row],[Actual Cost]]</calculatedColumnFormula>
      <totalsRowFormula>SUM(Transportation17294153657789[Actual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EF834BF5-95B7-3049-8C5A-C40806D305E4}" name="Insurance18304254667890" displayName="Insurance18304254667890" ref="B35:E40" totalsRowCount="1" headerRowDxfId="629" totalsRowDxfId="628" totalsRowBorderDxfId="62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8A1904A4-5D36-644D-887C-62E5940791BF}" name="INSURANCE" totalsRowLabel="TOTAL" dataDxfId="626" totalsRowDxfId="625"/>
    <tableColumn id="2" xr3:uid="{3C51E817-6AAF-E14F-8FEB-E5BE382FAE06}" name="Projected Cost" dataDxfId="624" totalsRowDxfId="623"/>
    <tableColumn id="3" xr3:uid="{5A11C8D2-0332-744A-A38B-38455D19E4E2}" name="Actual Cost" totalsRowFunction="custom" dataDxfId="622" totalsRowDxfId="621">
      <totalsRowFormula>SUM(Insurance18304254667890[Actual Cost])</totalsRowFormula>
    </tableColumn>
    <tableColumn id="4" xr3:uid="{112F627B-D903-D24E-817B-170F231241EE}" name="Difference" totalsRowFunction="custom" dataDxfId="620" totalsRowDxfId="619">
      <calculatedColumnFormula>Insurance18304254667890[[#This Row],[Projected Cost]]-Insurance18304254667890[[#This Row],[Actual Cost]]</calculatedColumnFormula>
      <totalsRowFormula>SUM(Insurance18304254667890[Actual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6:J50" totalsRowCount="1" headerRowDxfId="1497" totalsRowDxfId="1496" totalsRowBorderDxfId="149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TOTAL" dataDxfId="1494" totalsRowDxfId="1493"/>
    <tableColumn id="2" xr3:uid="{00000000-0010-0000-0800-000002000000}" name="Projected Cost" dataDxfId="1492" totalsRowDxfId="1491"/>
    <tableColumn id="3" xr3:uid="{00000000-0010-0000-0800-000003000000}" name="Actual Cost" totalsRowFunction="custom" dataDxfId="1490" totalsRowDxfId="1489">
      <totalsRowFormula>SUM(Gifts[Actual Cost])</totalsRowFormula>
    </tableColumn>
    <tableColumn id="4" xr3:uid="{00000000-0010-0000-0800-000004000000}" name="Difference" totalsRowFunction="custom" dataDxfId="1488" totalsRowDxfId="1487">
      <calculatedColumnFormula>Gifts[[#This Row],[Projected Cost]]-Gifts[[#This Row],[Actual Cost]]</calculatedColumnFormula>
      <totalsRowFormula>SUM(Gifts[Actual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FF6D47D6-196D-7646-8691-3A99F09F096F}" name="Taxes19314355677991" displayName="Taxes19314355677991" ref="G33:J38" totalsRowCount="1" totalsRowDxfId="618" totalsRowBorderDxfId="617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EE2CB548-85B8-174C-AECB-C6043BD828CC}" name="TAXES" totalsRowLabel="TOTAL" dataDxfId="616" totalsRowDxfId="615"/>
    <tableColumn id="2" xr3:uid="{C8088EA3-9B47-8944-B36A-EFFA1F3C571B}" name="Projected Cost" dataDxfId="614" totalsRowDxfId="613"/>
    <tableColumn id="3" xr3:uid="{22C2750D-A3D1-3244-AE66-A876F64DCB22}" name="Actual Cost" totalsRowFunction="custom" dataDxfId="612" totalsRowDxfId="611">
      <totalsRowFormula>SUM(Taxes19314355677991[Actual Cost])</totalsRowFormula>
    </tableColumn>
    <tableColumn id="4" xr3:uid="{F1D1532E-84D2-F441-9A10-52798C0DD430}" name="Difference" totalsRowFunction="custom" dataDxfId="610" totalsRowDxfId="609">
      <calculatedColumnFormula>Taxes19314355677991[[#This Row],[Projected Cost]]-Taxes19314355677991[[#This Row],[Actual Cost]]</calculatedColumnFormula>
      <totalsRowFormula>SUM(Taxes19314355677991[Actual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55900C23-35C2-D046-92E7-9FC51DF46DDD}" name="Savings20324456688092" displayName="Savings20324456688092" ref="G40:J44" totalsRowCount="1" totalsRowDxfId="608" totalsRowBorderDxfId="607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9C6DBCC1-5391-F343-9BF0-C8AEF45B3570}" name="SAVINGS OR INVESTMENTS" totalsRowLabel="TOTAL" dataDxfId="606" totalsRowDxfId="605"/>
    <tableColumn id="2" xr3:uid="{9626D562-A2AB-7640-8DEC-0DC34B308588}" name="Projected Cost" dataDxfId="604" totalsRowDxfId="603"/>
    <tableColumn id="3" xr3:uid="{10CB5CEB-09F5-C04C-BC17-7B1BD4B6B963}" name="Actual Cost" totalsRowFunction="custom" dataDxfId="602" totalsRowDxfId="601">
      <totalsRowFormula>SUM(Savings20324456688092[Actual Cost])</totalsRowFormula>
    </tableColumn>
    <tableColumn id="4" xr3:uid="{F7C2AB36-84BA-EA4B-9E0A-38AEE0DDE412}" name="Difference" totalsRowFunction="custom" dataDxfId="600" totalsRowDxfId="599">
      <calculatedColumnFormula>Savings20324456688092[[#This Row],[Projected Cost]]-Savings20324456688092[[#This Row],[Actual Cost]]</calculatedColumnFormula>
      <totalsRowFormula>SUM(Savings20324456688092[Actual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102EAC90-B0F3-1A4F-AF47-5B1021F946E2}" name="Food21334557698193" displayName="Food21334557698193" ref="B42:E46" totalsRowCount="1" headerRowDxfId="598" totalsRowDxfId="597" totalsRowBorderDxfId="59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A0B563D-4BB6-C747-BBBB-A64231121820}" name="FOOD" totalsRowLabel="TOTAL" dataDxfId="595" totalsRowDxfId="594"/>
    <tableColumn id="2" xr3:uid="{307DA09A-E319-AE4D-BDE2-51C5F1B9C9ED}" name="Projected Cost" dataDxfId="593" totalsRowDxfId="592"/>
    <tableColumn id="3" xr3:uid="{B2B72165-D133-F94B-A1C9-D334AC1F6AA3}" name="Actual Cost" totalsRowFunction="custom" dataDxfId="591" totalsRowDxfId="590">
      <totalsRowFormula>SUM(Food21334557698193[Actual Cost])</totalsRowFormula>
    </tableColumn>
    <tableColumn id="4" xr3:uid="{0AF3524D-B8AF-9543-856A-4B564401C1DE}" name="Difference" totalsRowFunction="custom" dataDxfId="589" totalsRowDxfId="588">
      <calculatedColumnFormula>Food21334557698193[[#This Row],[Projected Cost]]-Food21334557698193[[#This Row],[Actual Cost]]</calculatedColumnFormula>
      <totalsRowFormula>SUM(Food21334557698193[Actual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06469C0-52E2-9742-A45D-EC42B1A5893C}" name="Gifts22344658708294" displayName="Gifts22344658708294" ref="G46:J50" totalsRowCount="1" headerRowDxfId="587" totalsRowDxfId="586" totalsRowBorderDxfId="585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46D82638-EF43-1847-9FD0-79276F21272E}" name="GIFTS AND DONATIONS" totalsRowLabel="TOTAL" dataDxfId="584" totalsRowDxfId="583"/>
    <tableColumn id="2" xr3:uid="{BD894822-5B7D-5145-B25C-88FFC4F9F623}" name="Projected Cost" dataDxfId="582" totalsRowDxfId="581"/>
    <tableColumn id="3" xr3:uid="{55D6067E-658F-7740-B5DB-80B46D930BC2}" name="Actual Cost" totalsRowFunction="custom" dataDxfId="580" totalsRowDxfId="579">
      <totalsRowFormula>SUM(Gifts22344658708294[Actual Cost])</totalsRowFormula>
    </tableColumn>
    <tableColumn id="4" xr3:uid="{CEB47C01-464E-B241-AE21-949D276D9CA4}" name="Difference" totalsRowFunction="custom" dataDxfId="578" totalsRowDxfId="577">
      <calculatedColumnFormula>Gifts22344658708294[[#This Row],[Projected Cost]]-Gifts22344658708294[[#This Row],[Actual Cost]]</calculatedColumnFormula>
      <totalsRowFormula>SUM(Gifts22344658708294[Actual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9F9434F7-6B3B-1741-A56B-D59A3BE0DE50}" name="Pets23354759718395" displayName="Pets23354759718395" ref="B48:E54" totalsRowCount="1" headerRowDxfId="576" totalsRowDxfId="575" totalsRowBorderDxfId="574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2EA5746A-F387-A240-8793-1759FB4F2732}" name="PETS" totalsRowLabel="TOTAL" dataDxfId="573" totalsRowDxfId="572"/>
    <tableColumn id="2" xr3:uid="{57624921-F2F1-AE44-BA72-6D31E71A76AF}" name="Projected Cost" dataDxfId="571" totalsRowDxfId="570"/>
    <tableColumn id="3" xr3:uid="{FD540D46-E580-3A40-B755-6AC37511BC02}" name="Actual Cost" totalsRowFunction="custom" dataDxfId="569" totalsRowDxfId="568">
      <totalsRowFormula>SUM(Pets23354759718395[Actual Cost])</totalsRowFormula>
    </tableColumn>
    <tableColumn id="4" xr3:uid="{DC5D2317-AA27-944F-B2C4-703FCE59CCAB}" name="Difference" totalsRowFunction="custom" dataDxfId="567" totalsRowDxfId="566">
      <calculatedColumnFormula>Pets23354759718395[[#This Row],[Projected Cost]]-Pets23354759718395[[#This Row],[Actual Cost]]</calculatedColumnFormula>
      <totalsRowFormula>SUM(Pets23354759718395[Actual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2300FF5B-FF36-F64C-8A60-394526CF0E28}" name="Legal24364860728496" displayName="Legal24364860728496" ref="G52:J57" totalsRowCount="1" headerRowDxfId="565" totalsRowDxfId="564" totalsRowBorderDxfId="56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819C12E2-7AF8-124A-A761-3B1EA7C41F2A}" name="LEGAL" totalsRowLabel="TOTAL" dataDxfId="562" totalsRowDxfId="561"/>
    <tableColumn id="2" xr3:uid="{C890F550-E651-754E-83CC-07C469D3793F}" name="Projected Cost" dataDxfId="560" totalsRowDxfId="559"/>
    <tableColumn id="3" xr3:uid="{5A95EE01-2DBB-A642-BA16-1BB348A6D55D}" name="Actual Cost" totalsRowFunction="custom" dataDxfId="558" totalsRowDxfId="557">
      <totalsRowFormula>SUM(Legal24364860728496[Actual Cost])</totalsRowFormula>
    </tableColumn>
    <tableColumn id="4" xr3:uid="{0C2D3D0A-3C01-E941-85FB-A03B41F9C048}" name="Difference" totalsRowFunction="custom" dataDxfId="556" totalsRowDxfId="555">
      <calculatedColumnFormula>Legal24364860728496[[#This Row],[Projected Cost]]-Legal24364860728496[[#This Row],[Actual Cost]]</calculatedColumnFormula>
      <totalsRowFormula>SUM(Legal24364860728496[Actual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64702B-B9D2-8B40-8BAB-A8345E55ABB1}" name="PersonalCare25374961738597" displayName="PersonalCare25374961738597" ref="B56:E64" totalsRowCount="1" headerRowDxfId="554" totalsRowDxfId="553" totalsRowBorderDxfId="552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66F4B5CC-0C60-5145-859D-59A33DDB8D2F}" name="PERSONAL CARE" totalsRowLabel="TOTAL" dataDxfId="551" totalsRowDxfId="550"/>
    <tableColumn id="2" xr3:uid="{27D14B2D-E51E-CF4E-A914-65D4D265051A}" name="Projected Cost" dataDxfId="549" totalsRowDxfId="548"/>
    <tableColumn id="3" xr3:uid="{CE12F9B7-1A57-2F44-9AE9-91E53E6F7CC8}" name="Actual Cost" totalsRowFunction="custom" dataDxfId="547" totalsRowDxfId="546">
      <totalsRowFormula>SUM(PersonalCare25374961738597[Actual Cost])</totalsRowFormula>
    </tableColumn>
    <tableColumn id="4" xr3:uid="{CEB8B03C-3AC9-3046-8A79-1BD86C02CA25}" name="Difference" totalsRowFunction="custom" dataDxfId="545" totalsRowDxfId="544">
      <calculatedColumnFormula>PersonalCare25374961738597[[#This Row],[Projected Cost]]-PersonalCare25374961738597[[#This Row],[Actual Cost]]</calculatedColumnFormula>
      <totalsRowFormula>SUM(PersonalCare25374961738597[Actual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37E8A32F-F706-364F-BC66-D1F4F5170ABA}" name="Housing1426385062748698" displayName="Housing1426385062748698" ref="B12:E23" totalsRowCount="1" headerRowDxfId="543" totalsRowDxfId="542" totalsRowBorderDxfId="54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3E57CA4F-1DF4-D04D-BDB1-08A37CC5CCE8}" name="HOUSING" totalsRowLabel="TOTAL" dataDxfId="540" totalsRowDxfId="539"/>
    <tableColumn id="2" xr3:uid="{87C2DDA4-88DA-354D-8BE7-4F82D941C394}" name="Projected Cost" dataDxfId="538" totalsRowDxfId="537"/>
    <tableColumn id="3" xr3:uid="{A85401F9-B7E3-574B-B755-C4828FEE43F7}" name="Actual Cost" totalsRowFunction="custom" dataDxfId="536" totalsRowDxfId="535">
      <totalsRowFormula>SUM(D13:D22)</totalsRowFormula>
    </tableColumn>
    <tableColumn id="4" xr3:uid="{6DEE754C-88D1-A449-8723-6AA3E882607B}" name="Difference" totalsRowFunction="custom" dataDxfId="534" totalsRowDxfId="533">
      <calculatedColumnFormula>Housing1426385062748698[[#This Row],[Projected Cost]]-Housing1426385062748698[[#This Row],[Actual Cost]]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7B6403-14FC-874B-B408-1897ED0CAC6A}" name="Entertainment1527395163758799" displayName="Entertainment1527395163758799" ref="G12:J22" totalsRowCount="1" headerRowDxfId="532" totalsRowDxfId="531" totalsRowBorderDxfId="530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F0D4759C-E2D3-A044-9F35-DFFE3428C400}" name="ENTERTAINMENT" totalsRowLabel="TOTAL" dataDxfId="529" totalsRowDxfId="528"/>
    <tableColumn id="2" xr3:uid="{029A4E0E-8CD1-5D46-87A1-0E896D3C6387}" name="Projected Cost" dataDxfId="527" totalsRowDxfId="526"/>
    <tableColumn id="3" xr3:uid="{F2E1E8C3-ACB6-214A-A79A-7DE8D8197407}" name="Actual Cost" totalsRowFunction="custom" dataDxfId="525" totalsRowDxfId="524">
      <totalsRowFormula>SUM(Entertainment1527395163758799[Actual Cost])</totalsRowFormula>
    </tableColumn>
    <tableColumn id="4" xr3:uid="{E37CF74D-DF26-5640-A256-5D5DA78D0E20}" name="Difference" totalsRowFunction="custom" dataDxfId="523" totalsRowDxfId="522">
      <calculatedColumnFormula>Entertainment1527395163758799[[#This Row],[Projected Cost]]-Entertainment1527395163758799[[#This Row],[Actual Cost]]</calculatedColumnFormula>
      <totalsRowFormula>SUM(Entertainment1527395163758799[Actual Cost])</totalsRow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15192244-3583-A146-A41A-F67111AE1308}" name="Loans16284052647688100" displayName="Loans16284052647688100" ref="G24:J31" totalsRowCount="1" headerRowDxfId="521" totalsRowDxfId="520" totalsRowBorderDxfId="51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66288DE4-449F-B643-90A1-1103B85E7AB2}" name="LOANS" totalsRowLabel="TOTAL" dataDxfId="518" totalsRowDxfId="517"/>
    <tableColumn id="2" xr3:uid="{8A9C92D9-EC2C-E24C-9550-A8249BEC8BF4}" name="Projected Cost" dataDxfId="516" totalsRowDxfId="515"/>
    <tableColumn id="3" xr3:uid="{F5634C0B-BD55-2D47-B47A-3B4AA97F7663}" name="Actual Cost" totalsRowFunction="custom" dataDxfId="514" totalsRowDxfId="513">
      <totalsRowFormula>SUM(Loans16284052647688100[Actual Cost])</totalsRowFormula>
    </tableColumn>
    <tableColumn id="4" xr3:uid="{A9834F56-3CB4-924F-B4FD-54CF307A727F}" name="Difference" totalsRowFunction="custom" dataDxfId="512" totalsRowDxfId="511">
      <calculatedColumnFormula>Loans16284052647688100[[#This Row],[Projected Cost]]-Loans16284052647688100[[#This Row],[Actual Cost]]</calculatedColumnFormula>
      <totalsRowFormula>SUM(Loans16284052647688100[Actual Cost])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1.xml"/><Relationship Id="rId13" Type="http://schemas.openxmlformats.org/officeDocument/2006/relationships/table" Target="../tables/table96.xml"/><Relationship Id="rId3" Type="http://schemas.openxmlformats.org/officeDocument/2006/relationships/table" Target="../tables/table86.xml"/><Relationship Id="rId7" Type="http://schemas.openxmlformats.org/officeDocument/2006/relationships/table" Target="../tables/table90.xml"/><Relationship Id="rId12" Type="http://schemas.openxmlformats.org/officeDocument/2006/relationships/table" Target="../tables/table95.xml"/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89.xml"/><Relationship Id="rId11" Type="http://schemas.openxmlformats.org/officeDocument/2006/relationships/table" Target="../tables/table94.xml"/><Relationship Id="rId5" Type="http://schemas.openxmlformats.org/officeDocument/2006/relationships/table" Target="../tables/table88.xml"/><Relationship Id="rId10" Type="http://schemas.openxmlformats.org/officeDocument/2006/relationships/table" Target="../tables/table93.xml"/><Relationship Id="rId4" Type="http://schemas.openxmlformats.org/officeDocument/2006/relationships/table" Target="../tables/table87.xml"/><Relationship Id="rId9" Type="http://schemas.openxmlformats.org/officeDocument/2006/relationships/table" Target="../tables/table9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3.xml"/><Relationship Id="rId13" Type="http://schemas.openxmlformats.org/officeDocument/2006/relationships/table" Target="../tables/table108.xml"/><Relationship Id="rId3" Type="http://schemas.openxmlformats.org/officeDocument/2006/relationships/table" Target="../tables/table98.xml"/><Relationship Id="rId7" Type="http://schemas.openxmlformats.org/officeDocument/2006/relationships/table" Target="../tables/table102.xml"/><Relationship Id="rId12" Type="http://schemas.openxmlformats.org/officeDocument/2006/relationships/table" Target="../tables/table107.xml"/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101.xml"/><Relationship Id="rId11" Type="http://schemas.openxmlformats.org/officeDocument/2006/relationships/table" Target="../tables/table106.xml"/><Relationship Id="rId5" Type="http://schemas.openxmlformats.org/officeDocument/2006/relationships/table" Target="../tables/table100.xml"/><Relationship Id="rId10" Type="http://schemas.openxmlformats.org/officeDocument/2006/relationships/table" Target="../tables/table105.xml"/><Relationship Id="rId4" Type="http://schemas.openxmlformats.org/officeDocument/2006/relationships/table" Target="../tables/table99.xml"/><Relationship Id="rId9" Type="http://schemas.openxmlformats.org/officeDocument/2006/relationships/table" Target="../tables/table104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5.xml"/><Relationship Id="rId13" Type="http://schemas.openxmlformats.org/officeDocument/2006/relationships/table" Target="../tables/table120.xml"/><Relationship Id="rId3" Type="http://schemas.openxmlformats.org/officeDocument/2006/relationships/table" Target="../tables/table110.xml"/><Relationship Id="rId7" Type="http://schemas.openxmlformats.org/officeDocument/2006/relationships/table" Target="../tables/table114.xml"/><Relationship Id="rId12" Type="http://schemas.openxmlformats.org/officeDocument/2006/relationships/table" Target="../tables/table119.xml"/><Relationship Id="rId2" Type="http://schemas.openxmlformats.org/officeDocument/2006/relationships/table" Target="../tables/table109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113.xml"/><Relationship Id="rId11" Type="http://schemas.openxmlformats.org/officeDocument/2006/relationships/table" Target="../tables/table118.xml"/><Relationship Id="rId5" Type="http://schemas.openxmlformats.org/officeDocument/2006/relationships/table" Target="../tables/table112.xml"/><Relationship Id="rId10" Type="http://schemas.openxmlformats.org/officeDocument/2006/relationships/table" Target="../tables/table117.xml"/><Relationship Id="rId4" Type="http://schemas.openxmlformats.org/officeDocument/2006/relationships/table" Target="../tables/table111.xml"/><Relationship Id="rId9" Type="http://schemas.openxmlformats.org/officeDocument/2006/relationships/table" Target="../tables/table116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7.xml"/><Relationship Id="rId13" Type="http://schemas.openxmlformats.org/officeDocument/2006/relationships/table" Target="../tables/table132.xml"/><Relationship Id="rId3" Type="http://schemas.openxmlformats.org/officeDocument/2006/relationships/table" Target="../tables/table122.xml"/><Relationship Id="rId7" Type="http://schemas.openxmlformats.org/officeDocument/2006/relationships/table" Target="../tables/table126.xml"/><Relationship Id="rId12" Type="http://schemas.openxmlformats.org/officeDocument/2006/relationships/table" Target="../tables/table131.xml"/><Relationship Id="rId2" Type="http://schemas.openxmlformats.org/officeDocument/2006/relationships/table" Target="../tables/table121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125.xml"/><Relationship Id="rId11" Type="http://schemas.openxmlformats.org/officeDocument/2006/relationships/table" Target="../tables/table130.xml"/><Relationship Id="rId5" Type="http://schemas.openxmlformats.org/officeDocument/2006/relationships/table" Target="../tables/table124.xml"/><Relationship Id="rId10" Type="http://schemas.openxmlformats.org/officeDocument/2006/relationships/table" Target="../tables/table129.xml"/><Relationship Id="rId4" Type="http://schemas.openxmlformats.org/officeDocument/2006/relationships/table" Target="../tables/table123.xml"/><Relationship Id="rId9" Type="http://schemas.openxmlformats.org/officeDocument/2006/relationships/table" Target="../tables/table128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9.xml"/><Relationship Id="rId13" Type="http://schemas.openxmlformats.org/officeDocument/2006/relationships/table" Target="../tables/table144.xml"/><Relationship Id="rId3" Type="http://schemas.openxmlformats.org/officeDocument/2006/relationships/table" Target="../tables/table134.xml"/><Relationship Id="rId7" Type="http://schemas.openxmlformats.org/officeDocument/2006/relationships/table" Target="../tables/table138.xml"/><Relationship Id="rId12" Type="http://schemas.openxmlformats.org/officeDocument/2006/relationships/table" Target="../tables/table143.xml"/><Relationship Id="rId2" Type="http://schemas.openxmlformats.org/officeDocument/2006/relationships/table" Target="../tables/table133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137.xml"/><Relationship Id="rId11" Type="http://schemas.openxmlformats.org/officeDocument/2006/relationships/table" Target="../tables/table142.xml"/><Relationship Id="rId5" Type="http://schemas.openxmlformats.org/officeDocument/2006/relationships/table" Target="../tables/table136.xml"/><Relationship Id="rId10" Type="http://schemas.openxmlformats.org/officeDocument/2006/relationships/table" Target="../tables/table141.xml"/><Relationship Id="rId4" Type="http://schemas.openxmlformats.org/officeDocument/2006/relationships/table" Target="../tables/table135.xml"/><Relationship Id="rId9" Type="http://schemas.openxmlformats.org/officeDocument/2006/relationships/table" Target="../tables/table14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9.xml"/><Relationship Id="rId13" Type="http://schemas.openxmlformats.org/officeDocument/2006/relationships/table" Target="../tables/table24.xml"/><Relationship Id="rId3" Type="http://schemas.openxmlformats.org/officeDocument/2006/relationships/table" Target="../tables/table14.xml"/><Relationship Id="rId7" Type="http://schemas.openxmlformats.org/officeDocument/2006/relationships/table" Target="../tables/table18.xml"/><Relationship Id="rId12" Type="http://schemas.openxmlformats.org/officeDocument/2006/relationships/table" Target="../tables/table23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7.xml"/><Relationship Id="rId11" Type="http://schemas.openxmlformats.org/officeDocument/2006/relationships/table" Target="../tables/table22.xml"/><Relationship Id="rId5" Type="http://schemas.openxmlformats.org/officeDocument/2006/relationships/table" Target="../tables/table16.xml"/><Relationship Id="rId10" Type="http://schemas.openxmlformats.org/officeDocument/2006/relationships/table" Target="../tables/table21.xml"/><Relationship Id="rId4" Type="http://schemas.openxmlformats.org/officeDocument/2006/relationships/table" Target="../tables/table15.xml"/><Relationship Id="rId9" Type="http://schemas.openxmlformats.org/officeDocument/2006/relationships/table" Target="../tables/table2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/><Relationship Id="rId13" Type="http://schemas.openxmlformats.org/officeDocument/2006/relationships/table" Target="../tables/table36.xml"/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12" Type="http://schemas.openxmlformats.org/officeDocument/2006/relationships/table" Target="../tables/table35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9.xml"/><Relationship Id="rId11" Type="http://schemas.openxmlformats.org/officeDocument/2006/relationships/table" Target="../tables/table34.xml"/><Relationship Id="rId5" Type="http://schemas.openxmlformats.org/officeDocument/2006/relationships/table" Target="../tables/table28.xml"/><Relationship Id="rId10" Type="http://schemas.openxmlformats.org/officeDocument/2006/relationships/table" Target="../tables/table33.xml"/><Relationship Id="rId4" Type="http://schemas.openxmlformats.org/officeDocument/2006/relationships/table" Target="../tables/table27.xml"/><Relationship Id="rId9" Type="http://schemas.openxmlformats.org/officeDocument/2006/relationships/table" Target="../tables/table3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3.xml"/><Relationship Id="rId13" Type="http://schemas.openxmlformats.org/officeDocument/2006/relationships/table" Target="../tables/table48.xml"/><Relationship Id="rId3" Type="http://schemas.openxmlformats.org/officeDocument/2006/relationships/table" Target="../tables/table38.xml"/><Relationship Id="rId7" Type="http://schemas.openxmlformats.org/officeDocument/2006/relationships/table" Target="../tables/table42.xml"/><Relationship Id="rId12" Type="http://schemas.openxmlformats.org/officeDocument/2006/relationships/table" Target="../tables/table47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41.xml"/><Relationship Id="rId11" Type="http://schemas.openxmlformats.org/officeDocument/2006/relationships/table" Target="../tables/table46.xml"/><Relationship Id="rId5" Type="http://schemas.openxmlformats.org/officeDocument/2006/relationships/table" Target="../tables/table40.xml"/><Relationship Id="rId10" Type="http://schemas.openxmlformats.org/officeDocument/2006/relationships/table" Target="../tables/table45.xml"/><Relationship Id="rId4" Type="http://schemas.openxmlformats.org/officeDocument/2006/relationships/table" Target="../tables/table39.xml"/><Relationship Id="rId9" Type="http://schemas.openxmlformats.org/officeDocument/2006/relationships/table" Target="../tables/table4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5.xml"/><Relationship Id="rId13" Type="http://schemas.openxmlformats.org/officeDocument/2006/relationships/table" Target="../tables/table60.xml"/><Relationship Id="rId3" Type="http://schemas.openxmlformats.org/officeDocument/2006/relationships/table" Target="../tables/table50.xml"/><Relationship Id="rId7" Type="http://schemas.openxmlformats.org/officeDocument/2006/relationships/table" Target="../tables/table54.xml"/><Relationship Id="rId12" Type="http://schemas.openxmlformats.org/officeDocument/2006/relationships/table" Target="../tables/table59.xml"/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53.xml"/><Relationship Id="rId11" Type="http://schemas.openxmlformats.org/officeDocument/2006/relationships/table" Target="../tables/table58.xml"/><Relationship Id="rId5" Type="http://schemas.openxmlformats.org/officeDocument/2006/relationships/table" Target="../tables/table52.xml"/><Relationship Id="rId10" Type="http://schemas.openxmlformats.org/officeDocument/2006/relationships/table" Target="../tables/table57.xml"/><Relationship Id="rId4" Type="http://schemas.openxmlformats.org/officeDocument/2006/relationships/table" Target="../tables/table51.xml"/><Relationship Id="rId9" Type="http://schemas.openxmlformats.org/officeDocument/2006/relationships/table" Target="../tables/table5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7.xml"/><Relationship Id="rId13" Type="http://schemas.openxmlformats.org/officeDocument/2006/relationships/table" Target="../tables/table72.xml"/><Relationship Id="rId3" Type="http://schemas.openxmlformats.org/officeDocument/2006/relationships/table" Target="../tables/table62.xml"/><Relationship Id="rId7" Type="http://schemas.openxmlformats.org/officeDocument/2006/relationships/table" Target="../tables/table66.xml"/><Relationship Id="rId12" Type="http://schemas.openxmlformats.org/officeDocument/2006/relationships/table" Target="../tables/table71.xml"/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65.xml"/><Relationship Id="rId11" Type="http://schemas.openxmlformats.org/officeDocument/2006/relationships/table" Target="../tables/table70.xml"/><Relationship Id="rId5" Type="http://schemas.openxmlformats.org/officeDocument/2006/relationships/table" Target="../tables/table64.xml"/><Relationship Id="rId10" Type="http://schemas.openxmlformats.org/officeDocument/2006/relationships/table" Target="../tables/table69.xml"/><Relationship Id="rId4" Type="http://schemas.openxmlformats.org/officeDocument/2006/relationships/table" Target="../tables/table63.xml"/><Relationship Id="rId9" Type="http://schemas.openxmlformats.org/officeDocument/2006/relationships/table" Target="../tables/table6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9.xml"/><Relationship Id="rId13" Type="http://schemas.openxmlformats.org/officeDocument/2006/relationships/table" Target="../tables/table84.xml"/><Relationship Id="rId3" Type="http://schemas.openxmlformats.org/officeDocument/2006/relationships/table" Target="../tables/table74.xml"/><Relationship Id="rId7" Type="http://schemas.openxmlformats.org/officeDocument/2006/relationships/table" Target="../tables/table78.xml"/><Relationship Id="rId12" Type="http://schemas.openxmlformats.org/officeDocument/2006/relationships/table" Target="../tables/table83.xml"/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77.xml"/><Relationship Id="rId11" Type="http://schemas.openxmlformats.org/officeDocument/2006/relationships/table" Target="../tables/table82.xml"/><Relationship Id="rId5" Type="http://schemas.openxmlformats.org/officeDocument/2006/relationships/table" Target="../tables/table76.xml"/><Relationship Id="rId10" Type="http://schemas.openxmlformats.org/officeDocument/2006/relationships/table" Target="../tables/table81.xml"/><Relationship Id="rId4" Type="http://schemas.openxmlformats.org/officeDocument/2006/relationships/table" Target="../tables/table75.xml"/><Relationship Id="rId9" Type="http://schemas.openxmlformats.org/officeDocument/2006/relationships/table" Target="../tables/table8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16"/>
  <sheetViews>
    <sheetView showGridLines="0" tabSelected="1" workbookViewId="0">
      <selection activeCell="B14" sqref="B14"/>
    </sheetView>
  </sheetViews>
  <sheetFormatPr baseColWidth="10" defaultColWidth="9" defaultRowHeight="14"/>
  <cols>
    <col min="1" max="1" width="2.796875" customWidth="1"/>
    <col min="2" max="2" width="80.796875" customWidth="1"/>
    <col min="3" max="3" width="2.796875" customWidth="1"/>
  </cols>
  <sheetData>
    <row r="1" spans="2:2" s="11" customFormat="1" ht="30" customHeight="1">
      <c r="B1" s="10" t="s">
        <v>0</v>
      </c>
    </row>
    <row r="2" spans="2:2" ht="49" customHeight="1">
      <c r="B2" s="55" t="s">
        <v>139</v>
      </c>
    </row>
    <row r="3" spans="2:2" ht="49" customHeight="1">
      <c r="B3" s="55" t="s">
        <v>138</v>
      </c>
    </row>
    <row r="4" spans="2:2" ht="49" customHeight="1">
      <c r="B4" s="60" t="s">
        <v>145</v>
      </c>
    </row>
    <row r="5" spans="2:2" ht="43" customHeight="1">
      <c r="B5" s="55" t="s">
        <v>140</v>
      </c>
    </row>
    <row r="6" spans="2:2" ht="30" customHeight="1">
      <c r="B6" s="55" t="s">
        <v>1</v>
      </c>
    </row>
    <row r="7" spans="2:2" ht="30" customHeight="1">
      <c r="B7" s="55" t="s">
        <v>2</v>
      </c>
    </row>
    <row r="8" spans="2:2" ht="30" customHeight="1">
      <c r="B8" s="61" t="s">
        <v>3</v>
      </c>
    </row>
    <row r="9" spans="2:2" ht="44" customHeight="1">
      <c r="B9" s="55" t="s">
        <v>141</v>
      </c>
    </row>
    <row r="10" spans="2:2" s="58" customFormat="1" ht="33" customHeight="1">
      <c r="B10" s="57" t="s">
        <v>142</v>
      </c>
    </row>
    <row r="11" spans="2:2" s="58" customFormat="1" ht="33" customHeight="1">
      <c r="B11" s="59" t="s">
        <v>143</v>
      </c>
    </row>
    <row r="12" spans="2:2" s="58" customFormat="1" ht="33" customHeight="1">
      <c r="B12" s="57" t="s">
        <v>144</v>
      </c>
    </row>
    <row r="13" spans="2:2" ht="44" customHeight="1">
      <c r="B13" s="55" t="s">
        <v>4</v>
      </c>
    </row>
    <row r="14" spans="2:2" ht="16">
      <c r="B14" s="56"/>
    </row>
    <row r="15" spans="2:2" ht="16">
      <c r="B15" s="55"/>
    </row>
    <row r="16" spans="2:2" ht="15">
      <c r="B16" s="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371D3-E7C3-ED4C-9428-654F2E21A208}">
  <sheetPr>
    <tabColor theme="4"/>
    <pageSetUpPr autoPageBreaks="0" fitToPage="1"/>
  </sheetPr>
  <dimension ref="A1:J65"/>
  <sheetViews>
    <sheetView showGridLines="0" workbookViewId="0">
      <selection activeCell="E9" sqref="E9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114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/>
      <c r="G4" s="76" t="s">
        <v>10</v>
      </c>
      <c r="H4" s="77"/>
      <c r="I4" s="77"/>
      <c r="J4" s="70">
        <f>E6-J59</f>
        <v>0</v>
      </c>
    </row>
    <row r="5" spans="1:10">
      <c r="B5" s="74"/>
      <c r="C5" s="71" t="s">
        <v>11</v>
      </c>
      <c r="D5" s="72"/>
      <c r="E5" s="5"/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0</v>
      </c>
      <c r="G6" s="76" t="s">
        <v>14</v>
      </c>
      <c r="H6" s="77"/>
      <c r="I6" s="77"/>
      <c r="J6" s="70">
        <f>E10-J61</f>
        <v>0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/>
      <c r="G8" s="76" t="s">
        <v>17</v>
      </c>
      <c r="H8" s="77"/>
      <c r="I8" s="77"/>
      <c r="J8" s="70">
        <f>J6-J4</f>
        <v>0</v>
      </c>
    </row>
    <row r="9" spans="1:10">
      <c r="B9" s="74"/>
      <c r="C9" s="71" t="s">
        <v>11</v>
      </c>
      <c r="D9" s="72"/>
      <c r="E9" s="5"/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/>
      <c r="D13" s="17"/>
      <c r="E13" s="17">
        <f>Housing14263850627486[[#This Row],[Projected Cost]]-Housing14263850627486[[#This Row],[Actual Cost]]</f>
        <v>0</v>
      </c>
      <c r="G13" s="16" t="s">
        <v>25</v>
      </c>
      <c r="H13" s="17"/>
      <c r="I13" s="17"/>
      <c r="J13" s="17">
        <f>Entertainment15273951637587[[#This Row],[Projected Cost]]-Entertainment15273951637587[[#This Row],[Actual Cost]]</f>
        <v>0</v>
      </c>
    </row>
    <row r="14" spans="1:10">
      <c r="B14" s="16" t="s">
        <v>26</v>
      </c>
      <c r="C14" s="17"/>
      <c r="D14" s="17"/>
      <c r="E14" s="17">
        <f>Housing14263850627486[[#This Row],[Projected Cost]]-Housing14263850627486[[#This Row],[Actual Cost]]</f>
        <v>0</v>
      </c>
      <c r="G14" s="16" t="s">
        <v>27</v>
      </c>
      <c r="H14" s="17"/>
      <c r="I14" s="17"/>
      <c r="J14" s="17">
        <f>Entertainment15273951637587[[#This Row],[Projected Cost]]-Entertainment15273951637587[[#This Row],[Actual Cost]]</f>
        <v>0</v>
      </c>
    </row>
    <row r="15" spans="1:10">
      <c r="B15" s="16" t="s">
        <v>28</v>
      </c>
      <c r="C15" s="17"/>
      <c r="D15" s="17"/>
      <c r="E15" s="17">
        <f>Housing14263850627486[[#This Row],[Projected Cost]]-Housing14263850627486[[#This Row],[Actual Cost]]</f>
        <v>0</v>
      </c>
      <c r="G15" s="16" t="s">
        <v>29</v>
      </c>
      <c r="H15" s="17"/>
      <c r="I15" s="17"/>
      <c r="J15" s="17">
        <f>Entertainment15273951637587[[#This Row],[Projected Cost]]-Entertainment15273951637587[[#This Row],[Actual Cost]]</f>
        <v>0</v>
      </c>
    </row>
    <row r="16" spans="1:10">
      <c r="B16" s="16" t="s">
        <v>30</v>
      </c>
      <c r="C16" s="17"/>
      <c r="D16" s="17"/>
      <c r="E16" s="17">
        <f>Housing14263850627486[[#This Row],[Projected Cost]]-Housing14263850627486[[#This Row],[Actual Cost]]</f>
        <v>0</v>
      </c>
      <c r="G16" s="16" t="s">
        <v>31</v>
      </c>
      <c r="H16" s="17"/>
      <c r="I16" s="17"/>
      <c r="J16" s="17">
        <f>Entertainment15273951637587[[#This Row],[Projected Cost]]-Entertainment15273951637587[[#This Row],[Actual Cost]]</f>
        <v>0</v>
      </c>
    </row>
    <row r="17" spans="1:10">
      <c r="B17" s="16" t="s">
        <v>32</v>
      </c>
      <c r="C17" s="17"/>
      <c r="D17" s="17"/>
      <c r="E17" s="17">
        <f>Housing14263850627486[[#This Row],[Projected Cost]]-Housing14263850627486[[#This Row],[Actual Cost]]</f>
        <v>0</v>
      </c>
      <c r="G17" s="16" t="s">
        <v>33</v>
      </c>
      <c r="H17" s="17"/>
      <c r="I17" s="17"/>
      <c r="J17" s="17">
        <f>Entertainment15273951637587[[#This Row],[Projected Cost]]-Entertainment15273951637587[[#This Row],[Actual Cost]]</f>
        <v>0</v>
      </c>
    </row>
    <row r="18" spans="1:10">
      <c r="B18" s="16" t="s">
        <v>34</v>
      </c>
      <c r="C18" s="17"/>
      <c r="D18" s="17"/>
      <c r="E18" s="17">
        <f>Housing14263850627486[[#This Row],[Projected Cost]]-Housing14263850627486[[#This Row],[Actual Cost]]</f>
        <v>0</v>
      </c>
      <c r="G18" s="16" t="s">
        <v>35</v>
      </c>
      <c r="H18" s="17"/>
      <c r="I18" s="17"/>
      <c r="J18" s="17">
        <f>Entertainment15273951637587[[#This Row],[Projected Cost]]-Entertainment15273951637587[[#This Row],[Actual Cost]]</f>
        <v>0</v>
      </c>
    </row>
    <row r="19" spans="1:10">
      <c r="B19" s="16" t="s">
        <v>36</v>
      </c>
      <c r="C19" s="17"/>
      <c r="D19" s="17"/>
      <c r="E19" s="17">
        <f>Housing14263850627486[[#This Row],[Projected Cost]]-Housing14263850627486[[#This Row],[Actual Cost]]</f>
        <v>0</v>
      </c>
      <c r="G19" s="16" t="s">
        <v>37</v>
      </c>
      <c r="H19" s="17"/>
      <c r="I19" s="17"/>
      <c r="J19" s="17">
        <f>Entertainment15273951637587[[#This Row],[Projected Cost]]-Entertainment15273951637587[[#This Row],[Actual Cost]]</f>
        <v>0</v>
      </c>
    </row>
    <row r="20" spans="1:10">
      <c r="B20" s="16" t="s">
        <v>38</v>
      </c>
      <c r="C20" s="17"/>
      <c r="D20" s="17"/>
      <c r="E20" s="17">
        <f>Housing14263850627486[[#This Row],[Projected Cost]]-Housing14263850627486[[#This Row],[Actual Cost]]</f>
        <v>0</v>
      </c>
      <c r="G20" s="16" t="s">
        <v>37</v>
      </c>
      <c r="H20" s="17"/>
      <c r="I20" s="17"/>
      <c r="J20" s="17">
        <f>Entertainment15273951637587[[#This Row],[Projected Cost]]-Entertainment15273951637587[[#This Row],[Actual Cost]]</f>
        <v>0</v>
      </c>
    </row>
    <row r="21" spans="1:10">
      <c r="B21" s="16" t="s">
        <v>39</v>
      </c>
      <c r="C21" s="17"/>
      <c r="D21" s="17"/>
      <c r="E21" s="17">
        <f>Housing14263850627486[[#This Row],[Projected Cost]]-Housing14263850627486[[#This Row],[Actual Cost]]</f>
        <v>0</v>
      </c>
      <c r="G21" s="16" t="s">
        <v>37</v>
      </c>
      <c r="H21" s="17"/>
      <c r="I21" s="17"/>
      <c r="J21" s="17">
        <f>Entertainment15273951637587[[#This Row],[Projected Cost]]-Entertainment15273951637587[[#This Row],[Actual Cost]]</f>
        <v>0</v>
      </c>
    </row>
    <row r="22" spans="1:10">
      <c r="B22" s="16" t="s">
        <v>37</v>
      </c>
      <c r="C22" s="17"/>
      <c r="D22" s="17"/>
      <c r="E22" s="17">
        <f>Housing14263850627486[[#This Row],[Projected Cost]]-Housing14263850627486[[#This Row],[Actual Cost]]</f>
        <v>0</v>
      </c>
      <c r="G22" s="18" t="s">
        <v>93</v>
      </c>
      <c r="H22" s="19"/>
      <c r="I22" s="19">
        <f>SUM(Entertainment15273951637587[Actual Cost])</f>
        <v>0</v>
      </c>
      <c r="J22" s="19">
        <f>SUM(Entertainment15273951637587[Actual Cost])</f>
        <v>0</v>
      </c>
    </row>
    <row r="23" spans="1:10">
      <c r="B23" s="18" t="s">
        <v>93</v>
      </c>
      <c r="C23" s="19"/>
      <c r="D23" s="19">
        <f>SUM(D13:D22)</f>
        <v>0</v>
      </c>
      <c r="E23" s="19">
        <f>SUM(E13:E22)</f>
        <v>0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Loans16284052647688[[#This Row],[Projected Cost]]-Loans16284052647688[[#This Row],[Actual Cost]]</f>
        <v>0</v>
      </c>
    </row>
    <row r="26" spans="1:10">
      <c r="B26" s="16" t="s">
        <v>44</v>
      </c>
      <c r="C26" s="17"/>
      <c r="D26" s="17"/>
      <c r="E26" s="17">
        <f>Transportation17294153657789[[#This Row],[Projected Cost]]-Transportation17294153657789[[#This Row],[Actual Cost]]</f>
        <v>0</v>
      </c>
      <c r="G26" s="16" t="s">
        <v>45</v>
      </c>
      <c r="H26" s="17"/>
      <c r="I26" s="17"/>
      <c r="J26" s="17">
        <f>Loans16284052647688[[#This Row],[Projected Cost]]-Loans16284052647688[[#This Row],[Actual Cost]]</f>
        <v>0</v>
      </c>
    </row>
    <row r="27" spans="1:10">
      <c r="B27" s="16" t="s">
        <v>46</v>
      </c>
      <c r="C27" s="17"/>
      <c r="D27" s="17"/>
      <c r="E27" s="17">
        <f>Transportation17294153657789[[#This Row],[Projected Cost]]-Transportation17294153657789[[#This Row],[Actual Cost]]</f>
        <v>0</v>
      </c>
      <c r="G27" s="16" t="s">
        <v>47</v>
      </c>
      <c r="H27" s="17"/>
      <c r="I27" s="17"/>
      <c r="J27" s="17">
        <f>Loans16284052647688[[#This Row],[Projected Cost]]-Loans16284052647688[[#This Row],[Actual Cost]]</f>
        <v>0</v>
      </c>
    </row>
    <row r="28" spans="1:10">
      <c r="B28" s="16" t="s">
        <v>48</v>
      </c>
      <c r="C28" s="17"/>
      <c r="D28" s="17"/>
      <c r="E28" s="17">
        <f>Transportation17294153657789[[#This Row],[Projected Cost]]-Transportation17294153657789[[#This Row],[Actual Cost]]</f>
        <v>0</v>
      </c>
      <c r="G28" s="16" t="s">
        <v>47</v>
      </c>
      <c r="H28" s="17"/>
      <c r="I28" s="17"/>
      <c r="J28" s="17">
        <f>Loans16284052647688[[#This Row],[Projected Cost]]-Loans16284052647688[[#This Row],[Actual Cost]]</f>
        <v>0</v>
      </c>
    </row>
    <row r="29" spans="1:10">
      <c r="B29" s="16" t="s">
        <v>49</v>
      </c>
      <c r="C29" s="17"/>
      <c r="D29" s="17"/>
      <c r="E29" s="17">
        <f>Transportation17294153657789[[#This Row],[Projected Cost]]-Transportation17294153657789[[#This Row],[Actual Cost]]</f>
        <v>0</v>
      </c>
      <c r="G29" s="16" t="s">
        <v>47</v>
      </c>
      <c r="H29" s="17"/>
      <c r="I29" s="17"/>
      <c r="J29" s="17">
        <f>Loans16284052647688[[#This Row],[Projected Cost]]-Loans16284052647688[[#This Row],[Actual Cost]]</f>
        <v>0</v>
      </c>
    </row>
    <row r="30" spans="1:10">
      <c r="B30" s="16" t="s">
        <v>50</v>
      </c>
      <c r="C30" s="17"/>
      <c r="D30" s="17"/>
      <c r="E30" s="17">
        <f>Transportation17294153657789[[#This Row],[Projected Cost]]-Transportation17294153657789[[#This Row],[Actual Cost]]</f>
        <v>0</v>
      </c>
      <c r="G30" s="16" t="s">
        <v>37</v>
      </c>
      <c r="H30" s="17"/>
      <c r="I30" s="17"/>
      <c r="J30" s="17">
        <f>Loans16284052647688[[#This Row],[Projected Cost]]-Loans16284052647688[[#This Row],[Actual Cost]]</f>
        <v>0</v>
      </c>
    </row>
    <row r="31" spans="1:10">
      <c r="B31" s="16" t="s">
        <v>38</v>
      </c>
      <c r="C31" s="17"/>
      <c r="D31" s="17"/>
      <c r="E31" s="17">
        <f>Transportation17294153657789[[#This Row],[Projected Cost]]-Transportation17294153657789[[#This Row],[Actual Cost]]</f>
        <v>0</v>
      </c>
      <c r="G31" s="18" t="s">
        <v>93</v>
      </c>
      <c r="H31" s="19"/>
      <c r="I31" s="19">
        <f>SUM(Loans16284052647688[Actual Cost])</f>
        <v>0</v>
      </c>
      <c r="J31" s="19">
        <f>SUM(Loans16284052647688[Actual Cost])</f>
        <v>0</v>
      </c>
    </row>
    <row r="32" spans="1:10">
      <c r="B32" s="16" t="s">
        <v>37</v>
      </c>
      <c r="C32" s="17"/>
      <c r="D32" s="17"/>
      <c r="E32" s="17">
        <f>Transportation17294153657789[[#This Row],[Projected Cost]]-Transportation17294153657789[[#This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SUM(Transportation17294153657789[Actual Cost])</f>
        <v>0</v>
      </c>
      <c r="E33" s="19">
        <f>SUM(Transportation17294153657789[Actual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Taxes19314355677991[[#This Row],[Projected Cost]]-Taxes19314355677991[[#This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Taxes19314355677991[[#This Row],[Projected Cost]]-Taxes19314355677991[[#This Row],[Actual Cost]]</f>
        <v>0</v>
      </c>
    </row>
    <row r="36" spans="1:10">
      <c r="B36" s="16" t="s">
        <v>94</v>
      </c>
      <c r="C36" s="17"/>
      <c r="D36" s="17"/>
      <c r="E36" s="17">
        <f>Insurance18304254667890[[#This Row],[Projected Cost]]-Insurance18304254667890[[#This Row],[Actual Cost]]</f>
        <v>0</v>
      </c>
      <c r="G36" s="16" t="s">
        <v>56</v>
      </c>
      <c r="H36" s="17"/>
      <c r="I36" s="17"/>
      <c r="J36" s="17">
        <f>Taxes19314355677991[[#This Row],[Projected Cost]]-Taxes19314355677991[[#This Row],[Actual Cost]]</f>
        <v>0</v>
      </c>
    </row>
    <row r="37" spans="1:10">
      <c r="B37" s="16" t="s">
        <v>57</v>
      </c>
      <c r="C37" s="17"/>
      <c r="D37" s="17"/>
      <c r="E37" s="17">
        <f>Insurance18304254667890[[#This Row],[Projected Cost]]-Insurance18304254667890[[#This Row],[Actual Cost]]</f>
        <v>0</v>
      </c>
      <c r="G37" s="16" t="s">
        <v>37</v>
      </c>
      <c r="H37" s="17"/>
      <c r="I37" s="17"/>
      <c r="J37" s="17">
        <f>Taxes19314355677991[[#This Row],[Projected Cost]]-Taxes19314355677991[[#This Row],[Actual Cost]]</f>
        <v>0</v>
      </c>
    </row>
    <row r="38" spans="1:10">
      <c r="B38" s="16" t="s">
        <v>58</v>
      </c>
      <c r="C38" s="17"/>
      <c r="D38" s="17"/>
      <c r="E38" s="17">
        <f>Insurance18304254667890[[#This Row],[Projected Cost]]-Insurance18304254667890[[#This Row],[Actual Cost]]</f>
        <v>0</v>
      </c>
      <c r="G38" s="18" t="s">
        <v>93</v>
      </c>
      <c r="H38" s="19"/>
      <c r="I38" s="19">
        <f>SUM(Taxes19314355677991[Actual Cost])</f>
        <v>0</v>
      </c>
      <c r="J38" s="19">
        <f>SUM(Taxes19314355677991[Actual Cost])</f>
        <v>0</v>
      </c>
    </row>
    <row r="39" spans="1:10">
      <c r="B39" s="16" t="s">
        <v>37</v>
      </c>
      <c r="C39" s="17"/>
      <c r="D39" s="17"/>
      <c r="E39" s="17">
        <f>Insurance18304254667890[[#This Row],[Projected Cost]]-Insurance18304254667890[[#This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SUM(Insurance18304254667890[Actual Cost])</f>
        <v>0</v>
      </c>
      <c r="E40" s="19">
        <f>SUM(Insurance18304254667890[Actual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Savings20324456688092[[#This Row],[Projected Cost]]-Savings20324456688092[[#This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Savings20324456688092[[#This Row],[Projected Cost]]-Savings20324456688092[[#This Row],[Actual Cost]]</f>
        <v>0</v>
      </c>
    </row>
    <row r="43" spans="1:10">
      <c r="B43" s="16" t="s">
        <v>64</v>
      </c>
      <c r="C43" s="17"/>
      <c r="D43" s="17"/>
      <c r="E43" s="17">
        <f>Food21334557698193[[#This Row],[Projected Cost]]-Food21334557698193[[#This Row],[Actual Cost]]</f>
        <v>0</v>
      </c>
      <c r="G43" s="16" t="s">
        <v>37</v>
      </c>
      <c r="H43" s="17"/>
      <c r="I43" s="17"/>
      <c r="J43" s="17">
        <f>Savings20324456688092[[#This Row],[Projected Cost]]-Savings20324456688092[[#This Row],[Actual Cost]]</f>
        <v>0</v>
      </c>
    </row>
    <row r="44" spans="1:10">
      <c r="B44" s="16" t="s">
        <v>65</v>
      </c>
      <c r="C44" s="17"/>
      <c r="D44" s="17"/>
      <c r="E44" s="17">
        <f>Food21334557698193[[#This Row],[Projected Cost]]-Food21334557698193[[#This Row],[Actual Cost]]</f>
        <v>0</v>
      </c>
      <c r="G44" s="18" t="s">
        <v>93</v>
      </c>
      <c r="H44" s="19"/>
      <c r="I44" s="19">
        <f>SUM(Savings20324456688092[Actual Cost])</f>
        <v>0</v>
      </c>
      <c r="J44" s="19">
        <f>SUM(Savings20324456688092[Actual Cost])</f>
        <v>0</v>
      </c>
    </row>
    <row r="45" spans="1:10">
      <c r="B45" s="16" t="s">
        <v>37</v>
      </c>
      <c r="C45" s="17"/>
      <c r="D45" s="17"/>
      <c r="E45" s="17">
        <f>Food21334557698193[[#This Row],[Projected Cost]]-Food21334557698193[[#This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SUM(Food21334557698193[Actual Cost])</f>
        <v>0</v>
      </c>
      <c r="E46" s="19">
        <f>SUM(Food21334557698193[Actual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Gifts22344658708294[[#This Row],[Projected Cost]]-Gifts22344658708294[[#This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Gifts22344658708294[[#This Row],[Projected Cost]]-Gifts22344658708294[[#This Row],[Actual Cost]]</f>
        <v>0</v>
      </c>
    </row>
    <row r="49" spans="1:10">
      <c r="B49" s="16" t="s">
        <v>71</v>
      </c>
      <c r="C49" s="17"/>
      <c r="D49" s="17"/>
      <c r="E49" s="17">
        <f>Pets23354759718395[[#This Row],[Projected Cost]]-Pets23354759718395[[#This Row],[Actual Cost]]</f>
        <v>0</v>
      </c>
      <c r="G49" s="16" t="s">
        <v>72</v>
      </c>
      <c r="H49" s="17"/>
      <c r="I49" s="17"/>
      <c r="J49" s="17">
        <f>Gifts22344658708294[[#This Row],[Projected Cost]]-Gifts22344658708294[[#This Row],[Actual Cost]]</f>
        <v>0</v>
      </c>
    </row>
    <row r="50" spans="1:10">
      <c r="B50" s="16" t="s">
        <v>73</v>
      </c>
      <c r="C50" s="17"/>
      <c r="D50" s="17"/>
      <c r="E50" s="17">
        <f>Pets23354759718395[[#This Row],[Projected Cost]]-Pets23354759718395[[#This Row],[Actual Cost]]</f>
        <v>0</v>
      </c>
      <c r="G50" s="18" t="s">
        <v>93</v>
      </c>
      <c r="H50" s="19"/>
      <c r="I50" s="19">
        <f>SUM(Gifts22344658708294[Actual Cost])</f>
        <v>0</v>
      </c>
      <c r="J50" s="19">
        <f>SUM(Gifts22344658708294[Actual Cost])</f>
        <v>0</v>
      </c>
    </row>
    <row r="51" spans="1:10">
      <c r="B51" s="16" t="s">
        <v>74</v>
      </c>
      <c r="C51" s="17"/>
      <c r="D51" s="17"/>
      <c r="E51" s="17">
        <f>Pets23354759718395[[#This Row],[Projected Cost]]-Pets23354759718395[[#This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Pets23354759718395[[#This Row],[Projected Cost]]-Pets23354759718395[[#This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Pets23354759718395[[#This Row],[Projected Cost]]-Pets23354759718395[[#This Row],[Actual Cost]]</f>
        <v>0</v>
      </c>
      <c r="G53" s="16" t="s">
        <v>77</v>
      </c>
      <c r="H53" s="17"/>
      <c r="I53" s="17"/>
      <c r="J53" s="17">
        <f>Legal24364860728496[[#This Row],[Projected Cost]]-Legal24364860728496[[#This Row],[Actual Cost]]</f>
        <v>0</v>
      </c>
    </row>
    <row r="54" spans="1:10">
      <c r="B54" s="18" t="s">
        <v>93</v>
      </c>
      <c r="C54" s="19"/>
      <c r="D54" s="19">
        <f>SUM(Pets23354759718395[Actual Cost])</f>
        <v>0</v>
      </c>
      <c r="E54" s="19">
        <f>SUM(Pets23354759718395[Actual Cost])</f>
        <v>0</v>
      </c>
      <c r="G54" s="16" t="s">
        <v>78</v>
      </c>
      <c r="H54" s="17"/>
      <c r="I54" s="17"/>
      <c r="J54" s="17">
        <f>Legal24364860728496[[#This Row],[Projected Cost]]-Legal24364860728496[[#This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Legal24364860728496[[#This Row],[Projected Cost]]-Legal24364860728496[[#This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Legal24364860728496[[#This Row],[Projected Cost]]-Legal24364860728496[[#This Row],[Actual Cost]]</f>
        <v>0</v>
      </c>
    </row>
    <row r="57" spans="1:10">
      <c r="B57" s="16" t="s">
        <v>73</v>
      </c>
      <c r="C57" s="17"/>
      <c r="D57" s="17"/>
      <c r="E57" s="17">
        <f>PersonalCare25374961738597[[#This Row],[Projected Cost]]-PersonalCare25374961738597[[#This Row],[Actual Cost]]</f>
        <v>0</v>
      </c>
      <c r="G57" s="18" t="s">
        <v>93</v>
      </c>
      <c r="H57" s="19"/>
      <c r="I57" s="19">
        <f>SUM(Legal24364860728496[Actual Cost])</f>
        <v>0</v>
      </c>
      <c r="J57" s="19">
        <f>SUM(Legal24364860728496[Actual Cost])</f>
        <v>0</v>
      </c>
    </row>
    <row r="58" spans="1:10">
      <c r="B58" s="16" t="s">
        <v>82</v>
      </c>
      <c r="C58" s="17"/>
      <c r="D58" s="17"/>
      <c r="E58" s="17">
        <f>PersonalCare25374961738597[[#This Row],[Projected Cost]]-PersonalCare25374961738597[[#This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PersonalCare25374961738597[[#This Row],[Projected Cost]]-PersonalCare25374961738597[[#This Row],[Actual Cost]]</f>
        <v>0</v>
      </c>
      <c r="G59" s="69" t="s">
        <v>85</v>
      </c>
      <c r="H59" s="69"/>
      <c r="I59" s="69"/>
      <c r="J59" s="70">
        <f>SUBTOTAL(109,Housing14263850627486[Projected Cost],Transportation17294153657789[Projected Cost],Insurance18304254667890[Projected Cost],Food21334557698193[Projected Cost],Pets23354759718395[Projected Cost],PersonalCare25374961738597[Projected Cost],Entertainment15273951637587[Projected Cost],Loans16284052647688[Projected Cost],Taxes19314355677991[Projected Cost],Savings20324456688092[Projected Cost],Gifts22344658708294[Projected Cost],Legal24364860728496[Projected Cost])</f>
        <v>0</v>
      </c>
    </row>
    <row r="60" spans="1:10">
      <c r="B60" s="16" t="s">
        <v>86</v>
      </c>
      <c r="C60" s="17"/>
      <c r="D60" s="17"/>
      <c r="E60" s="17">
        <f>PersonalCare25374961738597[[#This Row],[Projected Cost]]-PersonalCare25374961738597[[#This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PersonalCare25374961738597[[#This Row],[Projected Cost]]-PersonalCare25374961738597[[#This Row],[Actual Cost]]</f>
        <v>0</v>
      </c>
      <c r="G61" s="69" t="s">
        <v>88</v>
      </c>
      <c r="H61" s="69"/>
      <c r="I61" s="69"/>
      <c r="J61" s="70">
        <f>SUBTOTAL(109,Housing14263850627486[Actual Cost],Transportation17294153657789[Actual Cost],Insurance18304254667890[Actual Cost],Food21334557698193[Actual Cost],Pets23354759718395[Actual Cost],PersonalCare25374961738597[Actual Cost],Entertainment15273951637587[Actual Cost],Loans16284052647688[Actual Cost],Taxes19314355677991[Actual Cost],Savings20324456688092[Actual Cost],Gifts22344658708294[Actual Cost],Legal24364860728496[Actual Cost])</f>
        <v>0</v>
      </c>
    </row>
    <row r="62" spans="1:10">
      <c r="B62" s="16" t="s">
        <v>89</v>
      </c>
      <c r="C62" s="17"/>
      <c r="D62" s="17"/>
      <c r="E62" s="17">
        <f>PersonalCare25374961738597[[#This Row],[Projected Cost]]-PersonalCare25374961738597[[#This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PersonalCare25374961738597[[#This Row],[Projected Cost]]-PersonalCare25374961738597[[#This Row],[Actual Cost]]</f>
        <v>0</v>
      </c>
      <c r="G63" s="69" t="s">
        <v>90</v>
      </c>
      <c r="H63" s="69"/>
      <c r="I63" s="69"/>
      <c r="J63" s="70">
        <f>J59-J61</f>
        <v>0</v>
      </c>
    </row>
    <row r="64" spans="1:10">
      <c r="B64" s="18" t="s">
        <v>93</v>
      </c>
      <c r="C64" s="19"/>
      <c r="D64" s="19">
        <f>SUM(PersonalCare25374961738597[Actual Cost])</f>
        <v>0</v>
      </c>
      <c r="E64" s="19">
        <f>SUM(PersonalCare25374961738597[Actual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G59:I60"/>
    <mergeCell ref="J59:J60"/>
    <mergeCell ref="G61:I62"/>
    <mergeCell ref="J61:J62"/>
    <mergeCell ref="G63:I64"/>
    <mergeCell ref="J63:J64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conditionalFormatting sqref="J8:J9">
    <cfRule type="cellIs" dxfId="9" priority="2" operator="lessThan">
      <formula>0</formula>
    </cfRule>
  </conditionalFormatting>
  <conditionalFormatting sqref="J63:J64">
    <cfRule type="cellIs" dxfId="8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6AA0-BD3D-704A-9B52-DCF69CC0CBD8}">
  <sheetPr>
    <tabColor theme="4"/>
    <pageSetUpPr autoPageBreaks="0" fitToPage="1"/>
  </sheetPr>
  <dimension ref="A1:J65"/>
  <sheetViews>
    <sheetView showGridLines="0" workbookViewId="0">
      <selection activeCell="E9" sqref="E9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113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/>
      <c r="G4" s="76" t="s">
        <v>10</v>
      </c>
      <c r="H4" s="77"/>
      <c r="I4" s="77"/>
      <c r="J4" s="70">
        <f>E6-J59</f>
        <v>0</v>
      </c>
    </row>
    <row r="5" spans="1:10">
      <c r="B5" s="74"/>
      <c r="C5" s="71" t="s">
        <v>11</v>
      </c>
      <c r="D5" s="72"/>
      <c r="E5" s="5"/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0</v>
      </c>
      <c r="G6" s="76" t="s">
        <v>14</v>
      </c>
      <c r="H6" s="77"/>
      <c r="I6" s="77"/>
      <c r="J6" s="70">
        <f>E10-J61</f>
        <v>0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/>
      <c r="G8" s="76" t="s">
        <v>17</v>
      </c>
      <c r="H8" s="77"/>
      <c r="I8" s="77"/>
      <c r="J8" s="70">
        <f>J6-J4</f>
        <v>0</v>
      </c>
    </row>
    <row r="9" spans="1:10">
      <c r="B9" s="74"/>
      <c r="C9" s="71" t="s">
        <v>11</v>
      </c>
      <c r="D9" s="72"/>
      <c r="E9" s="5"/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/>
      <c r="D13" s="17"/>
      <c r="E13" s="17">
        <f>Housing1426385062748698[[#This Row],[Projected Cost]]-Housing1426385062748698[[#This Row],[Actual Cost]]</f>
        <v>0</v>
      </c>
      <c r="G13" s="16" t="s">
        <v>25</v>
      </c>
      <c r="H13" s="17"/>
      <c r="I13" s="17"/>
      <c r="J13" s="17">
        <f>Entertainment1527395163758799[[#This Row],[Projected Cost]]-Entertainment1527395163758799[[#This Row],[Actual Cost]]</f>
        <v>0</v>
      </c>
    </row>
    <row r="14" spans="1:10">
      <c r="B14" s="16" t="s">
        <v>26</v>
      </c>
      <c r="C14" s="17"/>
      <c r="D14" s="17"/>
      <c r="E14" s="17">
        <f>Housing1426385062748698[[#This Row],[Projected Cost]]-Housing1426385062748698[[#This Row],[Actual Cost]]</f>
        <v>0</v>
      </c>
      <c r="G14" s="16" t="s">
        <v>27</v>
      </c>
      <c r="H14" s="17"/>
      <c r="I14" s="17"/>
      <c r="J14" s="17">
        <f>Entertainment1527395163758799[[#This Row],[Projected Cost]]-Entertainment1527395163758799[[#This Row],[Actual Cost]]</f>
        <v>0</v>
      </c>
    </row>
    <row r="15" spans="1:10">
      <c r="B15" s="16" t="s">
        <v>28</v>
      </c>
      <c r="C15" s="17"/>
      <c r="D15" s="17"/>
      <c r="E15" s="17">
        <f>Housing1426385062748698[[#This Row],[Projected Cost]]-Housing1426385062748698[[#This Row],[Actual Cost]]</f>
        <v>0</v>
      </c>
      <c r="G15" s="16" t="s">
        <v>29</v>
      </c>
      <c r="H15" s="17"/>
      <c r="I15" s="17"/>
      <c r="J15" s="17">
        <f>Entertainment1527395163758799[[#This Row],[Projected Cost]]-Entertainment1527395163758799[[#This Row],[Actual Cost]]</f>
        <v>0</v>
      </c>
    </row>
    <row r="16" spans="1:10">
      <c r="B16" s="16" t="s">
        <v>30</v>
      </c>
      <c r="C16" s="17"/>
      <c r="D16" s="17"/>
      <c r="E16" s="17">
        <f>Housing1426385062748698[[#This Row],[Projected Cost]]-Housing1426385062748698[[#This Row],[Actual Cost]]</f>
        <v>0</v>
      </c>
      <c r="G16" s="16" t="s">
        <v>31</v>
      </c>
      <c r="H16" s="17"/>
      <c r="I16" s="17"/>
      <c r="J16" s="17">
        <f>Entertainment1527395163758799[[#This Row],[Projected Cost]]-Entertainment1527395163758799[[#This Row],[Actual Cost]]</f>
        <v>0</v>
      </c>
    </row>
    <row r="17" spans="1:10">
      <c r="B17" s="16" t="s">
        <v>32</v>
      </c>
      <c r="C17" s="17"/>
      <c r="D17" s="17"/>
      <c r="E17" s="17">
        <f>Housing1426385062748698[[#This Row],[Projected Cost]]-Housing1426385062748698[[#This Row],[Actual Cost]]</f>
        <v>0</v>
      </c>
      <c r="G17" s="16" t="s">
        <v>33</v>
      </c>
      <c r="H17" s="17"/>
      <c r="I17" s="17"/>
      <c r="J17" s="17">
        <f>Entertainment1527395163758799[[#This Row],[Projected Cost]]-Entertainment1527395163758799[[#This Row],[Actual Cost]]</f>
        <v>0</v>
      </c>
    </row>
    <row r="18" spans="1:10">
      <c r="B18" s="16" t="s">
        <v>34</v>
      </c>
      <c r="C18" s="17"/>
      <c r="D18" s="17"/>
      <c r="E18" s="17">
        <f>Housing1426385062748698[[#This Row],[Projected Cost]]-Housing1426385062748698[[#This Row],[Actual Cost]]</f>
        <v>0</v>
      </c>
      <c r="G18" s="16" t="s">
        <v>35</v>
      </c>
      <c r="H18" s="17"/>
      <c r="I18" s="17"/>
      <c r="J18" s="17">
        <f>Entertainment1527395163758799[[#This Row],[Projected Cost]]-Entertainment1527395163758799[[#This Row],[Actual Cost]]</f>
        <v>0</v>
      </c>
    </row>
    <row r="19" spans="1:10">
      <c r="B19" s="16" t="s">
        <v>36</v>
      </c>
      <c r="C19" s="17"/>
      <c r="D19" s="17"/>
      <c r="E19" s="17">
        <f>Housing1426385062748698[[#This Row],[Projected Cost]]-Housing1426385062748698[[#This Row],[Actual Cost]]</f>
        <v>0</v>
      </c>
      <c r="G19" s="16" t="s">
        <v>37</v>
      </c>
      <c r="H19" s="17"/>
      <c r="I19" s="17"/>
      <c r="J19" s="17">
        <f>Entertainment1527395163758799[[#This Row],[Projected Cost]]-Entertainment1527395163758799[[#This Row],[Actual Cost]]</f>
        <v>0</v>
      </c>
    </row>
    <row r="20" spans="1:10">
      <c r="B20" s="16" t="s">
        <v>38</v>
      </c>
      <c r="C20" s="17"/>
      <c r="D20" s="17"/>
      <c r="E20" s="17">
        <f>Housing1426385062748698[[#This Row],[Projected Cost]]-Housing1426385062748698[[#This Row],[Actual Cost]]</f>
        <v>0</v>
      </c>
      <c r="G20" s="16" t="s">
        <v>37</v>
      </c>
      <c r="H20" s="17"/>
      <c r="I20" s="17"/>
      <c r="J20" s="17">
        <f>Entertainment1527395163758799[[#This Row],[Projected Cost]]-Entertainment1527395163758799[[#This Row],[Actual Cost]]</f>
        <v>0</v>
      </c>
    </row>
    <row r="21" spans="1:10">
      <c r="B21" s="16" t="s">
        <v>39</v>
      </c>
      <c r="C21" s="17"/>
      <c r="D21" s="17"/>
      <c r="E21" s="17">
        <f>Housing1426385062748698[[#This Row],[Projected Cost]]-Housing1426385062748698[[#This Row],[Actual Cost]]</f>
        <v>0</v>
      </c>
      <c r="G21" s="16" t="s">
        <v>37</v>
      </c>
      <c r="H21" s="17"/>
      <c r="I21" s="17"/>
      <c r="J21" s="17">
        <f>Entertainment1527395163758799[[#This Row],[Projected Cost]]-Entertainment1527395163758799[[#This Row],[Actual Cost]]</f>
        <v>0</v>
      </c>
    </row>
    <row r="22" spans="1:10">
      <c r="B22" s="16" t="s">
        <v>37</v>
      </c>
      <c r="C22" s="17"/>
      <c r="D22" s="17"/>
      <c r="E22" s="17">
        <f>Housing1426385062748698[[#This Row],[Projected Cost]]-Housing1426385062748698[[#This Row],[Actual Cost]]</f>
        <v>0</v>
      </c>
      <c r="G22" s="18" t="s">
        <v>93</v>
      </c>
      <c r="H22" s="19"/>
      <c r="I22" s="19">
        <f>SUM(Entertainment1527395163758799[Actual Cost])</f>
        <v>0</v>
      </c>
      <c r="J22" s="19">
        <f>SUM(Entertainment1527395163758799[Actual Cost])</f>
        <v>0</v>
      </c>
    </row>
    <row r="23" spans="1:10">
      <c r="B23" s="18" t="s">
        <v>93</v>
      </c>
      <c r="C23" s="19"/>
      <c r="D23" s="19">
        <f>SUM(D13:D22)</f>
        <v>0</v>
      </c>
      <c r="E23" s="19">
        <f>SUM(E13:E22)</f>
        <v>0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Loans16284052647688100[[#This Row],[Projected Cost]]-Loans16284052647688100[[#This Row],[Actual Cost]]</f>
        <v>0</v>
      </c>
    </row>
    <row r="26" spans="1:10">
      <c r="B26" s="16" t="s">
        <v>44</v>
      </c>
      <c r="C26" s="17"/>
      <c r="D26" s="17"/>
      <c r="E26" s="17">
        <f>Transportation17294153657789101[[#This Row],[Projected Cost]]-Transportation17294153657789101[[#This Row],[Actual Cost]]</f>
        <v>0</v>
      </c>
      <c r="G26" s="16" t="s">
        <v>45</v>
      </c>
      <c r="H26" s="17"/>
      <c r="I26" s="17"/>
      <c r="J26" s="17">
        <f>Loans16284052647688100[[#This Row],[Projected Cost]]-Loans16284052647688100[[#This Row],[Actual Cost]]</f>
        <v>0</v>
      </c>
    </row>
    <row r="27" spans="1:10">
      <c r="B27" s="16" t="s">
        <v>46</v>
      </c>
      <c r="C27" s="17"/>
      <c r="D27" s="17"/>
      <c r="E27" s="17">
        <f>Transportation17294153657789101[[#This Row],[Projected Cost]]-Transportation17294153657789101[[#This Row],[Actual Cost]]</f>
        <v>0</v>
      </c>
      <c r="G27" s="16" t="s">
        <v>47</v>
      </c>
      <c r="H27" s="17"/>
      <c r="I27" s="17"/>
      <c r="J27" s="17">
        <f>Loans16284052647688100[[#This Row],[Projected Cost]]-Loans16284052647688100[[#This Row],[Actual Cost]]</f>
        <v>0</v>
      </c>
    </row>
    <row r="28" spans="1:10">
      <c r="B28" s="16" t="s">
        <v>48</v>
      </c>
      <c r="C28" s="17"/>
      <c r="D28" s="17"/>
      <c r="E28" s="17">
        <f>Transportation17294153657789101[[#This Row],[Projected Cost]]-Transportation17294153657789101[[#This Row],[Actual Cost]]</f>
        <v>0</v>
      </c>
      <c r="G28" s="16" t="s">
        <v>47</v>
      </c>
      <c r="H28" s="17"/>
      <c r="I28" s="17"/>
      <c r="J28" s="17">
        <f>Loans16284052647688100[[#This Row],[Projected Cost]]-Loans16284052647688100[[#This Row],[Actual Cost]]</f>
        <v>0</v>
      </c>
    </row>
    <row r="29" spans="1:10">
      <c r="B29" s="16" t="s">
        <v>49</v>
      </c>
      <c r="C29" s="17"/>
      <c r="D29" s="17"/>
      <c r="E29" s="17">
        <f>Transportation17294153657789101[[#This Row],[Projected Cost]]-Transportation17294153657789101[[#This Row],[Actual Cost]]</f>
        <v>0</v>
      </c>
      <c r="G29" s="16" t="s">
        <v>47</v>
      </c>
      <c r="H29" s="17"/>
      <c r="I29" s="17"/>
      <c r="J29" s="17">
        <f>Loans16284052647688100[[#This Row],[Projected Cost]]-Loans16284052647688100[[#This Row],[Actual Cost]]</f>
        <v>0</v>
      </c>
    </row>
    <row r="30" spans="1:10">
      <c r="B30" s="16" t="s">
        <v>50</v>
      </c>
      <c r="C30" s="17"/>
      <c r="D30" s="17"/>
      <c r="E30" s="17">
        <f>Transportation17294153657789101[[#This Row],[Projected Cost]]-Transportation17294153657789101[[#This Row],[Actual Cost]]</f>
        <v>0</v>
      </c>
      <c r="G30" s="16" t="s">
        <v>37</v>
      </c>
      <c r="H30" s="17"/>
      <c r="I30" s="17"/>
      <c r="J30" s="17">
        <f>Loans16284052647688100[[#This Row],[Projected Cost]]-Loans16284052647688100[[#This Row],[Actual Cost]]</f>
        <v>0</v>
      </c>
    </row>
    <row r="31" spans="1:10">
      <c r="B31" s="16" t="s">
        <v>38</v>
      </c>
      <c r="C31" s="17"/>
      <c r="D31" s="17"/>
      <c r="E31" s="17">
        <f>Transportation17294153657789101[[#This Row],[Projected Cost]]-Transportation17294153657789101[[#This Row],[Actual Cost]]</f>
        <v>0</v>
      </c>
      <c r="G31" s="18" t="s">
        <v>93</v>
      </c>
      <c r="H31" s="19"/>
      <c r="I31" s="19">
        <f>SUM(Loans16284052647688100[Actual Cost])</f>
        <v>0</v>
      </c>
      <c r="J31" s="19">
        <f>SUM(Loans16284052647688100[Actual Cost])</f>
        <v>0</v>
      </c>
    </row>
    <row r="32" spans="1:10">
      <c r="B32" s="16" t="s">
        <v>37</v>
      </c>
      <c r="C32" s="17"/>
      <c r="D32" s="17"/>
      <c r="E32" s="17">
        <f>Transportation17294153657789101[[#This Row],[Projected Cost]]-Transportation17294153657789101[[#This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SUM(Transportation17294153657789101[Actual Cost])</f>
        <v>0</v>
      </c>
      <c r="E33" s="19">
        <f>SUM(Transportation17294153657789101[Actual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Taxes19314355677991103[[#This Row],[Projected Cost]]-Taxes19314355677991103[[#This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Taxes19314355677991103[[#This Row],[Projected Cost]]-Taxes19314355677991103[[#This Row],[Actual Cost]]</f>
        <v>0</v>
      </c>
    </row>
    <row r="36" spans="1:10">
      <c r="B36" s="16" t="s">
        <v>94</v>
      </c>
      <c r="C36" s="17"/>
      <c r="D36" s="17"/>
      <c r="E36" s="17">
        <f>Insurance18304254667890102[[#This Row],[Projected Cost]]-Insurance18304254667890102[[#This Row],[Actual Cost]]</f>
        <v>0</v>
      </c>
      <c r="G36" s="16" t="s">
        <v>56</v>
      </c>
      <c r="H36" s="17"/>
      <c r="I36" s="17"/>
      <c r="J36" s="17">
        <f>Taxes19314355677991103[[#This Row],[Projected Cost]]-Taxes19314355677991103[[#This Row],[Actual Cost]]</f>
        <v>0</v>
      </c>
    </row>
    <row r="37" spans="1:10">
      <c r="B37" s="16" t="s">
        <v>57</v>
      </c>
      <c r="C37" s="17"/>
      <c r="D37" s="17"/>
      <c r="E37" s="17">
        <f>Insurance18304254667890102[[#This Row],[Projected Cost]]-Insurance18304254667890102[[#This Row],[Actual Cost]]</f>
        <v>0</v>
      </c>
      <c r="G37" s="16" t="s">
        <v>37</v>
      </c>
      <c r="H37" s="17"/>
      <c r="I37" s="17"/>
      <c r="J37" s="17">
        <f>Taxes19314355677991103[[#This Row],[Projected Cost]]-Taxes19314355677991103[[#This Row],[Actual Cost]]</f>
        <v>0</v>
      </c>
    </row>
    <row r="38" spans="1:10">
      <c r="B38" s="16" t="s">
        <v>58</v>
      </c>
      <c r="C38" s="17"/>
      <c r="D38" s="17"/>
      <c r="E38" s="17">
        <f>Insurance18304254667890102[[#This Row],[Projected Cost]]-Insurance18304254667890102[[#This Row],[Actual Cost]]</f>
        <v>0</v>
      </c>
      <c r="G38" s="18" t="s">
        <v>93</v>
      </c>
      <c r="H38" s="19"/>
      <c r="I38" s="19">
        <f>SUM(Taxes19314355677991103[Actual Cost])</f>
        <v>0</v>
      </c>
      <c r="J38" s="19">
        <f>SUM(Taxes19314355677991103[Actual Cost])</f>
        <v>0</v>
      </c>
    </row>
    <row r="39" spans="1:10">
      <c r="B39" s="16" t="s">
        <v>37</v>
      </c>
      <c r="C39" s="17"/>
      <c r="D39" s="17"/>
      <c r="E39" s="17">
        <f>Insurance18304254667890102[[#This Row],[Projected Cost]]-Insurance18304254667890102[[#This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SUM(Insurance18304254667890102[Actual Cost])</f>
        <v>0</v>
      </c>
      <c r="E40" s="19">
        <f>SUM(Insurance18304254667890102[Actual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Savings20324456688092104[[#This Row],[Projected Cost]]-Savings20324456688092104[[#This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Savings20324456688092104[[#This Row],[Projected Cost]]-Savings20324456688092104[[#This Row],[Actual Cost]]</f>
        <v>0</v>
      </c>
    </row>
    <row r="43" spans="1:10">
      <c r="B43" s="16" t="s">
        <v>64</v>
      </c>
      <c r="C43" s="17"/>
      <c r="D43" s="17"/>
      <c r="E43" s="17">
        <f>Food21334557698193105[[#This Row],[Projected Cost]]-Food21334557698193105[[#This Row],[Actual Cost]]</f>
        <v>0</v>
      </c>
      <c r="G43" s="16" t="s">
        <v>37</v>
      </c>
      <c r="H43" s="17"/>
      <c r="I43" s="17"/>
      <c r="J43" s="17">
        <f>Savings20324456688092104[[#This Row],[Projected Cost]]-Savings20324456688092104[[#This Row],[Actual Cost]]</f>
        <v>0</v>
      </c>
    </row>
    <row r="44" spans="1:10">
      <c r="B44" s="16" t="s">
        <v>65</v>
      </c>
      <c r="C44" s="17"/>
      <c r="D44" s="17"/>
      <c r="E44" s="17">
        <f>Food21334557698193105[[#This Row],[Projected Cost]]-Food21334557698193105[[#This Row],[Actual Cost]]</f>
        <v>0</v>
      </c>
      <c r="G44" s="18" t="s">
        <v>93</v>
      </c>
      <c r="H44" s="19"/>
      <c r="I44" s="19">
        <f>SUM(Savings20324456688092104[Actual Cost])</f>
        <v>0</v>
      </c>
      <c r="J44" s="19">
        <f>SUM(Savings20324456688092104[Actual Cost])</f>
        <v>0</v>
      </c>
    </row>
    <row r="45" spans="1:10">
      <c r="B45" s="16" t="s">
        <v>37</v>
      </c>
      <c r="C45" s="17"/>
      <c r="D45" s="17"/>
      <c r="E45" s="17">
        <f>Food21334557698193105[[#This Row],[Projected Cost]]-Food21334557698193105[[#This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SUM(Food21334557698193105[Actual Cost])</f>
        <v>0</v>
      </c>
      <c r="E46" s="19">
        <f>SUM(Food21334557698193105[Actual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Gifts22344658708294106[[#This Row],[Projected Cost]]-Gifts22344658708294106[[#This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Gifts22344658708294106[[#This Row],[Projected Cost]]-Gifts22344658708294106[[#This Row],[Actual Cost]]</f>
        <v>0</v>
      </c>
    </row>
    <row r="49" spans="1:10">
      <c r="B49" s="16" t="s">
        <v>71</v>
      </c>
      <c r="C49" s="17"/>
      <c r="D49" s="17"/>
      <c r="E49" s="17">
        <f>Pets23354759718395107[[#This Row],[Projected Cost]]-Pets23354759718395107[[#This Row],[Actual Cost]]</f>
        <v>0</v>
      </c>
      <c r="G49" s="16" t="s">
        <v>72</v>
      </c>
      <c r="H49" s="17"/>
      <c r="I49" s="17"/>
      <c r="J49" s="17">
        <f>Gifts22344658708294106[[#This Row],[Projected Cost]]-Gifts22344658708294106[[#This Row],[Actual Cost]]</f>
        <v>0</v>
      </c>
    </row>
    <row r="50" spans="1:10">
      <c r="B50" s="16" t="s">
        <v>73</v>
      </c>
      <c r="C50" s="17"/>
      <c r="D50" s="17"/>
      <c r="E50" s="17">
        <f>Pets23354759718395107[[#This Row],[Projected Cost]]-Pets23354759718395107[[#This Row],[Actual Cost]]</f>
        <v>0</v>
      </c>
      <c r="G50" s="18" t="s">
        <v>93</v>
      </c>
      <c r="H50" s="19"/>
      <c r="I50" s="19">
        <f>SUM(Gifts22344658708294106[Actual Cost])</f>
        <v>0</v>
      </c>
      <c r="J50" s="19">
        <f>SUM(Gifts22344658708294106[Actual Cost])</f>
        <v>0</v>
      </c>
    </row>
    <row r="51" spans="1:10">
      <c r="B51" s="16" t="s">
        <v>74</v>
      </c>
      <c r="C51" s="17"/>
      <c r="D51" s="17"/>
      <c r="E51" s="17">
        <f>Pets23354759718395107[[#This Row],[Projected Cost]]-Pets23354759718395107[[#This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Pets23354759718395107[[#This Row],[Projected Cost]]-Pets23354759718395107[[#This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Pets23354759718395107[[#This Row],[Projected Cost]]-Pets23354759718395107[[#This Row],[Actual Cost]]</f>
        <v>0</v>
      </c>
      <c r="G53" s="16" t="s">
        <v>77</v>
      </c>
      <c r="H53" s="17"/>
      <c r="I53" s="17"/>
      <c r="J53" s="17">
        <f>Legal24364860728496108[[#This Row],[Projected Cost]]-Legal24364860728496108[[#This Row],[Actual Cost]]</f>
        <v>0</v>
      </c>
    </row>
    <row r="54" spans="1:10">
      <c r="B54" s="18" t="s">
        <v>93</v>
      </c>
      <c r="C54" s="19"/>
      <c r="D54" s="19">
        <f>SUM(Pets23354759718395107[Actual Cost])</f>
        <v>0</v>
      </c>
      <c r="E54" s="19">
        <f>SUM(Pets23354759718395107[Actual Cost])</f>
        <v>0</v>
      </c>
      <c r="G54" s="16" t="s">
        <v>78</v>
      </c>
      <c r="H54" s="17"/>
      <c r="I54" s="17"/>
      <c r="J54" s="17">
        <f>Legal24364860728496108[[#This Row],[Projected Cost]]-Legal24364860728496108[[#This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Legal24364860728496108[[#This Row],[Projected Cost]]-Legal24364860728496108[[#This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Legal24364860728496108[[#This Row],[Projected Cost]]-Legal24364860728496108[[#This Row],[Actual Cost]]</f>
        <v>0</v>
      </c>
    </row>
    <row r="57" spans="1:10">
      <c r="B57" s="16" t="s">
        <v>73</v>
      </c>
      <c r="C57" s="17"/>
      <c r="D57" s="17"/>
      <c r="E57" s="17">
        <f>PersonalCare25374961738597109[[#This Row],[Projected Cost]]-PersonalCare25374961738597109[[#This Row],[Actual Cost]]</f>
        <v>0</v>
      </c>
      <c r="G57" s="18" t="s">
        <v>93</v>
      </c>
      <c r="H57" s="19"/>
      <c r="I57" s="19">
        <f>SUM(Legal24364860728496108[Actual Cost])</f>
        <v>0</v>
      </c>
      <c r="J57" s="19">
        <f>SUM(Legal24364860728496108[Actual Cost])</f>
        <v>0</v>
      </c>
    </row>
    <row r="58" spans="1:10">
      <c r="B58" s="16" t="s">
        <v>82</v>
      </c>
      <c r="C58" s="17"/>
      <c r="D58" s="17"/>
      <c r="E58" s="17">
        <f>PersonalCare25374961738597109[[#This Row],[Projected Cost]]-PersonalCare25374961738597109[[#This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PersonalCare25374961738597109[[#This Row],[Projected Cost]]-PersonalCare25374961738597109[[#This Row],[Actual Cost]]</f>
        <v>0</v>
      </c>
      <c r="G59" s="69" t="s">
        <v>85</v>
      </c>
      <c r="H59" s="69"/>
      <c r="I59" s="69"/>
      <c r="J59" s="70">
        <f>SUBTOTAL(109,Housing1426385062748698[Projected Cost],Transportation17294153657789101[Projected Cost],Insurance18304254667890102[Projected Cost],Food21334557698193105[Projected Cost],Pets23354759718395107[Projected Cost],PersonalCare25374961738597109[Projected Cost],Entertainment1527395163758799[Projected Cost],Loans16284052647688100[Projected Cost],Taxes19314355677991103[Projected Cost],Savings20324456688092104[Projected Cost],Gifts22344658708294106[Projected Cost],Legal24364860728496108[Projected Cost])</f>
        <v>0</v>
      </c>
    </row>
    <row r="60" spans="1:10">
      <c r="B60" s="16" t="s">
        <v>86</v>
      </c>
      <c r="C60" s="17"/>
      <c r="D60" s="17"/>
      <c r="E60" s="17">
        <f>PersonalCare25374961738597109[[#This Row],[Projected Cost]]-PersonalCare25374961738597109[[#This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PersonalCare25374961738597109[[#This Row],[Projected Cost]]-PersonalCare25374961738597109[[#This Row],[Actual Cost]]</f>
        <v>0</v>
      </c>
      <c r="G61" s="69" t="s">
        <v>88</v>
      </c>
      <c r="H61" s="69"/>
      <c r="I61" s="69"/>
      <c r="J61" s="70">
        <f>SUBTOTAL(109,Housing1426385062748698[Actual Cost],Transportation17294153657789101[Actual Cost],Insurance18304254667890102[Actual Cost],Food21334557698193105[Actual Cost],Pets23354759718395107[Actual Cost],PersonalCare25374961738597109[Actual Cost],Entertainment1527395163758799[Actual Cost],Loans16284052647688100[Actual Cost],Taxes19314355677991103[Actual Cost],Savings20324456688092104[Actual Cost],Gifts22344658708294106[Actual Cost],Legal24364860728496108[Actual Cost])</f>
        <v>0</v>
      </c>
    </row>
    <row r="62" spans="1:10">
      <c r="B62" s="16" t="s">
        <v>89</v>
      </c>
      <c r="C62" s="17"/>
      <c r="D62" s="17"/>
      <c r="E62" s="17">
        <f>PersonalCare25374961738597109[[#This Row],[Projected Cost]]-PersonalCare25374961738597109[[#This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PersonalCare25374961738597109[[#This Row],[Projected Cost]]-PersonalCare25374961738597109[[#This Row],[Actual Cost]]</f>
        <v>0</v>
      </c>
      <c r="G63" s="69" t="s">
        <v>90</v>
      </c>
      <c r="H63" s="69"/>
      <c r="I63" s="69"/>
      <c r="J63" s="70">
        <f>J59-J61</f>
        <v>0</v>
      </c>
    </row>
    <row r="64" spans="1:10">
      <c r="B64" s="18" t="s">
        <v>93</v>
      </c>
      <c r="C64" s="19"/>
      <c r="D64" s="19">
        <f>SUM(PersonalCare25374961738597109[Actual Cost])</f>
        <v>0</v>
      </c>
      <c r="E64" s="19">
        <f>SUM(PersonalCare25374961738597109[Actual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G59:I60"/>
    <mergeCell ref="J59:J60"/>
    <mergeCell ref="G61:I62"/>
    <mergeCell ref="J61:J62"/>
    <mergeCell ref="G63:I64"/>
    <mergeCell ref="J63:J64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conditionalFormatting sqref="J8:J9">
    <cfRule type="cellIs" dxfId="7" priority="2" operator="lessThan">
      <formula>0</formula>
    </cfRule>
  </conditionalFormatting>
  <conditionalFormatting sqref="J63:J64">
    <cfRule type="cellIs" dxfId="6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F8D7-6F3A-374A-B630-245B516A8A48}">
  <sheetPr>
    <tabColor theme="4"/>
    <pageSetUpPr autoPageBreaks="0" fitToPage="1"/>
  </sheetPr>
  <dimension ref="A1:J65"/>
  <sheetViews>
    <sheetView showGridLines="0" workbookViewId="0">
      <selection activeCell="E10" sqref="E10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112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/>
      <c r="G4" s="76" t="s">
        <v>10</v>
      </c>
      <c r="H4" s="77"/>
      <c r="I4" s="77"/>
      <c r="J4" s="70">
        <f>E6-J59</f>
        <v>0</v>
      </c>
    </row>
    <row r="5" spans="1:10">
      <c r="B5" s="74"/>
      <c r="C5" s="71" t="s">
        <v>11</v>
      </c>
      <c r="D5" s="72"/>
      <c r="E5" s="5"/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0</v>
      </c>
      <c r="G6" s="76" t="s">
        <v>14</v>
      </c>
      <c r="H6" s="77"/>
      <c r="I6" s="77"/>
      <c r="J6" s="70">
        <f>E10-J61</f>
        <v>0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/>
      <c r="G8" s="76" t="s">
        <v>17</v>
      </c>
      <c r="H8" s="77"/>
      <c r="I8" s="77"/>
      <c r="J8" s="70">
        <f>J6-J4</f>
        <v>0</v>
      </c>
    </row>
    <row r="9" spans="1:10">
      <c r="B9" s="74"/>
      <c r="C9" s="71" t="s">
        <v>11</v>
      </c>
      <c r="D9" s="72"/>
      <c r="E9" s="5"/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/>
      <c r="D13" s="17"/>
      <c r="E13" s="17">
        <f>Housing1426385062748698110[[#This Row],[Projected Cost]]-Housing1426385062748698110[[#This Row],[Actual Cost]]</f>
        <v>0</v>
      </c>
      <c r="G13" s="16" t="s">
        <v>25</v>
      </c>
      <c r="H13" s="17"/>
      <c r="I13" s="17"/>
      <c r="J13" s="17">
        <f>Entertainment1527395163758799111[[#This Row],[Projected Cost]]-Entertainment1527395163758799111[[#This Row],[Actual Cost]]</f>
        <v>0</v>
      </c>
    </row>
    <row r="14" spans="1:10">
      <c r="B14" s="16" t="s">
        <v>26</v>
      </c>
      <c r="C14" s="17"/>
      <c r="D14" s="17"/>
      <c r="E14" s="17">
        <f>Housing1426385062748698110[[#This Row],[Projected Cost]]-Housing1426385062748698110[[#This Row],[Actual Cost]]</f>
        <v>0</v>
      </c>
      <c r="G14" s="16" t="s">
        <v>27</v>
      </c>
      <c r="H14" s="17"/>
      <c r="I14" s="17"/>
      <c r="J14" s="17">
        <f>Entertainment1527395163758799111[[#This Row],[Projected Cost]]-Entertainment1527395163758799111[[#This Row],[Actual Cost]]</f>
        <v>0</v>
      </c>
    </row>
    <row r="15" spans="1:10">
      <c r="B15" s="16" t="s">
        <v>28</v>
      </c>
      <c r="C15" s="17"/>
      <c r="D15" s="17"/>
      <c r="E15" s="17">
        <f>Housing1426385062748698110[[#This Row],[Projected Cost]]-Housing1426385062748698110[[#This Row],[Actual Cost]]</f>
        <v>0</v>
      </c>
      <c r="G15" s="16" t="s">
        <v>29</v>
      </c>
      <c r="H15" s="17"/>
      <c r="I15" s="17"/>
      <c r="J15" s="17">
        <f>Entertainment1527395163758799111[[#This Row],[Projected Cost]]-Entertainment1527395163758799111[[#This Row],[Actual Cost]]</f>
        <v>0</v>
      </c>
    </row>
    <row r="16" spans="1:10">
      <c r="B16" s="16" t="s">
        <v>30</v>
      </c>
      <c r="C16" s="17"/>
      <c r="D16" s="17"/>
      <c r="E16" s="17">
        <f>Housing1426385062748698110[[#This Row],[Projected Cost]]-Housing1426385062748698110[[#This Row],[Actual Cost]]</f>
        <v>0</v>
      </c>
      <c r="G16" s="16" t="s">
        <v>31</v>
      </c>
      <c r="H16" s="17"/>
      <c r="I16" s="17"/>
      <c r="J16" s="17">
        <f>Entertainment1527395163758799111[[#This Row],[Projected Cost]]-Entertainment1527395163758799111[[#This Row],[Actual Cost]]</f>
        <v>0</v>
      </c>
    </row>
    <row r="17" spans="1:10">
      <c r="B17" s="16" t="s">
        <v>32</v>
      </c>
      <c r="C17" s="17"/>
      <c r="D17" s="17"/>
      <c r="E17" s="17">
        <f>Housing1426385062748698110[[#This Row],[Projected Cost]]-Housing1426385062748698110[[#This Row],[Actual Cost]]</f>
        <v>0</v>
      </c>
      <c r="G17" s="16" t="s">
        <v>33</v>
      </c>
      <c r="H17" s="17"/>
      <c r="I17" s="17"/>
      <c r="J17" s="17">
        <f>Entertainment1527395163758799111[[#This Row],[Projected Cost]]-Entertainment1527395163758799111[[#This Row],[Actual Cost]]</f>
        <v>0</v>
      </c>
    </row>
    <row r="18" spans="1:10">
      <c r="B18" s="16" t="s">
        <v>34</v>
      </c>
      <c r="C18" s="17"/>
      <c r="D18" s="17"/>
      <c r="E18" s="17">
        <f>Housing1426385062748698110[[#This Row],[Projected Cost]]-Housing1426385062748698110[[#This Row],[Actual Cost]]</f>
        <v>0</v>
      </c>
      <c r="G18" s="16" t="s">
        <v>35</v>
      </c>
      <c r="H18" s="17"/>
      <c r="I18" s="17"/>
      <c r="J18" s="17">
        <f>Entertainment1527395163758799111[[#This Row],[Projected Cost]]-Entertainment1527395163758799111[[#This Row],[Actual Cost]]</f>
        <v>0</v>
      </c>
    </row>
    <row r="19" spans="1:10">
      <c r="B19" s="16" t="s">
        <v>36</v>
      </c>
      <c r="C19" s="17"/>
      <c r="D19" s="17"/>
      <c r="E19" s="17">
        <f>Housing1426385062748698110[[#This Row],[Projected Cost]]-Housing1426385062748698110[[#This Row],[Actual Cost]]</f>
        <v>0</v>
      </c>
      <c r="G19" s="16" t="s">
        <v>37</v>
      </c>
      <c r="H19" s="17"/>
      <c r="I19" s="17"/>
      <c r="J19" s="17">
        <f>Entertainment1527395163758799111[[#This Row],[Projected Cost]]-Entertainment1527395163758799111[[#This Row],[Actual Cost]]</f>
        <v>0</v>
      </c>
    </row>
    <row r="20" spans="1:10">
      <c r="B20" s="16" t="s">
        <v>38</v>
      </c>
      <c r="C20" s="17"/>
      <c r="D20" s="17"/>
      <c r="E20" s="17">
        <f>Housing1426385062748698110[[#This Row],[Projected Cost]]-Housing1426385062748698110[[#This Row],[Actual Cost]]</f>
        <v>0</v>
      </c>
      <c r="G20" s="16" t="s">
        <v>37</v>
      </c>
      <c r="H20" s="17"/>
      <c r="I20" s="17"/>
      <c r="J20" s="17">
        <f>Entertainment1527395163758799111[[#This Row],[Projected Cost]]-Entertainment1527395163758799111[[#This Row],[Actual Cost]]</f>
        <v>0</v>
      </c>
    </row>
    <row r="21" spans="1:10">
      <c r="B21" s="16" t="s">
        <v>39</v>
      </c>
      <c r="C21" s="17"/>
      <c r="D21" s="17"/>
      <c r="E21" s="17">
        <f>Housing1426385062748698110[[#This Row],[Projected Cost]]-Housing1426385062748698110[[#This Row],[Actual Cost]]</f>
        <v>0</v>
      </c>
      <c r="G21" s="16" t="s">
        <v>37</v>
      </c>
      <c r="H21" s="17"/>
      <c r="I21" s="17"/>
      <c r="J21" s="17">
        <f>Entertainment1527395163758799111[[#This Row],[Projected Cost]]-Entertainment1527395163758799111[[#This Row],[Actual Cost]]</f>
        <v>0</v>
      </c>
    </row>
    <row r="22" spans="1:10">
      <c r="B22" s="16" t="s">
        <v>37</v>
      </c>
      <c r="C22" s="17"/>
      <c r="D22" s="17"/>
      <c r="E22" s="17">
        <f>Housing1426385062748698110[[#This Row],[Projected Cost]]-Housing1426385062748698110[[#This Row],[Actual Cost]]</f>
        <v>0</v>
      </c>
      <c r="G22" s="18" t="s">
        <v>93</v>
      </c>
      <c r="H22" s="19"/>
      <c r="I22" s="19">
        <f>SUM(Entertainment1527395163758799111[Actual Cost])</f>
        <v>0</v>
      </c>
      <c r="J22" s="19">
        <f>SUM(Entertainment1527395163758799111[Actual Cost])</f>
        <v>0</v>
      </c>
    </row>
    <row r="23" spans="1:10">
      <c r="B23" s="18" t="s">
        <v>93</v>
      </c>
      <c r="C23" s="19"/>
      <c r="D23" s="19">
        <f>SUM(D13:D22)</f>
        <v>0</v>
      </c>
      <c r="E23" s="19">
        <f>SUM(E13:E22)</f>
        <v>0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Loans16284052647688100112[[#This Row],[Projected Cost]]-Loans16284052647688100112[[#This Row],[Actual Cost]]</f>
        <v>0</v>
      </c>
    </row>
    <row r="26" spans="1:10">
      <c r="B26" s="16" t="s">
        <v>44</v>
      </c>
      <c r="C26" s="17"/>
      <c r="D26" s="17"/>
      <c r="E26" s="17">
        <f>Transportation17294153657789101113[[#This Row],[Projected Cost]]-Transportation17294153657789101113[[#This Row],[Actual Cost]]</f>
        <v>0</v>
      </c>
      <c r="G26" s="16" t="s">
        <v>45</v>
      </c>
      <c r="H26" s="17"/>
      <c r="I26" s="17"/>
      <c r="J26" s="17">
        <f>Loans16284052647688100112[[#This Row],[Projected Cost]]-Loans16284052647688100112[[#This Row],[Actual Cost]]</f>
        <v>0</v>
      </c>
    </row>
    <row r="27" spans="1:10">
      <c r="B27" s="16" t="s">
        <v>46</v>
      </c>
      <c r="C27" s="17"/>
      <c r="D27" s="17"/>
      <c r="E27" s="17">
        <f>Transportation17294153657789101113[[#This Row],[Projected Cost]]-Transportation17294153657789101113[[#This Row],[Actual Cost]]</f>
        <v>0</v>
      </c>
      <c r="G27" s="16" t="s">
        <v>47</v>
      </c>
      <c r="H27" s="17"/>
      <c r="I27" s="17"/>
      <c r="J27" s="17">
        <f>Loans16284052647688100112[[#This Row],[Projected Cost]]-Loans16284052647688100112[[#This Row],[Actual Cost]]</f>
        <v>0</v>
      </c>
    </row>
    <row r="28" spans="1:10">
      <c r="B28" s="16" t="s">
        <v>48</v>
      </c>
      <c r="C28" s="17"/>
      <c r="D28" s="17"/>
      <c r="E28" s="17">
        <f>Transportation17294153657789101113[[#This Row],[Projected Cost]]-Transportation17294153657789101113[[#This Row],[Actual Cost]]</f>
        <v>0</v>
      </c>
      <c r="G28" s="16" t="s">
        <v>47</v>
      </c>
      <c r="H28" s="17"/>
      <c r="I28" s="17"/>
      <c r="J28" s="17">
        <f>Loans16284052647688100112[[#This Row],[Projected Cost]]-Loans16284052647688100112[[#This Row],[Actual Cost]]</f>
        <v>0</v>
      </c>
    </row>
    <row r="29" spans="1:10">
      <c r="B29" s="16" t="s">
        <v>49</v>
      </c>
      <c r="C29" s="17"/>
      <c r="D29" s="17"/>
      <c r="E29" s="17">
        <f>Transportation17294153657789101113[[#This Row],[Projected Cost]]-Transportation17294153657789101113[[#This Row],[Actual Cost]]</f>
        <v>0</v>
      </c>
      <c r="G29" s="16" t="s">
        <v>47</v>
      </c>
      <c r="H29" s="17"/>
      <c r="I29" s="17"/>
      <c r="J29" s="17">
        <f>Loans16284052647688100112[[#This Row],[Projected Cost]]-Loans16284052647688100112[[#This Row],[Actual Cost]]</f>
        <v>0</v>
      </c>
    </row>
    <row r="30" spans="1:10">
      <c r="B30" s="16" t="s">
        <v>50</v>
      </c>
      <c r="C30" s="17"/>
      <c r="D30" s="17"/>
      <c r="E30" s="17">
        <f>Transportation17294153657789101113[[#This Row],[Projected Cost]]-Transportation17294153657789101113[[#This Row],[Actual Cost]]</f>
        <v>0</v>
      </c>
      <c r="G30" s="16" t="s">
        <v>37</v>
      </c>
      <c r="H30" s="17"/>
      <c r="I30" s="17"/>
      <c r="J30" s="17">
        <f>Loans16284052647688100112[[#This Row],[Projected Cost]]-Loans16284052647688100112[[#This Row],[Actual Cost]]</f>
        <v>0</v>
      </c>
    </row>
    <row r="31" spans="1:10">
      <c r="B31" s="16" t="s">
        <v>38</v>
      </c>
      <c r="C31" s="17"/>
      <c r="D31" s="17"/>
      <c r="E31" s="17">
        <f>Transportation17294153657789101113[[#This Row],[Projected Cost]]-Transportation17294153657789101113[[#This Row],[Actual Cost]]</f>
        <v>0</v>
      </c>
      <c r="G31" s="18" t="s">
        <v>93</v>
      </c>
      <c r="H31" s="19"/>
      <c r="I31" s="19">
        <f>SUM(Loans16284052647688100112[Actual Cost])</f>
        <v>0</v>
      </c>
      <c r="J31" s="19">
        <f>SUM(Loans16284052647688100112[Actual Cost])</f>
        <v>0</v>
      </c>
    </row>
    <row r="32" spans="1:10">
      <c r="B32" s="16" t="s">
        <v>37</v>
      </c>
      <c r="C32" s="17"/>
      <c r="D32" s="17"/>
      <c r="E32" s="17">
        <f>Transportation17294153657789101113[[#This Row],[Projected Cost]]-Transportation17294153657789101113[[#This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SUM(Transportation17294153657789101113[Actual Cost])</f>
        <v>0</v>
      </c>
      <c r="E33" s="19">
        <f>SUM(Transportation17294153657789101113[Actual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Taxes19314355677991103115[[#This Row],[Projected Cost]]-Taxes19314355677991103115[[#This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Taxes19314355677991103115[[#This Row],[Projected Cost]]-Taxes19314355677991103115[[#This Row],[Actual Cost]]</f>
        <v>0</v>
      </c>
    </row>
    <row r="36" spans="1:10">
      <c r="B36" s="16" t="s">
        <v>94</v>
      </c>
      <c r="C36" s="17"/>
      <c r="D36" s="17"/>
      <c r="E36" s="17">
        <f>Insurance18304254667890102114[[#This Row],[Projected Cost]]-Insurance18304254667890102114[[#This Row],[Actual Cost]]</f>
        <v>0</v>
      </c>
      <c r="G36" s="16" t="s">
        <v>56</v>
      </c>
      <c r="H36" s="17"/>
      <c r="I36" s="17"/>
      <c r="J36" s="17">
        <f>Taxes19314355677991103115[[#This Row],[Projected Cost]]-Taxes19314355677991103115[[#This Row],[Actual Cost]]</f>
        <v>0</v>
      </c>
    </row>
    <row r="37" spans="1:10">
      <c r="B37" s="16" t="s">
        <v>57</v>
      </c>
      <c r="C37" s="17"/>
      <c r="D37" s="17"/>
      <c r="E37" s="17">
        <f>Insurance18304254667890102114[[#This Row],[Projected Cost]]-Insurance18304254667890102114[[#This Row],[Actual Cost]]</f>
        <v>0</v>
      </c>
      <c r="G37" s="16" t="s">
        <v>37</v>
      </c>
      <c r="H37" s="17"/>
      <c r="I37" s="17"/>
      <c r="J37" s="17">
        <f>Taxes19314355677991103115[[#This Row],[Projected Cost]]-Taxes19314355677991103115[[#This Row],[Actual Cost]]</f>
        <v>0</v>
      </c>
    </row>
    <row r="38" spans="1:10">
      <c r="B38" s="16" t="s">
        <v>58</v>
      </c>
      <c r="C38" s="17"/>
      <c r="D38" s="17"/>
      <c r="E38" s="17">
        <f>Insurance18304254667890102114[[#This Row],[Projected Cost]]-Insurance18304254667890102114[[#This Row],[Actual Cost]]</f>
        <v>0</v>
      </c>
      <c r="G38" s="18" t="s">
        <v>93</v>
      </c>
      <c r="H38" s="19"/>
      <c r="I38" s="19">
        <f>SUM(Taxes19314355677991103115[Actual Cost])</f>
        <v>0</v>
      </c>
      <c r="J38" s="19">
        <f>SUM(Taxes19314355677991103115[Actual Cost])</f>
        <v>0</v>
      </c>
    </row>
    <row r="39" spans="1:10">
      <c r="B39" s="16" t="s">
        <v>37</v>
      </c>
      <c r="C39" s="17"/>
      <c r="D39" s="17"/>
      <c r="E39" s="17">
        <f>Insurance18304254667890102114[[#This Row],[Projected Cost]]-Insurance18304254667890102114[[#This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SUM(Insurance18304254667890102114[Actual Cost])</f>
        <v>0</v>
      </c>
      <c r="E40" s="19">
        <f>SUM(Insurance18304254667890102114[Actual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Savings20324456688092104116[[#This Row],[Projected Cost]]-Savings20324456688092104116[[#This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Savings20324456688092104116[[#This Row],[Projected Cost]]-Savings20324456688092104116[[#This Row],[Actual Cost]]</f>
        <v>0</v>
      </c>
    </row>
    <row r="43" spans="1:10">
      <c r="B43" s="16" t="s">
        <v>64</v>
      </c>
      <c r="C43" s="17"/>
      <c r="D43" s="17"/>
      <c r="E43" s="17">
        <f>Food21334557698193105117[[#This Row],[Projected Cost]]-Food21334557698193105117[[#This Row],[Actual Cost]]</f>
        <v>0</v>
      </c>
      <c r="G43" s="16" t="s">
        <v>37</v>
      </c>
      <c r="H43" s="17"/>
      <c r="I43" s="17"/>
      <c r="J43" s="17">
        <f>Savings20324456688092104116[[#This Row],[Projected Cost]]-Savings20324456688092104116[[#This Row],[Actual Cost]]</f>
        <v>0</v>
      </c>
    </row>
    <row r="44" spans="1:10">
      <c r="B44" s="16" t="s">
        <v>65</v>
      </c>
      <c r="C44" s="17"/>
      <c r="D44" s="17"/>
      <c r="E44" s="17">
        <f>Food21334557698193105117[[#This Row],[Projected Cost]]-Food21334557698193105117[[#This Row],[Actual Cost]]</f>
        <v>0</v>
      </c>
      <c r="G44" s="18" t="s">
        <v>93</v>
      </c>
      <c r="H44" s="19"/>
      <c r="I44" s="19">
        <f>SUM(Savings20324456688092104116[Actual Cost])</f>
        <v>0</v>
      </c>
      <c r="J44" s="19">
        <f>SUM(Savings20324456688092104116[Actual Cost])</f>
        <v>0</v>
      </c>
    </row>
    <row r="45" spans="1:10">
      <c r="B45" s="16" t="s">
        <v>37</v>
      </c>
      <c r="C45" s="17"/>
      <c r="D45" s="17"/>
      <c r="E45" s="17">
        <f>Food21334557698193105117[[#This Row],[Projected Cost]]-Food21334557698193105117[[#This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SUM(Food21334557698193105117[Actual Cost])</f>
        <v>0</v>
      </c>
      <c r="E46" s="19">
        <f>SUM(Food21334557698193105117[Actual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Gifts22344658708294106118[[#This Row],[Projected Cost]]-Gifts22344658708294106118[[#This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Gifts22344658708294106118[[#This Row],[Projected Cost]]-Gifts22344658708294106118[[#This Row],[Actual Cost]]</f>
        <v>0</v>
      </c>
    </row>
    <row r="49" spans="1:10">
      <c r="B49" s="16" t="s">
        <v>71</v>
      </c>
      <c r="C49" s="17"/>
      <c r="D49" s="17"/>
      <c r="E49" s="17">
        <f>Pets23354759718395107119[[#This Row],[Projected Cost]]-Pets23354759718395107119[[#This Row],[Actual Cost]]</f>
        <v>0</v>
      </c>
      <c r="G49" s="16" t="s">
        <v>72</v>
      </c>
      <c r="H49" s="17"/>
      <c r="I49" s="17"/>
      <c r="J49" s="17">
        <f>Gifts22344658708294106118[[#This Row],[Projected Cost]]-Gifts22344658708294106118[[#This Row],[Actual Cost]]</f>
        <v>0</v>
      </c>
    </row>
    <row r="50" spans="1:10">
      <c r="B50" s="16" t="s">
        <v>73</v>
      </c>
      <c r="C50" s="17"/>
      <c r="D50" s="17"/>
      <c r="E50" s="17">
        <f>Pets23354759718395107119[[#This Row],[Projected Cost]]-Pets23354759718395107119[[#This Row],[Actual Cost]]</f>
        <v>0</v>
      </c>
      <c r="G50" s="18" t="s">
        <v>93</v>
      </c>
      <c r="H50" s="19"/>
      <c r="I50" s="19">
        <f>SUM(Gifts22344658708294106118[Actual Cost])</f>
        <v>0</v>
      </c>
      <c r="J50" s="19">
        <f>SUM(Gifts22344658708294106118[Actual Cost])</f>
        <v>0</v>
      </c>
    </row>
    <row r="51" spans="1:10">
      <c r="B51" s="16" t="s">
        <v>74</v>
      </c>
      <c r="C51" s="17"/>
      <c r="D51" s="17"/>
      <c r="E51" s="17">
        <f>Pets23354759718395107119[[#This Row],[Projected Cost]]-Pets23354759718395107119[[#This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Pets23354759718395107119[[#This Row],[Projected Cost]]-Pets23354759718395107119[[#This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Pets23354759718395107119[[#This Row],[Projected Cost]]-Pets23354759718395107119[[#This Row],[Actual Cost]]</f>
        <v>0</v>
      </c>
      <c r="G53" s="16" t="s">
        <v>77</v>
      </c>
      <c r="H53" s="17"/>
      <c r="I53" s="17"/>
      <c r="J53" s="17">
        <f>Legal24364860728496108120[[#This Row],[Projected Cost]]-Legal24364860728496108120[[#This Row],[Actual Cost]]</f>
        <v>0</v>
      </c>
    </row>
    <row r="54" spans="1:10">
      <c r="B54" s="18" t="s">
        <v>93</v>
      </c>
      <c r="C54" s="19"/>
      <c r="D54" s="19">
        <f>SUM(Pets23354759718395107119[Actual Cost])</f>
        <v>0</v>
      </c>
      <c r="E54" s="19">
        <f>SUM(Pets23354759718395107119[Actual Cost])</f>
        <v>0</v>
      </c>
      <c r="G54" s="16" t="s">
        <v>78</v>
      </c>
      <c r="H54" s="17"/>
      <c r="I54" s="17"/>
      <c r="J54" s="17">
        <f>Legal24364860728496108120[[#This Row],[Projected Cost]]-Legal24364860728496108120[[#This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Legal24364860728496108120[[#This Row],[Projected Cost]]-Legal24364860728496108120[[#This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Legal24364860728496108120[[#This Row],[Projected Cost]]-Legal24364860728496108120[[#This Row],[Actual Cost]]</f>
        <v>0</v>
      </c>
    </row>
    <row r="57" spans="1:10">
      <c r="B57" s="16" t="s">
        <v>73</v>
      </c>
      <c r="C57" s="17"/>
      <c r="D57" s="17"/>
      <c r="E57" s="17">
        <f>PersonalCare25374961738597109121[[#This Row],[Projected Cost]]-PersonalCare25374961738597109121[[#This Row],[Actual Cost]]</f>
        <v>0</v>
      </c>
      <c r="G57" s="18" t="s">
        <v>93</v>
      </c>
      <c r="H57" s="19"/>
      <c r="I57" s="19">
        <f>SUM(Legal24364860728496108120[Actual Cost])</f>
        <v>0</v>
      </c>
      <c r="J57" s="19">
        <f>SUM(Legal24364860728496108120[Actual Cost])</f>
        <v>0</v>
      </c>
    </row>
    <row r="58" spans="1:10">
      <c r="B58" s="16" t="s">
        <v>82</v>
      </c>
      <c r="C58" s="17"/>
      <c r="D58" s="17"/>
      <c r="E58" s="17">
        <f>PersonalCare25374961738597109121[[#This Row],[Projected Cost]]-PersonalCare25374961738597109121[[#This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PersonalCare25374961738597109121[[#This Row],[Projected Cost]]-PersonalCare25374961738597109121[[#This Row],[Actual Cost]]</f>
        <v>0</v>
      </c>
      <c r="G59" s="69" t="s">
        <v>85</v>
      </c>
      <c r="H59" s="69"/>
      <c r="I59" s="69"/>
      <c r="J59" s="70">
        <f>SUBTOTAL(109,Housing1426385062748698110[Projected Cost],Transportation17294153657789101113[Projected Cost],Insurance18304254667890102114[Projected Cost],Food21334557698193105117[Projected Cost],Pets23354759718395107119[Projected Cost],PersonalCare25374961738597109121[Projected Cost],Entertainment1527395163758799111[Projected Cost],Loans16284052647688100112[Projected Cost],Taxes19314355677991103115[Projected Cost],Savings20324456688092104116[Projected Cost],Gifts22344658708294106118[Projected Cost],Legal24364860728496108120[Projected Cost])</f>
        <v>0</v>
      </c>
    </row>
    <row r="60" spans="1:10">
      <c r="B60" s="16" t="s">
        <v>86</v>
      </c>
      <c r="C60" s="17"/>
      <c r="D60" s="17"/>
      <c r="E60" s="17">
        <f>PersonalCare25374961738597109121[[#This Row],[Projected Cost]]-PersonalCare25374961738597109121[[#This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PersonalCare25374961738597109121[[#This Row],[Projected Cost]]-PersonalCare25374961738597109121[[#This Row],[Actual Cost]]</f>
        <v>0</v>
      </c>
      <c r="G61" s="69" t="s">
        <v>88</v>
      </c>
      <c r="H61" s="69"/>
      <c r="I61" s="69"/>
      <c r="J61" s="70">
        <f>SUBTOTAL(109,Housing1426385062748698110[Actual Cost],Transportation17294153657789101113[Actual Cost],Insurance18304254667890102114[Actual Cost],Food21334557698193105117[Actual Cost],Pets23354759718395107119[Actual Cost],PersonalCare25374961738597109121[Actual Cost],Entertainment1527395163758799111[Actual Cost],Loans16284052647688100112[Actual Cost],Taxes19314355677991103115[Actual Cost],Savings20324456688092104116[Actual Cost],Gifts22344658708294106118[Actual Cost],Legal24364860728496108120[Actual Cost])</f>
        <v>0</v>
      </c>
    </row>
    <row r="62" spans="1:10">
      <c r="B62" s="16" t="s">
        <v>89</v>
      </c>
      <c r="C62" s="17"/>
      <c r="D62" s="17"/>
      <c r="E62" s="17">
        <f>PersonalCare25374961738597109121[[#This Row],[Projected Cost]]-PersonalCare25374961738597109121[[#This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PersonalCare25374961738597109121[[#This Row],[Projected Cost]]-PersonalCare25374961738597109121[[#This Row],[Actual Cost]]</f>
        <v>0</v>
      </c>
      <c r="G63" s="69" t="s">
        <v>90</v>
      </c>
      <c r="H63" s="69"/>
      <c r="I63" s="69"/>
      <c r="J63" s="70">
        <f>J59-J61</f>
        <v>0</v>
      </c>
    </row>
    <row r="64" spans="1:10">
      <c r="B64" s="18" t="s">
        <v>93</v>
      </c>
      <c r="C64" s="19"/>
      <c r="D64" s="19">
        <f>SUM(PersonalCare25374961738597109121[Actual Cost])</f>
        <v>0</v>
      </c>
      <c r="E64" s="19">
        <f>SUM(PersonalCare25374961738597109121[Actual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G59:I60"/>
    <mergeCell ref="J59:J60"/>
    <mergeCell ref="G61:I62"/>
    <mergeCell ref="J61:J62"/>
    <mergeCell ref="G63:I64"/>
    <mergeCell ref="J63:J64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conditionalFormatting sqref="J8:J9">
    <cfRule type="cellIs" dxfId="5" priority="2" operator="lessThan">
      <formula>0</formula>
    </cfRule>
  </conditionalFormatting>
  <conditionalFormatting sqref="J63:J64">
    <cfRule type="cellIs" dxfId="4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2A72-7AF0-B749-A941-16330D771B4C}">
  <sheetPr>
    <tabColor theme="4"/>
    <pageSetUpPr autoPageBreaks="0" fitToPage="1"/>
  </sheetPr>
  <dimension ref="A1:J65"/>
  <sheetViews>
    <sheetView showGridLines="0" workbookViewId="0">
      <selection activeCell="E9" sqref="E9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111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/>
      <c r="G4" s="76" t="s">
        <v>10</v>
      </c>
      <c r="H4" s="77"/>
      <c r="I4" s="77"/>
      <c r="J4" s="70">
        <f>E6-J59</f>
        <v>0</v>
      </c>
    </row>
    <row r="5" spans="1:10">
      <c r="B5" s="74"/>
      <c r="C5" s="71" t="s">
        <v>11</v>
      </c>
      <c r="D5" s="72"/>
      <c r="E5" s="5"/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0</v>
      </c>
      <c r="G6" s="76" t="s">
        <v>14</v>
      </c>
      <c r="H6" s="77"/>
      <c r="I6" s="77"/>
      <c r="J6" s="70">
        <f>E10-J61</f>
        <v>0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/>
      <c r="G8" s="76" t="s">
        <v>17</v>
      </c>
      <c r="H8" s="77"/>
      <c r="I8" s="77"/>
      <c r="J8" s="70">
        <f>J6-J4</f>
        <v>0</v>
      </c>
    </row>
    <row r="9" spans="1:10">
      <c r="B9" s="74"/>
      <c r="C9" s="71" t="s">
        <v>11</v>
      </c>
      <c r="D9" s="72"/>
      <c r="E9" s="5"/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/>
      <c r="D13" s="17"/>
      <c r="E13" s="17">
        <f>Housing1426385062748698110122[[#This Row],[Projected Cost]]-Housing1426385062748698110122[[#This Row],[Actual Cost]]</f>
        <v>0</v>
      </c>
      <c r="G13" s="16" t="s">
        <v>25</v>
      </c>
      <c r="H13" s="17"/>
      <c r="I13" s="17"/>
      <c r="J13" s="17">
        <f>Entertainment1527395163758799111123[[#This Row],[Projected Cost]]-Entertainment1527395163758799111123[[#This Row],[Actual Cost]]</f>
        <v>0</v>
      </c>
    </row>
    <row r="14" spans="1:10">
      <c r="B14" s="16" t="s">
        <v>26</v>
      </c>
      <c r="C14" s="17"/>
      <c r="D14" s="17"/>
      <c r="E14" s="17">
        <f>Housing1426385062748698110122[[#This Row],[Projected Cost]]-Housing1426385062748698110122[[#This Row],[Actual Cost]]</f>
        <v>0</v>
      </c>
      <c r="G14" s="16" t="s">
        <v>27</v>
      </c>
      <c r="H14" s="17"/>
      <c r="I14" s="17"/>
      <c r="J14" s="17">
        <f>Entertainment1527395163758799111123[[#This Row],[Projected Cost]]-Entertainment1527395163758799111123[[#This Row],[Actual Cost]]</f>
        <v>0</v>
      </c>
    </row>
    <row r="15" spans="1:10">
      <c r="B15" s="16" t="s">
        <v>28</v>
      </c>
      <c r="C15" s="17"/>
      <c r="D15" s="17"/>
      <c r="E15" s="17">
        <f>Housing1426385062748698110122[[#This Row],[Projected Cost]]-Housing1426385062748698110122[[#This Row],[Actual Cost]]</f>
        <v>0</v>
      </c>
      <c r="G15" s="16" t="s">
        <v>29</v>
      </c>
      <c r="H15" s="17"/>
      <c r="I15" s="17"/>
      <c r="J15" s="17">
        <f>Entertainment1527395163758799111123[[#This Row],[Projected Cost]]-Entertainment1527395163758799111123[[#This Row],[Actual Cost]]</f>
        <v>0</v>
      </c>
    </row>
    <row r="16" spans="1:10">
      <c r="B16" s="16" t="s">
        <v>30</v>
      </c>
      <c r="C16" s="17"/>
      <c r="D16" s="17"/>
      <c r="E16" s="17">
        <f>Housing1426385062748698110122[[#This Row],[Projected Cost]]-Housing1426385062748698110122[[#This Row],[Actual Cost]]</f>
        <v>0</v>
      </c>
      <c r="G16" s="16" t="s">
        <v>31</v>
      </c>
      <c r="H16" s="17"/>
      <c r="I16" s="17"/>
      <c r="J16" s="17">
        <f>Entertainment1527395163758799111123[[#This Row],[Projected Cost]]-Entertainment1527395163758799111123[[#This Row],[Actual Cost]]</f>
        <v>0</v>
      </c>
    </row>
    <row r="17" spans="1:10">
      <c r="B17" s="16" t="s">
        <v>32</v>
      </c>
      <c r="C17" s="17"/>
      <c r="D17" s="17"/>
      <c r="E17" s="17">
        <f>Housing1426385062748698110122[[#This Row],[Projected Cost]]-Housing1426385062748698110122[[#This Row],[Actual Cost]]</f>
        <v>0</v>
      </c>
      <c r="G17" s="16" t="s">
        <v>33</v>
      </c>
      <c r="H17" s="17"/>
      <c r="I17" s="17"/>
      <c r="J17" s="17">
        <f>Entertainment1527395163758799111123[[#This Row],[Projected Cost]]-Entertainment1527395163758799111123[[#This Row],[Actual Cost]]</f>
        <v>0</v>
      </c>
    </row>
    <row r="18" spans="1:10">
      <c r="B18" s="16" t="s">
        <v>34</v>
      </c>
      <c r="C18" s="17"/>
      <c r="D18" s="17"/>
      <c r="E18" s="17">
        <f>Housing1426385062748698110122[[#This Row],[Projected Cost]]-Housing1426385062748698110122[[#This Row],[Actual Cost]]</f>
        <v>0</v>
      </c>
      <c r="G18" s="16" t="s">
        <v>35</v>
      </c>
      <c r="H18" s="17"/>
      <c r="I18" s="17"/>
      <c r="J18" s="17">
        <f>Entertainment1527395163758799111123[[#This Row],[Projected Cost]]-Entertainment1527395163758799111123[[#This Row],[Actual Cost]]</f>
        <v>0</v>
      </c>
    </row>
    <row r="19" spans="1:10">
      <c r="B19" s="16" t="s">
        <v>36</v>
      </c>
      <c r="C19" s="17"/>
      <c r="D19" s="17"/>
      <c r="E19" s="17">
        <f>Housing1426385062748698110122[[#This Row],[Projected Cost]]-Housing1426385062748698110122[[#This Row],[Actual Cost]]</f>
        <v>0</v>
      </c>
      <c r="G19" s="16" t="s">
        <v>37</v>
      </c>
      <c r="H19" s="17"/>
      <c r="I19" s="17"/>
      <c r="J19" s="17">
        <f>Entertainment1527395163758799111123[[#This Row],[Projected Cost]]-Entertainment1527395163758799111123[[#This Row],[Actual Cost]]</f>
        <v>0</v>
      </c>
    </row>
    <row r="20" spans="1:10">
      <c r="B20" s="16" t="s">
        <v>38</v>
      </c>
      <c r="C20" s="17"/>
      <c r="D20" s="17"/>
      <c r="E20" s="17">
        <f>Housing1426385062748698110122[[#This Row],[Projected Cost]]-Housing1426385062748698110122[[#This Row],[Actual Cost]]</f>
        <v>0</v>
      </c>
      <c r="G20" s="16" t="s">
        <v>37</v>
      </c>
      <c r="H20" s="17"/>
      <c r="I20" s="17"/>
      <c r="J20" s="17">
        <f>Entertainment1527395163758799111123[[#This Row],[Projected Cost]]-Entertainment1527395163758799111123[[#This Row],[Actual Cost]]</f>
        <v>0</v>
      </c>
    </row>
    <row r="21" spans="1:10">
      <c r="B21" s="16" t="s">
        <v>39</v>
      </c>
      <c r="C21" s="17"/>
      <c r="D21" s="17"/>
      <c r="E21" s="17">
        <f>Housing1426385062748698110122[[#This Row],[Projected Cost]]-Housing1426385062748698110122[[#This Row],[Actual Cost]]</f>
        <v>0</v>
      </c>
      <c r="G21" s="16" t="s">
        <v>37</v>
      </c>
      <c r="H21" s="17"/>
      <c r="I21" s="17"/>
      <c r="J21" s="17">
        <f>Entertainment1527395163758799111123[[#This Row],[Projected Cost]]-Entertainment1527395163758799111123[[#This Row],[Actual Cost]]</f>
        <v>0</v>
      </c>
    </row>
    <row r="22" spans="1:10">
      <c r="B22" s="16" t="s">
        <v>37</v>
      </c>
      <c r="C22" s="17"/>
      <c r="D22" s="17"/>
      <c r="E22" s="17">
        <f>Housing1426385062748698110122[[#This Row],[Projected Cost]]-Housing1426385062748698110122[[#This Row],[Actual Cost]]</f>
        <v>0</v>
      </c>
      <c r="G22" s="18" t="s">
        <v>93</v>
      </c>
      <c r="H22" s="19"/>
      <c r="I22" s="19">
        <f>SUM(Entertainment1527395163758799111123[Actual Cost])</f>
        <v>0</v>
      </c>
      <c r="J22" s="19">
        <f>SUM(Entertainment1527395163758799111123[Actual Cost])</f>
        <v>0</v>
      </c>
    </row>
    <row r="23" spans="1:10">
      <c r="B23" s="18" t="s">
        <v>93</v>
      </c>
      <c r="C23" s="19"/>
      <c r="D23" s="19">
        <f>SUM(D13:D22)</f>
        <v>0</v>
      </c>
      <c r="E23" s="19">
        <f>SUM(E13:E22)</f>
        <v>0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Loans16284052647688100112124[[#This Row],[Projected Cost]]-Loans16284052647688100112124[[#This Row],[Actual Cost]]</f>
        <v>0</v>
      </c>
    </row>
    <row r="26" spans="1:10">
      <c r="B26" s="16" t="s">
        <v>44</v>
      </c>
      <c r="C26" s="17"/>
      <c r="D26" s="17"/>
      <c r="E26" s="17">
        <f>Transportation17294153657789101113125[[#This Row],[Projected Cost]]-Transportation17294153657789101113125[[#This Row],[Actual Cost]]</f>
        <v>0</v>
      </c>
      <c r="G26" s="16" t="s">
        <v>45</v>
      </c>
      <c r="H26" s="17"/>
      <c r="I26" s="17"/>
      <c r="J26" s="17">
        <f>Loans16284052647688100112124[[#This Row],[Projected Cost]]-Loans16284052647688100112124[[#This Row],[Actual Cost]]</f>
        <v>0</v>
      </c>
    </row>
    <row r="27" spans="1:10">
      <c r="B27" s="16" t="s">
        <v>46</v>
      </c>
      <c r="C27" s="17"/>
      <c r="D27" s="17"/>
      <c r="E27" s="17">
        <f>Transportation17294153657789101113125[[#This Row],[Projected Cost]]-Transportation17294153657789101113125[[#This Row],[Actual Cost]]</f>
        <v>0</v>
      </c>
      <c r="G27" s="16" t="s">
        <v>47</v>
      </c>
      <c r="H27" s="17"/>
      <c r="I27" s="17"/>
      <c r="J27" s="17">
        <f>Loans16284052647688100112124[[#This Row],[Projected Cost]]-Loans16284052647688100112124[[#This Row],[Actual Cost]]</f>
        <v>0</v>
      </c>
    </row>
    <row r="28" spans="1:10">
      <c r="B28" s="16" t="s">
        <v>48</v>
      </c>
      <c r="C28" s="17"/>
      <c r="D28" s="17"/>
      <c r="E28" s="17">
        <f>Transportation17294153657789101113125[[#This Row],[Projected Cost]]-Transportation17294153657789101113125[[#This Row],[Actual Cost]]</f>
        <v>0</v>
      </c>
      <c r="G28" s="16" t="s">
        <v>47</v>
      </c>
      <c r="H28" s="17"/>
      <c r="I28" s="17"/>
      <c r="J28" s="17">
        <f>Loans16284052647688100112124[[#This Row],[Projected Cost]]-Loans16284052647688100112124[[#This Row],[Actual Cost]]</f>
        <v>0</v>
      </c>
    </row>
    <row r="29" spans="1:10">
      <c r="B29" s="16" t="s">
        <v>49</v>
      </c>
      <c r="C29" s="17"/>
      <c r="D29" s="17"/>
      <c r="E29" s="17">
        <f>Transportation17294153657789101113125[[#This Row],[Projected Cost]]-Transportation17294153657789101113125[[#This Row],[Actual Cost]]</f>
        <v>0</v>
      </c>
      <c r="G29" s="16" t="s">
        <v>47</v>
      </c>
      <c r="H29" s="17"/>
      <c r="I29" s="17"/>
      <c r="J29" s="17">
        <f>Loans16284052647688100112124[[#This Row],[Projected Cost]]-Loans16284052647688100112124[[#This Row],[Actual Cost]]</f>
        <v>0</v>
      </c>
    </row>
    <row r="30" spans="1:10">
      <c r="B30" s="16" t="s">
        <v>50</v>
      </c>
      <c r="C30" s="17"/>
      <c r="D30" s="17"/>
      <c r="E30" s="17">
        <f>Transportation17294153657789101113125[[#This Row],[Projected Cost]]-Transportation17294153657789101113125[[#This Row],[Actual Cost]]</f>
        <v>0</v>
      </c>
      <c r="G30" s="16" t="s">
        <v>37</v>
      </c>
      <c r="H30" s="17"/>
      <c r="I30" s="17"/>
      <c r="J30" s="17">
        <f>Loans16284052647688100112124[[#This Row],[Projected Cost]]-Loans16284052647688100112124[[#This Row],[Actual Cost]]</f>
        <v>0</v>
      </c>
    </row>
    <row r="31" spans="1:10">
      <c r="B31" s="16" t="s">
        <v>38</v>
      </c>
      <c r="C31" s="17"/>
      <c r="D31" s="17"/>
      <c r="E31" s="17">
        <f>Transportation17294153657789101113125[[#This Row],[Projected Cost]]-Transportation17294153657789101113125[[#This Row],[Actual Cost]]</f>
        <v>0</v>
      </c>
      <c r="G31" s="18" t="s">
        <v>93</v>
      </c>
      <c r="H31" s="19"/>
      <c r="I31" s="19">
        <f>SUM(Loans16284052647688100112124[Actual Cost])</f>
        <v>0</v>
      </c>
      <c r="J31" s="19">
        <f>SUM(Loans16284052647688100112124[Actual Cost])</f>
        <v>0</v>
      </c>
    </row>
    <row r="32" spans="1:10">
      <c r="B32" s="16" t="s">
        <v>37</v>
      </c>
      <c r="C32" s="17"/>
      <c r="D32" s="17"/>
      <c r="E32" s="17">
        <f>Transportation17294153657789101113125[[#This Row],[Projected Cost]]-Transportation17294153657789101113125[[#This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SUM(Transportation17294153657789101113125[Actual Cost])</f>
        <v>0</v>
      </c>
      <c r="E33" s="19">
        <f>SUM(Transportation17294153657789101113125[Actual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Taxes19314355677991103115127[[#This Row],[Projected Cost]]-Taxes19314355677991103115127[[#This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Taxes19314355677991103115127[[#This Row],[Projected Cost]]-Taxes19314355677991103115127[[#This Row],[Actual Cost]]</f>
        <v>0</v>
      </c>
    </row>
    <row r="36" spans="1:10">
      <c r="B36" s="16" t="s">
        <v>94</v>
      </c>
      <c r="C36" s="17"/>
      <c r="D36" s="17"/>
      <c r="E36" s="17">
        <f>Insurance18304254667890102114126[[#This Row],[Projected Cost]]-Insurance18304254667890102114126[[#This Row],[Actual Cost]]</f>
        <v>0</v>
      </c>
      <c r="G36" s="16" t="s">
        <v>56</v>
      </c>
      <c r="H36" s="17"/>
      <c r="I36" s="17"/>
      <c r="J36" s="17">
        <f>Taxes19314355677991103115127[[#This Row],[Projected Cost]]-Taxes19314355677991103115127[[#This Row],[Actual Cost]]</f>
        <v>0</v>
      </c>
    </row>
    <row r="37" spans="1:10">
      <c r="B37" s="16" t="s">
        <v>57</v>
      </c>
      <c r="C37" s="17"/>
      <c r="D37" s="17"/>
      <c r="E37" s="17">
        <f>Insurance18304254667890102114126[[#This Row],[Projected Cost]]-Insurance18304254667890102114126[[#This Row],[Actual Cost]]</f>
        <v>0</v>
      </c>
      <c r="G37" s="16" t="s">
        <v>37</v>
      </c>
      <c r="H37" s="17"/>
      <c r="I37" s="17"/>
      <c r="J37" s="17">
        <f>Taxes19314355677991103115127[[#This Row],[Projected Cost]]-Taxes19314355677991103115127[[#This Row],[Actual Cost]]</f>
        <v>0</v>
      </c>
    </row>
    <row r="38" spans="1:10">
      <c r="B38" s="16" t="s">
        <v>58</v>
      </c>
      <c r="C38" s="17"/>
      <c r="D38" s="17"/>
      <c r="E38" s="17">
        <f>Insurance18304254667890102114126[[#This Row],[Projected Cost]]-Insurance18304254667890102114126[[#This Row],[Actual Cost]]</f>
        <v>0</v>
      </c>
      <c r="G38" s="18" t="s">
        <v>93</v>
      </c>
      <c r="H38" s="19"/>
      <c r="I38" s="19">
        <f>SUM(Taxes19314355677991103115127[Actual Cost])</f>
        <v>0</v>
      </c>
      <c r="J38" s="19">
        <f>SUM(Taxes19314355677991103115127[Actual Cost])</f>
        <v>0</v>
      </c>
    </row>
    <row r="39" spans="1:10">
      <c r="B39" s="16" t="s">
        <v>37</v>
      </c>
      <c r="C39" s="17"/>
      <c r="D39" s="17"/>
      <c r="E39" s="17">
        <f>Insurance18304254667890102114126[[#This Row],[Projected Cost]]-Insurance18304254667890102114126[[#This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SUM(Insurance18304254667890102114126[Actual Cost])</f>
        <v>0</v>
      </c>
      <c r="E40" s="19">
        <f>SUM(Insurance18304254667890102114126[Actual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Savings20324456688092104116128[[#This Row],[Projected Cost]]-Savings20324456688092104116128[[#This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Savings20324456688092104116128[[#This Row],[Projected Cost]]-Savings20324456688092104116128[[#This Row],[Actual Cost]]</f>
        <v>0</v>
      </c>
    </row>
    <row r="43" spans="1:10">
      <c r="B43" s="16" t="s">
        <v>64</v>
      </c>
      <c r="C43" s="17"/>
      <c r="D43" s="17"/>
      <c r="E43" s="17">
        <f>Food21334557698193105117129[[#This Row],[Projected Cost]]-Food21334557698193105117129[[#This Row],[Actual Cost]]</f>
        <v>0</v>
      </c>
      <c r="G43" s="16" t="s">
        <v>37</v>
      </c>
      <c r="H43" s="17"/>
      <c r="I43" s="17"/>
      <c r="J43" s="17">
        <f>Savings20324456688092104116128[[#This Row],[Projected Cost]]-Savings20324456688092104116128[[#This Row],[Actual Cost]]</f>
        <v>0</v>
      </c>
    </row>
    <row r="44" spans="1:10">
      <c r="B44" s="16" t="s">
        <v>65</v>
      </c>
      <c r="C44" s="17"/>
      <c r="D44" s="17"/>
      <c r="E44" s="17">
        <f>Food21334557698193105117129[[#This Row],[Projected Cost]]-Food21334557698193105117129[[#This Row],[Actual Cost]]</f>
        <v>0</v>
      </c>
      <c r="G44" s="18" t="s">
        <v>93</v>
      </c>
      <c r="H44" s="19"/>
      <c r="I44" s="19">
        <f>SUM(Savings20324456688092104116128[Actual Cost])</f>
        <v>0</v>
      </c>
      <c r="J44" s="19">
        <f>SUM(Savings20324456688092104116128[Actual Cost])</f>
        <v>0</v>
      </c>
    </row>
    <row r="45" spans="1:10">
      <c r="B45" s="16" t="s">
        <v>37</v>
      </c>
      <c r="C45" s="17"/>
      <c r="D45" s="17"/>
      <c r="E45" s="17">
        <f>Food21334557698193105117129[[#This Row],[Projected Cost]]-Food21334557698193105117129[[#This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SUM(Food21334557698193105117129[Actual Cost])</f>
        <v>0</v>
      </c>
      <c r="E46" s="19">
        <f>SUM(Food21334557698193105117129[Actual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Gifts22344658708294106118130[[#This Row],[Projected Cost]]-Gifts22344658708294106118130[[#This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Gifts22344658708294106118130[[#This Row],[Projected Cost]]-Gifts22344658708294106118130[[#This Row],[Actual Cost]]</f>
        <v>0</v>
      </c>
    </row>
    <row r="49" spans="1:10">
      <c r="B49" s="16" t="s">
        <v>71</v>
      </c>
      <c r="C49" s="17"/>
      <c r="D49" s="17"/>
      <c r="E49" s="17">
        <f>Pets23354759718395107119131[[#This Row],[Projected Cost]]-Pets23354759718395107119131[[#This Row],[Actual Cost]]</f>
        <v>0</v>
      </c>
      <c r="G49" s="16" t="s">
        <v>72</v>
      </c>
      <c r="H49" s="17"/>
      <c r="I49" s="17"/>
      <c r="J49" s="17">
        <f>Gifts22344658708294106118130[[#This Row],[Projected Cost]]-Gifts22344658708294106118130[[#This Row],[Actual Cost]]</f>
        <v>0</v>
      </c>
    </row>
    <row r="50" spans="1:10">
      <c r="B50" s="16" t="s">
        <v>73</v>
      </c>
      <c r="C50" s="17"/>
      <c r="D50" s="17"/>
      <c r="E50" s="17">
        <f>Pets23354759718395107119131[[#This Row],[Projected Cost]]-Pets23354759718395107119131[[#This Row],[Actual Cost]]</f>
        <v>0</v>
      </c>
      <c r="G50" s="18" t="s">
        <v>93</v>
      </c>
      <c r="H50" s="19"/>
      <c r="I50" s="19">
        <f>SUM(Gifts22344658708294106118130[Actual Cost])</f>
        <v>0</v>
      </c>
      <c r="J50" s="19">
        <f>SUM(Gifts22344658708294106118130[Actual Cost])</f>
        <v>0</v>
      </c>
    </row>
    <row r="51" spans="1:10">
      <c r="B51" s="16" t="s">
        <v>74</v>
      </c>
      <c r="C51" s="17"/>
      <c r="D51" s="17"/>
      <c r="E51" s="17">
        <f>Pets23354759718395107119131[[#This Row],[Projected Cost]]-Pets23354759718395107119131[[#This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Pets23354759718395107119131[[#This Row],[Projected Cost]]-Pets23354759718395107119131[[#This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Pets23354759718395107119131[[#This Row],[Projected Cost]]-Pets23354759718395107119131[[#This Row],[Actual Cost]]</f>
        <v>0</v>
      </c>
      <c r="G53" s="16" t="s">
        <v>77</v>
      </c>
      <c r="H53" s="17"/>
      <c r="I53" s="17"/>
      <c r="J53" s="17">
        <f>Legal24364860728496108120132[[#This Row],[Projected Cost]]-Legal24364860728496108120132[[#This Row],[Actual Cost]]</f>
        <v>0</v>
      </c>
    </row>
    <row r="54" spans="1:10">
      <c r="B54" s="18" t="s">
        <v>93</v>
      </c>
      <c r="C54" s="19"/>
      <c r="D54" s="19">
        <f>SUM(Pets23354759718395107119131[Actual Cost])</f>
        <v>0</v>
      </c>
      <c r="E54" s="19">
        <f>SUM(Pets23354759718395107119131[Actual Cost])</f>
        <v>0</v>
      </c>
      <c r="G54" s="16" t="s">
        <v>78</v>
      </c>
      <c r="H54" s="17"/>
      <c r="I54" s="17"/>
      <c r="J54" s="17">
        <f>Legal24364860728496108120132[[#This Row],[Projected Cost]]-Legal24364860728496108120132[[#This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Legal24364860728496108120132[[#This Row],[Projected Cost]]-Legal24364860728496108120132[[#This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Legal24364860728496108120132[[#This Row],[Projected Cost]]-Legal24364860728496108120132[[#This Row],[Actual Cost]]</f>
        <v>0</v>
      </c>
    </row>
    <row r="57" spans="1:10">
      <c r="B57" s="16" t="s">
        <v>73</v>
      </c>
      <c r="C57" s="17"/>
      <c r="D57" s="17"/>
      <c r="E57" s="17">
        <f>PersonalCare25374961738597109121133[[#This Row],[Projected Cost]]-PersonalCare25374961738597109121133[[#This Row],[Actual Cost]]</f>
        <v>0</v>
      </c>
      <c r="G57" s="18" t="s">
        <v>93</v>
      </c>
      <c r="H57" s="19"/>
      <c r="I57" s="19">
        <f>SUM(Legal24364860728496108120132[Actual Cost])</f>
        <v>0</v>
      </c>
      <c r="J57" s="19">
        <f>SUM(Legal24364860728496108120132[Actual Cost])</f>
        <v>0</v>
      </c>
    </row>
    <row r="58" spans="1:10">
      <c r="B58" s="16" t="s">
        <v>82</v>
      </c>
      <c r="C58" s="17"/>
      <c r="D58" s="17"/>
      <c r="E58" s="17">
        <f>PersonalCare25374961738597109121133[[#This Row],[Projected Cost]]-PersonalCare25374961738597109121133[[#This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PersonalCare25374961738597109121133[[#This Row],[Projected Cost]]-PersonalCare25374961738597109121133[[#This Row],[Actual Cost]]</f>
        <v>0</v>
      </c>
      <c r="G59" s="69" t="s">
        <v>85</v>
      </c>
      <c r="H59" s="69"/>
      <c r="I59" s="69"/>
      <c r="J59" s="70">
        <f>SUBTOTAL(109,Housing1426385062748698110122[Projected Cost],Transportation17294153657789101113125[Projected Cost],Insurance18304254667890102114126[Projected Cost],Food21334557698193105117129[Projected Cost],Pets23354759718395107119131[Projected Cost],PersonalCare25374961738597109121133[Projected Cost],Entertainment1527395163758799111123[Projected Cost],Loans16284052647688100112124[Projected Cost],Taxes19314355677991103115127[Projected Cost],Savings20324456688092104116128[Projected Cost],Gifts22344658708294106118130[Projected Cost],Legal24364860728496108120132[Projected Cost])</f>
        <v>0</v>
      </c>
    </row>
    <row r="60" spans="1:10">
      <c r="B60" s="16" t="s">
        <v>86</v>
      </c>
      <c r="C60" s="17"/>
      <c r="D60" s="17"/>
      <c r="E60" s="17">
        <f>PersonalCare25374961738597109121133[[#This Row],[Projected Cost]]-PersonalCare25374961738597109121133[[#This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PersonalCare25374961738597109121133[[#This Row],[Projected Cost]]-PersonalCare25374961738597109121133[[#This Row],[Actual Cost]]</f>
        <v>0</v>
      </c>
      <c r="G61" s="69" t="s">
        <v>88</v>
      </c>
      <c r="H61" s="69"/>
      <c r="I61" s="69"/>
      <c r="J61" s="70">
        <f>SUBTOTAL(109,Housing1426385062748698110122[Actual Cost],Transportation17294153657789101113125[Actual Cost],Insurance18304254667890102114126[Actual Cost],Food21334557698193105117129[Actual Cost],Pets23354759718395107119131[Actual Cost],PersonalCare25374961738597109121133[Actual Cost],Entertainment1527395163758799111123[Actual Cost],Loans16284052647688100112124[Actual Cost],Taxes19314355677991103115127[Actual Cost],Savings20324456688092104116128[Actual Cost],Gifts22344658708294106118130[Actual Cost],Legal24364860728496108120132[Actual Cost])</f>
        <v>0</v>
      </c>
    </row>
    <row r="62" spans="1:10">
      <c r="B62" s="16" t="s">
        <v>89</v>
      </c>
      <c r="C62" s="17"/>
      <c r="D62" s="17"/>
      <c r="E62" s="17">
        <f>PersonalCare25374961738597109121133[[#This Row],[Projected Cost]]-PersonalCare25374961738597109121133[[#This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PersonalCare25374961738597109121133[[#This Row],[Projected Cost]]-PersonalCare25374961738597109121133[[#This Row],[Actual Cost]]</f>
        <v>0</v>
      </c>
      <c r="G63" s="69" t="s">
        <v>90</v>
      </c>
      <c r="H63" s="69"/>
      <c r="I63" s="69"/>
      <c r="J63" s="70">
        <f>J59-J61</f>
        <v>0</v>
      </c>
    </row>
    <row r="64" spans="1:10">
      <c r="B64" s="18" t="s">
        <v>93</v>
      </c>
      <c r="C64" s="19"/>
      <c r="D64" s="19">
        <f>SUM(PersonalCare25374961738597109121133[Actual Cost])</f>
        <v>0</v>
      </c>
      <c r="E64" s="19">
        <f>SUM(PersonalCare25374961738597109121133[Actual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G59:I60"/>
    <mergeCell ref="J59:J60"/>
    <mergeCell ref="G61:I62"/>
    <mergeCell ref="J61:J62"/>
    <mergeCell ref="G63:I64"/>
    <mergeCell ref="J63:J64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conditionalFormatting sqref="J8:J9">
    <cfRule type="cellIs" dxfId="3" priority="2" operator="lessThan">
      <formula>0</formula>
    </cfRule>
  </conditionalFormatting>
  <conditionalFormatting sqref="J63:J64">
    <cfRule type="cellIs" dxfId="2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0A1E-13F7-204C-81A0-FF9E5CBD1E5F}">
  <sheetPr>
    <tabColor theme="4"/>
    <pageSetUpPr autoPageBreaks="0" fitToPage="1"/>
  </sheetPr>
  <dimension ref="A1:J65"/>
  <sheetViews>
    <sheetView showGridLines="0" topLeftCell="A3" workbookViewId="0">
      <selection activeCell="E9" sqref="E9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110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/>
      <c r="G4" s="76" t="s">
        <v>10</v>
      </c>
      <c r="H4" s="77"/>
      <c r="I4" s="77"/>
      <c r="J4" s="70">
        <f>E6-J59</f>
        <v>0</v>
      </c>
    </row>
    <row r="5" spans="1:10">
      <c r="B5" s="74"/>
      <c r="C5" s="71" t="s">
        <v>11</v>
      </c>
      <c r="D5" s="72"/>
      <c r="E5" s="5"/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0</v>
      </c>
      <c r="G6" s="76" t="s">
        <v>14</v>
      </c>
      <c r="H6" s="77"/>
      <c r="I6" s="77"/>
      <c r="J6" s="70">
        <f>E10-J61</f>
        <v>0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/>
      <c r="G8" s="76" t="s">
        <v>17</v>
      </c>
      <c r="H8" s="77"/>
      <c r="I8" s="77"/>
      <c r="J8" s="70">
        <f>J6-J4</f>
        <v>0</v>
      </c>
    </row>
    <row r="9" spans="1:10">
      <c r="B9" s="74"/>
      <c r="C9" s="71" t="s">
        <v>11</v>
      </c>
      <c r="D9" s="72"/>
      <c r="E9" s="5"/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/>
      <c r="D13" s="17"/>
      <c r="E13" s="17">
        <f>Housing1426385062748698110122134[[#This Row],[Projected Cost]]-Housing1426385062748698110122134[[#This Row],[Actual Cost]]</f>
        <v>0</v>
      </c>
      <c r="G13" s="16" t="s">
        <v>25</v>
      </c>
      <c r="H13" s="17"/>
      <c r="I13" s="17"/>
      <c r="J13" s="17">
        <f>Entertainment1527395163758799111123135[[#This Row],[Projected Cost]]-Entertainment1527395163758799111123135[[#This Row],[Actual Cost]]</f>
        <v>0</v>
      </c>
    </row>
    <row r="14" spans="1:10">
      <c r="B14" s="16" t="s">
        <v>26</v>
      </c>
      <c r="C14" s="17"/>
      <c r="D14" s="17"/>
      <c r="E14" s="17">
        <f>Housing1426385062748698110122134[[#This Row],[Projected Cost]]-Housing1426385062748698110122134[[#This Row],[Actual Cost]]</f>
        <v>0</v>
      </c>
      <c r="G14" s="16" t="s">
        <v>27</v>
      </c>
      <c r="H14" s="17"/>
      <c r="I14" s="17"/>
      <c r="J14" s="17">
        <f>Entertainment1527395163758799111123135[[#This Row],[Projected Cost]]-Entertainment1527395163758799111123135[[#This Row],[Actual Cost]]</f>
        <v>0</v>
      </c>
    </row>
    <row r="15" spans="1:10">
      <c r="B15" s="16" t="s">
        <v>28</v>
      </c>
      <c r="C15" s="17"/>
      <c r="D15" s="17"/>
      <c r="E15" s="17">
        <f>Housing1426385062748698110122134[[#This Row],[Projected Cost]]-Housing1426385062748698110122134[[#This Row],[Actual Cost]]</f>
        <v>0</v>
      </c>
      <c r="G15" s="16" t="s">
        <v>29</v>
      </c>
      <c r="H15" s="17"/>
      <c r="I15" s="17"/>
      <c r="J15" s="17">
        <f>Entertainment1527395163758799111123135[[#This Row],[Projected Cost]]-Entertainment1527395163758799111123135[[#This Row],[Actual Cost]]</f>
        <v>0</v>
      </c>
    </row>
    <row r="16" spans="1:10">
      <c r="B16" s="16" t="s">
        <v>30</v>
      </c>
      <c r="C16" s="17"/>
      <c r="D16" s="17"/>
      <c r="E16" s="17">
        <f>Housing1426385062748698110122134[[#This Row],[Projected Cost]]-Housing1426385062748698110122134[[#This Row],[Actual Cost]]</f>
        <v>0</v>
      </c>
      <c r="G16" s="16" t="s">
        <v>31</v>
      </c>
      <c r="H16" s="17"/>
      <c r="I16" s="17"/>
      <c r="J16" s="17">
        <f>Entertainment1527395163758799111123135[[#This Row],[Projected Cost]]-Entertainment1527395163758799111123135[[#This Row],[Actual Cost]]</f>
        <v>0</v>
      </c>
    </row>
    <row r="17" spans="1:10">
      <c r="B17" s="16" t="s">
        <v>32</v>
      </c>
      <c r="C17" s="17"/>
      <c r="D17" s="17"/>
      <c r="E17" s="17">
        <f>Housing1426385062748698110122134[[#This Row],[Projected Cost]]-Housing1426385062748698110122134[[#This Row],[Actual Cost]]</f>
        <v>0</v>
      </c>
      <c r="G17" s="16" t="s">
        <v>33</v>
      </c>
      <c r="H17" s="17"/>
      <c r="I17" s="17"/>
      <c r="J17" s="17">
        <f>Entertainment1527395163758799111123135[[#This Row],[Projected Cost]]-Entertainment1527395163758799111123135[[#This Row],[Actual Cost]]</f>
        <v>0</v>
      </c>
    </row>
    <row r="18" spans="1:10">
      <c r="B18" s="16" t="s">
        <v>34</v>
      </c>
      <c r="C18" s="17"/>
      <c r="D18" s="17"/>
      <c r="E18" s="17">
        <f>Housing1426385062748698110122134[[#This Row],[Projected Cost]]-Housing1426385062748698110122134[[#This Row],[Actual Cost]]</f>
        <v>0</v>
      </c>
      <c r="G18" s="16" t="s">
        <v>35</v>
      </c>
      <c r="H18" s="17"/>
      <c r="I18" s="17"/>
      <c r="J18" s="17">
        <f>Entertainment1527395163758799111123135[[#This Row],[Projected Cost]]-Entertainment1527395163758799111123135[[#This Row],[Actual Cost]]</f>
        <v>0</v>
      </c>
    </row>
    <row r="19" spans="1:10">
      <c r="B19" s="16" t="s">
        <v>36</v>
      </c>
      <c r="C19" s="17"/>
      <c r="D19" s="17"/>
      <c r="E19" s="17">
        <f>Housing1426385062748698110122134[[#This Row],[Projected Cost]]-Housing1426385062748698110122134[[#This Row],[Actual Cost]]</f>
        <v>0</v>
      </c>
      <c r="G19" s="16" t="s">
        <v>37</v>
      </c>
      <c r="H19" s="17"/>
      <c r="I19" s="17"/>
      <c r="J19" s="17">
        <f>Entertainment1527395163758799111123135[[#This Row],[Projected Cost]]-Entertainment1527395163758799111123135[[#This Row],[Actual Cost]]</f>
        <v>0</v>
      </c>
    </row>
    <row r="20" spans="1:10">
      <c r="B20" s="16" t="s">
        <v>38</v>
      </c>
      <c r="C20" s="17"/>
      <c r="D20" s="17"/>
      <c r="E20" s="17">
        <f>Housing1426385062748698110122134[[#This Row],[Projected Cost]]-Housing1426385062748698110122134[[#This Row],[Actual Cost]]</f>
        <v>0</v>
      </c>
      <c r="G20" s="16" t="s">
        <v>37</v>
      </c>
      <c r="H20" s="17"/>
      <c r="I20" s="17"/>
      <c r="J20" s="17">
        <f>Entertainment1527395163758799111123135[[#This Row],[Projected Cost]]-Entertainment1527395163758799111123135[[#This Row],[Actual Cost]]</f>
        <v>0</v>
      </c>
    </row>
    <row r="21" spans="1:10">
      <c r="B21" s="16" t="s">
        <v>39</v>
      </c>
      <c r="C21" s="17"/>
      <c r="D21" s="17"/>
      <c r="E21" s="17">
        <f>Housing1426385062748698110122134[[#This Row],[Projected Cost]]-Housing1426385062748698110122134[[#This Row],[Actual Cost]]</f>
        <v>0</v>
      </c>
      <c r="G21" s="16" t="s">
        <v>37</v>
      </c>
      <c r="H21" s="17"/>
      <c r="I21" s="17"/>
      <c r="J21" s="17">
        <f>Entertainment1527395163758799111123135[[#This Row],[Projected Cost]]-Entertainment1527395163758799111123135[[#This Row],[Actual Cost]]</f>
        <v>0</v>
      </c>
    </row>
    <row r="22" spans="1:10">
      <c r="B22" s="16" t="s">
        <v>37</v>
      </c>
      <c r="C22" s="17"/>
      <c r="D22" s="17"/>
      <c r="E22" s="17">
        <f>Housing1426385062748698110122134[[#This Row],[Projected Cost]]-Housing1426385062748698110122134[[#This Row],[Actual Cost]]</f>
        <v>0</v>
      </c>
      <c r="G22" s="18" t="s">
        <v>93</v>
      </c>
      <c r="H22" s="19"/>
      <c r="I22" s="19">
        <f>SUM(Entertainment1527395163758799111123135[Actual Cost])</f>
        <v>0</v>
      </c>
      <c r="J22" s="19">
        <f>SUM(Entertainment1527395163758799111123135[Actual Cost])</f>
        <v>0</v>
      </c>
    </row>
    <row r="23" spans="1:10">
      <c r="B23" s="18" t="s">
        <v>93</v>
      </c>
      <c r="C23" s="19"/>
      <c r="D23" s="19">
        <f>SUM(D13:D22)</f>
        <v>0</v>
      </c>
      <c r="E23" s="19">
        <f>SUM(E13:E22)</f>
        <v>0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Loans16284052647688100112124136[[#This Row],[Projected Cost]]-Loans16284052647688100112124136[[#This Row],[Actual Cost]]</f>
        <v>0</v>
      </c>
    </row>
    <row r="26" spans="1:10">
      <c r="B26" s="16" t="s">
        <v>44</v>
      </c>
      <c r="C26" s="17"/>
      <c r="D26" s="17"/>
      <c r="E26" s="17">
        <f>Transportation17294153657789101113125137[[#This Row],[Projected Cost]]-Transportation17294153657789101113125137[[#This Row],[Actual Cost]]</f>
        <v>0</v>
      </c>
      <c r="G26" s="16" t="s">
        <v>45</v>
      </c>
      <c r="H26" s="17"/>
      <c r="I26" s="17"/>
      <c r="J26" s="17">
        <f>Loans16284052647688100112124136[[#This Row],[Projected Cost]]-Loans16284052647688100112124136[[#This Row],[Actual Cost]]</f>
        <v>0</v>
      </c>
    </row>
    <row r="27" spans="1:10">
      <c r="B27" s="16" t="s">
        <v>46</v>
      </c>
      <c r="C27" s="17"/>
      <c r="D27" s="17"/>
      <c r="E27" s="17">
        <f>Transportation17294153657789101113125137[[#This Row],[Projected Cost]]-Transportation17294153657789101113125137[[#This Row],[Actual Cost]]</f>
        <v>0</v>
      </c>
      <c r="G27" s="16" t="s">
        <v>47</v>
      </c>
      <c r="H27" s="17"/>
      <c r="I27" s="17"/>
      <c r="J27" s="17">
        <f>Loans16284052647688100112124136[[#This Row],[Projected Cost]]-Loans16284052647688100112124136[[#This Row],[Actual Cost]]</f>
        <v>0</v>
      </c>
    </row>
    <row r="28" spans="1:10">
      <c r="B28" s="16" t="s">
        <v>48</v>
      </c>
      <c r="C28" s="17"/>
      <c r="D28" s="17"/>
      <c r="E28" s="17">
        <f>Transportation17294153657789101113125137[[#This Row],[Projected Cost]]-Transportation17294153657789101113125137[[#This Row],[Actual Cost]]</f>
        <v>0</v>
      </c>
      <c r="G28" s="16" t="s">
        <v>47</v>
      </c>
      <c r="H28" s="17"/>
      <c r="I28" s="17"/>
      <c r="J28" s="17">
        <f>Loans16284052647688100112124136[[#This Row],[Projected Cost]]-Loans16284052647688100112124136[[#This Row],[Actual Cost]]</f>
        <v>0</v>
      </c>
    </row>
    <row r="29" spans="1:10">
      <c r="B29" s="16" t="s">
        <v>49</v>
      </c>
      <c r="C29" s="17"/>
      <c r="D29" s="17"/>
      <c r="E29" s="17">
        <f>Transportation17294153657789101113125137[[#This Row],[Projected Cost]]-Transportation17294153657789101113125137[[#This Row],[Actual Cost]]</f>
        <v>0</v>
      </c>
      <c r="G29" s="16" t="s">
        <v>47</v>
      </c>
      <c r="H29" s="17"/>
      <c r="I29" s="17"/>
      <c r="J29" s="17">
        <f>Loans16284052647688100112124136[[#This Row],[Projected Cost]]-Loans16284052647688100112124136[[#This Row],[Actual Cost]]</f>
        <v>0</v>
      </c>
    </row>
    <row r="30" spans="1:10">
      <c r="B30" s="16" t="s">
        <v>50</v>
      </c>
      <c r="C30" s="17"/>
      <c r="D30" s="17"/>
      <c r="E30" s="17">
        <f>Transportation17294153657789101113125137[[#This Row],[Projected Cost]]-Transportation17294153657789101113125137[[#This Row],[Actual Cost]]</f>
        <v>0</v>
      </c>
      <c r="G30" s="16" t="s">
        <v>37</v>
      </c>
      <c r="H30" s="17"/>
      <c r="I30" s="17"/>
      <c r="J30" s="17">
        <f>Loans16284052647688100112124136[[#This Row],[Projected Cost]]-Loans16284052647688100112124136[[#This Row],[Actual Cost]]</f>
        <v>0</v>
      </c>
    </row>
    <row r="31" spans="1:10">
      <c r="B31" s="16" t="s">
        <v>38</v>
      </c>
      <c r="C31" s="17"/>
      <c r="D31" s="17"/>
      <c r="E31" s="17">
        <f>Transportation17294153657789101113125137[[#This Row],[Projected Cost]]-Transportation17294153657789101113125137[[#This Row],[Actual Cost]]</f>
        <v>0</v>
      </c>
      <c r="G31" s="18" t="s">
        <v>93</v>
      </c>
      <c r="H31" s="19"/>
      <c r="I31" s="19">
        <f>SUM(Loans16284052647688100112124136[Actual Cost])</f>
        <v>0</v>
      </c>
      <c r="J31" s="19">
        <f>SUM(Loans16284052647688100112124136[Actual Cost])</f>
        <v>0</v>
      </c>
    </row>
    <row r="32" spans="1:10">
      <c r="B32" s="16" t="s">
        <v>37</v>
      </c>
      <c r="C32" s="17"/>
      <c r="D32" s="17"/>
      <c r="E32" s="17">
        <f>Transportation17294153657789101113125137[[#This Row],[Projected Cost]]-Transportation17294153657789101113125137[[#This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SUM(Transportation17294153657789101113125137[Actual Cost])</f>
        <v>0</v>
      </c>
      <c r="E33" s="19">
        <f>SUM(Transportation17294153657789101113125137[Actual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Taxes19314355677991103115127139[[#This Row],[Projected Cost]]-Taxes19314355677991103115127139[[#This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Taxes19314355677991103115127139[[#This Row],[Projected Cost]]-Taxes19314355677991103115127139[[#This Row],[Actual Cost]]</f>
        <v>0</v>
      </c>
    </row>
    <row r="36" spans="1:10">
      <c r="B36" s="16" t="s">
        <v>94</v>
      </c>
      <c r="C36" s="17"/>
      <c r="D36" s="17"/>
      <c r="E36" s="17">
        <f>Insurance18304254667890102114126138[[#This Row],[Projected Cost]]-Insurance18304254667890102114126138[[#This Row],[Actual Cost]]</f>
        <v>0</v>
      </c>
      <c r="G36" s="16" t="s">
        <v>56</v>
      </c>
      <c r="H36" s="17"/>
      <c r="I36" s="17"/>
      <c r="J36" s="17">
        <f>Taxes19314355677991103115127139[[#This Row],[Projected Cost]]-Taxes19314355677991103115127139[[#This Row],[Actual Cost]]</f>
        <v>0</v>
      </c>
    </row>
    <row r="37" spans="1:10">
      <c r="B37" s="16" t="s">
        <v>57</v>
      </c>
      <c r="C37" s="17"/>
      <c r="D37" s="17"/>
      <c r="E37" s="17">
        <f>Insurance18304254667890102114126138[[#This Row],[Projected Cost]]-Insurance18304254667890102114126138[[#This Row],[Actual Cost]]</f>
        <v>0</v>
      </c>
      <c r="G37" s="16" t="s">
        <v>37</v>
      </c>
      <c r="H37" s="17"/>
      <c r="I37" s="17"/>
      <c r="J37" s="17">
        <f>Taxes19314355677991103115127139[[#This Row],[Projected Cost]]-Taxes19314355677991103115127139[[#This Row],[Actual Cost]]</f>
        <v>0</v>
      </c>
    </row>
    <row r="38" spans="1:10">
      <c r="B38" s="16" t="s">
        <v>58</v>
      </c>
      <c r="C38" s="17"/>
      <c r="D38" s="17"/>
      <c r="E38" s="17">
        <f>Insurance18304254667890102114126138[[#This Row],[Projected Cost]]-Insurance18304254667890102114126138[[#This Row],[Actual Cost]]</f>
        <v>0</v>
      </c>
      <c r="G38" s="18" t="s">
        <v>93</v>
      </c>
      <c r="H38" s="19"/>
      <c r="I38" s="19">
        <f>SUM(Taxes19314355677991103115127139[Actual Cost])</f>
        <v>0</v>
      </c>
      <c r="J38" s="19">
        <f>SUM(Taxes19314355677991103115127139[Actual Cost])</f>
        <v>0</v>
      </c>
    </row>
    <row r="39" spans="1:10">
      <c r="B39" s="16" t="s">
        <v>37</v>
      </c>
      <c r="C39" s="17"/>
      <c r="D39" s="17"/>
      <c r="E39" s="17">
        <f>Insurance18304254667890102114126138[[#This Row],[Projected Cost]]-Insurance18304254667890102114126138[[#This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SUM(Insurance18304254667890102114126138[Actual Cost])</f>
        <v>0</v>
      </c>
      <c r="E40" s="19">
        <f>SUM(Insurance18304254667890102114126138[Actual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Savings20324456688092104116128140[[#This Row],[Projected Cost]]-Savings20324456688092104116128140[[#This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Savings20324456688092104116128140[[#This Row],[Projected Cost]]-Savings20324456688092104116128140[[#This Row],[Actual Cost]]</f>
        <v>0</v>
      </c>
    </row>
    <row r="43" spans="1:10">
      <c r="B43" s="16" t="s">
        <v>64</v>
      </c>
      <c r="C43" s="17"/>
      <c r="D43" s="17"/>
      <c r="E43" s="17">
        <f>Food21334557698193105117129141[[#This Row],[Projected Cost]]-Food21334557698193105117129141[[#This Row],[Actual Cost]]</f>
        <v>0</v>
      </c>
      <c r="G43" s="16" t="s">
        <v>37</v>
      </c>
      <c r="H43" s="17"/>
      <c r="I43" s="17"/>
      <c r="J43" s="17">
        <f>Savings20324456688092104116128140[[#This Row],[Projected Cost]]-Savings20324456688092104116128140[[#This Row],[Actual Cost]]</f>
        <v>0</v>
      </c>
    </row>
    <row r="44" spans="1:10">
      <c r="B44" s="16" t="s">
        <v>65</v>
      </c>
      <c r="C44" s="17"/>
      <c r="D44" s="17"/>
      <c r="E44" s="17">
        <f>Food21334557698193105117129141[[#This Row],[Projected Cost]]-Food21334557698193105117129141[[#This Row],[Actual Cost]]</f>
        <v>0</v>
      </c>
      <c r="G44" s="18" t="s">
        <v>93</v>
      </c>
      <c r="H44" s="19"/>
      <c r="I44" s="19">
        <f>SUM(Savings20324456688092104116128140[Actual Cost])</f>
        <v>0</v>
      </c>
      <c r="J44" s="19">
        <f>SUM(Savings20324456688092104116128140[Actual Cost])</f>
        <v>0</v>
      </c>
    </row>
    <row r="45" spans="1:10">
      <c r="B45" s="16" t="s">
        <v>37</v>
      </c>
      <c r="C45" s="17"/>
      <c r="D45" s="17"/>
      <c r="E45" s="17">
        <f>Food21334557698193105117129141[[#This Row],[Projected Cost]]-Food21334557698193105117129141[[#This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SUM(Food21334557698193105117129141[Actual Cost])</f>
        <v>0</v>
      </c>
      <c r="E46" s="19">
        <f>SUM(Food21334557698193105117129141[Actual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Gifts22344658708294106118130142[[#This Row],[Projected Cost]]-Gifts22344658708294106118130142[[#This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Gifts22344658708294106118130142[[#This Row],[Projected Cost]]-Gifts22344658708294106118130142[[#This Row],[Actual Cost]]</f>
        <v>0</v>
      </c>
    </row>
    <row r="49" spans="1:10">
      <c r="B49" s="16" t="s">
        <v>71</v>
      </c>
      <c r="C49" s="17"/>
      <c r="D49" s="17"/>
      <c r="E49" s="17">
        <f>Pets23354759718395107119131143[[#This Row],[Projected Cost]]-Pets23354759718395107119131143[[#This Row],[Actual Cost]]</f>
        <v>0</v>
      </c>
      <c r="G49" s="16" t="s">
        <v>72</v>
      </c>
      <c r="H49" s="17"/>
      <c r="I49" s="17"/>
      <c r="J49" s="17">
        <f>Gifts22344658708294106118130142[[#This Row],[Projected Cost]]-Gifts22344658708294106118130142[[#This Row],[Actual Cost]]</f>
        <v>0</v>
      </c>
    </row>
    <row r="50" spans="1:10">
      <c r="B50" s="16" t="s">
        <v>73</v>
      </c>
      <c r="C50" s="17"/>
      <c r="D50" s="17"/>
      <c r="E50" s="17">
        <f>Pets23354759718395107119131143[[#This Row],[Projected Cost]]-Pets23354759718395107119131143[[#This Row],[Actual Cost]]</f>
        <v>0</v>
      </c>
      <c r="G50" s="18" t="s">
        <v>93</v>
      </c>
      <c r="H50" s="19"/>
      <c r="I50" s="19">
        <f>SUM(Gifts22344658708294106118130142[Actual Cost])</f>
        <v>0</v>
      </c>
      <c r="J50" s="19">
        <f>SUM(Gifts22344658708294106118130142[Actual Cost])</f>
        <v>0</v>
      </c>
    </row>
    <row r="51" spans="1:10">
      <c r="B51" s="16" t="s">
        <v>74</v>
      </c>
      <c r="C51" s="17"/>
      <c r="D51" s="17"/>
      <c r="E51" s="17">
        <f>Pets23354759718395107119131143[[#This Row],[Projected Cost]]-Pets23354759718395107119131143[[#This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Pets23354759718395107119131143[[#This Row],[Projected Cost]]-Pets23354759718395107119131143[[#This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Pets23354759718395107119131143[[#This Row],[Projected Cost]]-Pets23354759718395107119131143[[#This Row],[Actual Cost]]</f>
        <v>0</v>
      </c>
      <c r="G53" s="16" t="s">
        <v>77</v>
      </c>
      <c r="H53" s="17"/>
      <c r="I53" s="17"/>
      <c r="J53" s="17">
        <f>Legal24364860728496108120132144[[#This Row],[Projected Cost]]-Legal24364860728496108120132144[[#This Row],[Actual Cost]]</f>
        <v>0</v>
      </c>
    </row>
    <row r="54" spans="1:10">
      <c r="B54" s="18" t="s">
        <v>93</v>
      </c>
      <c r="C54" s="19"/>
      <c r="D54" s="19">
        <f>SUM(Pets23354759718395107119131143[Actual Cost])</f>
        <v>0</v>
      </c>
      <c r="E54" s="19">
        <f>SUM(Pets23354759718395107119131143[Actual Cost])</f>
        <v>0</v>
      </c>
      <c r="G54" s="16" t="s">
        <v>78</v>
      </c>
      <c r="H54" s="17"/>
      <c r="I54" s="17"/>
      <c r="J54" s="17">
        <f>Legal24364860728496108120132144[[#This Row],[Projected Cost]]-Legal24364860728496108120132144[[#This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Legal24364860728496108120132144[[#This Row],[Projected Cost]]-Legal24364860728496108120132144[[#This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Legal24364860728496108120132144[[#This Row],[Projected Cost]]-Legal24364860728496108120132144[[#This Row],[Actual Cost]]</f>
        <v>0</v>
      </c>
    </row>
    <row r="57" spans="1:10">
      <c r="B57" s="16" t="s">
        <v>73</v>
      </c>
      <c r="C57" s="17"/>
      <c r="D57" s="17"/>
      <c r="E57" s="17">
        <f>PersonalCare25374961738597109121133145[[#This Row],[Projected Cost]]-PersonalCare25374961738597109121133145[[#This Row],[Actual Cost]]</f>
        <v>0</v>
      </c>
      <c r="G57" s="18" t="s">
        <v>93</v>
      </c>
      <c r="H57" s="19"/>
      <c r="I57" s="19">
        <f>SUM(Legal24364860728496108120132144[Actual Cost])</f>
        <v>0</v>
      </c>
      <c r="J57" s="19">
        <f>SUM(Legal24364860728496108120132144[Actual Cost])</f>
        <v>0</v>
      </c>
    </row>
    <row r="58" spans="1:10">
      <c r="B58" s="16" t="s">
        <v>82</v>
      </c>
      <c r="C58" s="17"/>
      <c r="D58" s="17"/>
      <c r="E58" s="17">
        <f>PersonalCare25374961738597109121133145[[#This Row],[Projected Cost]]-PersonalCare25374961738597109121133145[[#This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PersonalCare25374961738597109121133145[[#This Row],[Projected Cost]]-PersonalCare25374961738597109121133145[[#This Row],[Actual Cost]]</f>
        <v>0</v>
      </c>
      <c r="G59" s="69" t="s">
        <v>85</v>
      </c>
      <c r="H59" s="69"/>
      <c r="I59" s="69"/>
      <c r="J59" s="70">
        <f>SUBTOTAL(109,Housing1426385062748698110122134[Projected Cost],Transportation17294153657789101113125137[Projected Cost],Insurance18304254667890102114126138[Projected Cost],Food21334557698193105117129141[Projected Cost],Pets23354759718395107119131143[Projected Cost],PersonalCare25374961738597109121133145[Projected Cost],Entertainment1527395163758799111123135[Projected Cost],Loans16284052647688100112124136[Projected Cost],Taxes19314355677991103115127139[Projected Cost],Savings20324456688092104116128140[Projected Cost],Gifts22344658708294106118130142[Projected Cost],Legal24364860728496108120132144[Projected Cost])</f>
        <v>0</v>
      </c>
    </row>
    <row r="60" spans="1:10">
      <c r="B60" s="16" t="s">
        <v>86</v>
      </c>
      <c r="C60" s="17"/>
      <c r="D60" s="17"/>
      <c r="E60" s="17">
        <f>PersonalCare25374961738597109121133145[[#This Row],[Projected Cost]]-PersonalCare25374961738597109121133145[[#This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PersonalCare25374961738597109121133145[[#This Row],[Projected Cost]]-PersonalCare25374961738597109121133145[[#This Row],[Actual Cost]]</f>
        <v>0</v>
      </c>
      <c r="G61" s="69" t="s">
        <v>88</v>
      </c>
      <c r="H61" s="69"/>
      <c r="I61" s="69"/>
      <c r="J61" s="70">
        <f>SUBTOTAL(109,Housing1426385062748698110122134[Actual Cost],Transportation17294153657789101113125137[Actual Cost],Insurance18304254667890102114126138[Actual Cost],Food21334557698193105117129141[Actual Cost],Pets23354759718395107119131143[Actual Cost],PersonalCare25374961738597109121133145[Actual Cost],Entertainment1527395163758799111123135[Actual Cost],Loans16284052647688100112124136[Actual Cost],Taxes19314355677991103115127139[Actual Cost],Savings20324456688092104116128140[Actual Cost],Gifts22344658708294106118130142[Actual Cost],Legal24364860728496108120132144[Actual Cost])</f>
        <v>0</v>
      </c>
    </row>
    <row r="62" spans="1:10">
      <c r="B62" s="16" t="s">
        <v>89</v>
      </c>
      <c r="C62" s="17"/>
      <c r="D62" s="17"/>
      <c r="E62" s="17">
        <f>PersonalCare25374961738597109121133145[[#This Row],[Projected Cost]]-PersonalCare25374961738597109121133145[[#This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PersonalCare25374961738597109121133145[[#This Row],[Projected Cost]]-PersonalCare25374961738597109121133145[[#This Row],[Actual Cost]]</f>
        <v>0</v>
      </c>
      <c r="G63" s="69" t="s">
        <v>90</v>
      </c>
      <c r="H63" s="69"/>
      <c r="I63" s="69"/>
      <c r="J63" s="70">
        <f>J59-J61</f>
        <v>0</v>
      </c>
    </row>
    <row r="64" spans="1:10">
      <c r="B64" s="18" t="s">
        <v>93</v>
      </c>
      <c r="C64" s="19"/>
      <c r="D64" s="19">
        <f>SUM(PersonalCare25374961738597109121133145[Actual Cost])</f>
        <v>0</v>
      </c>
      <c r="E64" s="19">
        <f>SUM(PersonalCare25374961738597109121133145[Actual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G59:I60"/>
    <mergeCell ref="J59:J60"/>
    <mergeCell ref="G61:I62"/>
    <mergeCell ref="J61:J62"/>
    <mergeCell ref="G63:I64"/>
    <mergeCell ref="J63:J64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conditionalFormatting sqref="J8:J9">
    <cfRule type="cellIs" dxfId="1" priority="2" operator="lessThan">
      <formula>0</formula>
    </cfRule>
  </conditionalFormatting>
  <conditionalFormatting sqref="J63:J64">
    <cfRule type="cellIs" dxfId="0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D48F9-29EA-7641-889F-876170432BB3}">
  <sheetPr>
    <outlinePr summaryBelow="0" summaryRight="0"/>
    <pageSetUpPr fitToPage="1"/>
  </sheetPr>
  <dimension ref="A1:O1050"/>
  <sheetViews>
    <sheetView showGridLines="0" workbookViewId="0">
      <pane ySplit="4" topLeftCell="A5" activePane="bottomLeft" state="frozen"/>
      <selection pane="bottomLeft" activeCell="N1" sqref="N1"/>
    </sheetView>
  </sheetViews>
  <sheetFormatPr baseColWidth="10" defaultColWidth="15.19921875" defaultRowHeight="15" customHeight="1"/>
  <cols>
    <col min="1" max="1" width="27.19921875" style="13" customWidth="1"/>
    <col min="2" max="13" width="10.3984375" style="13" customWidth="1"/>
    <col min="14" max="14" width="5.19921875" style="13" customWidth="1"/>
    <col min="15" max="15" width="25.19921875" style="50" bestFit="1" customWidth="1"/>
    <col min="16" max="25" width="17.19921875" style="13" customWidth="1"/>
    <col min="26" max="16384" width="15.19921875" style="13"/>
  </cols>
  <sheetData>
    <row r="1" spans="1:15" ht="19.5" customHeight="1">
      <c r="A1" s="24"/>
      <c r="B1" s="24" t="s">
        <v>122</v>
      </c>
      <c r="C1" s="24" t="s">
        <v>123</v>
      </c>
      <c r="D1" s="24" t="s">
        <v>124</v>
      </c>
      <c r="E1" s="24" t="s">
        <v>125</v>
      </c>
      <c r="F1" s="24" t="s">
        <v>126</v>
      </c>
      <c r="G1" s="24" t="s">
        <v>127</v>
      </c>
      <c r="H1" s="24" t="s">
        <v>128</v>
      </c>
      <c r="I1" s="24" t="s">
        <v>129</v>
      </c>
      <c r="J1" s="24" t="s">
        <v>130</v>
      </c>
      <c r="K1" s="24" t="s">
        <v>131</v>
      </c>
      <c r="L1" s="24" t="s">
        <v>132</v>
      </c>
      <c r="M1" s="24" t="s">
        <v>133</v>
      </c>
      <c r="N1" s="45"/>
      <c r="O1" s="47" t="s">
        <v>135</v>
      </c>
    </row>
    <row r="2" spans="1:15" ht="13.5" customHeight="1">
      <c r="A2" s="25" t="s">
        <v>108</v>
      </c>
      <c r="B2" s="26">
        <f>B8</f>
        <v>4300</v>
      </c>
      <c r="C2" s="26">
        <f t="shared" ref="C2:M2" si="0">C8</f>
        <v>0</v>
      </c>
      <c r="D2" s="26">
        <f t="shared" si="0"/>
        <v>0</v>
      </c>
      <c r="E2" s="26">
        <f t="shared" si="0"/>
        <v>0</v>
      </c>
      <c r="F2" s="26">
        <f t="shared" si="0"/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41">
        <f t="shared" si="0"/>
        <v>0</v>
      </c>
      <c r="N2" s="45"/>
      <c r="O2" s="51">
        <f>SUM(B2:M2)</f>
        <v>4300</v>
      </c>
    </row>
    <row r="3" spans="1:15" ht="13.5" customHeight="1">
      <c r="A3" s="25" t="s">
        <v>109</v>
      </c>
      <c r="B3" s="26">
        <f>B99</f>
        <v>1236</v>
      </c>
      <c r="C3" s="26">
        <f t="shared" ref="C3:M3" si="1">C99</f>
        <v>0</v>
      </c>
      <c r="D3" s="26">
        <f t="shared" si="1"/>
        <v>0</v>
      </c>
      <c r="E3" s="26">
        <f t="shared" si="1"/>
        <v>0</v>
      </c>
      <c r="F3" s="26">
        <f t="shared" si="1"/>
        <v>0</v>
      </c>
      <c r="G3" s="26">
        <f t="shared" si="1"/>
        <v>0</v>
      </c>
      <c r="H3" s="26">
        <f t="shared" si="1"/>
        <v>0</v>
      </c>
      <c r="I3" s="26">
        <f t="shared" si="1"/>
        <v>0</v>
      </c>
      <c r="J3" s="26">
        <f t="shared" si="1"/>
        <v>0</v>
      </c>
      <c r="K3" s="26">
        <f t="shared" si="1"/>
        <v>0</v>
      </c>
      <c r="L3" s="26">
        <f t="shared" si="1"/>
        <v>0</v>
      </c>
      <c r="M3" s="41">
        <f t="shared" si="1"/>
        <v>0</v>
      </c>
      <c r="N3" s="45"/>
      <c r="O3" s="51">
        <f>SUM(B3:M3)</f>
        <v>1236</v>
      </c>
    </row>
    <row r="4" spans="1:15" ht="13.5" customHeight="1" thickBot="1">
      <c r="A4" s="27" t="s">
        <v>134</v>
      </c>
      <c r="B4" s="23">
        <f>B2-B3</f>
        <v>3064</v>
      </c>
      <c r="C4" s="23">
        <f t="shared" ref="C4:M4" si="2">C2-C3</f>
        <v>0</v>
      </c>
      <c r="D4" s="23">
        <f t="shared" si="2"/>
        <v>0</v>
      </c>
      <c r="E4" s="23">
        <f t="shared" si="2"/>
        <v>0</v>
      </c>
      <c r="F4" s="23">
        <f t="shared" si="2"/>
        <v>0</v>
      </c>
      <c r="G4" s="23">
        <f t="shared" si="2"/>
        <v>0</v>
      </c>
      <c r="H4" s="23">
        <f t="shared" si="2"/>
        <v>0</v>
      </c>
      <c r="I4" s="23">
        <f t="shared" si="2"/>
        <v>0</v>
      </c>
      <c r="J4" s="23">
        <f t="shared" si="2"/>
        <v>0</v>
      </c>
      <c r="K4" s="23">
        <f t="shared" si="2"/>
        <v>0</v>
      </c>
      <c r="L4" s="23">
        <f t="shared" si="2"/>
        <v>0</v>
      </c>
      <c r="M4" s="42">
        <f t="shared" si="2"/>
        <v>0</v>
      </c>
      <c r="N4" s="45"/>
      <c r="O4" s="54">
        <f>SUM(B4:M4)</f>
        <v>3064</v>
      </c>
    </row>
    <row r="5" spans="1:15" ht="13.5" customHeight="1">
      <c r="A5" s="64" t="s">
        <v>92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45"/>
      <c r="O5" s="48" t="s">
        <v>137</v>
      </c>
    </row>
    <row r="6" spans="1:15" ht="13.5" customHeight="1">
      <c r="A6" s="20" t="s">
        <v>9</v>
      </c>
      <c r="B6" s="21">
        <f>'PERSONAL MONTHLY BUDGET (1)'!$E8</f>
        <v>4000</v>
      </c>
      <c r="C6" s="21">
        <f>'PERSONAL MONTHLY BUDGET (2)'!$E8</f>
        <v>0</v>
      </c>
      <c r="D6" s="21">
        <f>'PERSONAL MONTHLY BUDGET (3)'!$E8</f>
        <v>0</v>
      </c>
      <c r="E6" s="21">
        <f>'PERSONAL MONTHLY BUDGET (4)'!$E8</f>
        <v>0</v>
      </c>
      <c r="F6" s="21">
        <f>'PERSONAL MONTHLY BUDGET (5)'!$E8</f>
        <v>0</v>
      </c>
      <c r="G6" s="21">
        <f>'PERSONAL MONTHLY BUDGET (6)'!$E8</f>
        <v>0</v>
      </c>
      <c r="H6" s="21">
        <f>'PERSONAL MONTHLY BUDGET (7)'!$E8</f>
        <v>0</v>
      </c>
      <c r="I6" s="21">
        <f>'PERSONAL MONTHLY BUDGET (8)'!$E8</f>
        <v>0</v>
      </c>
      <c r="J6" s="21">
        <f>'PERSONAL MONTHLY BUDGET (9)'!$E8</f>
        <v>0</v>
      </c>
      <c r="K6" s="21">
        <f>'PERSONAL MONTHLY BUDGET (10)'!$E8</f>
        <v>0</v>
      </c>
      <c r="L6" s="21">
        <f>'PERSONAL MONTHLY BUDGET (11)'!$E8</f>
        <v>0</v>
      </c>
      <c r="M6" s="43">
        <f>'PERSONAL MONTHLY BUDGET (12)'!$E8</f>
        <v>0</v>
      </c>
      <c r="N6" s="45"/>
      <c r="O6" s="51">
        <f>SUM(B6:M6)</f>
        <v>4000</v>
      </c>
    </row>
    <row r="7" spans="1:15" ht="13.5" customHeight="1" thickBot="1">
      <c r="A7" s="30" t="s">
        <v>95</v>
      </c>
      <c r="B7" s="28">
        <f>'PERSONAL MONTHLY BUDGET (1)'!$E9</f>
        <v>300</v>
      </c>
      <c r="C7" s="21">
        <f>'PERSONAL MONTHLY BUDGET (2)'!$E9</f>
        <v>0</v>
      </c>
      <c r="D7" s="21">
        <f>'PERSONAL MONTHLY BUDGET (3)'!$E9</f>
        <v>0</v>
      </c>
      <c r="E7" s="21">
        <f>'PERSONAL MONTHLY BUDGET (4)'!$E9</f>
        <v>0</v>
      </c>
      <c r="F7" s="21">
        <f>'PERSONAL MONTHLY BUDGET (5)'!$E9</f>
        <v>0</v>
      </c>
      <c r="G7" s="21">
        <f>'PERSONAL MONTHLY BUDGET (6)'!$E9</f>
        <v>0</v>
      </c>
      <c r="H7" s="21">
        <f>'PERSONAL MONTHLY BUDGET (7)'!$E9</f>
        <v>0</v>
      </c>
      <c r="I7" s="21">
        <f>'PERSONAL MONTHLY BUDGET (8)'!$E9</f>
        <v>0</v>
      </c>
      <c r="J7" s="21">
        <f>'PERSONAL MONTHLY BUDGET (9)'!$E9</f>
        <v>0</v>
      </c>
      <c r="K7" s="21">
        <f>'PERSONAL MONTHLY BUDGET (10)'!$E9</f>
        <v>0</v>
      </c>
      <c r="L7" s="21">
        <f>'PERSONAL MONTHLY BUDGET (11)'!$E9</f>
        <v>0</v>
      </c>
      <c r="M7" s="43">
        <f>'PERSONAL MONTHLY BUDGET (12)'!$E9</f>
        <v>0</v>
      </c>
      <c r="N7" s="45"/>
      <c r="O7" s="51">
        <f>SUM(B7:M7)</f>
        <v>300</v>
      </c>
    </row>
    <row r="8" spans="1:15" s="33" customFormat="1" ht="13.5" customHeight="1" thickBot="1">
      <c r="A8" s="31" t="s">
        <v>108</v>
      </c>
      <c r="B8" s="32">
        <f>SUM(B6:B7)</f>
        <v>4300</v>
      </c>
      <c r="C8" s="32">
        <f t="shared" ref="C8:M8" si="3">SUM(C6:C7)</f>
        <v>0</v>
      </c>
      <c r="D8" s="32">
        <f t="shared" si="3"/>
        <v>0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9">
        <f t="shared" si="3"/>
        <v>0</v>
      </c>
      <c r="N8" s="46"/>
      <c r="O8" s="54">
        <f>SUM(B8:M8)</f>
        <v>4300</v>
      </c>
    </row>
    <row r="9" spans="1:15" ht="13.5" customHeight="1" thickBot="1">
      <c r="A9" s="65" t="s">
        <v>91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45"/>
      <c r="O9" s="48" t="s">
        <v>136</v>
      </c>
    </row>
    <row r="10" spans="1:15" ht="13.5" customHeight="1">
      <c r="A10" s="67" t="s">
        <v>19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45"/>
      <c r="O10" s="49" t="s">
        <v>19</v>
      </c>
    </row>
    <row r="11" spans="1:15" ht="13.5" customHeight="1">
      <c r="A11" s="20" t="s">
        <v>96</v>
      </c>
      <c r="B11" s="21">
        <f>'PERSONAL MONTHLY BUDGET (1)'!D13</f>
        <v>1000</v>
      </c>
      <c r="C11" s="21">
        <f>'PERSONAL MONTHLY BUDGET (2)'!$D13</f>
        <v>0</v>
      </c>
      <c r="D11" s="21">
        <f>'PERSONAL MONTHLY BUDGET (3)'!$D13</f>
        <v>0</v>
      </c>
      <c r="E11" s="21">
        <f>'PERSONAL MONTHLY BUDGET (4)'!$D13</f>
        <v>0</v>
      </c>
      <c r="F11" s="21">
        <f>'PERSONAL MONTHLY BUDGET (5)'!$D13</f>
        <v>0</v>
      </c>
      <c r="G11" s="21">
        <f>'PERSONAL MONTHLY BUDGET (6)'!$D13</f>
        <v>0</v>
      </c>
      <c r="H11" s="21">
        <f>'PERSONAL MONTHLY BUDGET (7)'!$D13</f>
        <v>0</v>
      </c>
      <c r="I11" s="21">
        <f>'PERSONAL MONTHLY BUDGET (8)'!$D13</f>
        <v>0</v>
      </c>
      <c r="J11" s="21">
        <f>'PERSONAL MONTHLY BUDGET (9)'!$D13</f>
        <v>0</v>
      </c>
      <c r="K11" s="21">
        <f>'PERSONAL MONTHLY BUDGET (10)'!$D13</f>
        <v>0</v>
      </c>
      <c r="L11" s="21">
        <f>'PERSONAL MONTHLY BUDGET (11)'!$D13</f>
        <v>0</v>
      </c>
      <c r="M11" s="43">
        <f>'PERSONAL MONTHLY BUDGET (12)'!$D13</f>
        <v>0</v>
      </c>
      <c r="N11" s="45"/>
      <c r="O11" s="51">
        <f t="shared" ref="O11:O21" si="4">SUM(B11:M11)</f>
        <v>1000</v>
      </c>
    </row>
    <row r="12" spans="1:15" ht="13.5" customHeight="1">
      <c r="A12" s="20" t="s">
        <v>26</v>
      </c>
      <c r="B12" s="21">
        <f>'PERSONAL MONTHLY BUDGET (1)'!D14</f>
        <v>100</v>
      </c>
      <c r="C12" s="21">
        <f>'PERSONAL MONTHLY BUDGET (2)'!$D14</f>
        <v>0</v>
      </c>
      <c r="D12" s="21">
        <f>'PERSONAL MONTHLY BUDGET (3)'!$D14</f>
        <v>0</v>
      </c>
      <c r="E12" s="21">
        <f>'PERSONAL MONTHLY BUDGET (4)'!$D14</f>
        <v>0</v>
      </c>
      <c r="F12" s="21">
        <f>'PERSONAL MONTHLY BUDGET (5)'!$D14</f>
        <v>0</v>
      </c>
      <c r="G12" s="21">
        <f>'PERSONAL MONTHLY BUDGET (6)'!$D14</f>
        <v>0</v>
      </c>
      <c r="H12" s="21">
        <f>'PERSONAL MONTHLY BUDGET (7)'!$D14</f>
        <v>0</v>
      </c>
      <c r="I12" s="21">
        <f>'PERSONAL MONTHLY BUDGET (8)'!$D14</f>
        <v>0</v>
      </c>
      <c r="J12" s="21">
        <f>'PERSONAL MONTHLY BUDGET (9)'!$D14</f>
        <v>0</v>
      </c>
      <c r="K12" s="21">
        <f>'PERSONAL MONTHLY BUDGET (10)'!$D14</f>
        <v>0</v>
      </c>
      <c r="L12" s="21">
        <f>'PERSONAL MONTHLY BUDGET (11)'!$D14</f>
        <v>0</v>
      </c>
      <c r="M12" s="43">
        <f>'PERSONAL MONTHLY BUDGET (12)'!$D14</f>
        <v>0</v>
      </c>
      <c r="N12" s="45"/>
      <c r="O12" s="51">
        <f t="shared" si="4"/>
        <v>100</v>
      </c>
    </row>
    <row r="13" spans="1:15" ht="13.5" customHeight="1">
      <c r="A13" s="20" t="s">
        <v>28</v>
      </c>
      <c r="B13" s="21">
        <f>'PERSONAL MONTHLY BUDGET (1)'!D15</f>
        <v>56</v>
      </c>
      <c r="C13" s="21">
        <f>'PERSONAL MONTHLY BUDGET (2)'!$D15</f>
        <v>0</v>
      </c>
      <c r="D13" s="21">
        <f>'PERSONAL MONTHLY BUDGET (3)'!$D15</f>
        <v>0</v>
      </c>
      <c r="E13" s="21">
        <f>'PERSONAL MONTHLY BUDGET (4)'!$D15</f>
        <v>0</v>
      </c>
      <c r="F13" s="21">
        <f>'PERSONAL MONTHLY BUDGET (5)'!$D15</f>
        <v>0</v>
      </c>
      <c r="G13" s="21">
        <f>'PERSONAL MONTHLY BUDGET (6)'!$D15</f>
        <v>0</v>
      </c>
      <c r="H13" s="21">
        <f>'PERSONAL MONTHLY BUDGET (7)'!$D15</f>
        <v>0</v>
      </c>
      <c r="I13" s="21">
        <f>'PERSONAL MONTHLY BUDGET (8)'!$D15</f>
        <v>0</v>
      </c>
      <c r="J13" s="21">
        <f>'PERSONAL MONTHLY BUDGET (9)'!$D15</f>
        <v>0</v>
      </c>
      <c r="K13" s="21">
        <f>'PERSONAL MONTHLY BUDGET (10)'!$D15</f>
        <v>0</v>
      </c>
      <c r="L13" s="21">
        <f>'PERSONAL MONTHLY BUDGET (11)'!$D15</f>
        <v>0</v>
      </c>
      <c r="M13" s="43">
        <f>'PERSONAL MONTHLY BUDGET (12)'!$D15</f>
        <v>0</v>
      </c>
      <c r="N13" s="45"/>
      <c r="O13" s="51">
        <f t="shared" si="4"/>
        <v>56</v>
      </c>
    </row>
    <row r="14" spans="1:15" ht="13.5" customHeight="1">
      <c r="A14" s="20" t="s">
        <v>30</v>
      </c>
      <c r="B14" s="21">
        <f>'PERSONAL MONTHLY BUDGET (1)'!D16</f>
        <v>28</v>
      </c>
      <c r="C14" s="21">
        <f>'PERSONAL MONTHLY BUDGET (2)'!$D16</f>
        <v>0</v>
      </c>
      <c r="D14" s="21">
        <f>'PERSONAL MONTHLY BUDGET (3)'!$D16</f>
        <v>0</v>
      </c>
      <c r="E14" s="21">
        <f>'PERSONAL MONTHLY BUDGET (4)'!$D16</f>
        <v>0</v>
      </c>
      <c r="F14" s="21">
        <f>'PERSONAL MONTHLY BUDGET (5)'!$D16</f>
        <v>0</v>
      </c>
      <c r="G14" s="21">
        <f>'PERSONAL MONTHLY BUDGET (6)'!$D16</f>
        <v>0</v>
      </c>
      <c r="H14" s="21">
        <f>'PERSONAL MONTHLY BUDGET (7)'!$D16</f>
        <v>0</v>
      </c>
      <c r="I14" s="21">
        <f>'PERSONAL MONTHLY BUDGET (8)'!$D16</f>
        <v>0</v>
      </c>
      <c r="J14" s="21">
        <f>'PERSONAL MONTHLY BUDGET (9)'!$D16</f>
        <v>0</v>
      </c>
      <c r="K14" s="21">
        <f>'PERSONAL MONTHLY BUDGET (10)'!$D16</f>
        <v>0</v>
      </c>
      <c r="L14" s="21">
        <f>'PERSONAL MONTHLY BUDGET (11)'!$D16</f>
        <v>0</v>
      </c>
      <c r="M14" s="43">
        <f>'PERSONAL MONTHLY BUDGET (12)'!$D16</f>
        <v>0</v>
      </c>
      <c r="N14" s="45"/>
      <c r="O14" s="51">
        <f t="shared" si="4"/>
        <v>28</v>
      </c>
    </row>
    <row r="15" spans="1:15" ht="13.5" customHeight="1">
      <c r="A15" s="20" t="s">
        <v>97</v>
      </c>
      <c r="B15" s="21">
        <f>'PERSONAL MONTHLY BUDGET (1)'!D17</f>
        <v>8</v>
      </c>
      <c r="C15" s="21">
        <f>'PERSONAL MONTHLY BUDGET (2)'!$D17</f>
        <v>0</v>
      </c>
      <c r="D15" s="21">
        <f>'PERSONAL MONTHLY BUDGET (3)'!$D17</f>
        <v>0</v>
      </c>
      <c r="E15" s="21">
        <f>'PERSONAL MONTHLY BUDGET (4)'!$D17</f>
        <v>0</v>
      </c>
      <c r="F15" s="21">
        <f>'PERSONAL MONTHLY BUDGET (5)'!$D17</f>
        <v>0</v>
      </c>
      <c r="G15" s="21">
        <f>'PERSONAL MONTHLY BUDGET (6)'!$D17</f>
        <v>0</v>
      </c>
      <c r="H15" s="21">
        <f>'PERSONAL MONTHLY BUDGET (7)'!$D17</f>
        <v>0</v>
      </c>
      <c r="I15" s="21">
        <f>'PERSONAL MONTHLY BUDGET (8)'!$D17</f>
        <v>0</v>
      </c>
      <c r="J15" s="21">
        <f>'PERSONAL MONTHLY BUDGET (9)'!$D17</f>
        <v>0</v>
      </c>
      <c r="K15" s="21">
        <f>'PERSONAL MONTHLY BUDGET (10)'!$D17</f>
        <v>0</v>
      </c>
      <c r="L15" s="21">
        <f>'PERSONAL MONTHLY BUDGET (11)'!$D17</f>
        <v>0</v>
      </c>
      <c r="M15" s="43">
        <f>'PERSONAL MONTHLY BUDGET (12)'!$D17</f>
        <v>0</v>
      </c>
      <c r="N15" s="45"/>
      <c r="O15" s="51">
        <f t="shared" si="4"/>
        <v>8</v>
      </c>
    </row>
    <row r="16" spans="1:15" ht="13.5" customHeight="1">
      <c r="A16" s="20" t="s">
        <v>34</v>
      </c>
      <c r="B16" s="21">
        <f>'PERSONAL MONTHLY BUDGET (1)'!D18</f>
        <v>34</v>
      </c>
      <c r="C16" s="21">
        <f>'PERSONAL MONTHLY BUDGET (2)'!$D18</f>
        <v>0</v>
      </c>
      <c r="D16" s="21">
        <f>'PERSONAL MONTHLY BUDGET (3)'!$D18</f>
        <v>0</v>
      </c>
      <c r="E16" s="21">
        <f>'PERSONAL MONTHLY BUDGET (4)'!$D18</f>
        <v>0</v>
      </c>
      <c r="F16" s="21">
        <f>'PERSONAL MONTHLY BUDGET (5)'!$D18</f>
        <v>0</v>
      </c>
      <c r="G16" s="21">
        <f>'PERSONAL MONTHLY BUDGET (6)'!$D18</f>
        <v>0</v>
      </c>
      <c r="H16" s="21">
        <f>'PERSONAL MONTHLY BUDGET (7)'!$D18</f>
        <v>0</v>
      </c>
      <c r="I16" s="21">
        <f>'PERSONAL MONTHLY BUDGET (8)'!$D18</f>
        <v>0</v>
      </c>
      <c r="J16" s="21">
        <f>'PERSONAL MONTHLY BUDGET (9)'!$D18</f>
        <v>0</v>
      </c>
      <c r="K16" s="21">
        <f>'PERSONAL MONTHLY BUDGET (10)'!$D18</f>
        <v>0</v>
      </c>
      <c r="L16" s="21">
        <f>'PERSONAL MONTHLY BUDGET (11)'!$D18</f>
        <v>0</v>
      </c>
      <c r="M16" s="43">
        <f>'PERSONAL MONTHLY BUDGET (12)'!$D18</f>
        <v>0</v>
      </c>
      <c r="N16" s="45"/>
      <c r="O16" s="51">
        <f t="shared" si="4"/>
        <v>34</v>
      </c>
    </row>
    <row r="17" spans="1:15" ht="13.5" customHeight="1">
      <c r="A17" s="20" t="s">
        <v>98</v>
      </c>
      <c r="B17" s="21">
        <f>'PERSONAL MONTHLY BUDGET (1)'!D19</f>
        <v>10</v>
      </c>
      <c r="C17" s="21">
        <f>'PERSONAL MONTHLY BUDGET (2)'!$D19</f>
        <v>0</v>
      </c>
      <c r="D17" s="21">
        <f>'PERSONAL MONTHLY BUDGET (3)'!$D19</f>
        <v>0</v>
      </c>
      <c r="E17" s="21">
        <f>'PERSONAL MONTHLY BUDGET (4)'!$D19</f>
        <v>0</v>
      </c>
      <c r="F17" s="21">
        <f>'PERSONAL MONTHLY BUDGET (5)'!$D19</f>
        <v>0</v>
      </c>
      <c r="G17" s="21">
        <f>'PERSONAL MONTHLY BUDGET (6)'!$D19</f>
        <v>0</v>
      </c>
      <c r="H17" s="21">
        <f>'PERSONAL MONTHLY BUDGET (7)'!$D19</f>
        <v>0</v>
      </c>
      <c r="I17" s="21">
        <f>'PERSONAL MONTHLY BUDGET (8)'!$D19</f>
        <v>0</v>
      </c>
      <c r="J17" s="21">
        <f>'PERSONAL MONTHLY BUDGET (9)'!$D19</f>
        <v>0</v>
      </c>
      <c r="K17" s="21">
        <f>'PERSONAL MONTHLY BUDGET (10)'!$D19</f>
        <v>0</v>
      </c>
      <c r="L17" s="21">
        <f>'PERSONAL MONTHLY BUDGET (11)'!$D19</f>
        <v>0</v>
      </c>
      <c r="M17" s="43">
        <f>'PERSONAL MONTHLY BUDGET (12)'!$D19</f>
        <v>0</v>
      </c>
      <c r="N17" s="45"/>
      <c r="O17" s="51">
        <f t="shared" si="4"/>
        <v>10</v>
      </c>
    </row>
    <row r="18" spans="1:15" ht="13.5" customHeight="1">
      <c r="A18" s="20" t="s">
        <v>99</v>
      </c>
      <c r="B18" s="21">
        <f>'PERSONAL MONTHLY BUDGET (1)'!D20</f>
        <v>0</v>
      </c>
      <c r="C18" s="21">
        <f>'PERSONAL MONTHLY BUDGET (2)'!$D20</f>
        <v>0</v>
      </c>
      <c r="D18" s="21">
        <f>'PERSONAL MONTHLY BUDGET (3)'!$D20</f>
        <v>0</v>
      </c>
      <c r="E18" s="21">
        <f>'PERSONAL MONTHLY BUDGET (4)'!$D20</f>
        <v>0</v>
      </c>
      <c r="F18" s="21">
        <f>'PERSONAL MONTHLY BUDGET (5)'!$D20</f>
        <v>0</v>
      </c>
      <c r="G18" s="21">
        <f>'PERSONAL MONTHLY BUDGET (6)'!$D20</f>
        <v>0</v>
      </c>
      <c r="H18" s="21">
        <f>'PERSONAL MONTHLY BUDGET (7)'!$D20</f>
        <v>0</v>
      </c>
      <c r="I18" s="21">
        <f>'PERSONAL MONTHLY BUDGET (8)'!$D20</f>
        <v>0</v>
      </c>
      <c r="J18" s="21">
        <f>'PERSONAL MONTHLY BUDGET (9)'!$D20</f>
        <v>0</v>
      </c>
      <c r="K18" s="21">
        <f>'PERSONAL MONTHLY BUDGET (10)'!$D20</f>
        <v>0</v>
      </c>
      <c r="L18" s="21">
        <f>'PERSONAL MONTHLY BUDGET (11)'!$D20</f>
        <v>0</v>
      </c>
      <c r="M18" s="43">
        <f>'PERSONAL MONTHLY BUDGET (12)'!$D20</f>
        <v>0</v>
      </c>
      <c r="N18" s="45"/>
      <c r="O18" s="51">
        <f t="shared" si="4"/>
        <v>0</v>
      </c>
    </row>
    <row r="19" spans="1:15" ht="13.5" customHeight="1">
      <c r="A19" s="20" t="s">
        <v>39</v>
      </c>
      <c r="B19" s="21">
        <f>'PERSONAL MONTHLY BUDGET (1)'!D21</f>
        <v>0</v>
      </c>
      <c r="C19" s="21">
        <f>'PERSONAL MONTHLY BUDGET (2)'!$D21</f>
        <v>0</v>
      </c>
      <c r="D19" s="21">
        <f>'PERSONAL MONTHLY BUDGET (3)'!$D21</f>
        <v>0</v>
      </c>
      <c r="E19" s="21">
        <f>'PERSONAL MONTHLY BUDGET (4)'!$D21</f>
        <v>0</v>
      </c>
      <c r="F19" s="21">
        <f>'PERSONAL MONTHLY BUDGET (5)'!$D21</f>
        <v>0</v>
      </c>
      <c r="G19" s="21">
        <f>'PERSONAL MONTHLY BUDGET (6)'!$D21</f>
        <v>0</v>
      </c>
      <c r="H19" s="21">
        <f>'PERSONAL MONTHLY BUDGET (7)'!$D21</f>
        <v>0</v>
      </c>
      <c r="I19" s="21">
        <f>'PERSONAL MONTHLY BUDGET (8)'!$D21</f>
        <v>0</v>
      </c>
      <c r="J19" s="21">
        <f>'PERSONAL MONTHLY BUDGET (9)'!$D21</f>
        <v>0</v>
      </c>
      <c r="K19" s="21">
        <f>'PERSONAL MONTHLY BUDGET (10)'!$D21</f>
        <v>0</v>
      </c>
      <c r="L19" s="21">
        <f>'PERSONAL MONTHLY BUDGET (11)'!$D21</f>
        <v>0</v>
      </c>
      <c r="M19" s="43">
        <f>'PERSONAL MONTHLY BUDGET (12)'!$D21</f>
        <v>0</v>
      </c>
      <c r="N19" s="45"/>
      <c r="O19" s="51">
        <f t="shared" si="4"/>
        <v>0</v>
      </c>
    </row>
    <row r="20" spans="1:15" ht="13.5" customHeight="1">
      <c r="A20" s="20" t="s">
        <v>37</v>
      </c>
      <c r="B20" s="21">
        <f>'PERSONAL MONTHLY BUDGET (1)'!D22</f>
        <v>0</v>
      </c>
      <c r="C20" s="21">
        <f>'PERSONAL MONTHLY BUDGET (2)'!$D22</f>
        <v>0</v>
      </c>
      <c r="D20" s="21">
        <f>'PERSONAL MONTHLY BUDGET (3)'!$D22</f>
        <v>0</v>
      </c>
      <c r="E20" s="21">
        <f>'PERSONAL MONTHLY BUDGET (4)'!$D22</f>
        <v>0</v>
      </c>
      <c r="F20" s="21">
        <f>'PERSONAL MONTHLY BUDGET (5)'!$D22</f>
        <v>0</v>
      </c>
      <c r="G20" s="21">
        <f>'PERSONAL MONTHLY BUDGET (6)'!$D22</f>
        <v>0</v>
      </c>
      <c r="H20" s="21">
        <f>'PERSONAL MONTHLY BUDGET (7)'!$D22</f>
        <v>0</v>
      </c>
      <c r="I20" s="21">
        <f>'PERSONAL MONTHLY BUDGET (8)'!$D22</f>
        <v>0</v>
      </c>
      <c r="J20" s="21">
        <f>'PERSONAL MONTHLY BUDGET (9)'!$D22</f>
        <v>0</v>
      </c>
      <c r="K20" s="21">
        <f>'PERSONAL MONTHLY BUDGET (10)'!$D22</f>
        <v>0</v>
      </c>
      <c r="L20" s="21">
        <f>'PERSONAL MONTHLY BUDGET (11)'!$D22</f>
        <v>0</v>
      </c>
      <c r="M20" s="43">
        <f>'PERSONAL MONTHLY BUDGET (12)'!$D22</f>
        <v>0</v>
      </c>
      <c r="N20" s="45"/>
      <c r="O20" s="51">
        <f t="shared" si="4"/>
        <v>0</v>
      </c>
    </row>
    <row r="21" spans="1:15" s="33" customFormat="1" ht="13.5" customHeight="1">
      <c r="A21" s="34" t="s">
        <v>93</v>
      </c>
      <c r="B21" s="23">
        <f>SUM(B11:B20)</f>
        <v>1236</v>
      </c>
      <c r="C21" s="23">
        <f t="shared" ref="C21:M21" si="5">SUM(C11:C20)</f>
        <v>0</v>
      </c>
      <c r="D21" s="23">
        <f t="shared" si="5"/>
        <v>0</v>
      </c>
      <c r="E21" s="23">
        <f t="shared" si="5"/>
        <v>0</v>
      </c>
      <c r="F21" s="23">
        <f t="shared" si="5"/>
        <v>0</v>
      </c>
      <c r="G21" s="23">
        <f t="shared" si="5"/>
        <v>0</v>
      </c>
      <c r="H21" s="23">
        <f t="shared" si="5"/>
        <v>0</v>
      </c>
      <c r="I21" s="23">
        <f t="shared" si="5"/>
        <v>0</v>
      </c>
      <c r="J21" s="23">
        <f t="shared" si="5"/>
        <v>0</v>
      </c>
      <c r="K21" s="23">
        <f t="shared" si="5"/>
        <v>0</v>
      </c>
      <c r="L21" s="23">
        <f t="shared" si="5"/>
        <v>0</v>
      </c>
      <c r="M21" s="42">
        <f t="shared" si="5"/>
        <v>0</v>
      </c>
      <c r="N21" s="46"/>
      <c r="O21" s="54">
        <f t="shared" si="4"/>
        <v>1236</v>
      </c>
    </row>
    <row r="22" spans="1:15" ht="13.5" customHeight="1">
      <c r="A22" s="62" t="s">
        <v>42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45"/>
      <c r="O22" s="49" t="s">
        <v>42</v>
      </c>
    </row>
    <row r="23" spans="1:15" ht="13.5" customHeight="1">
      <c r="A23" s="20" t="s">
        <v>100</v>
      </c>
      <c r="B23" s="21">
        <f>'PERSONAL MONTHLY BUDGET (1)'!$D26</f>
        <v>0</v>
      </c>
      <c r="C23" s="21">
        <f>'PERSONAL MONTHLY BUDGET (2)'!$D26</f>
        <v>0</v>
      </c>
      <c r="D23" s="21">
        <f>'PERSONAL MONTHLY BUDGET (3)'!$D26</f>
        <v>0</v>
      </c>
      <c r="E23" s="21">
        <f>'PERSONAL MONTHLY BUDGET (4)'!$D26</f>
        <v>0</v>
      </c>
      <c r="F23" s="21">
        <f>'PERSONAL MONTHLY BUDGET (5)'!$D26</f>
        <v>0</v>
      </c>
      <c r="G23" s="21">
        <f>'PERSONAL MONTHLY BUDGET (6)'!$D26</f>
        <v>0</v>
      </c>
      <c r="H23" s="21">
        <f>'PERSONAL MONTHLY BUDGET (7)'!$D26</f>
        <v>0</v>
      </c>
      <c r="I23" s="21">
        <f>'PERSONAL MONTHLY BUDGET (8)'!$D26</f>
        <v>0</v>
      </c>
      <c r="J23" s="21">
        <f>'PERSONAL MONTHLY BUDGET (9)'!$D26</f>
        <v>0</v>
      </c>
      <c r="K23" s="21">
        <f>'PERSONAL MONTHLY BUDGET (10)'!$D26</f>
        <v>0</v>
      </c>
      <c r="L23" s="21">
        <f>'PERSONAL MONTHLY BUDGET (11)'!$D26</f>
        <v>0</v>
      </c>
      <c r="M23" s="43">
        <f>'PERSONAL MONTHLY BUDGET (12)'!$D26</f>
        <v>0</v>
      </c>
      <c r="N23" s="45"/>
      <c r="O23" s="51">
        <f t="shared" ref="O23:O30" si="6">SUM(B23:M23)</f>
        <v>0</v>
      </c>
    </row>
    <row r="24" spans="1:15" ht="13.5" customHeight="1">
      <c r="A24" s="20" t="s">
        <v>101</v>
      </c>
      <c r="B24" s="21">
        <f>'PERSONAL MONTHLY BUDGET (1)'!$D27</f>
        <v>0</v>
      </c>
      <c r="C24" s="21">
        <f>'PERSONAL MONTHLY BUDGET (2)'!$D27</f>
        <v>0</v>
      </c>
      <c r="D24" s="21">
        <f>'PERSONAL MONTHLY BUDGET (3)'!$D27</f>
        <v>0</v>
      </c>
      <c r="E24" s="21">
        <f>'PERSONAL MONTHLY BUDGET (4)'!$D27</f>
        <v>0</v>
      </c>
      <c r="F24" s="21">
        <f>'PERSONAL MONTHLY BUDGET (5)'!$D27</f>
        <v>0</v>
      </c>
      <c r="G24" s="21">
        <f>'PERSONAL MONTHLY BUDGET (6)'!$D27</f>
        <v>0</v>
      </c>
      <c r="H24" s="21">
        <f>'PERSONAL MONTHLY BUDGET (7)'!$D27</f>
        <v>0</v>
      </c>
      <c r="I24" s="21">
        <f>'PERSONAL MONTHLY BUDGET (8)'!$D27</f>
        <v>0</v>
      </c>
      <c r="J24" s="21">
        <f>'PERSONAL MONTHLY BUDGET (9)'!$D27</f>
        <v>0</v>
      </c>
      <c r="K24" s="21">
        <f>'PERSONAL MONTHLY BUDGET (10)'!$D27</f>
        <v>0</v>
      </c>
      <c r="L24" s="21">
        <f>'PERSONAL MONTHLY BUDGET (11)'!$D27</f>
        <v>0</v>
      </c>
      <c r="M24" s="43">
        <f>'PERSONAL MONTHLY BUDGET (12)'!$D27</f>
        <v>0</v>
      </c>
      <c r="N24" s="45"/>
      <c r="O24" s="51">
        <f t="shared" si="6"/>
        <v>0</v>
      </c>
    </row>
    <row r="25" spans="1:15" ht="13.5" customHeight="1">
      <c r="A25" s="20" t="s">
        <v>48</v>
      </c>
      <c r="B25" s="21">
        <f>'PERSONAL MONTHLY BUDGET (1)'!$D28</f>
        <v>0</v>
      </c>
      <c r="C25" s="21">
        <f>'PERSONAL MONTHLY BUDGET (2)'!$D28</f>
        <v>0</v>
      </c>
      <c r="D25" s="21">
        <f>'PERSONAL MONTHLY BUDGET (3)'!$D28</f>
        <v>0</v>
      </c>
      <c r="E25" s="21">
        <f>'PERSONAL MONTHLY BUDGET (4)'!$D28</f>
        <v>0</v>
      </c>
      <c r="F25" s="21">
        <f>'PERSONAL MONTHLY BUDGET (5)'!$D28</f>
        <v>0</v>
      </c>
      <c r="G25" s="21">
        <f>'PERSONAL MONTHLY BUDGET (6)'!$D28</f>
        <v>0</v>
      </c>
      <c r="H25" s="21">
        <f>'PERSONAL MONTHLY BUDGET (7)'!$D28</f>
        <v>0</v>
      </c>
      <c r="I25" s="21">
        <f>'PERSONAL MONTHLY BUDGET (8)'!$D28</f>
        <v>0</v>
      </c>
      <c r="J25" s="21">
        <f>'PERSONAL MONTHLY BUDGET (9)'!$D28</f>
        <v>0</v>
      </c>
      <c r="K25" s="21">
        <f>'PERSONAL MONTHLY BUDGET (10)'!$D28</f>
        <v>0</v>
      </c>
      <c r="L25" s="21">
        <f>'PERSONAL MONTHLY BUDGET (11)'!$D28</f>
        <v>0</v>
      </c>
      <c r="M25" s="43">
        <f>'PERSONAL MONTHLY BUDGET (12)'!$D28</f>
        <v>0</v>
      </c>
      <c r="N25" s="45"/>
      <c r="O25" s="51">
        <f t="shared" si="6"/>
        <v>0</v>
      </c>
    </row>
    <row r="26" spans="1:15" ht="13.5" customHeight="1">
      <c r="A26" s="20" t="s">
        <v>49</v>
      </c>
      <c r="B26" s="21">
        <f>'PERSONAL MONTHLY BUDGET (1)'!$D29</f>
        <v>0</v>
      </c>
      <c r="C26" s="21">
        <f>'PERSONAL MONTHLY BUDGET (2)'!$D29</f>
        <v>0</v>
      </c>
      <c r="D26" s="21">
        <f>'PERSONAL MONTHLY BUDGET (3)'!$D29</f>
        <v>0</v>
      </c>
      <c r="E26" s="21">
        <f>'PERSONAL MONTHLY BUDGET (4)'!$D29</f>
        <v>0</v>
      </c>
      <c r="F26" s="21">
        <f>'PERSONAL MONTHLY BUDGET (5)'!$D29</f>
        <v>0</v>
      </c>
      <c r="G26" s="21">
        <f>'PERSONAL MONTHLY BUDGET (6)'!$D29</f>
        <v>0</v>
      </c>
      <c r="H26" s="21">
        <f>'PERSONAL MONTHLY BUDGET (7)'!$D29</f>
        <v>0</v>
      </c>
      <c r="I26" s="21">
        <f>'PERSONAL MONTHLY BUDGET (8)'!$D29</f>
        <v>0</v>
      </c>
      <c r="J26" s="21">
        <f>'PERSONAL MONTHLY BUDGET (9)'!$D29</f>
        <v>0</v>
      </c>
      <c r="K26" s="21">
        <f>'PERSONAL MONTHLY BUDGET (10)'!$D29</f>
        <v>0</v>
      </c>
      <c r="L26" s="21">
        <f>'PERSONAL MONTHLY BUDGET (11)'!$D29</f>
        <v>0</v>
      </c>
      <c r="M26" s="43">
        <f>'PERSONAL MONTHLY BUDGET (12)'!$D29</f>
        <v>0</v>
      </c>
      <c r="N26" s="45"/>
      <c r="O26" s="51">
        <f t="shared" si="6"/>
        <v>0</v>
      </c>
    </row>
    <row r="27" spans="1:15" ht="13.5" customHeight="1">
      <c r="A27" s="20" t="s">
        <v>50</v>
      </c>
      <c r="B27" s="21">
        <f>'PERSONAL MONTHLY BUDGET (1)'!$D30</f>
        <v>0</v>
      </c>
      <c r="C27" s="21">
        <f>'PERSONAL MONTHLY BUDGET (2)'!$D30</f>
        <v>0</v>
      </c>
      <c r="D27" s="21">
        <f>'PERSONAL MONTHLY BUDGET (3)'!$D30</f>
        <v>0</v>
      </c>
      <c r="E27" s="21">
        <f>'PERSONAL MONTHLY BUDGET (4)'!$D30</f>
        <v>0</v>
      </c>
      <c r="F27" s="21">
        <f>'PERSONAL MONTHLY BUDGET (5)'!$D30</f>
        <v>0</v>
      </c>
      <c r="G27" s="21">
        <f>'PERSONAL MONTHLY BUDGET (6)'!$D30</f>
        <v>0</v>
      </c>
      <c r="H27" s="21">
        <f>'PERSONAL MONTHLY BUDGET (7)'!$D30</f>
        <v>0</v>
      </c>
      <c r="I27" s="21">
        <f>'PERSONAL MONTHLY BUDGET (8)'!$D30</f>
        <v>0</v>
      </c>
      <c r="J27" s="21">
        <f>'PERSONAL MONTHLY BUDGET (9)'!$D30</f>
        <v>0</v>
      </c>
      <c r="K27" s="21">
        <f>'PERSONAL MONTHLY BUDGET (10)'!$D30</f>
        <v>0</v>
      </c>
      <c r="L27" s="21">
        <f>'PERSONAL MONTHLY BUDGET (11)'!$D30</f>
        <v>0</v>
      </c>
      <c r="M27" s="43">
        <f>'PERSONAL MONTHLY BUDGET (12)'!$D30</f>
        <v>0</v>
      </c>
      <c r="N27" s="45"/>
      <c r="O27" s="51">
        <f t="shared" si="6"/>
        <v>0</v>
      </c>
    </row>
    <row r="28" spans="1:15" ht="13.5" customHeight="1">
      <c r="A28" s="20" t="s">
        <v>99</v>
      </c>
      <c r="B28" s="21">
        <f>'PERSONAL MONTHLY BUDGET (1)'!$D31</f>
        <v>0</v>
      </c>
      <c r="C28" s="21">
        <f>'PERSONAL MONTHLY BUDGET (2)'!$D31</f>
        <v>0</v>
      </c>
      <c r="D28" s="21">
        <f>'PERSONAL MONTHLY BUDGET (3)'!$D31</f>
        <v>0</v>
      </c>
      <c r="E28" s="21">
        <f>'PERSONAL MONTHLY BUDGET (4)'!$D31</f>
        <v>0</v>
      </c>
      <c r="F28" s="21">
        <f>'PERSONAL MONTHLY BUDGET (5)'!$D31</f>
        <v>0</v>
      </c>
      <c r="G28" s="21">
        <f>'PERSONAL MONTHLY BUDGET (6)'!$D31</f>
        <v>0</v>
      </c>
      <c r="H28" s="21">
        <f>'PERSONAL MONTHLY BUDGET (7)'!$D31</f>
        <v>0</v>
      </c>
      <c r="I28" s="21">
        <f>'PERSONAL MONTHLY BUDGET (8)'!$D31</f>
        <v>0</v>
      </c>
      <c r="J28" s="21">
        <f>'PERSONAL MONTHLY BUDGET (9)'!$D31</f>
        <v>0</v>
      </c>
      <c r="K28" s="21">
        <f>'PERSONAL MONTHLY BUDGET (10)'!$D31</f>
        <v>0</v>
      </c>
      <c r="L28" s="21">
        <f>'PERSONAL MONTHLY BUDGET (11)'!$D31</f>
        <v>0</v>
      </c>
      <c r="M28" s="43">
        <f>'PERSONAL MONTHLY BUDGET (12)'!$D31</f>
        <v>0</v>
      </c>
      <c r="N28" s="45"/>
      <c r="O28" s="51">
        <f t="shared" si="6"/>
        <v>0</v>
      </c>
    </row>
    <row r="29" spans="1:15" ht="13.5" customHeight="1">
      <c r="A29" s="20" t="s">
        <v>37</v>
      </c>
      <c r="B29" s="21">
        <f>'PERSONAL MONTHLY BUDGET (1)'!$D32</f>
        <v>0</v>
      </c>
      <c r="C29" s="21">
        <f>'PERSONAL MONTHLY BUDGET (2)'!$D32</f>
        <v>0</v>
      </c>
      <c r="D29" s="21">
        <f>'PERSONAL MONTHLY BUDGET (3)'!$D32</f>
        <v>0</v>
      </c>
      <c r="E29" s="21">
        <f>'PERSONAL MONTHLY BUDGET (4)'!$D32</f>
        <v>0</v>
      </c>
      <c r="F29" s="21">
        <f>'PERSONAL MONTHLY BUDGET (5)'!$D32</f>
        <v>0</v>
      </c>
      <c r="G29" s="21">
        <f>'PERSONAL MONTHLY BUDGET (6)'!$D32</f>
        <v>0</v>
      </c>
      <c r="H29" s="21">
        <f>'PERSONAL MONTHLY BUDGET (7)'!$D32</f>
        <v>0</v>
      </c>
      <c r="I29" s="21">
        <f>'PERSONAL MONTHLY BUDGET (8)'!$D32</f>
        <v>0</v>
      </c>
      <c r="J29" s="21">
        <f>'PERSONAL MONTHLY BUDGET (9)'!$D32</f>
        <v>0</v>
      </c>
      <c r="K29" s="21">
        <f>'PERSONAL MONTHLY BUDGET (10)'!$D32</f>
        <v>0</v>
      </c>
      <c r="L29" s="21">
        <f>'PERSONAL MONTHLY BUDGET (11)'!$D32</f>
        <v>0</v>
      </c>
      <c r="M29" s="43">
        <f>'PERSONAL MONTHLY BUDGET (12)'!$D32</f>
        <v>0</v>
      </c>
      <c r="N29" s="45"/>
      <c r="O29" s="51">
        <f t="shared" si="6"/>
        <v>0</v>
      </c>
    </row>
    <row r="30" spans="1:15" s="33" customFormat="1" ht="13.5" customHeight="1">
      <c r="A30" s="34" t="s">
        <v>93</v>
      </c>
      <c r="B30" s="23">
        <f>SUM(B23:B29)</f>
        <v>0</v>
      </c>
      <c r="C30" s="23">
        <f t="shared" ref="C30:M30" si="7">SUM(C23:C29)</f>
        <v>0</v>
      </c>
      <c r="D30" s="23">
        <f t="shared" si="7"/>
        <v>0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3">
        <f t="shared" si="7"/>
        <v>0</v>
      </c>
      <c r="I30" s="23">
        <f t="shared" si="7"/>
        <v>0</v>
      </c>
      <c r="J30" s="23">
        <f t="shared" si="7"/>
        <v>0</v>
      </c>
      <c r="K30" s="23">
        <f t="shared" si="7"/>
        <v>0</v>
      </c>
      <c r="L30" s="23">
        <f t="shared" si="7"/>
        <v>0</v>
      </c>
      <c r="M30" s="42">
        <f t="shared" si="7"/>
        <v>0</v>
      </c>
      <c r="N30" s="46"/>
      <c r="O30" s="54">
        <f t="shared" si="6"/>
        <v>0</v>
      </c>
    </row>
    <row r="31" spans="1:15" ht="13.5" customHeight="1">
      <c r="A31" s="62" t="s">
        <v>54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45"/>
      <c r="O31" s="49" t="s">
        <v>54</v>
      </c>
    </row>
    <row r="32" spans="1:15" ht="13.5" customHeight="1">
      <c r="A32" s="20" t="s">
        <v>94</v>
      </c>
      <c r="B32" s="21">
        <f>'PERSONAL MONTHLY BUDGET (1)'!$D36</f>
        <v>0</v>
      </c>
      <c r="C32" s="21">
        <f>'PERSONAL MONTHLY BUDGET (2)'!$D36</f>
        <v>0</v>
      </c>
      <c r="D32" s="21">
        <f>'PERSONAL MONTHLY BUDGET (3)'!$D36</f>
        <v>0</v>
      </c>
      <c r="E32" s="21">
        <f>'PERSONAL MONTHLY BUDGET (4)'!$D36</f>
        <v>0</v>
      </c>
      <c r="F32" s="21">
        <f>'PERSONAL MONTHLY BUDGET (5)'!$D36</f>
        <v>0</v>
      </c>
      <c r="G32" s="21">
        <f>'PERSONAL MONTHLY BUDGET (6)'!$D36</f>
        <v>0</v>
      </c>
      <c r="H32" s="21">
        <f>'PERSONAL MONTHLY BUDGET (7)'!$D36</f>
        <v>0</v>
      </c>
      <c r="I32" s="21">
        <f>'PERSONAL MONTHLY BUDGET (8)'!$D36</f>
        <v>0</v>
      </c>
      <c r="J32" s="21">
        <f>'PERSONAL MONTHLY BUDGET (9)'!$D36</f>
        <v>0</v>
      </c>
      <c r="K32" s="21">
        <f>'PERSONAL MONTHLY BUDGET (10)'!$D36</f>
        <v>0</v>
      </c>
      <c r="L32" s="21">
        <f>'PERSONAL MONTHLY BUDGET (11)'!$D36</f>
        <v>0</v>
      </c>
      <c r="M32" s="43">
        <f>'PERSONAL MONTHLY BUDGET (12)'!$D36</f>
        <v>0</v>
      </c>
      <c r="N32" s="45"/>
      <c r="O32" s="51">
        <f t="shared" ref="O32:O36" si="8">SUM(B32:M32)</f>
        <v>0</v>
      </c>
    </row>
    <row r="33" spans="1:15" ht="13.5" customHeight="1">
      <c r="A33" s="20" t="s">
        <v>57</v>
      </c>
      <c r="B33" s="21">
        <f>'PERSONAL MONTHLY BUDGET (1)'!$D37</f>
        <v>0</v>
      </c>
      <c r="C33" s="21">
        <f>'PERSONAL MONTHLY BUDGET (2)'!$D37</f>
        <v>0</v>
      </c>
      <c r="D33" s="21">
        <f>'PERSONAL MONTHLY BUDGET (3)'!$D37</f>
        <v>0</v>
      </c>
      <c r="E33" s="21">
        <f>'PERSONAL MONTHLY BUDGET (4)'!$D37</f>
        <v>0</v>
      </c>
      <c r="F33" s="21">
        <f>'PERSONAL MONTHLY BUDGET (5)'!$D37</f>
        <v>0</v>
      </c>
      <c r="G33" s="21">
        <f>'PERSONAL MONTHLY BUDGET (6)'!$D37</f>
        <v>0</v>
      </c>
      <c r="H33" s="21">
        <f>'PERSONAL MONTHLY BUDGET (7)'!$D37</f>
        <v>0</v>
      </c>
      <c r="I33" s="21">
        <f>'PERSONAL MONTHLY BUDGET (8)'!$D37</f>
        <v>0</v>
      </c>
      <c r="J33" s="21">
        <f>'PERSONAL MONTHLY BUDGET (9)'!$D37</f>
        <v>0</v>
      </c>
      <c r="K33" s="21">
        <f>'PERSONAL MONTHLY BUDGET (10)'!$D37</f>
        <v>0</v>
      </c>
      <c r="L33" s="21">
        <f>'PERSONAL MONTHLY BUDGET (11)'!$D37</f>
        <v>0</v>
      </c>
      <c r="M33" s="43">
        <f>'PERSONAL MONTHLY BUDGET (12)'!$D37</f>
        <v>0</v>
      </c>
      <c r="N33" s="45"/>
      <c r="O33" s="51">
        <f t="shared" si="8"/>
        <v>0</v>
      </c>
    </row>
    <row r="34" spans="1:15" ht="13.5" customHeight="1">
      <c r="A34" s="20" t="s">
        <v>58</v>
      </c>
      <c r="B34" s="21">
        <f>'PERSONAL MONTHLY BUDGET (1)'!$D38</f>
        <v>0</v>
      </c>
      <c r="C34" s="21">
        <f>'PERSONAL MONTHLY BUDGET (2)'!$D38</f>
        <v>0</v>
      </c>
      <c r="D34" s="21">
        <f>'PERSONAL MONTHLY BUDGET (3)'!$D38</f>
        <v>0</v>
      </c>
      <c r="E34" s="21">
        <f>'PERSONAL MONTHLY BUDGET (4)'!$D38</f>
        <v>0</v>
      </c>
      <c r="F34" s="21">
        <f>'PERSONAL MONTHLY BUDGET (5)'!$D38</f>
        <v>0</v>
      </c>
      <c r="G34" s="21">
        <f>'PERSONAL MONTHLY BUDGET (6)'!$D38</f>
        <v>0</v>
      </c>
      <c r="H34" s="21">
        <f>'PERSONAL MONTHLY BUDGET (7)'!$D38</f>
        <v>0</v>
      </c>
      <c r="I34" s="21">
        <f>'PERSONAL MONTHLY BUDGET (8)'!$D38</f>
        <v>0</v>
      </c>
      <c r="J34" s="21">
        <f>'PERSONAL MONTHLY BUDGET (9)'!$D38</f>
        <v>0</v>
      </c>
      <c r="K34" s="21">
        <f>'PERSONAL MONTHLY BUDGET (10)'!$D38</f>
        <v>0</v>
      </c>
      <c r="L34" s="21">
        <f>'PERSONAL MONTHLY BUDGET (11)'!$D38</f>
        <v>0</v>
      </c>
      <c r="M34" s="43">
        <f>'PERSONAL MONTHLY BUDGET (12)'!$D38</f>
        <v>0</v>
      </c>
      <c r="N34" s="45"/>
      <c r="O34" s="51">
        <f t="shared" si="8"/>
        <v>0</v>
      </c>
    </row>
    <row r="35" spans="1:15" ht="13.5" customHeight="1">
      <c r="A35" s="20" t="s">
        <v>37</v>
      </c>
      <c r="B35" s="21">
        <f>'PERSONAL MONTHLY BUDGET (1)'!$D39</f>
        <v>0</v>
      </c>
      <c r="C35" s="21">
        <f>'PERSONAL MONTHLY BUDGET (2)'!$D39</f>
        <v>0</v>
      </c>
      <c r="D35" s="21">
        <f>'PERSONAL MONTHLY BUDGET (3)'!$D39</f>
        <v>0</v>
      </c>
      <c r="E35" s="21">
        <f>'PERSONAL MONTHLY BUDGET (4)'!$D39</f>
        <v>0</v>
      </c>
      <c r="F35" s="21">
        <f>'PERSONAL MONTHLY BUDGET (5)'!$D39</f>
        <v>0</v>
      </c>
      <c r="G35" s="21">
        <f>'PERSONAL MONTHLY BUDGET (6)'!$D39</f>
        <v>0</v>
      </c>
      <c r="H35" s="21">
        <f>'PERSONAL MONTHLY BUDGET (7)'!$D39</f>
        <v>0</v>
      </c>
      <c r="I35" s="21">
        <f>'PERSONAL MONTHLY BUDGET (8)'!$D39</f>
        <v>0</v>
      </c>
      <c r="J35" s="21">
        <f>'PERSONAL MONTHLY BUDGET (9)'!$D39</f>
        <v>0</v>
      </c>
      <c r="K35" s="21">
        <f>'PERSONAL MONTHLY BUDGET (10)'!$D39</f>
        <v>0</v>
      </c>
      <c r="L35" s="21">
        <f>'PERSONAL MONTHLY BUDGET (11)'!$D39</f>
        <v>0</v>
      </c>
      <c r="M35" s="43">
        <f>'PERSONAL MONTHLY BUDGET (12)'!$D39</f>
        <v>0</v>
      </c>
      <c r="N35" s="45"/>
      <c r="O35" s="51">
        <f t="shared" si="8"/>
        <v>0</v>
      </c>
    </row>
    <row r="36" spans="1:15" s="33" customFormat="1" ht="13.5" customHeight="1">
      <c r="A36" s="35" t="s">
        <v>93</v>
      </c>
      <c r="B36" s="23">
        <f>SUM(B32:B35)</f>
        <v>0</v>
      </c>
      <c r="C36" s="23">
        <f t="shared" ref="C36:M36" si="9">SUM(C32:C35)</f>
        <v>0</v>
      </c>
      <c r="D36" s="23">
        <f t="shared" si="9"/>
        <v>0</v>
      </c>
      <c r="E36" s="23">
        <f t="shared" si="9"/>
        <v>0</v>
      </c>
      <c r="F36" s="23">
        <f t="shared" si="9"/>
        <v>0</v>
      </c>
      <c r="G36" s="23">
        <f t="shared" si="9"/>
        <v>0</v>
      </c>
      <c r="H36" s="23">
        <f t="shared" si="9"/>
        <v>0</v>
      </c>
      <c r="I36" s="23">
        <f t="shared" si="9"/>
        <v>0</v>
      </c>
      <c r="J36" s="23">
        <f t="shared" si="9"/>
        <v>0</v>
      </c>
      <c r="K36" s="23">
        <f t="shared" si="9"/>
        <v>0</v>
      </c>
      <c r="L36" s="23">
        <f t="shared" si="9"/>
        <v>0</v>
      </c>
      <c r="M36" s="42">
        <f t="shared" si="9"/>
        <v>0</v>
      </c>
      <c r="N36" s="46"/>
      <c r="O36" s="54">
        <f t="shared" si="8"/>
        <v>0</v>
      </c>
    </row>
    <row r="37" spans="1:15" ht="13.5" customHeight="1">
      <c r="A37" s="62" t="s">
        <v>62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45"/>
      <c r="O37" s="49" t="s">
        <v>62</v>
      </c>
    </row>
    <row r="38" spans="1:15" ht="13.5" customHeight="1">
      <c r="A38" s="20" t="s">
        <v>64</v>
      </c>
      <c r="B38" s="21">
        <f>'PERSONAL MONTHLY BUDGET (1)'!$D43</f>
        <v>0</v>
      </c>
      <c r="C38" s="21">
        <f>'PERSONAL MONTHLY BUDGET (2)'!$D43</f>
        <v>0</v>
      </c>
      <c r="D38" s="21">
        <f>'PERSONAL MONTHLY BUDGET (3)'!$D43</f>
        <v>0</v>
      </c>
      <c r="E38" s="21">
        <f>'PERSONAL MONTHLY BUDGET (4)'!$D43</f>
        <v>0</v>
      </c>
      <c r="F38" s="21">
        <f>'PERSONAL MONTHLY BUDGET (5)'!$D43</f>
        <v>0</v>
      </c>
      <c r="G38" s="21">
        <f>'PERSONAL MONTHLY BUDGET (6)'!$D43</f>
        <v>0</v>
      </c>
      <c r="H38" s="21">
        <f>'PERSONAL MONTHLY BUDGET (7)'!$D43</f>
        <v>0</v>
      </c>
      <c r="I38" s="21">
        <f>'PERSONAL MONTHLY BUDGET (8)'!$D43</f>
        <v>0</v>
      </c>
      <c r="J38" s="21">
        <f>'PERSONAL MONTHLY BUDGET (9)'!$D43</f>
        <v>0</v>
      </c>
      <c r="K38" s="21">
        <f>'PERSONAL MONTHLY BUDGET (10)'!$D43</f>
        <v>0</v>
      </c>
      <c r="L38" s="21">
        <f>'PERSONAL MONTHLY BUDGET (11)'!$D43</f>
        <v>0</v>
      </c>
      <c r="M38" s="43">
        <f>'PERSONAL MONTHLY BUDGET (12)'!$D43</f>
        <v>0</v>
      </c>
      <c r="N38" s="45"/>
      <c r="O38" s="51">
        <f t="shared" ref="O38:O41" si="10">SUM(B38:M38)</f>
        <v>0</v>
      </c>
    </row>
    <row r="39" spans="1:15" ht="13.5" customHeight="1">
      <c r="A39" s="20" t="s">
        <v>102</v>
      </c>
      <c r="B39" s="21">
        <f>'PERSONAL MONTHLY BUDGET (1)'!$D44</f>
        <v>0</v>
      </c>
      <c r="C39" s="21">
        <f>'PERSONAL MONTHLY BUDGET (2)'!$D44</f>
        <v>0</v>
      </c>
      <c r="D39" s="21">
        <f>'PERSONAL MONTHLY BUDGET (3)'!$D44</f>
        <v>0</v>
      </c>
      <c r="E39" s="21">
        <f>'PERSONAL MONTHLY BUDGET (4)'!$D44</f>
        <v>0</v>
      </c>
      <c r="F39" s="21">
        <f>'PERSONAL MONTHLY BUDGET (5)'!$D44</f>
        <v>0</v>
      </c>
      <c r="G39" s="21">
        <f>'PERSONAL MONTHLY BUDGET (6)'!$D44</f>
        <v>0</v>
      </c>
      <c r="H39" s="21">
        <f>'PERSONAL MONTHLY BUDGET (7)'!$D44</f>
        <v>0</v>
      </c>
      <c r="I39" s="21">
        <f>'PERSONAL MONTHLY BUDGET (8)'!$D44</f>
        <v>0</v>
      </c>
      <c r="J39" s="21">
        <f>'PERSONAL MONTHLY BUDGET (9)'!$D44</f>
        <v>0</v>
      </c>
      <c r="K39" s="21">
        <f>'PERSONAL MONTHLY BUDGET (10)'!$D44</f>
        <v>0</v>
      </c>
      <c r="L39" s="21">
        <f>'PERSONAL MONTHLY BUDGET (11)'!$D44</f>
        <v>0</v>
      </c>
      <c r="M39" s="43">
        <f>'PERSONAL MONTHLY BUDGET (12)'!$D44</f>
        <v>0</v>
      </c>
      <c r="N39" s="45"/>
      <c r="O39" s="51">
        <f t="shared" si="10"/>
        <v>0</v>
      </c>
    </row>
    <row r="40" spans="1:15" ht="13.5" customHeight="1">
      <c r="A40" s="20" t="s">
        <v>37</v>
      </c>
      <c r="B40" s="21">
        <f>'PERSONAL MONTHLY BUDGET (1)'!$D45</f>
        <v>0</v>
      </c>
      <c r="C40" s="21">
        <f>'PERSONAL MONTHLY BUDGET (2)'!$D45</f>
        <v>0</v>
      </c>
      <c r="D40" s="21">
        <f>'PERSONAL MONTHLY BUDGET (3)'!$D45</f>
        <v>0</v>
      </c>
      <c r="E40" s="21">
        <f>'PERSONAL MONTHLY BUDGET (4)'!$D45</f>
        <v>0</v>
      </c>
      <c r="F40" s="21">
        <f>'PERSONAL MONTHLY BUDGET (5)'!$D45</f>
        <v>0</v>
      </c>
      <c r="G40" s="21">
        <f>'PERSONAL MONTHLY BUDGET (6)'!$D45</f>
        <v>0</v>
      </c>
      <c r="H40" s="21">
        <f>'PERSONAL MONTHLY BUDGET (7)'!$D45</f>
        <v>0</v>
      </c>
      <c r="I40" s="21">
        <f>'PERSONAL MONTHLY BUDGET (8)'!$D45</f>
        <v>0</v>
      </c>
      <c r="J40" s="21">
        <f>'PERSONAL MONTHLY BUDGET (9)'!$D45</f>
        <v>0</v>
      </c>
      <c r="K40" s="21">
        <f>'PERSONAL MONTHLY BUDGET (10)'!$D45</f>
        <v>0</v>
      </c>
      <c r="L40" s="21">
        <f>'PERSONAL MONTHLY BUDGET (11)'!$D45</f>
        <v>0</v>
      </c>
      <c r="M40" s="43">
        <f>'PERSONAL MONTHLY BUDGET (12)'!$D45</f>
        <v>0</v>
      </c>
      <c r="N40" s="45"/>
      <c r="O40" s="51">
        <f t="shared" si="10"/>
        <v>0</v>
      </c>
    </row>
    <row r="41" spans="1:15" s="33" customFormat="1" ht="13.5" customHeight="1">
      <c r="A41" s="35" t="s">
        <v>93</v>
      </c>
      <c r="B41" s="23">
        <f>SUM(B38:B40)</f>
        <v>0</v>
      </c>
      <c r="C41" s="23">
        <f t="shared" ref="C41:M41" si="11">SUM(C38:C40)</f>
        <v>0</v>
      </c>
      <c r="D41" s="23">
        <f t="shared" si="11"/>
        <v>0</v>
      </c>
      <c r="E41" s="23">
        <f t="shared" si="11"/>
        <v>0</v>
      </c>
      <c r="F41" s="23">
        <f t="shared" si="11"/>
        <v>0</v>
      </c>
      <c r="G41" s="23">
        <f t="shared" si="11"/>
        <v>0</v>
      </c>
      <c r="H41" s="23">
        <f t="shared" si="11"/>
        <v>0</v>
      </c>
      <c r="I41" s="23">
        <f t="shared" si="11"/>
        <v>0</v>
      </c>
      <c r="J41" s="23">
        <f t="shared" si="11"/>
        <v>0</v>
      </c>
      <c r="K41" s="23">
        <f t="shared" si="11"/>
        <v>0</v>
      </c>
      <c r="L41" s="23">
        <f t="shared" si="11"/>
        <v>0</v>
      </c>
      <c r="M41" s="42">
        <f t="shared" si="11"/>
        <v>0</v>
      </c>
      <c r="N41" s="46"/>
      <c r="O41" s="54">
        <f t="shared" si="10"/>
        <v>0</v>
      </c>
    </row>
    <row r="42" spans="1:15" ht="13.5" customHeight="1">
      <c r="A42" s="62" t="s">
        <v>69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45"/>
      <c r="O42" s="49" t="s">
        <v>69</v>
      </c>
    </row>
    <row r="43" spans="1:15" ht="13.5" customHeight="1">
      <c r="A43" s="20" t="s">
        <v>71</v>
      </c>
      <c r="B43" s="21">
        <f>'PERSONAL MONTHLY BUDGET (1)'!$D49</f>
        <v>0</v>
      </c>
      <c r="C43" s="21">
        <f>'PERSONAL MONTHLY BUDGET (2)'!$D49</f>
        <v>0</v>
      </c>
      <c r="D43" s="21">
        <f>'PERSONAL MONTHLY BUDGET (3)'!$D49</f>
        <v>0</v>
      </c>
      <c r="E43" s="21">
        <f>'PERSONAL MONTHLY BUDGET (4)'!$D49</f>
        <v>0</v>
      </c>
      <c r="F43" s="21">
        <f>'PERSONAL MONTHLY BUDGET (5)'!$D49</f>
        <v>0</v>
      </c>
      <c r="G43" s="21">
        <f>'PERSONAL MONTHLY BUDGET (6)'!$D49</f>
        <v>0</v>
      </c>
      <c r="H43" s="21">
        <f>'PERSONAL MONTHLY BUDGET (7)'!$D49</f>
        <v>0</v>
      </c>
      <c r="I43" s="21">
        <f>'PERSONAL MONTHLY BUDGET (8)'!$D49</f>
        <v>0</v>
      </c>
      <c r="J43" s="21">
        <f>'PERSONAL MONTHLY BUDGET (9)'!$D49</f>
        <v>0</v>
      </c>
      <c r="K43" s="21">
        <f>'PERSONAL MONTHLY BUDGET (10)'!$D49</f>
        <v>0</v>
      </c>
      <c r="L43" s="21">
        <f>'PERSONAL MONTHLY BUDGET (11)'!$D49</f>
        <v>0</v>
      </c>
      <c r="M43" s="43">
        <f>'PERSONAL MONTHLY BUDGET (12)'!$D49</f>
        <v>0</v>
      </c>
      <c r="N43" s="45"/>
      <c r="O43" s="51">
        <f t="shared" ref="O43:O48" si="12">SUM(B43:M43)</f>
        <v>0</v>
      </c>
    </row>
    <row r="44" spans="1:15" ht="13.5" customHeight="1">
      <c r="A44" s="20" t="s">
        <v>73</v>
      </c>
      <c r="B44" s="21">
        <f>'PERSONAL MONTHLY BUDGET (1)'!$D50</f>
        <v>0</v>
      </c>
      <c r="C44" s="21">
        <f>'PERSONAL MONTHLY BUDGET (2)'!$D50</f>
        <v>0</v>
      </c>
      <c r="D44" s="21">
        <f>'PERSONAL MONTHLY BUDGET (3)'!$D50</f>
        <v>0</v>
      </c>
      <c r="E44" s="21">
        <f>'PERSONAL MONTHLY BUDGET (4)'!$D50</f>
        <v>0</v>
      </c>
      <c r="F44" s="21">
        <f>'PERSONAL MONTHLY BUDGET (5)'!$D50</f>
        <v>0</v>
      </c>
      <c r="G44" s="21">
        <f>'PERSONAL MONTHLY BUDGET (6)'!$D50</f>
        <v>0</v>
      </c>
      <c r="H44" s="21">
        <f>'PERSONAL MONTHLY BUDGET (7)'!$D50</f>
        <v>0</v>
      </c>
      <c r="I44" s="21">
        <f>'PERSONAL MONTHLY BUDGET (8)'!$D50</f>
        <v>0</v>
      </c>
      <c r="J44" s="21">
        <f>'PERSONAL MONTHLY BUDGET (9)'!$D50</f>
        <v>0</v>
      </c>
      <c r="K44" s="21">
        <f>'PERSONAL MONTHLY BUDGET (10)'!$D50</f>
        <v>0</v>
      </c>
      <c r="L44" s="21">
        <f>'PERSONAL MONTHLY BUDGET (11)'!$D50</f>
        <v>0</v>
      </c>
      <c r="M44" s="43">
        <f>'PERSONAL MONTHLY BUDGET (12)'!$D50</f>
        <v>0</v>
      </c>
      <c r="N44" s="45"/>
      <c r="O44" s="51">
        <f t="shared" si="12"/>
        <v>0</v>
      </c>
    </row>
    <row r="45" spans="1:15" ht="13.5" customHeight="1">
      <c r="A45" s="20" t="s">
        <v>74</v>
      </c>
      <c r="B45" s="21">
        <f>'PERSONAL MONTHLY BUDGET (1)'!$D51</f>
        <v>0</v>
      </c>
      <c r="C45" s="21">
        <f>'PERSONAL MONTHLY BUDGET (2)'!$D51</f>
        <v>0</v>
      </c>
      <c r="D45" s="21">
        <f>'PERSONAL MONTHLY BUDGET (3)'!$D51</f>
        <v>0</v>
      </c>
      <c r="E45" s="21">
        <f>'PERSONAL MONTHLY BUDGET (4)'!$D51</f>
        <v>0</v>
      </c>
      <c r="F45" s="21">
        <f>'PERSONAL MONTHLY BUDGET (5)'!$D51</f>
        <v>0</v>
      </c>
      <c r="G45" s="21">
        <f>'PERSONAL MONTHLY BUDGET (6)'!$D51</f>
        <v>0</v>
      </c>
      <c r="H45" s="21">
        <f>'PERSONAL MONTHLY BUDGET (7)'!$D51</f>
        <v>0</v>
      </c>
      <c r="I45" s="21">
        <f>'PERSONAL MONTHLY BUDGET (8)'!$D51</f>
        <v>0</v>
      </c>
      <c r="J45" s="21">
        <f>'PERSONAL MONTHLY BUDGET (9)'!$D51</f>
        <v>0</v>
      </c>
      <c r="K45" s="21">
        <f>'PERSONAL MONTHLY BUDGET (10)'!$D51</f>
        <v>0</v>
      </c>
      <c r="L45" s="21">
        <f>'PERSONAL MONTHLY BUDGET (11)'!$D51</f>
        <v>0</v>
      </c>
      <c r="M45" s="43">
        <f>'PERSONAL MONTHLY BUDGET (12)'!$D51</f>
        <v>0</v>
      </c>
      <c r="N45" s="45"/>
      <c r="O45" s="51">
        <f t="shared" si="12"/>
        <v>0</v>
      </c>
    </row>
    <row r="46" spans="1:15" ht="13.5" customHeight="1">
      <c r="A46" s="20" t="s">
        <v>75</v>
      </c>
      <c r="B46" s="21">
        <f>'PERSONAL MONTHLY BUDGET (1)'!$D52</f>
        <v>0</v>
      </c>
      <c r="C46" s="21">
        <f>'PERSONAL MONTHLY BUDGET (2)'!$D52</f>
        <v>0</v>
      </c>
      <c r="D46" s="21">
        <f>'PERSONAL MONTHLY BUDGET (3)'!$D52</f>
        <v>0</v>
      </c>
      <c r="E46" s="21">
        <f>'PERSONAL MONTHLY BUDGET (4)'!$D52</f>
        <v>0</v>
      </c>
      <c r="F46" s="21">
        <f>'PERSONAL MONTHLY BUDGET (5)'!$D52</f>
        <v>0</v>
      </c>
      <c r="G46" s="21">
        <f>'PERSONAL MONTHLY BUDGET (6)'!$D52</f>
        <v>0</v>
      </c>
      <c r="H46" s="21">
        <f>'PERSONAL MONTHLY BUDGET (7)'!$D52</f>
        <v>0</v>
      </c>
      <c r="I46" s="21">
        <f>'PERSONAL MONTHLY BUDGET (8)'!$D52</f>
        <v>0</v>
      </c>
      <c r="J46" s="21">
        <f>'PERSONAL MONTHLY BUDGET (9)'!$D52</f>
        <v>0</v>
      </c>
      <c r="K46" s="21">
        <f>'PERSONAL MONTHLY BUDGET (10)'!$D52</f>
        <v>0</v>
      </c>
      <c r="L46" s="21">
        <f>'PERSONAL MONTHLY BUDGET (11)'!$D52</f>
        <v>0</v>
      </c>
      <c r="M46" s="43">
        <f>'PERSONAL MONTHLY BUDGET (12)'!$D52</f>
        <v>0</v>
      </c>
      <c r="N46" s="45"/>
      <c r="O46" s="51">
        <f t="shared" si="12"/>
        <v>0</v>
      </c>
    </row>
    <row r="47" spans="1:15" ht="13.5" customHeight="1">
      <c r="A47" s="22" t="s">
        <v>37</v>
      </c>
      <c r="B47" s="21">
        <f>'PERSONAL MONTHLY BUDGET (1)'!$D53</f>
        <v>0</v>
      </c>
      <c r="C47" s="21">
        <f>'PERSONAL MONTHLY BUDGET (2)'!$D53</f>
        <v>0</v>
      </c>
      <c r="D47" s="21">
        <f>'PERSONAL MONTHLY BUDGET (3)'!$D53</f>
        <v>0</v>
      </c>
      <c r="E47" s="21">
        <f>'PERSONAL MONTHLY BUDGET (4)'!$D53</f>
        <v>0</v>
      </c>
      <c r="F47" s="21">
        <f>'PERSONAL MONTHLY BUDGET (5)'!$D53</f>
        <v>0</v>
      </c>
      <c r="G47" s="21">
        <f>'PERSONAL MONTHLY BUDGET (6)'!$D53</f>
        <v>0</v>
      </c>
      <c r="H47" s="21">
        <f>'PERSONAL MONTHLY BUDGET (7)'!$D53</f>
        <v>0</v>
      </c>
      <c r="I47" s="21">
        <f>'PERSONAL MONTHLY BUDGET (8)'!$D53</f>
        <v>0</v>
      </c>
      <c r="J47" s="21">
        <f>'PERSONAL MONTHLY BUDGET (9)'!$D53</f>
        <v>0</v>
      </c>
      <c r="K47" s="21">
        <f>'PERSONAL MONTHLY BUDGET (10)'!$D53</f>
        <v>0</v>
      </c>
      <c r="L47" s="21">
        <f>'PERSONAL MONTHLY BUDGET (11)'!$D53</f>
        <v>0</v>
      </c>
      <c r="M47" s="43">
        <f>'PERSONAL MONTHLY BUDGET (12)'!$D53</f>
        <v>0</v>
      </c>
      <c r="N47" s="45"/>
      <c r="O47" s="51">
        <f t="shared" si="12"/>
        <v>0</v>
      </c>
    </row>
    <row r="48" spans="1:15" s="33" customFormat="1" ht="13.5" customHeight="1">
      <c r="A48" s="35" t="s">
        <v>93</v>
      </c>
      <c r="B48" s="23">
        <f>SUM(B43:B47)</f>
        <v>0</v>
      </c>
      <c r="C48" s="23">
        <f t="shared" ref="C48:M48" si="13">SUM(C43:C47)</f>
        <v>0</v>
      </c>
      <c r="D48" s="23">
        <f t="shared" si="13"/>
        <v>0</v>
      </c>
      <c r="E48" s="23">
        <f t="shared" si="13"/>
        <v>0</v>
      </c>
      <c r="F48" s="23">
        <f t="shared" si="13"/>
        <v>0</v>
      </c>
      <c r="G48" s="23">
        <f t="shared" si="13"/>
        <v>0</v>
      </c>
      <c r="H48" s="23">
        <f t="shared" si="13"/>
        <v>0</v>
      </c>
      <c r="I48" s="23">
        <f t="shared" si="13"/>
        <v>0</v>
      </c>
      <c r="J48" s="23">
        <f t="shared" si="13"/>
        <v>0</v>
      </c>
      <c r="K48" s="23">
        <f t="shared" si="13"/>
        <v>0</v>
      </c>
      <c r="L48" s="23">
        <f t="shared" si="13"/>
        <v>0</v>
      </c>
      <c r="M48" s="42">
        <f t="shared" si="13"/>
        <v>0</v>
      </c>
      <c r="N48" s="46"/>
      <c r="O48" s="54">
        <f t="shared" si="12"/>
        <v>0</v>
      </c>
    </row>
    <row r="49" spans="1:15" ht="13.5" customHeight="1">
      <c r="A49" s="62" t="s">
        <v>81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45"/>
      <c r="O49" s="49" t="s">
        <v>81</v>
      </c>
    </row>
    <row r="50" spans="1:15" ht="13.5" customHeight="1">
      <c r="A50" s="20" t="s">
        <v>73</v>
      </c>
      <c r="B50" s="21">
        <f>'PERSONAL MONTHLY BUDGET (1)'!$D57</f>
        <v>0</v>
      </c>
      <c r="C50" s="21">
        <f>'PERSONAL MONTHLY BUDGET (2)'!$D57</f>
        <v>0</v>
      </c>
      <c r="D50" s="21">
        <f>'PERSONAL MONTHLY BUDGET (3)'!$D57</f>
        <v>0</v>
      </c>
      <c r="E50" s="21">
        <f>'PERSONAL MONTHLY BUDGET (4)'!$D57</f>
        <v>0</v>
      </c>
      <c r="F50" s="21">
        <f>'PERSONAL MONTHLY BUDGET (5)'!$D57</f>
        <v>0</v>
      </c>
      <c r="G50" s="21">
        <f>'PERSONAL MONTHLY BUDGET (6)'!$D57</f>
        <v>0</v>
      </c>
      <c r="H50" s="21">
        <f>'PERSONAL MONTHLY BUDGET (7)'!$D57</f>
        <v>0</v>
      </c>
      <c r="I50" s="21">
        <f>'PERSONAL MONTHLY BUDGET (8)'!$D57</f>
        <v>0</v>
      </c>
      <c r="J50" s="21">
        <f>'PERSONAL MONTHLY BUDGET (9)'!$D57</f>
        <v>0</v>
      </c>
      <c r="K50" s="21">
        <f>'PERSONAL MONTHLY BUDGET (10)'!$D57</f>
        <v>0</v>
      </c>
      <c r="L50" s="21">
        <f>'PERSONAL MONTHLY BUDGET (11)'!$D57</f>
        <v>0</v>
      </c>
      <c r="M50" s="43">
        <f>'PERSONAL MONTHLY BUDGET (12)'!$D57</f>
        <v>0</v>
      </c>
      <c r="N50" s="45"/>
      <c r="O50" s="51">
        <f t="shared" ref="O50:O57" si="14">SUM(B50:M50)</f>
        <v>0</v>
      </c>
    </row>
    <row r="51" spans="1:15" ht="13.5" customHeight="1">
      <c r="A51" s="20" t="s">
        <v>103</v>
      </c>
      <c r="B51" s="21">
        <f>'PERSONAL MONTHLY BUDGET (1)'!$D58</f>
        <v>0</v>
      </c>
      <c r="C51" s="21">
        <f>'PERSONAL MONTHLY BUDGET (2)'!$D58</f>
        <v>0</v>
      </c>
      <c r="D51" s="21">
        <f>'PERSONAL MONTHLY BUDGET (3)'!$D58</f>
        <v>0</v>
      </c>
      <c r="E51" s="21">
        <f>'PERSONAL MONTHLY BUDGET (4)'!$D58</f>
        <v>0</v>
      </c>
      <c r="F51" s="21">
        <f>'PERSONAL MONTHLY BUDGET (5)'!$D58</f>
        <v>0</v>
      </c>
      <c r="G51" s="21">
        <f>'PERSONAL MONTHLY BUDGET (6)'!$D58</f>
        <v>0</v>
      </c>
      <c r="H51" s="21">
        <f>'PERSONAL MONTHLY BUDGET (7)'!$D58</f>
        <v>0</v>
      </c>
      <c r="I51" s="21">
        <f>'PERSONAL MONTHLY BUDGET (8)'!$D58</f>
        <v>0</v>
      </c>
      <c r="J51" s="21">
        <f>'PERSONAL MONTHLY BUDGET (9)'!$D58</f>
        <v>0</v>
      </c>
      <c r="K51" s="21">
        <f>'PERSONAL MONTHLY BUDGET (10)'!$D58</f>
        <v>0</v>
      </c>
      <c r="L51" s="21">
        <f>'PERSONAL MONTHLY BUDGET (11)'!$D58</f>
        <v>0</v>
      </c>
      <c r="M51" s="43">
        <f>'PERSONAL MONTHLY BUDGET (12)'!$D58</f>
        <v>0</v>
      </c>
      <c r="N51" s="45"/>
      <c r="O51" s="51">
        <f t="shared" si="14"/>
        <v>0</v>
      </c>
    </row>
    <row r="52" spans="1:15" ht="13.5" customHeight="1">
      <c r="A52" s="20" t="s">
        <v>84</v>
      </c>
      <c r="B52" s="21">
        <f>'PERSONAL MONTHLY BUDGET (1)'!$D59</f>
        <v>0</v>
      </c>
      <c r="C52" s="21">
        <f>'PERSONAL MONTHLY BUDGET (2)'!$D59</f>
        <v>0</v>
      </c>
      <c r="D52" s="21">
        <f>'PERSONAL MONTHLY BUDGET (3)'!$D59</f>
        <v>0</v>
      </c>
      <c r="E52" s="21">
        <f>'PERSONAL MONTHLY BUDGET (4)'!$D59</f>
        <v>0</v>
      </c>
      <c r="F52" s="21">
        <f>'PERSONAL MONTHLY BUDGET (5)'!$D59</f>
        <v>0</v>
      </c>
      <c r="G52" s="21">
        <f>'PERSONAL MONTHLY BUDGET (6)'!$D59</f>
        <v>0</v>
      </c>
      <c r="H52" s="21">
        <f>'PERSONAL MONTHLY BUDGET (7)'!$D59</f>
        <v>0</v>
      </c>
      <c r="I52" s="21">
        <f>'PERSONAL MONTHLY BUDGET (8)'!$D59</f>
        <v>0</v>
      </c>
      <c r="J52" s="21">
        <f>'PERSONAL MONTHLY BUDGET (9)'!$D59</f>
        <v>0</v>
      </c>
      <c r="K52" s="21">
        <f>'PERSONAL MONTHLY BUDGET (10)'!$D59</f>
        <v>0</v>
      </c>
      <c r="L52" s="21">
        <f>'PERSONAL MONTHLY BUDGET (11)'!$D59</f>
        <v>0</v>
      </c>
      <c r="M52" s="43">
        <f>'PERSONAL MONTHLY BUDGET (12)'!$D59</f>
        <v>0</v>
      </c>
      <c r="N52" s="45"/>
      <c r="O52" s="51">
        <f t="shared" si="14"/>
        <v>0</v>
      </c>
    </row>
    <row r="53" spans="1:15" ht="13.5" customHeight="1">
      <c r="A53" s="20" t="s">
        <v>86</v>
      </c>
      <c r="B53" s="21">
        <f>'PERSONAL MONTHLY BUDGET (1)'!$D60</f>
        <v>0</v>
      </c>
      <c r="C53" s="21">
        <f>'PERSONAL MONTHLY BUDGET (2)'!$D60</f>
        <v>0</v>
      </c>
      <c r="D53" s="21">
        <f>'PERSONAL MONTHLY BUDGET (3)'!$D60</f>
        <v>0</v>
      </c>
      <c r="E53" s="21">
        <f>'PERSONAL MONTHLY BUDGET (4)'!$D60</f>
        <v>0</v>
      </c>
      <c r="F53" s="21">
        <f>'PERSONAL MONTHLY BUDGET (5)'!$D60</f>
        <v>0</v>
      </c>
      <c r="G53" s="21">
        <f>'PERSONAL MONTHLY BUDGET (6)'!$D60</f>
        <v>0</v>
      </c>
      <c r="H53" s="21">
        <f>'PERSONAL MONTHLY BUDGET (7)'!$D60</f>
        <v>0</v>
      </c>
      <c r="I53" s="21">
        <f>'PERSONAL MONTHLY BUDGET (8)'!$D60</f>
        <v>0</v>
      </c>
      <c r="J53" s="21">
        <f>'PERSONAL MONTHLY BUDGET (9)'!$D60</f>
        <v>0</v>
      </c>
      <c r="K53" s="21">
        <f>'PERSONAL MONTHLY BUDGET (10)'!$D60</f>
        <v>0</v>
      </c>
      <c r="L53" s="21">
        <f>'PERSONAL MONTHLY BUDGET (11)'!$D60</f>
        <v>0</v>
      </c>
      <c r="M53" s="43">
        <f>'PERSONAL MONTHLY BUDGET (12)'!$D60</f>
        <v>0</v>
      </c>
      <c r="N53" s="45"/>
      <c r="O53" s="51">
        <f t="shared" si="14"/>
        <v>0</v>
      </c>
    </row>
    <row r="54" spans="1:15" ht="13.5" customHeight="1">
      <c r="A54" s="22" t="s">
        <v>87</v>
      </c>
      <c r="B54" s="21">
        <f>'PERSONAL MONTHLY BUDGET (1)'!$D61</f>
        <v>0</v>
      </c>
      <c r="C54" s="21">
        <f>'PERSONAL MONTHLY BUDGET (2)'!$D61</f>
        <v>0</v>
      </c>
      <c r="D54" s="21">
        <f>'PERSONAL MONTHLY BUDGET (3)'!$D61</f>
        <v>0</v>
      </c>
      <c r="E54" s="21">
        <f>'PERSONAL MONTHLY BUDGET (4)'!$D61</f>
        <v>0</v>
      </c>
      <c r="F54" s="21">
        <f>'PERSONAL MONTHLY BUDGET (5)'!$D61</f>
        <v>0</v>
      </c>
      <c r="G54" s="21">
        <f>'PERSONAL MONTHLY BUDGET (6)'!$D61</f>
        <v>0</v>
      </c>
      <c r="H54" s="21">
        <f>'PERSONAL MONTHLY BUDGET (7)'!$D61</f>
        <v>0</v>
      </c>
      <c r="I54" s="21">
        <f>'PERSONAL MONTHLY BUDGET (8)'!$D61</f>
        <v>0</v>
      </c>
      <c r="J54" s="21">
        <f>'PERSONAL MONTHLY BUDGET (9)'!$D61</f>
        <v>0</v>
      </c>
      <c r="K54" s="21">
        <f>'PERSONAL MONTHLY BUDGET (10)'!$D61</f>
        <v>0</v>
      </c>
      <c r="L54" s="21">
        <f>'PERSONAL MONTHLY BUDGET (11)'!$D61</f>
        <v>0</v>
      </c>
      <c r="M54" s="43">
        <f>'PERSONAL MONTHLY BUDGET (12)'!$D61</f>
        <v>0</v>
      </c>
      <c r="N54" s="45"/>
      <c r="O54" s="51">
        <f t="shared" si="14"/>
        <v>0</v>
      </c>
    </row>
    <row r="55" spans="1:15" ht="13.5" customHeight="1">
      <c r="A55" s="22" t="s">
        <v>104</v>
      </c>
      <c r="B55" s="21">
        <f>'PERSONAL MONTHLY BUDGET (1)'!$D62</f>
        <v>0</v>
      </c>
      <c r="C55" s="21">
        <f>'PERSONAL MONTHLY BUDGET (2)'!$D62</f>
        <v>0</v>
      </c>
      <c r="D55" s="21">
        <f>'PERSONAL MONTHLY BUDGET (3)'!$D62</f>
        <v>0</v>
      </c>
      <c r="E55" s="21">
        <f>'PERSONAL MONTHLY BUDGET (4)'!$D62</f>
        <v>0</v>
      </c>
      <c r="F55" s="21">
        <f>'PERSONAL MONTHLY BUDGET (5)'!$D62</f>
        <v>0</v>
      </c>
      <c r="G55" s="21">
        <f>'PERSONAL MONTHLY BUDGET (6)'!$D62</f>
        <v>0</v>
      </c>
      <c r="H55" s="21">
        <f>'PERSONAL MONTHLY BUDGET (7)'!$D62</f>
        <v>0</v>
      </c>
      <c r="I55" s="21">
        <f>'PERSONAL MONTHLY BUDGET (8)'!$D62</f>
        <v>0</v>
      </c>
      <c r="J55" s="21">
        <f>'PERSONAL MONTHLY BUDGET (9)'!$D62</f>
        <v>0</v>
      </c>
      <c r="K55" s="21">
        <f>'PERSONAL MONTHLY BUDGET (10)'!$D62</f>
        <v>0</v>
      </c>
      <c r="L55" s="21">
        <f>'PERSONAL MONTHLY BUDGET (11)'!$D62</f>
        <v>0</v>
      </c>
      <c r="M55" s="43">
        <f>'PERSONAL MONTHLY BUDGET (12)'!$D62</f>
        <v>0</v>
      </c>
      <c r="N55" s="45"/>
      <c r="O55" s="51">
        <f t="shared" si="14"/>
        <v>0</v>
      </c>
    </row>
    <row r="56" spans="1:15" ht="13.5" customHeight="1">
      <c r="A56" s="22" t="s">
        <v>37</v>
      </c>
      <c r="B56" s="21">
        <f>'PERSONAL MONTHLY BUDGET (1)'!$D63</f>
        <v>0</v>
      </c>
      <c r="C56" s="21">
        <f>'PERSONAL MONTHLY BUDGET (2)'!$D63</f>
        <v>0</v>
      </c>
      <c r="D56" s="21">
        <f>'PERSONAL MONTHLY BUDGET (3)'!$D63</f>
        <v>0</v>
      </c>
      <c r="E56" s="21">
        <f>'PERSONAL MONTHLY BUDGET (4)'!$D63</f>
        <v>0</v>
      </c>
      <c r="F56" s="21">
        <f>'PERSONAL MONTHLY BUDGET (5)'!$D63</f>
        <v>0</v>
      </c>
      <c r="G56" s="21">
        <f>'PERSONAL MONTHLY BUDGET (6)'!$D63</f>
        <v>0</v>
      </c>
      <c r="H56" s="21">
        <f>'PERSONAL MONTHLY BUDGET (7)'!$D63</f>
        <v>0</v>
      </c>
      <c r="I56" s="21">
        <f>'PERSONAL MONTHLY BUDGET (8)'!$D63</f>
        <v>0</v>
      </c>
      <c r="J56" s="21">
        <f>'PERSONAL MONTHLY BUDGET (9)'!$D63</f>
        <v>0</v>
      </c>
      <c r="K56" s="21">
        <f>'PERSONAL MONTHLY BUDGET (10)'!$D63</f>
        <v>0</v>
      </c>
      <c r="L56" s="21">
        <f>'PERSONAL MONTHLY BUDGET (11)'!$D63</f>
        <v>0</v>
      </c>
      <c r="M56" s="43">
        <f>'PERSONAL MONTHLY BUDGET (12)'!$D63</f>
        <v>0</v>
      </c>
      <c r="N56" s="45"/>
      <c r="O56" s="51">
        <f t="shared" si="14"/>
        <v>0</v>
      </c>
    </row>
    <row r="57" spans="1:15" s="33" customFormat="1" ht="13.5" customHeight="1">
      <c r="A57" s="35" t="s">
        <v>93</v>
      </c>
      <c r="B57" s="23">
        <f>SUM(B50:B56)</f>
        <v>0</v>
      </c>
      <c r="C57" s="23">
        <f t="shared" ref="C57:M57" si="15">SUM(C50:C56)</f>
        <v>0</v>
      </c>
      <c r="D57" s="23">
        <f t="shared" si="15"/>
        <v>0</v>
      </c>
      <c r="E57" s="23">
        <f t="shared" si="15"/>
        <v>0</v>
      </c>
      <c r="F57" s="23">
        <f t="shared" si="15"/>
        <v>0</v>
      </c>
      <c r="G57" s="23">
        <f t="shared" si="15"/>
        <v>0</v>
      </c>
      <c r="H57" s="23">
        <f t="shared" si="15"/>
        <v>0</v>
      </c>
      <c r="I57" s="23">
        <f t="shared" si="15"/>
        <v>0</v>
      </c>
      <c r="J57" s="23">
        <f t="shared" si="15"/>
        <v>0</v>
      </c>
      <c r="K57" s="23">
        <f t="shared" si="15"/>
        <v>0</v>
      </c>
      <c r="L57" s="23">
        <f t="shared" si="15"/>
        <v>0</v>
      </c>
      <c r="M57" s="42">
        <f t="shared" si="15"/>
        <v>0</v>
      </c>
      <c r="N57" s="46"/>
      <c r="O57" s="54">
        <f t="shared" si="14"/>
        <v>0</v>
      </c>
    </row>
    <row r="58" spans="1:15" ht="13.5" customHeight="1">
      <c r="A58" s="62" t="s">
        <v>23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45"/>
      <c r="O58" s="49" t="s">
        <v>23</v>
      </c>
    </row>
    <row r="59" spans="1:15" ht="13.5" customHeight="1">
      <c r="A59" s="20" t="s">
        <v>25</v>
      </c>
      <c r="B59" s="21">
        <f>'PERSONAL MONTHLY BUDGET (1)'!$I13</f>
        <v>0</v>
      </c>
      <c r="C59" s="21">
        <f>'PERSONAL MONTHLY BUDGET (2)'!$I13</f>
        <v>0</v>
      </c>
      <c r="D59" s="21">
        <f>'PERSONAL MONTHLY BUDGET (3)'!$I13</f>
        <v>0</v>
      </c>
      <c r="E59" s="21">
        <f>'PERSONAL MONTHLY BUDGET (4)'!$I13</f>
        <v>0</v>
      </c>
      <c r="F59" s="21">
        <f>'PERSONAL MONTHLY BUDGET (5)'!$I13</f>
        <v>0</v>
      </c>
      <c r="G59" s="21">
        <f>'PERSONAL MONTHLY BUDGET (6)'!$I13</f>
        <v>0</v>
      </c>
      <c r="H59" s="21">
        <f>'PERSONAL MONTHLY BUDGET (7)'!$I13</f>
        <v>0</v>
      </c>
      <c r="I59" s="21">
        <f>'PERSONAL MONTHLY BUDGET (8)'!$I13</f>
        <v>0</v>
      </c>
      <c r="J59" s="21">
        <f>'PERSONAL MONTHLY BUDGET (9)'!$I13</f>
        <v>0</v>
      </c>
      <c r="K59" s="21">
        <f>'PERSONAL MONTHLY BUDGET (10)'!$I13</f>
        <v>0</v>
      </c>
      <c r="L59" s="21">
        <f>'PERSONAL MONTHLY BUDGET (11)'!$I13</f>
        <v>0</v>
      </c>
      <c r="M59" s="43">
        <f>'PERSONAL MONTHLY BUDGET (12)'!$I13</f>
        <v>0</v>
      </c>
      <c r="N59" s="45"/>
      <c r="O59" s="51">
        <f t="shared" ref="O59:O68" si="16">SUM(B59:M59)</f>
        <v>0</v>
      </c>
    </row>
    <row r="60" spans="1:15" ht="13.5" customHeight="1">
      <c r="A60" s="20" t="s">
        <v>27</v>
      </c>
      <c r="B60" s="21">
        <f>'PERSONAL MONTHLY BUDGET (1)'!$I14</f>
        <v>0</v>
      </c>
      <c r="C60" s="21">
        <f>'PERSONAL MONTHLY BUDGET (2)'!$I14</f>
        <v>0</v>
      </c>
      <c r="D60" s="21">
        <f>'PERSONAL MONTHLY BUDGET (3)'!$I14</f>
        <v>0</v>
      </c>
      <c r="E60" s="21">
        <f>'PERSONAL MONTHLY BUDGET (4)'!$I14</f>
        <v>0</v>
      </c>
      <c r="F60" s="21">
        <f>'PERSONAL MONTHLY BUDGET (5)'!$I14</f>
        <v>0</v>
      </c>
      <c r="G60" s="21">
        <f>'PERSONAL MONTHLY BUDGET (6)'!$I14</f>
        <v>0</v>
      </c>
      <c r="H60" s="21">
        <f>'PERSONAL MONTHLY BUDGET (7)'!$I14</f>
        <v>0</v>
      </c>
      <c r="I60" s="21">
        <f>'PERSONAL MONTHLY BUDGET (8)'!$I14</f>
        <v>0</v>
      </c>
      <c r="J60" s="21">
        <f>'PERSONAL MONTHLY BUDGET (9)'!$I14</f>
        <v>0</v>
      </c>
      <c r="K60" s="21">
        <f>'PERSONAL MONTHLY BUDGET (10)'!$I14</f>
        <v>0</v>
      </c>
      <c r="L60" s="21">
        <f>'PERSONAL MONTHLY BUDGET (11)'!$I14</f>
        <v>0</v>
      </c>
      <c r="M60" s="43">
        <f>'PERSONAL MONTHLY BUDGET (12)'!$I14</f>
        <v>0</v>
      </c>
      <c r="N60" s="45"/>
      <c r="O60" s="51">
        <f t="shared" si="16"/>
        <v>0</v>
      </c>
    </row>
    <row r="61" spans="1:15" ht="13.5" customHeight="1">
      <c r="A61" s="20" t="s">
        <v>29</v>
      </c>
      <c r="B61" s="21">
        <f>'PERSONAL MONTHLY BUDGET (1)'!$I15</f>
        <v>0</v>
      </c>
      <c r="C61" s="21">
        <f>'PERSONAL MONTHLY BUDGET (2)'!$I15</f>
        <v>0</v>
      </c>
      <c r="D61" s="21">
        <f>'PERSONAL MONTHLY BUDGET (3)'!$I15</f>
        <v>0</v>
      </c>
      <c r="E61" s="21">
        <f>'PERSONAL MONTHLY BUDGET (4)'!$I15</f>
        <v>0</v>
      </c>
      <c r="F61" s="21">
        <f>'PERSONAL MONTHLY BUDGET (5)'!$I15</f>
        <v>0</v>
      </c>
      <c r="G61" s="21">
        <f>'PERSONAL MONTHLY BUDGET (6)'!$I15</f>
        <v>0</v>
      </c>
      <c r="H61" s="21">
        <f>'PERSONAL MONTHLY BUDGET (7)'!$I15</f>
        <v>0</v>
      </c>
      <c r="I61" s="21">
        <f>'PERSONAL MONTHLY BUDGET (8)'!$I15</f>
        <v>0</v>
      </c>
      <c r="J61" s="21">
        <f>'PERSONAL MONTHLY BUDGET (9)'!$I15</f>
        <v>0</v>
      </c>
      <c r="K61" s="21">
        <f>'PERSONAL MONTHLY BUDGET (10)'!$I15</f>
        <v>0</v>
      </c>
      <c r="L61" s="21">
        <f>'PERSONAL MONTHLY BUDGET (11)'!$I15</f>
        <v>0</v>
      </c>
      <c r="M61" s="43">
        <f>'PERSONAL MONTHLY BUDGET (12)'!$I15</f>
        <v>0</v>
      </c>
      <c r="N61" s="45"/>
      <c r="O61" s="51">
        <f t="shared" si="16"/>
        <v>0</v>
      </c>
    </row>
    <row r="62" spans="1:15" ht="13.5" customHeight="1">
      <c r="A62" s="20" t="s">
        <v>31</v>
      </c>
      <c r="B62" s="21">
        <f>'PERSONAL MONTHLY BUDGET (1)'!$I16</f>
        <v>0</v>
      </c>
      <c r="C62" s="21">
        <f>'PERSONAL MONTHLY BUDGET (2)'!$I16</f>
        <v>0</v>
      </c>
      <c r="D62" s="21">
        <f>'PERSONAL MONTHLY BUDGET (3)'!$I16</f>
        <v>0</v>
      </c>
      <c r="E62" s="21">
        <f>'PERSONAL MONTHLY BUDGET (4)'!$I16</f>
        <v>0</v>
      </c>
      <c r="F62" s="21">
        <f>'PERSONAL MONTHLY BUDGET (5)'!$I16</f>
        <v>0</v>
      </c>
      <c r="G62" s="21">
        <f>'PERSONAL MONTHLY BUDGET (6)'!$I16</f>
        <v>0</v>
      </c>
      <c r="H62" s="21">
        <f>'PERSONAL MONTHLY BUDGET (7)'!$I16</f>
        <v>0</v>
      </c>
      <c r="I62" s="21">
        <f>'PERSONAL MONTHLY BUDGET (8)'!$I16</f>
        <v>0</v>
      </c>
      <c r="J62" s="21">
        <f>'PERSONAL MONTHLY BUDGET (9)'!$I16</f>
        <v>0</v>
      </c>
      <c r="K62" s="21">
        <f>'PERSONAL MONTHLY BUDGET (10)'!$I16</f>
        <v>0</v>
      </c>
      <c r="L62" s="21">
        <f>'PERSONAL MONTHLY BUDGET (11)'!$I16</f>
        <v>0</v>
      </c>
      <c r="M62" s="43">
        <f>'PERSONAL MONTHLY BUDGET (12)'!$I16</f>
        <v>0</v>
      </c>
      <c r="N62" s="45"/>
      <c r="O62" s="51">
        <f t="shared" si="16"/>
        <v>0</v>
      </c>
    </row>
    <row r="63" spans="1:15" ht="13.5" customHeight="1">
      <c r="A63" s="22" t="s">
        <v>105</v>
      </c>
      <c r="B63" s="21">
        <f>'PERSONAL MONTHLY BUDGET (1)'!$I17</f>
        <v>0</v>
      </c>
      <c r="C63" s="21">
        <f>'PERSONAL MONTHLY BUDGET (2)'!$I17</f>
        <v>0</v>
      </c>
      <c r="D63" s="21">
        <f>'PERSONAL MONTHLY BUDGET (3)'!$I17</f>
        <v>0</v>
      </c>
      <c r="E63" s="21">
        <f>'PERSONAL MONTHLY BUDGET (4)'!$I17</f>
        <v>0</v>
      </c>
      <c r="F63" s="21">
        <f>'PERSONAL MONTHLY BUDGET (5)'!$I17</f>
        <v>0</v>
      </c>
      <c r="G63" s="21">
        <f>'PERSONAL MONTHLY BUDGET (6)'!$I17</f>
        <v>0</v>
      </c>
      <c r="H63" s="21">
        <f>'PERSONAL MONTHLY BUDGET (7)'!$I17</f>
        <v>0</v>
      </c>
      <c r="I63" s="21">
        <f>'PERSONAL MONTHLY BUDGET (8)'!$I17</f>
        <v>0</v>
      </c>
      <c r="J63" s="21">
        <f>'PERSONAL MONTHLY BUDGET (9)'!$I17</f>
        <v>0</v>
      </c>
      <c r="K63" s="21">
        <f>'PERSONAL MONTHLY BUDGET (10)'!$I17</f>
        <v>0</v>
      </c>
      <c r="L63" s="21">
        <f>'PERSONAL MONTHLY BUDGET (11)'!$I17</f>
        <v>0</v>
      </c>
      <c r="M63" s="43">
        <f>'PERSONAL MONTHLY BUDGET (12)'!$I17</f>
        <v>0</v>
      </c>
      <c r="N63" s="45"/>
      <c r="O63" s="51">
        <f t="shared" si="16"/>
        <v>0</v>
      </c>
    </row>
    <row r="64" spans="1:15" ht="13.5" customHeight="1">
      <c r="A64" s="22" t="s">
        <v>106</v>
      </c>
      <c r="B64" s="21">
        <f>'PERSONAL MONTHLY BUDGET (1)'!$I18</f>
        <v>0</v>
      </c>
      <c r="C64" s="21">
        <f>'PERSONAL MONTHLY BUDGET (2)'!$I18</f>
        <v>0</v>
      </c>
      <c r="D64" s="21">
        <f>'PERSONAL MONTHLY BUDGET (3)'!$I18</f>
        <v>0</v>
      </c>
      <c r="E64" s="21">
        <f>'PERSONAL MONTHLY BUDGET (4)'!$I18</f>
        <v>0</v>
      </c>
      <c r="F64" s="21">
        <f>'PERSONAL MONTHLY BUDGET (5)'!$I18</f>
        <v>0</v>
      </c>
      <c r="G64" s="21">
        <f>'PERSONAL MONTHLY BUDGET (6)'!$I18</f>
        <v>0</v>
      </c>
      <c r="H64" s="21">
        <f>'PERSONAL MONTHLY BUDGET (7)'!$I18</f>
        <v>0</v>
      </c>
      <c r="I64" s="21">
        <f>'PERSONAL MONTHLY BUDGET (8)'!$I18</f>
        <v>0</v>
      </c>
      <c r="J64" s="21">
        <f>'PERSONAL MONTHLY BUDGET (9)'!$I18</f>
        <v>0</v>
      </c>
      <c r="K64" s="21">
        <f>'PERSONAL MONTHLY BUDGET (10)'!$I18</f>
        <v>0</v>
      </c>
      <c r="L64" s="21">
        <f>'PERSONAL MONTHLY BUDGET (11)'!$I18</f>
        <v>0</v>
      </c>
      <c r="M64" s="43">
        <f>'PERSONAL MONTHLY BUDGET (12)'!$I18</f>
        <v>0</v>
      </c>
      <c r="N64" s="45"/>
      <c r="O64" s="51">
        <f t="shared" si="16"/>
        <v>0</v>
      </c>
    </row>
    <row r="65" spans="1:15" ht="13.5" customHeight="1">
      <c r="A65" s="22" t="s">
        <v>37</v>
      </c>
      <c r="B65" s="21">
        <f>'PERSONAL MONTHLY BUDGET (1)'!$I19</f>
        <v>0</v>
      </c>
      <c r="C65" s="21">
        <f>'PERSONAL MONTHLY BUDGET (2)'!$I19</f>
        <v>0</v>
      </c>
      <c r="D65" s="21">
        <f>'PERSONAL MONTHLY BUDGET (3)'!$I19</f>
        <v>0</v>
      </c>
      <c r="E65" s="21">
        <f>'PERSONAL MONTHLY BUDGET (4)'!$I19</f>
        <v>0</v>
      </c>
      <c r="F65" s="21">
        <f>'PERSONAL MONTHLY BUDGET (5)'!$I19</f>
        <v>0</v>
      </c>
      <c r="G65" s="21">
        <f>'PERSONAL MONTHLY BUDGET (6)'!$I19</f>
        <v>0</v>
      </c>
      <c r="H65" s="21">
        <f>'PERSONAL MONTHLY BUDGET (7)'!$I19</f>
        <v>0</v>
      </c>
      <c r="I65" s="21">
        <f>'PERSONAL MONTHLY BUDGET (8)'!$I19</f>
        <v>0</v>
      </c>
      <c r="J65" s="21">
        <f>'PERSONAL MONTHLY BUDGET (9)'!$I19</f>
        <v>0</v>
      </c>
      <c r="K65" s="21">
        <f>'PERSONAL MONTHLY BUDGET (10)'!$I19</f>
        <v>0</v>
      </c>
      <c r="L65" s="21">
        <f>'PERSONAL MONTHLY BUDGET (11)'!$I19</f>
        <v>0</v>
      </c>
      <c r="M65" s="43">
        <f>'PERSONAL MONTHLY BUDGET (12)'!$I19</f>
        <v>0</v>
      </c>
      <c r="N65" s="45"/>
      <c r="O65" s="51">
        <f t="shared" si="16"/>
        <v>0</v>
      </c>
    </row>
    <row r="66" spans="1:15" ht="13.5" customHeight="1">
      <c r="A66" s="22" t="s">
        <v>37</v>
      </c>
      <c r="B66" s="21">
        <f>'PERSONAL MONTHLY BUDGET (1)'!$I20</f>
        <v>0</v>
      </c>
      <c r="C66" s="21">
        <f>'PERSONAL MONTHLY BUDGET (2)'!$I20</f>
        <v>0</v>
      </c>
      <c r="D66" s="21">
        <f>'PERSONAL MONTHLY BUDGET (3)'!$I20</f>
        <v>0</v>
      </c>
      <c r="E66" s="21">
        <f>'PERSONAL MONTHLY BUDGET (4)'!$I20</f>
        <v>0</v>
      </c>
      <c r="F66" s="21">
        <f>'PERSONAL MONTHLY BUDGET (5)'!$I20</f>
        <v>0</v>
      </c>
      <c r="G66" s="21">
        <f>'PERSONAL MONTHLY BUDGET (6)'!$I20</f>
        <v>0</v>
      </c>
      <c r="H66" s="21">
        <f>'PERSONAL MONTHLY BUDGET (7)'!$I20</f>
        <v>0</v>
      </c>
      <c r="I66" s="21">
        <f>'PERSONAL MONTHLY BUDGET (8)'!$I20</f>
        <v>0</v>
      </c>
      <c r="J66" s="21">
        <f>'PERSONAL MONTHLY BUDGET (9)'!$I20</f>
        <v>0</v>
      </c>
      <c r="K66" s="21">
        <f>'PERSONAL MONTHLY BUDGET (10)'!$I20</f>
        <v>0</v>
      </c>
      <c r="L66" s="21">
        <f>'PERSONAL MONTHLY BUDGET (11)'!$I20</f>
        <v>0</v>
      </c>
      <c r="M66" s="43">
        <f>'PERSONAL MONTHLY BUDGET (12)'!$I20</f>
        <v>0</v>
      </c>
      <c r="N66" s="45"/>
      <c r="O66" s="51">
        <f t="shared" si="16"/>
        <v>0</v>
      </c>
    </row>
    <row r="67" spans="1:15" ht="13.5" customHeight="1">
      <c r="A67" s="22" t="s">
        <v>37</v>
      </c>
      <c r="B67" s="21">
        <f>'PERSONAL MONTHLY BUDGET (1)'!$I21</f>
        <v>0</v>
      </c>
      <c r="C67" s="21">
        <f>'PERSONAL MONTHLY BUDGET (2)'!$I21</f>
        <v>0</v>
      </c>
      <c r="D67" s="21">
        <f>'PERSONAL MONTHLY BUDGET (3)'!$I21</f>
        <v>0</v>
      </c>
      <c r="E67" s="21">
        <f>'PERSONAL MONTHLY BUDGET (4)'!$I21</f>
        <v>0</v>
      </c>
      <c r="F67" s="21">
        <f>'PERSONAL MONTHLY BUDGET (5)'!$I21</f>
        <v>0</v>
      </c>
      <c r="G67" s="21">
        <f>'PERSONAL MONTHLY BUDGET (6)'!$I21</f>
        <v>0</v>
      </c>
      <c r="H67" s="21">
        <f>'PERSONAL MONTHLY BUDGET (7)'!$I21</f>
        <v>0</v>
      </c>
      <c r="I67" s="21">
        <f>'PERSONAL MONTHLY BUDGET (8)'!$I21</f>
        <v>0</v>
      </c>
      <c r="J67" s="21">
        <f>'PERSONAL MONTHLY BUDGET (9)'!$I21</f>
        <v>0</v>
      </c>
      <c r="K67" s="21">
        <f>'PERSONAL MONTHLY BUDGET (10)'!$I21</f>
        <v>0</v>
      </c>
      <c r="L67" s="21">
        <f>'PERSONAL MONTHLY BUDGET (11)'!$I21</f>
        <v>0</v>
      </c>
      <c r="M67" s="43">
        <f>'PERSONAL MONTHLY BUDGET (12)'!$I21</f>
        <v>0</v>
      </c>
      <c r="N67" s="45"/>
      <c r="O67" s="51">
        <f t="shared" si="16"/>
        <v>0</v>
      </c>
    </row>
    <row r="68" spans="1:15" s="33" customFormat="1" ht="13.5" customHeight="1">
      <c r="A68" s="35" t="s">
        <v>93</v>
      </c>
      <c r="B68" s="23">
        <f>SUM(B59:B67)</f>
        <v>0</v>
      </c>
      <c r="C68" s="23">
        <f t="shared" ref="C68:M68" si="17">SUM(C59:C67)</f>
        <v>0</v>
      </c>
      <c r="D68" s="23">
        <f t="shared" si="17"/>
        <v>0</v>
      </c>
      <c r="E68" s="23">
        <f t="shared" si="17"/>
        <v>0</v>
      </c>
      <c r="F68" s="23">
        <f t="shared" si="17"/>
        <v>0</v>
      </c>
      <c r="G68" s="23">
        <f t="shared" si="17"/>
        <v>0</v>
      </c>
      <c r="H68" s="23">
        <f t="shared" si="17"/>
        <v>0</v>
      </c>
      <c r="I68" s="23">
        <f t="shared" si="17"/>
        <v>0</v>
      </c>
      <c r="J68" s="23">
        <f t="shared" si="17"/>
        <v>0</v>
      </c>
      <c r="K68" s="23">
        <f t="shared" si="17"/>
        <v>0</v>
      </c>
      <c r="L68" s="23">
        <f t="shared" si="17"/>
        <v>0</v>
      </c>
      <c r="M68" s="42">
        <f t="shared" si="17"/>
        <v>0</v>
      </c>
      <c r="N68" s="46"/>
      <c r="O68" s="54">
        <f t="shared" si="16"/>
        <v>0</v>
      </c>
    </row>
    <row r="69" spans="1:15" ht="13.5" customHeight="1">
      <c r="A69" s="62" t="s">
        <v>40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45"/>
      <c r="O69" s="49" t="s">
        <v>40</v>
      </c>
    </row>
    <row r="70" spans="1:15" ht="13.5" customHeight="1">
      <c r="A70" s="20" t="s">
        <v>43</v>
      </c>
      <c r="B70" s="21">
        <f>'PERSONAL MONTHLY BUDGET (1)'!$I25</f>
        <v>0</v>
      </c>
      <c r="C70" s="21">
        <f>'PERSONAL MONTHLY BUDGET (2)'!$I25</f>
        <v>0</v>
      </c>
      <c r="D70" s="21">
        <f>'PERSONAL MONTHLY BUDGET (3)'!$I25</f>
        <v>0</v>
      </c>
      <c r="E70" s="21">
        <f>'PERSONAL MONTHLY BUDGET (4)'!$I25</f>
        <v>0</v>
      </c>
      <c r="F70" s="21">
        <f>'PERSONAL MONTHLY BUDGET (5)'!$I25</f>
        <v>0</v>
      </c>
      <c r="G70" s="21">
        <f>'PERSONAL MONTHLY BUDGET (6)'!$I25</f>
        <v>0</v>
      </c>
      <c r="H70" s="21">
        <f>'PERSONAL MONTHLY BUDGET (7)'!$I25</f>
        <v>0</v>
      </c>
      <c r="I70" s="21">
        <f>'PERSONAL MONTHLY BUDGET (8)'!$I25</f>
        <v>0</v>
      </c>
      <c r="J70" s="21">
        <f>'PERSONAL MONTHLY BUDGET (9)'!$I25</f>
        <v>0</v>
      </c>
      <c r="K70" s="21">
        <f>'PERSONAL MONTHLY BUDGET (10)'!$I25</f>
        <v>0</v>
      </c>
      <c r="L70" s="21">
        <f>'PERSONAL MONTHLY BUDGET (11)'!$I25</f>
        <v>0</v>
      </c>
      <c r="M70" s="43">
        <f>'PERSONAL MONTHLY BUDGET (12)'!$I25</f>
        <v>0</v>
      </c>
      <c r="N70" s="45"/>
      <c r="O70" s="51">
        <f t="shared" ref="O70:O76" si="18">SUM(B70:M70)</f>
        <v>0</v>
      </c>
    </row>
    <row r="71" spans="1:15" ht="13.5" customHeight="1">
      <c r="A71" s="20" t="s">
        <v>45</v>
      </c>
      <c r="B71" s="21">
        <f>'PERSONAL MONTHLY BUDGET (1)'!$I26</f>
        <v>0</v>
      </c>
      <c r="C71" s="21">
        <f>'PERSONAL MONTHLY BUDGET (2)'!$I26</f>
        <v>0</v>
      </c>
      <c r="D71" s="21">
        <f>'PERSONAL MONTHLY BUDGET (3)'!$I26</f>
        <v>0</v>
      </c>
      <c r="E71" s="21">
        <f>'PERSONAL MONTHLY BUDGET (4)'!$I26</f>
        <v>0</v>
      </c>
      <c r="F71" s="21">
        <f>'PERSONAL MONTHLY BUDGET (5)'!$I26</f>
        <v>0</v>
      </c>
      <c r="G71" s="21">
        <f>'PERSONAL MONTHLY BUDGET (6)'!$I26</f>
        <v>0</v>
      </c>
      <c r="H71" s="21">
        <f>'PERSONAL MONTHLY BUDGET (7)'!$I26</f>
        <v>0</v>
      </c>
      <c r="I71" s="21">
        <f>'PERSONAL MONTHLY BUDGET (8)'!$I26</f>
        <v>0</v>
      </c>
      <c r="J71" s="21">
        <f>'PERSONAL MONTHLY BUDGET (9)'!$I26</f>
        <v>0</v>
      </c>
      <c r="K71" s="21">
        <f>'PERSONAL MONTHLY BUDGET (10)'!$I26</f>
        <v>0</v>
      </c>
      <c r="L71" s="21">
        <f>'PERSONAL MONTHLY BUDGET (11)'!$I26</f>
        <v>0</v>
      </c>
      <c r="M71" s="43">
        <f>'PERSONAL MONTHLY BUDGET (12)'!$I26</f>
        <v>0</v>
      </c>
      <c r="N71" s="45"/>
      <c r="O71" s="51">
        <f t="shared" si="18"/>
        <v>0</v>
      </c>
    </row>
    <row r="72" spans="1:15" ht="13.5" customHeight="1">
      <c r="A72" s="20" t="s">
        <v>47</v>
      </c>
      <c r="B72" s="21">
        <f>'PERSONAL MONTHLY BUDGET (1)'!$I27</f>
        <v>0</v>
      </c>
      <c r="C72" s="21">
        <f>'PERSONAL MONTHLY BUDGET (2)'!$I27</f>
        <v>0</v>
      </c>
      <c r="D72" s="21">
        <f>'PERSONAL MONTHLY BUDGET (3)'!$I27</f>
        <v>0</v>
      </c>
      <c r="E72" s="21">
        <f>'PERSONAL MONTHLY BUDGET (4)'!$I27</f>
        <v>0</v>
      </c>
      <c r="F72" s="21">
        <f>'PERSONAL MONTHLY BUDGET (5)'!$I27</f>
        <v>0</v>
      </c>
      <c r="G72" s="21">
        <f>'PERSONAL MONTHLY BUDGET (6)'!$I27</f>
        <v>0</v>
      </c>
      <c r="H72" s="21">
        <f>'PERSONAL MONTHLY BUDGET (7)'!$I27</f>
        <v>0</v>
      </c>
      <c r="I72" s="21">
        <f>'PERSONAL MONTHLY BUDGET (8)'!$I27</f>
        <v>0</v>
      </c>
      <c r="J72" s="21">
        <f>'PERSONAL MONTHLY BUDGET (9)'!$I27</f>
        <v>0</v>
      </c>
      <c r="K72" s="21">
        <f>'PERSONAL MONTHLY BUDGET (10)'!$I27</f>
        <v>0</v>
      </c>
      <c r="L72" s="21">
        <f>'PERSONAL MONTHLY BUDGET (11)'!$I27</f>
        <v>0</v>
      </c>
      <c r="M72" s="43">
        <f>'PERSONAL MONTHLY BUDGET (12)'!$I27</f>
        <v>0</v>
      </c>
      <c r="N72" s="45"/>
      <c r="O72" s="51">
        <f t="shared" si="18"/>
        <v>0</v>
      </c>
    </row>
    <row r="73" spans="1:15" ht="13.5" customHeight="1">
      <c r="A73" s="20" t="s">
        <v>47</v>
      </c>
      <c r="B73" s="21">
        <f>'PERSONAL MONTHLY BUDGET (1)'!$I28</f>
        <v>0</v>
      </c>
      <c r="C73" s="21">
        <f>'PERSONAL MONTHLY BUDGET (2)'!$I28</f>
        <v>0</v>
      </c>
      <c r="D73" s="21">
        <f>'PERSONAL MONTHLY BUDGET (3)'!$I28</f>
        <v>0</v>
      </c>
      <c r="E73" s="21">
        <f>'PERSONAL MONTHLY BUDGET (4)'!$I28</f>
        <v>0</v>
      </c>
      <c r="F73" s="21">
        <f>'PERSONAL MONTHLY BUDGET (5)'!$I28</f>
        <v>0</v>
      </c>
      <c r="G73" s="21">
        <f>'PERSONAL MONTHLY BUDGET (6)'!$I28</f>
        <v>0</v>
      </c>
      <c r="H73" s="21">
        <f>'PERSONAL MONTHLY BUDGET (7)'!$I28</f>
        <v>0</v>
      </c>
      <c r="I73" s="21">
        <f>'PERSONAL MONTHLY BUDGET (8)'!$I28</f>
        <v>0</v>
      </c>
      <c r="J73" s="21">
        <f>'PERSONAL MONTHLY BUDGET (9)'!$I28</f>
        <v>0</v>
      </c>
      <c r="K73" s="21">
        <f>'PERSONAL MONTHLY BUDGET (10)'!$I28</f>
        <v>0</v>
      </c>
      <c r="L73" s="21">
        <f>'PERSONAL MONTHLY BUDGET (11)'!$I28</f>
        <v>0</v>
      </c>
      <c r="M73" s="43">
        <f>'PERSONAL MONTHLY BUDGET (12)'!$I28</f>
        <v>0</v>
      </c>
      <c r="N73" s="45"/>
      <c r="O73" s="51">
        <f t="shared" si="18"/>
        <v>0</v>
      </c>
    </row>
    <row r="74" spans="1:15" ht="13.5" customHeight="1">
      <c r="A74" s="20" t="s">
        <v>47</v>
      </c>
      <c r="B74" s="21">
        <f>'PERSONAL MONTHLY BUDGET (1)'!$I29</f>
        <v>0</v>
      </c>
      <c r="C74" s="21">
        <f>'PERSONAL MONTHLY BUDGET (2)'!$I29</f>
        <v>0</v>
      </c>
      <c r="D74" s="21">
        <f>'PERSONAL MONTHLY BUDGET (3)'!$I29</f>
        <v>0</v>
      </c>
      <c r="E74" s="21">
        <f>'PERSONAL MONTHLY BUDGET (4)'!$I29</f>
        <v>0</v>
      </c>
      <c r="F74" s="21">
        <f>'PERSONAL MONTHLY BUDGET (5)'!$I29</f>
        <v>0</v>
      </c>
      <c r="G74" s="21">
        <f>'PERSONAL MONTHLY BUDGET (6)'!$I29</f>
        <v>0</v>
      </c>
      <c r="H74" s="21">
        <f>'PERSONAL MONTHLY BUDGET (7)'!$I29</f>
        <v>0</v>
      </c>
      <c r="I74" s="21">
        <f>'PERSONAL MONTHLY BUDGET (8)'!$I29</f>
        <v>0</v>
      </c>
      <c r="J74" s="21">
        <f>'PERSONAL MONTHLY BUDGET (9)'!$I29</f>
        <v>0</v>
      </c>
      <c r="K74" s="21">
        <f>'PERSONAL MONTHLY BUDGET (10)'!$I29</f>
        <v>0</v>
      </c>
      <c r="L74" s="21">
        <f>'PERSONAL MONTHLY BUDGET (11)'!$I29</f>
        <v>0</v>
      </c>
      <c r="M74" s="43">
        <f>'PERSONAL MONTHLY BUDGET (12)'!$I29</f>
        <v>0</v>
      </c>
      <c r="N74" s="45"/>
      <c r="O74" s="51">
        <f t="shared" si="18"/>
        <v>0</v>
      </c>
    </row>
    <row r="75" spans="1:15" ht="13.5" customHeight="1">
      <c r="A75" s="22" t="s">
        <v>37</v>
      </c>
      <c r="B75" s="21">
        <f>'PERSONAL MONTHLY BUDGET (1)'!$I30</f>
        <v>0</v>
      </c>
      <c r="C75" s="21">
        <f>'PERSONAL MONTHLY BUDGET (2)'!$I30</f>
        <v>0</v>
      </c>
      <c r="D75" s="21">
        <f>'PERSONAL MONTHLY BUDGET (3)'!$I30</f>
        <v>0</v>
      </c>
      <c r="E75" s="21">
        <f>'PERSONAL MONTHLY BUDGET (4)'!$I30</f>
        <v>0</v>
      </c>
      <c r="F75" s="21">
        <f>'PERSONAL MONTHLY BUDGET (5)'!$I30</f>
        <v>0</v>
      </c>
      <c r="G75" s="21">
        <f>'PERSONAL MONTHLY BUDGET (6)'!$I30</f>
        <v>0</v>
      </c>
      <c r="H75" s="21">
        <f>'PERSONAL MONTHLY BUDGET (7)'!$I30</f>
        <v>0</v>
      </c>
      <c r="I75" s="21">
        <f>'PERSONAL MONTHLY BUDGET (8)'!$I30</f>
        <v>0</v>
      </c>
      <c r="J75" s="21">
        <f>'PERSONAL MONTHLY BUDGET (9)'!$I30</f>
        <v>0</v>
      </c>
      <c r="K75" s="21">
        <f>'PERSONAL MONTHLY BUDGET (10)'!$I30</f>
        <v>0</v>
      </c>
      <c r="L75" s="21">
        <f>'PERSONAL MONTHLY BUDGET (11)'!$I30</f>
        <v>0</v>
      </c>
      <c r="M75" s="43">
        <f>'PERSONAL MONTHLY BUDGET (12)'!$I30</f>
        <v>0</v>
      </c>
      <c r="N75" s="45"/>
      <c r="O75" s="51">
        <f t="shared" si="18"/>
        <v>0</v>
      </c>
    </row>
    <row r="76" spans="1:15" s="33" customFormat="1" ht="13.5" customHeight="1">
      <c r="A76" s="35" t="s">
        <v>93</v>
      </c>
      <c r="B76" s="23">
        <f>SUM(B70:B75)</f>
        <v>0</v>
      </c>
      <c r="C76" s="23">
        <f t="shared" ref="C76:M76" si="19">SUM(C70:C75)</f>
        <v>0</v>
      </c>
      <c r="D76" s="23">
        <f t="shared" si="19"/>
        <v>0</v>
      </c>
      <c r="E76" s="23">
        <f t="shared" si="19"/>
        <v>0</v>
      </c>
      <c r="F76" s="23">
        <f t="shared" si="19"/>
        <v>0</v>
      </c>
      <c r="G76" s="23">
        <f t="shared" si="19"/>
        <v>0</v>
      </c>
      <c r="H76" s="23">
        <f t="shared" si="19"/>
        <v>0</v>
      </c>
      <c r="I76" s="23">
        <f t="shared" si="19"/>
        <v>0</v>
      </c>
      <c r="J76" s="23">
        <f t="shared" si="19"/>
        <v>0</v>
      </c>
      <c r="K76" s="23">
        <f t="shared" si="19"/>
        <v>0</v>
      </c>
      <c r="L76" s="23">
        <f t="shared" si="19"/>
        <v>0</v>
      </c>
      <c r="M76" s="42">
        <f t="shared" si="19"/>
        <v>0</v>
      </c>
      <c r="N76" s="46"/>
      <c r="O76" s="54">
        <f t="shared" si="18"/>
        <v>0</v>
      </c>
    </row>
    <row r="77" spans="1:15" ht="13.5" customHeight="1">
      <c r="A77" s="62" t="s">
        <v>51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45"/>
      <c r="O77" s="49" t="s">
        <v>51</v>
      </c>
    </row>
    <row r="78" spans="1:15" ht="13.5" customHeight="1">
      <c r="A78" s="20" t="s">
        <v>52</v>
      </c>
      <c r="B78" s="21">
        <f>'PERSONAL MONTHLY BUDGET (1)'!$I34</f>
        <v>0</v>
      </c>
      <c r="C78" s="21">
        <f>'PERSONAL MONTHLY BUDGET (2)'!$I34</f>
        <v>0</v>
      </c>
      <c r="D78" s="21">
        <f>'PERSONAL MONTHLY BUDGET (3)'!$I34</f>
        <v>0</v>
      </c>
      <c r="E78" s="21">
        <f>'PERSONAL MONTHLY BUDGET (4)'!$I34</f>
        <v>0</v>
      </c>
      <c r="F78" s="21">
        <f>'PERSONAL MONTHLY BUDGET (5)'!$I34</f>
        <v>0</v>
      </c>
      <c r="G78" s="21">
        <f>'PERSONAL MONTHLY BUDGET (6)'!$I34</f>
        <v>0</v>
      </c>
      <c r="H78" s="21">
        <f>'PERSONAL MONTHLY BUDGET (7)'!$I34</f>
        <v>0</v>
      </c>
      <c r="I78" s="21">
        <f>'PERSONAL MONTHLY BUDGET (8)'!$I34</f>
        <v>0</v>
      </c>
      <c r="J78" s="21">
        <f>'PERSONAL MONTHLY BUDGET (9)'!$I34</f>
        <v>0</v>
      </c>
      <c r="K78" s="21">
        <f>'PERSONAL MONTHLY BUDGET (10)'!$I34</f>
        <v>0</v>
      </c>
      <c r="L78" s="21">
        <f>'PERSONAL MONTHLY BUDGET (11)'!$I34</f>
        <v>0</v>
      </c>
      <c r="M78" s="43">
        <f>'PERSONAL MONTHLY BUDGET (12)'!$I34</f>
        <v>0</v>
      </c>
      <c r="N78" s="45"/>
      <c r="O78" s="51">
        <f t="shared" ref="O78:O82" si="20">SUM(B78:M78)</f>
        <v>0</v>
      </c>
    </row>
    <row r="79" spans="1:15" ht="13.5" customHeight="1">
      <c r="A79" s="20" t="s">
        <v>55</v>
      </c>
      <c r="B79" s="21">
        <f>'PERSONAL MONTHLY BUDGET (1)'!$I35</f>
        <v>0</v>
      </c>
      <c r="C79" s="21">
        <f>'PERSONAL MONTHLY BUDGET (2)'!$I35</f>
        <v>0</v>
      </c>
      <c r="D79" s="21">
        <f>'PERSONAL MONTHLY BUDGET (3)'!$I35</f>
        <v>0</v>
      </c>
      <c r="E79" s="21">
        <f>'PERSONAL MONTHLY BUDGET (4)'!$I35</f>
        <v>0</v>
      </c>
      <c r="F79" s="21">
        <f>'PERSONAL MONTHLY BUDGET (5)'!$I35</f>
        <v>0</v>
      </c>
      <c r="G79" s="21">
        <f>'PERSONAL MONTHLY BUDGET (6)'!$I35</f>
        <v>0</v>
      </c>
      <c r="H79" s="21">
        <f>'PERSONAL MONTHLY BUDGET (7)'!$I35</f>
        <v>0</v>
      </c>
      <c r="I79" s="21">
        <f>'PERSONAL MONTHLY BUDGET (8)'!$I35</f>
        <v>0</v>
      </c>
      <c r="J79" s="21">
        <f>'PERSONAL MONTHLY BUDGET (9)'!$I35</f>
        <v>0</v>
      </c>
      <c r="K79" s="21">
        <f>'PERSONAL MONTHLY BUDGET (10)'!$I35</f>
        <v>0</v>
      </c>
      <c r="L79" s="21">
        <f>'PERSONAL MONTHLY BUDGET (11)'!$I35</f>
        <v>0</v>
      </c>
      <c r="M79" s="43">
        <f>'PERSONAL MONTHLY BUDGET (12)'!$I35</f>
        <v>0</v>
      </c>
      <c r="N79" s="45"/>
      <c r="O79" s="51">
        <f t="shared" si="20"/>
        <v>0</v>
      </c>
    </row>
    <row r="80" spans="1:15" ht="13.5" customHeight="1">
      <c r="A80" s="20" t="s">
        <v>56</v>
      </c>
      <c r="B80" s="21">
        <f>'PERSONAL MONTHLY BUDGET (1)'!$I36</f>
        <v>0</v>
      </c>
      <c r="C80" s="21">
        <f>'PERSONAL MONTHLY BUDGET (2)'!$I36</f>
        <v>0</v>
      </c>
      <c r="D80" s="21">
        <f>'PERSONAL MONTHLY BUDGET (3)'!$I36</f>
        <v>0</v>
      </c>
      <c r="E80" s="21">
        <f>'PERSONAL MONTHLY BUDGET (4)'!$I36</f>
        <v>0</v>
      </c>
      <c r="F80" s="21">
        <f>'PERSONAL MONTHLY BUDGET (5)'!$I36</f>
        <v>0</v>
      </c>
      <c r="G80" s="21">
        <f>'PERSONAL MONTHLY BUDGET (6)'!$I36</f>
        <v>0</v>
      </c>
      <c r="H80" s="21">
        <f>'PERSONAL MONTHLY BUDGET (7)'!$I36</f>
        <v>0</v>
      </c>
      <c r="I80" s="21">
        <f>'PERSONAL MONTHLY BUDGET (8)'!$I36</f>
        <v>0</v>
      </c>
      <c r="J80" s="21">
        <f>'PERSONAL MONTHLY BUDGET (9)'!$I36</f>
        <v>0</v>
      </c>
      <c r="K80" s="21">
        <f>'PERSONAL MONTHLY BUDGET (10)'!$I36</f>
        <v>0</v>
      </c>
      <c r="L80" s="21">
        <f>'PERSONAL MONTHLY BUDGET (11)'!$I36</f>
        <v>0</v>
      </c>
      <c r="M80" s="43">
        <f>'PERSONAL MONTHLY BUDGET (12)'!$I36</f>
        <v>0</v>
      </c>
      <c r="N80" s="45"/>
      <c r="O80" s="51">
        <f t="shared" si="20"/>
        <v>0</v>
      </c>
    </row>
    <row r="81" spans="1:15" ht="13.5" customHeight="1">
      <c r="A81" s="20" t="s">
        <v>37</v>
      </c>
      <c r="B81" s="21">
        <f>'PERSONAL MONTHLY BUDGET (1)'!$I37</f>
        <v>0</v>
      </c>
      <c r="C81" s="21">
        <f>'PERSONAL MONTHLY BUDGET (2)'!$I37</f>
        <v>0</v>
      </c>
      <c r="D81" s="21">
        <f>'PERSONAL MONTHLY BUDGET (3)'!$I37</f>
        <v>0</v>
      </c>
      <c r="E81" s="21">
        <f>'PERSONAL MONTHLY BUDGET (4)'!$I37</f>
        <v>0</v>
      </c>
      <c r="F81" s="21">
        <f>'PERSONAL MONTHLY BUDGET (5)'!$I37</f>
        <v>0</v>
      </c>
      <c r="G81" s="21">
        <f>'PERSONAL MONTHLY BUDGET (6)'!$I37</f>
        <v>0</v>
      </c>
      <c r="H81" s="21">
        <f>'PERSONAL MONTHLY BUDGET (7)'!$I37</f>
        <v>0</v>
      </c>
      <c r="I81" s="21">
        <f>'PERSONAL MONTHLY BUDGET (8)'!$I37</f>
        <v>0</v>
      </c>
      <c r="J81" s="21">
        <f>'PERSONAL MONTHLY BUDGET (9)'!$I37</f>
        <v>0</v>
      </c>
      <c r="K81" s="21">
        <f>'PERSONAL MONTHLY BUDGET (10)'!$I37</f>
        <v>0</v>
      </c>
      <c r="L81" s="21">
        <f>'PERSONAL MONTHLY BUDGET (11)'!$I37</f>
        <v>0</v>
      </c>
      <c r="M81" s="43">
        <f>'PERSONAL MONTHLY BUDGET (12)'!$I37</f>
        <v>0</v>
      </c>
      <c r="N81" s="45"/>
      <c r="O81" s="51">
        <f t="shared" si="20"/>
        <v>0</v>
      </c>
    </row>
    <row r="82" spans="1:15" s="33" customFormat="1" ht="13.5" customHeight="1">
      <c r="A82" s="35" t="s">
        <v>93</v>
      </c>
      <c r="B82" s="23">
        <f>SUM(B78:B81)</f>
        <v>0</v>
      </c>
      <c r="C82" s="23">
        <f t="shared" ref="C82:M82" si="21">SUM(C78:C81)</f>
        <v>0</v>
      </c>
      <c r="D82" s="23">
        <f t="shared" si="21"/>
        <v>0</v>
      </c>
      <c r="E82" s="23">
        <f t="shared" si="21"/>
        <v>0</v>
      </c>
      <c r="F82" s="23">
        <f t="shared" si="21"/>
        <v>0</v>
      </c>
      <c r="G82" s="23">
        <f t="shared" si="21"/>
        <v>0</v>
      </c>
      <c r="H82" s="23">
        <f t="shared" si="21"/>
        <v>0</v>
      </c>
      <c r="I82" s="23">
        <f t="shared" si="21"/>
        <v>0</v>
      </c>
      <c r="J82" s="23">
        <f t="shared" si="21"/>
        <v>0</v>
      </c>
      <c r="K82" s="23">
        <f t="shared" si="21"/>
        <v>0</v>
      </c>
      <c r="L82" s="23">
        <f t="shared" si="21"/>
        <v>0</v>
      </c>
      <c r="M82" s="42">
        <f t="shared" si="21"/>
        <v>0</v>
      </c>
      <c r="N82" s="46"/>
      <c r="O82" s="54">
        <f t="shared" si="20"/>
        <v>0</v>
      </c>
    </row>
    <row r="83" spans="1:15" ht="13.5" customHeight="1">
      <c r="A83" s="62" t="s">
        <v>59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45"/>
      <c r="O83" s="49" t="s">
        <v>59</v>
      </c>
    </row>
    <row r="84" spans="1:15" ht="13.5" customHeight="1">
      <c r="A84" s="20" t="s">
        <v>60</v>
      </c>
      <c r="B84" s="21">
        <f>'PERSONAL MONTHLY BUDGET (1)'!$I41</f>
        <v>0</v>
      </c>
      <c r="C84" s="21">
        <f>'PERSONAL MONTHLY BUDGET (2)'!$I41</f>
        <v>0</v>
      </c>
      <c r="D84" s="21">
        <f>'PERSONAL MONTHLY BUDGET (3)'!$I41</f>
        <v>0</v>
      </c>
      <c r="E84" s="21">
        <f>'PERSONAL MONTHLY BUDGET (4)'!$I41</f>
        <v>0</v>
      </c>
      <c r="F84" s="21">
        <f>'PERSONAL MONTHLY BUDGET (5)'!$I41</f>
        <v>0</v>
      </c>
      <c r="G84" s="21">
        <f>'PERSONAL MONTHLY BUDGET (6)'!$I41</f>
        <v>0</v>
      </c>
      <c r="H84" s="21">
        <f>'PERSONAL MONTHLY BUDGET (7)'!$I41</f>
        <v>0</v>
      </c>
      <c r="I84" s="21">
        <f>'PERSONAL MONTHLY BUDGET (8)'!$I41</f>
        <v>0</v>
      </c>
      <c r="J84" s="21">
        <f>'PERSONAL MONTHLY BUDGET (9)'!$I41</f>
        <v>0</v>
      </c>
      <c r="K84" s="21">
        <f>'PERSONAL MONTHLY BUDGET (10)'!$I41</f>
        <v>0</v>
      </c>
      <c r="L84" s="21">
        <f>'PERSONAL MONTHLY BUDGET (11)'!$I41</f>
        <v>0</v>
      </c>
      <c r="M84" s="43">
        <f>'PERSONAL MONTHLY BUDGET (12)'!$I41</f>
        <v>0</v>
      </c>
      <c r="N84" s="45"/>
      <c r="O84" s="51">
        <f t="shared" ref="O84:O87" si="22">SUM(B84:M84)</f>
        <v>0</v>
      </c>
    </row>
    <row r="85" spans="1:15" ht="13.5" customHeight="1">
      <c r="A85" s="20" t="s">
        <v>63</v>
      </c>
      <c r="B85" s="21">
        <f>'PERSONAL MONTHLY BUDGET (1)'!$I42</f>
        <v>0</v>
      </c>
      <c r="C85" s="21">
        <f>'PERSONAL MONTHLY BUDGET (2)'!$I42</f>
        <v>0</v>
      </c>
      <c r="D85" s="21">
        <f>'PERSONAL MONTHLY BUDGET (3)'!$I42</f>
        <v>0</v>
      </c>
      <c r="E85" s="21">
        <f>'PERSONAL MONTHLY BUDGET (4)'!$I42</f>
        <v>0</v>
      </c>
      <c r="F85" s="21">
        <f>'PERSONAL MONTHLY BUDGET (5)'!$I42</f>
        <v>0</v>
      </c>
      <c r="G85" s="21">
        <f>'PERSONAL MONTHLY BUDGET (6)'!$I42</f>
        <v>0</v>
      </c>
      <c r="H85" s="21">
        <f>'PERSONAL MONTHLY BUDGET (7)'!$I42</f>
        <v>0</v>
      </c>
      <c r="I85" s="21">
        <f>'PERSONAL MONTHLY BUDGET (8)'!$I42</f>
        <v>0</v>
      </c>
      <c r="J85" s="21">
        <f>'PERSONAL MONTHLY BUDGET (9)'!$I42</f>
        <v>0</v>
      </c>
      <c r="K85" s="21">
        <f>'PERSONAL MONTHLY BUDGET (10)'!$I42</f>
        <v>0</v>
      </c>
      <c r="L85" s="21">
        <f>'PERSONAL MONTHLY BUDGET (11)'!$I42</f>
        <v>0</v>
      </c>
      <c r="M85" s="43">
        <f>'PERSONAL MONTHLY BUDGET (12)'!$I42</f>
        <v>0</v>
      </c>
      <c r="N85" s="45"/>
      <c r="O85" s="51">
        <f t="shared" si="22"/>
        <v>0</v>
      </c>
    </row>
    <row r="86" spans="1:15" ht="13.5" customHeight="1">
      <c r="A86" s="20" t="s">
        <v>37</v>
      </c>
      <c r="B86" s="21">
        <f>'PERSONAL MONTHLY BUDGET (1)'!$I43</f>
        <v>0</v>
      </c>
      <c r="C86" s="21">
        <f>'PERSONAL MONTHLY BUDGET (2)'!$I43</f>
        <v>0</v>
      </c>
      <c r="D86" s="21">
        <f>'PERSONAL MONTHLY BUDGET (3)'!$I43</f>
        <v>0</v>
      </c>
      <c r="E86" s="21">
        <f>'PERSONAL MONTHLY BUDGET (4)'!$I43</f>
        <v>0</v>
      </c>
      <c r="F86" s="21">
        <f>'PERSONAL MONTHLY BUDGET (5)'!$I43</f>
        <v>0</v>
      </c>
      <c r="G86" s="21">
        <f>'PERSONAL MONTHLY BUDGET (6)'!$I43</f>
        <v>0</v>
      </c>
      <c r="H86" s="21">
        <f>'PERSONAL MONTHLY BUDGET (7)'!$I43</f>
        <v>0</v>
      </c>
      <c r="I86" s="21">
        <f>'PERSONAL MONTHLY BUDGET (8)'!$I43</f>
        <v>0</v>
      </c>
      <c r="J86" s="21">
        <f>'PERSONAL MONTHLY BUDGET (9)'!$I43</f>
        <v>0</v>
      </c>
      <c r="K86" s="21">
        <f>'PERSONAL MONTHLY BUDGET (10)'!$I43</f>
        <v>0</v>
      </c>
      <c r="L86" s="21">
        <f>'PERSONAL MONTHLY BUDGET (11)'!$I43</f>
        <v>0</v>
      </c>
      <c r="M86" s="43">
        <f>'PERSONAL MONTHLY BUDGET (12)'!$I43</f>
        <v>0</v>
      </c>
      <c r="N86" s="45"/>
      <c r="O86" s="51">
        <f t="shared" si="22"/>
        <v>0</v>
      </c>
    </row>
    <row r="87" spans="1:15" s="33" customFormat="1" ht="13.5" customHeight="1">
      <c r="A87" s="35" t="s">
        <v>93</v>
      </c>
      <c r="B87" s="23">
        <f>SUM(B84:B86)</f>
        <v>0</v>
      </c>
      <c r="C87" s="23">
        <f t="shared" ref="C87:M87" si="23">SUM(C84:C86)</f>
        <v>0</v>
      </c>
      <c r="D87" s="23">
        <f t="shared" si="23"/>
        <v>0</v>
      </c>
      <c r="E87" s="23">
        <f t="shared" si="23"/>
        <v>0</v>
      </c>
      <c r="F87" s="23">
        <f t="shared" si="23"/>
        <v>0</v>
      </c>
      <c r="G87" s="23">
        <f t="shared" si="23"/>
        <v>0</v>
      </c>
      <c r="H87" s="23">
        <f t="shared" si="23"/>
        <v>0</v>
      </c>
      <c r="I87" s="23">
        <f t="shared" si="23"/>
        <v>0</v>
      </c>
      <c r="J87" s="23">
        <f t="shared" si="23"/>
        <v>0</v>
      </c>
      <c r="K87" s="23">
        <f t="shared" si="23"/>
        <v>0</v>
      </c>
      <c r="L87" s="23">
        <f t="shared" si="23"/>
        <v>0</v>
      </c>
      <c r="M87" s="42">
        <f t="shared" si="23"/>
        <v>0</v>
      </c>
      <c r="N87" s="46"/>
      <c r="O87" s="54">
        <f t="shared" si="22"/>
        <v>0</v>
      </c>
    </row>
    <row r="88" spans="1:15" ht="13.5" customHeight="1">
      <c r="A88" s="62" t="s">
        <v>66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45"/>
      <c r="O88" s="49" t="s">
        <v>66</v>
      </c>
    </row>
    <row r="89" spans="1:15" ht="13.5" customHeight="1">
      <c r="A89" s="20" t="s">
        <v>67</v>
      </c>
      <c r="B89" s="21">
        <f>'PERSONAL MONTHLY BUDGET (1)'!$I47</f>
        <v>0</v>
      </c>
      <c r="C89" s="21">
        <f>'PERSONAL MONTHLY BUDGET (2)'!$I47</f>
        <v>0</v>
      </c>
      <c r="D89" s="21">
        <f>'PERSONAL MONTHLY BUDGET (3)'!$I47</f>
        <v>0</v>
      </c>
      <c r="E89" s="21">
        <f>'PERSONAL MONTHLY BUDGET (4)'!$I47</f>
        <v>0</v>
      </c>
      <c r="F89" s="21">
        <f>'PERSONAL MONTHLY BUDGET (5)'!$I47</f>
        <v>0</v>
      </c>
      <c r="G89" s="21">
        <f>'PERSONAL MONTHLY BUDGET (6)'!$I47</f>
        <v>0</v>
      </c>
      <c r="H89" s="21">
        <f>'PERSONAL MONTHLY BUDGET (7)'!$I47</f>
        <v>0</v>
      </c>
      <c r="I89" s="21">
        <f>'PERSONAL MONTHLY BUDGET (8)'!$I47</f>
        <v>0</v>
      </c>
      <c r="J89" s="21">
        <f>'PERSONAL MONTHLY BUDGET (9)'!$I47</f>
        <v>0</v>
      </c>
      <c r="K89" s="21">
        <f>'PERSONAL MONTHLY BUDGET (10)'!$I47</f>
        <v>0</v>
      </c>
      <c r="L89" s="21">
        <f>'PERSONAL MONTHLY BUDGET (11)'!$I47</f>
        <v>0</v>
      </c>
      <c r="M89" s="43">
        <f>'PERSONAL MONTHLY BUDGET (12)'!$I47</f>
        <v>0</v>
      </c>
      <c r="N89" s="45"/>
      <c r="O89" s="51">
        <f t="shared" ref="O89:O92" si="24">SUM(B89:M89)</f>
        <v>0</v>
      </c>
    </row>
    <row r="90" spans="1:15" ht="13.5" customHeight="1">
      <c r="A90" s="20" t="s">
        <v>70</v>
      </c>
      <c r="B90" s="21">
        <f>'PERSONAL MONTHLY BUDGET (1)'!$I48</f>
        <v>0</v>
      </c>
      <c r="C90" s="21">
        <f>'PERSONAL MONTHLY BUDGET (2)'!$I48</f>
        <v>0</v>
      </c>
      <c r="D90" s="21">
        <f>'PERSONAL MONTHLY BUDGET (3)'!$I48</f>
        <v>0</v>
      </c>
      <c r="E90" s="21">
        <f>'PERSONAL MONTHLY BUDGET (4)'!$I48</f>
        <v>0</v>
      </c>
      <c r="F90" s="21">
        <f>'PERSONAL MONTHLY BUDGET (5)'!$I48</f>
        <v>0</v>
      </c>
      <c r="G90" s="21">
        <f>'PERSONAL MONTHLY BUDGET (6)'!$I48</f>
        <v>0</v>
      </c>
      <c r="H90" s="21">
        <f>'PERSONAL MONTHLY BUDGET (7)'!$I48</f>
        <v>0</v>
      </c>
      <c r="I90" s="21">
        <f>'PERSONAL MONTHLY BUDGET (8)'!$I48</f>
        <v>0</v>
      </c>
      <c r="J90" s="21">
        <f>'PERSONAL MONTHLY BUDGET (9)'!$I48</f>
        <v>0</v>
      </c>
      <c r="K90" s="21">
        <f>'PERSONAL MONTHLY BUDGET (10)'!$I48</f>
        <v>0</v>
      </c>
      <c r="L90" s="21">
        <f>'PERSONAL MONTHLY BUDGET (11)'!$I48</f>
        <v>0</v>
      </c>
      <c r="M90" s="43">
        <f>'PERSONAL MONTHLY BUDGET (12)'!$I48</f>
        <v>0</v>
      </c>
      <c r="N90" s="45"/>
      <c r="O90" s="51">
        <f t="shared" si="24"/>
        <v>0</v>
      </c>
    </row>
    <row r="91" spans="1:15" ht="13.5" customHeight="1">
      <c r="A91" s="20" t="s">
        <v>72</v>
      </c>
      <c r="B91" s="21">
        <f>'PERSONAL MONTHLY BUDGET (1)'!$I49</f>
        <v>0</v>
      </c>
      <c r="C91" s="21">
        <f>'PERSONAL MONTHLY BUDGET (2)'!$I49</f>
        <v>0</v>
      </c>
      <c r="D91" s="21">
        <f>'PERSONAL MONTHLY BUDGET (3)'!$I49</f>
        <v>0</v>
      </c>
      <c r="E91" s="21">
        <f>'PERSONAL MONTHLY BUDGET (4)'!$I49</f>
        <v>0</v>
      </c>
      <c r="F91" s="21">
        <f>'PERSONAL MONTHLY BUDGET (5)'!$I49</f>
        <v>0</v>
      </c>
      <c r="G91" s="21">
        <f>'PERSONAL MONTHLY BUDGET (6)'!$I49</f>
        <v>0</v>
      </c>
      <c r="H91" s="21">
        <f>'PERSONAL MONTHLY BUDGET (7)'!$I49</f>
        <v>0</v>
      </c>
      <c r="I91" s="21">
        <f>'PERSONAL MONTHLY BUDGET (8)'!$I49</f>
        <v>0</v>
      </c>
      <c r="J91" s="21">
        <f>'PERSONAL MONTHLY BUDGET (9)'!$I49</f>
        <v>0</v>
      </c>
      <c r="K91" s="21">
        <f>'PERSONAL MONTHLY BUDGET (10)'!$I49</f>
        <v>0</v>
      </c>
      <c r="L91" s="21">
        <f>'PERSONAL MONTHLY BUDGET (11)'!$I49</f>
        <v>0</v>
      </c>
      <c r="M91" s="43">
        <f>'PERSONAL MONTHLY BUDGET (12)'!$I49</f>
        <v>0</v>
      </c>
      <c r="N91" s="45"/>
      <c r="O91" s="51">
        <f t="shared" si="24"/>
        <v>0</v>
      </c>
    </row>
    <row r="92" spans="1:15" s="33" customFormat="1" ht="13.5" customHeight="1">
      <c r="A92" s="35" t="s">
        <v>93</v>
      </c>
      <c r="B92" s="23">
        <f>SUM(B89:B91)</f>
        <v>0</v>
      </c>
      <c r="C92" s="23">
        <f t="shared" ref="C92:M92" si="25">SUM(C89:C91)</f>
        <v>0</v>
      </c>
      <c r="D92" s="23">
        <f t="shared" si="25"/>
        <v>0</v>
      </c>
      <c r="E92" s="23">
        <f t="shared" si="25"/>
        <v>0</v>
      </c>
      <c r="F92" s="23">
        <f t="shared" si="25"/>
        <v>0</v>
      </c>
      <c r="G92" s="23">
        <f t="shared" si="25"/>
        <v>0</v>
      </c>
      <c r="H92" s="23">
        <f t="shared" si="25"/>
        <v>0</v>
      </c>
      <c r="I92" s="23">
        <f t="shared" si="25"/>
        <v>0</v>
      </c>
      <c r="J92" s="23">
        <f t="shared" si="25"/>
        <v>0</v>
      </c>
      <c r="K92" s="23">
        <f t="shared" si="25"/>
        <v>0</v>
      </c>
      <c r="L92" s="23">
        <f t="shared" si="25"/>
        <v>0</v>
      </c>
      <c r="M92" s="42">
        <f t="shared" si="25"/>
        <v>0</v>
      </c>
      <c r="N92" s="46"/>
      <c r="O92" s="54">
        <f t="shared" si="24"/>
        <v>0</v>
      </c>
    </row>
    <row r="93" spans="1:15" ht="13.5" customHeight="1">
      <c r="A93" s="62" t="s">
        <v>76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45"/>
      <c r="O93" s="49" t="s">
        <v>76</v>
      </c>
    </row>
    <row r="94" spans="1:15" ht="13.5" customHeight="1">
      <c r="A94" s="20" t="s">
        <v>77</v>
      </c>
      <c r="B94" s="21">
        <f>'PERSONAL MONTHLY BUDGET (1)'!$I53</f>
        <v>0</v>
      </c>
      <c r="C94" s="21">
        <f>'PERSONAL MONTHLY BUDGET (2)'!$I53</f>
        <v>0</v>
      </c>
      <c r="D94" s="21">
        <f>'PERSONAL MONTHLY BUDGET (3)'!$I53</f>
        <v>0</v>
      </c>
      <c r="E94" s="21">
        <f>'PERSONAL MONTHLY BUDGET (4)'!$I53</f>
        <v>0</v>
      </c>
      <c r="F94" s="21">
        <f>'PERSONAL MONTHLY BUDGET (5)'!$I53</f>
        <v>0</v>
      </c>
      <c r="G94" s="21">
        <f>'PERSONAL MONTHLY BUDGET (6)'!$I53</f>
        <v>0</v>
      </c>
      <c r="H94" s="21">
        <f>'PERSONAL MONTHLY BUDGET (7)'!$I53</f>
        <v>0</v>
      </c>
      <c r="I94" s="21">
        <f>'PERSONAL MONTHLY BUDGET (8)'!$I53</f>
        <v>0</v>
      </c>
      <c r="J94" s="21">
        <f>'PERSONAL MONTHLY BUDGET (9)'!$I53</f>
        <v>0</v>
      </c>
      <c r="K94" s="21">
        <f>'PERSONAL MONTHLY BUDGET (10)'!$I53</f>
        <v>0</v>
      </c>
      <c r="L94" s="21">
        <f>'PERSONAL MONTHLY BUDGET (11)'!$I53</f>
        <v>0</v>
      </c>
      <c r="M94" s="43">
        <f>'PERSONAL MONTHLY BUDGET (12)'!$I53</f>
        <v>0</v>
      </c>
      <c r="N94" s="45"/>
      <c r="O94" s="51">
        <f t="shared" ref="O94:O99" si="26">SUM(B94:M94)</f>
        <v>0</v>
      </c>
    </row>
    <row r="95" spans="1:15" ht="13.5" customHeight="1">
      <c r="A95" s="20" t="s">
        <v>78</v>
      </c>
      <c r="B95" s="21">
        <f>'PERSONAL MONTHLY BUDGET (1)'!$I54</f>
        <v>0</v>
      </c>
      <c r="C95" s="21">
        <f>'PERSONAL MONTHLY BUDGET (2)'!$I54</f>
        <v>0</v>
      </c>
      <c r="D95" s="21">
        <f>'PERSONAL MONTHLY BUDGET (3)'!$I54</f>
        <v>0</v>
      </c>
      <c r="E95" s="21">
        <f>'PERSONAL MONTHLY BUDGET (4)'!$I54</f>
        <v>0</v>
      </c>
      <c r="F95" s="21">
        <f>'PERSONAL MONTHLY BUDGET (5)'!$I54</f>
        <v>0</v>
      </c>
      <c r="G95" s="21">
        <f>'PERSONAL MONTHLY BUDGET (6)'!$I54</f>
        <v>0</v>
      </c>
      <c r="H95" s="21">
        <f>'PERSONAL MONTHLY BUDGET (7)'!$I54</f>
        <v>0</v>
      </c>
      <c r="I95" s="21">
        <f>'PERSONAL MONTHLY BUDGET (8)'!$I54</f>
        <v>0</v>
      </c>
      <c r="J95" s="21">
        <f>'PERSONAL MONTHLY BUDGET (9)'!$I54</f>
        <v>0</v>
      </c>
      <c r="K95" s="21">
        <f>'PERSONAL MONTHLY BUDGET (10)'!$I54</f>
        <v>0</v>
      </c>
      <c r="L95" s="21">
        <f>'PERSONAL MONTHLY BUDGET (11)'!$I54</f>
        <v>0</v>
      </c>
      <c r="M95" s="43">
        <f>'PERSONAL MONTHLY BUDGET (12)'!$I54</f>
        <v>0</v>
      </c>
      <c r="N95" s="45"/>
      <c r="O95" s="51">
        <f t="shared" si="26"/>
        <v>0</v>
      </c>
    </row>
    <row r="96" spans="1:15" ht="13.5" customHeight="1">
      <c r="A96" s="20" t="s">
        <v>107</v>
      </c>
      <c r="B96" s="21">
        <f>'PERSONAL MONTHLY BUDGET (1)'!$I55</f>
        <v>0</v>
      </c>
      <c r="C96" s="21">
        <f>'PERSONAL MONTHLY BUDGET (2)'!$I55</f>
        <v>0</v>
      </c>
      <c r="D96" s="21">
        <f>'PERSONAL MONTHLY BUDGET (3)'!$I55</f>
        <v>0</v>
      </c>
      <c r="E96" s="21">
        <f>'PERSONAL MONTHLY BUDGET (4)'!$I55</f>
        <v>0</v>
      </c>
      <c r="F96" s="21">
        <f>'PERSONAL MONTHLY BUDGET (5)'!$I55</f>
        <v>0</v>
      </c>
      <c r="G96" s="21">
        <f>'PERSONAL MONTHLY BUDGET (6)'!$I55</f>
        <v>0</v>
      </c>
      <c r="H96" s="21">
        <f>'PERSONAL MONTHLY BUDGET (7)'!$I55</f>
        <v>0</v>
      </c>
      <c r="I96" s="21">
        <f>'PERSONAL MONTHLY BUDGET (8)'!$I55</f>
        <v>0</v>
      </c>
      <c r="J96" s="21">
        <f>'PERSONAL MONTHLY BUDGET (9)'!$I55</f>
        <v>0</v>
      </c>
      <c r="K96" s="21">
        <f>'PERSONAL MONTHLY BUDGET (10)'!$I55</f>
        <v>0</v>
      </c>
      <c r="L96" s="21">
        <f>'PERSONAL MONTHLY BUDGET (11)'!$I55</f>
        <v>0</v>
      </c>
      <c r="M96" s="43">
        <f>'PERSONAL MONTHLY BUDGET (12)'!$I55</f>
        <v>0</v>
      </c>
      <c r="N96" s="45"/>
      <c r="O96" s="51">
        <f t="shared" si="26"/>
        <v>0</v>
      </c>
    </row>
    <row r="97" spans="1:15" ht="13.5" customHeight="1">
      <c r="A97" s="20" t="s">
        <v>37</v>
      </c>
      <c r="B97" s="21">
        <f>'PERSONAL MONTHLY BUDGET (1)'!$I56</f>
        <v>0</v>
      </c>
      <c r="C97" s="21">
        <f>'PERSONAL MONTHLY BUDGET (2)'!$I56</f>
        <v>0</v>
      </c>
      <c r="D97" s="21">
        <f>'PERSONAL MONTHLY BUDGET (3)'!$I56</f>
        <v>0</v>
      </c>
      <c r="E97" s="21">
        <f>'PERSONAL MONTHLY BUDGET (4)'!$I56</f>
        <v>0</v>
      </c>
      <c r="F97" s="21">
        <f>'PERSONAL MONTHLY BUDGET (5)'!$I56</f>
        <v>0</v>
      </c>
      <c r="G97" s="21">
        <f>'PERSONAL MONTHLY BUDGET (6)'!$I56</f>
        <v>0</v>
      </c>
      <c r="H97" s="21">
        <f>'PERSONAL MONTHLY BUDGET (7)'!$I56</f>
        <v>0</v>
      </c>
      <c r="I97" s="21">
        <f>'PERSONAL MONTHLY BUDGET (8)'!$I56</f>
        <v>0</v>
      </c>
      <c r="J97" s="21">
        <f>'PERSONAL MONTHLY BUDGET (9)'!$I56</f>
        <v>0</v>
      </c>
      <c r="K97" s="21">
        <f>'PERSONAL MONTHLY BUDGET (10)'!$I56</f>
        <v>0</v>
      </c>
      <c r="L97" s="21">
        <f>'PERSONAL MONTHLY BUDGET (11)'!$I56</f>
        <v>0</v>
      </c>
      <c r="M97" s="43">
        <f>'PERSONAL MONTHLY BUDGET (12)'!$I56</f>
        <v>0</v>
      </c>
      <c r="N97" s="45"/>
      <c r="O97" s="51">
        <f t="shared" si="26"/>
        <v>0</v>
      </c>
    </row>
    <row r="98" spans="1:15" s="33" customFormat="1" ht="13.5" customHeight="1" thickBot="1">
      <c r="A98" s="36" t="s">
        <v>93</v>
      </c>
      <c r="B98" s="37">
        <f>SUM(B94:B97)</f>
        <v>0</v>
      </c>
      <c r="C98" s="37">
        <f t="shared" ref="C98:M98" si="27">SUM(C94:C97)</f>
        <v>0</v>
      </c>
      <c r="D98" s="37">
        <f t="shared" si="27"/>
        <v>0</v>
      </c>
      <c r="E98" s="37">
        <f t="shared" si="27"/>
        <v>0</v>
      </c>
      <c r="F98" s="37">
        <f t="shared" si="27"/>
        <v>0</v>
      </c>
      <c r="G98" s="37">
        <f t="shared" si="27"/>
        <v>0</v>
      </c>
      <c r="H98" s="37">
        <f t="shared" si="27"/>
        <v>0</v>
      </c>
      <c r="I98" s="37">
        <f t="shared" si="27"/>
        <v>0</v>
      </c>
      <c r="J98" s="37">
        <f t="shared" si="27"/>
        <v>0</v>
      </c>
      <c r="K98" s="37">
        <f t="shared" si="27"/>
        <v>0</v>
      </c>
      <c r="L98" s="37">
        <f t="shared" si="27"/>
        <v>0</v>
      </c>
      <c r="M98" s="44">
        <f t="shared" si="27"/>
        <v>0</v>
      </c>
      <c r="N98" s="46"/>
      <c r="O98" s="52">
        <f t="shared" si="26"/>
        <v>0</v>
      </c>
    </row>
    <row r="99" spans="1:15" ht="13.5" customHeight="1" thickBot="1">
      <c r="A99" s="29" t="s">
        <v>109</v>
      </c>
      <c r="B99" s="38">
        <f>B21+B30+B36+B41+B48+B57+B68+B76+B82+B87+B92+B98</f>
        <v>1236</v>
      </c>
      <c r="C99" s="38">
        <f t="shared" ref="C99:M99" si="28">C21+C30+C36+C41+C48+C57+C68+C76+C82+C87+C92+C98</f>
        <v>0</v>
      </c>
      <c r="D99" s="38">
        <f t="shared" si="28"/>
        <v>0</v>
      </c>
      <c r="E99" s="38">
        <f t="shared" si="28"/>
        <v>0</v>
      </c>
      <c r="F99" s="38">
        <f t="shared" si="28"/>
        <v>0</v>
      </c>
      <c r="G99" s="38">
        <f t="shared" si="28"/>
        <v>0</v>
      </c>
      <c r="H99" s="38">
        <f t="shared" si="28"/>
        <v>0</v>
      </c>
      <c r="I99" s="38">
        <f t="shared" si="28"/>
        <v>0</v>
      </c>
      <c r="J99" s="38">
        <f t="shared" si="28"/>
        <v>0</v>
      </c>
      <c r="K99" s="38">
        <f t="shared" si="28"/>
        <v>0</v>
      </c>
      <c r="L99" s="38">
        <f t="shared" si="28"/>
        <v>0</v>
      </c>
      <c r="M99" s="40">
        <f t="shared" si="28"/>
        <v>0</v>
      </c>
      <c r="N99" s="45"/>
      <c r="O99" s="53">
        <f t="shared" si="26"/>
        <v>1236</v>
      </c>
    </row>
    <row r="100" spans="1:15" ht="13.5" customHeight="1">
      <c r="A100" s="15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</row>
    <row r="101" spans="1:15" ht="13.5" customHeight="1">
      <c r="A101" s="15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</row>
    <row r="102" spans="1:15" ht="13.5" customHeight="1">
      <c r="A102" s="15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5" ht="13.5" customHeight="1">
      <c r="A103" s="15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5" ht="13.5" customHeight="1">
      <c r="A104" s="15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5" ht="13.5" customHeight="1">
      <c r="A105" s="15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5" ht="13.5" customHeight="1">
      <c r="A106" s="15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5" ht="13.5" customHeight="1">
      <c r="A107" s="15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</row>
    <row r="108" spans="1:15" ht="13.5" customHeight="1">
      <c r="A108" s="15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1:15" ht="13.5" customHeight="1">
      <c r="A109" s="15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</row>
    <row r="110" spans="1:15" ht="13.5" customHeight="1">
      <c r="A110" s="15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5" ht="13.5" customHeight="1">
      <c r="A111" s="15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</row>
    <row r="112" spans="1:15" ht="13.5" customHeight="1">
      <c r="A112" s="15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</row>
    <row r="113" spans="1:13" ht="13.5" customHeight="1">
      <c r="A113" s="15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1:13" ht="13.5" customHeight="1">
      <c r="A114" s="1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spans="1:13" ht="13.5" customHeight="1">
      <c r="A115" s="1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spans="1:13" ht="13.5" customHeight="1">
      <c r="A116" s="1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spans="1:13" ht="13.5" customHeight="1">
      <c r="A117" s="1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spans="1:13" ht="13.5" customHeight="1">
      <c r="A118" s="1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1:13" ht="13.5" customHeight="1">
      <c r="A119" s="1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spans="1:13" ht="13.5" customHeight="1">
      <c r="A120" s="15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</row>
    <row r="121" spans="1:13" ht="13.5" customHeight="1">
      <c r="A121" s="15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</row>
    <row r="122" spans="1:13" ht="13.5" customHeight="1">
      <c r="A122" s="15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</row>
    <row r="123" spans="1:13" ht="13.5" customHeight="1">
      <c r="A123" s="15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</row>
    <row r="124" spans="1:13" ht="13.5" customHeight="1">
      <c r="A124" s="15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</row>
    <row r="125" spans="1:13" ht="13.5" customHeight="1">
      <c r="A125" s="15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</row>
    <row r="126" spans="1:13" ht="13.5" customHeight="1">
      <c r="A126" s="15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</row>
    <row r="127" spans="1:13" ht="13.5" customHeight="1">
      <c r="A127" s="15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</row>
    <row r="128" spans="1:13" ht="13.5" customHeight="1">
      <c r="A128" s="15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</row>
    <row r="129" spans="1:13" ht="13.5" customHeight="1">
      <c r="A129" s="15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</row>
    <row r="130" spans="1:13" ht="13.5" customHeight="1">
      <c r="A130" s="15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</row>
    <row r="131" spans="1:13" ht="13.5" customHeight="1">
      <c r="A131" s="15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</row>
    <row r="132" spans="1:13" ht="13.5" customHeight="1">
      <c r="A132" s="15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</row>
    <row r="133" spans="1:13" ht="13.5" customHeight="1">
      <c r="A133" s="15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</row>
    <row r="134" spans="1:13" ht="13.5" customHeight="1">
      <c r="A134" s="15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</row>
    <row r="135" spans="1:13" ht="13.5" customHeight="1">
      <c r="A135" s="15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</row>
    <row r="136" spans="1:13" ht="13.5" customHeight="1">
      <c r="A136" s="15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</row>
    <row r="137" spans="1:13" ht="13.5" customHeight="1">
      <c r="A137" s="15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</row>
    <row r="138" spans="1:13" ht="13.5" customHeight="1">
      <c r="A138" s="15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3" ht="13.5" customHeight="1">
      <c r="A139" s="15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</row>
    <row r="140" spans="1:13" ht="13.5" customHeight="1">
      <c r="A140" s="15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</row>
    <row r="141" spans="1:13" ht="13.5" customHeight="1">
      <c r="A141" s="15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</row>
    <row r="142" spans="1:13" ht="13.5" customHeight="1">
      <c r="A142" s="15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</row>
    <row r="143" spans="1:13" ht="13.5" customHeight="1">
      <c r="A143" s="15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</row>
    <row r="144" spans="1:13" ht="13.5" customHeight="1">
      <c r="A144" s="15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</row>
    <row r="145" spans="1:13" ht="13.5" customHeight="1">
      <c r="A145" s="15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</row>
    <row r="146" spans="1:13" ht="13.5" customHeight="1">
      <c r="A146" s="15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</row>
    <row r="147" spans="1:13" ht="13.5" customHeight="1">
      <c r="A147" s="15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</row>
    <row r="148" spans="1:13" ht="13.5" customHeight="1">
      <c r="A148" s="15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ht="13.5" customHeight="1">
      <c r="A149" s="15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</row>
    <row r="150" spans="1:13" ht="13.5" customHeight="1">
      <c r="A150" s="15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ht="13.5" customHeight="1">
      <c r="A151" s="15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13" ht="13.5" customHeight="1">
      <c r="A152" s="15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</row>
    <row r="153" spans="1:13" ht="13.5" customHeight="1">
      <c r="A153" s="15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13" ht="13.5" customHeight="1">
      <c r="A154" s="15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</row>
    <row r="155" spans="1:13" ht="13.5" customHeight="1">
      <c r="A155" s="15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</row>
    <row r="156" spans="1:13" ht="13.5" customHeight="1">
      <c r="A156" s="15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</row>
    <row r="157" spans="1:13" ht="13.5" customHeight="1">
      <c r="A157" s="15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</row>
    <row r="158" spans="1:13" ht="13.5" customHeight="1">
      <c r="A158" s="15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ht="13.5" customHeight="1">
      <c r="A159" s="15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</row>
    <row r="160" spans="1:13" ht="13.5" customHeight="1">
      <c r="A160" s="15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13" ht="13.5" customHeight="1">
      <c r="A161" s="15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ht="13.5" customHeight="1">
      <c r="A162" s="15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ht="13.5" customHeight="1">
      <c r="A163" s="15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ht="13.5" customHeight="1">
      <c r="A164" s="15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ht="13.5" customHeight="1">
      <c r="A165" s="15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ht="13.5" customHeight="1">
      <c r="A166" s="15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ht="13.5" customHeight="1">
      <c r="A167" s="15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ht="13.5" customHeight="1">
      <c r="A168" s="15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ht="13.5" customHeight="1">
      <c r="A169" s="15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ht="13.5" customHeight="1">
      <c r="A170" s="15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ht="13.5" customHeight="1">
      <c r="A171" s="15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ht="13.5" customHeight="1">
      <c r="A172" s="15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ht="13.5" customHeight="1">
      <c r="A173" s="15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ht="13.5" customHeight="1">
      <c r="A174" s="15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ht="13.5" customHeight="1">
      <c r="A175" s="15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ht="13.5" customHeight="1">
      <c r="A176" s="15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ht="13.5" customHeight="1">
      <c r="A177" s="15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ht="13.5" customHeight="1">
      <c r="A178" s="15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ht="13.5" customHeight="1">
      <c r="A179" s="15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ht="13.5" customHeight="1">
      <c r="A180" s="15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ht="13.5" customHeight="1">
      <c r="A181" s="15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ht="13.5" customHeight="1">
      <c r="A182" s="15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ht="13.5" customHeight="1">
      <c r="A183" s="15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ht="13.5" customHeight="1">
      <c r="A184" s="15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ht="13.5" customHeight="1">
      <c r="A185" s="15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ht="13.5" customHeight="1">
      <c r="A186" s="15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ht="13.5" customHeight="1">
      <c r="A187" s="15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ht="13.5" customHeight="1">
      <c r="A188" s="15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ht="13.5" customHeight="1">
      <c r="A189" s="15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ht="13.5" customHeight="1">
      <c r="A190" s="15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ht="13.5" customHeight="1">
      <c r="A191" s="15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ht="13.5" customHeight="1">
      <c r="A192" s="15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ht="13.5" customHeight="1">
      <c r="A193" s="15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ht="13.5" customHeight="1">
      <c r="A194" s="15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ht="13.5" customHeight="1">
      <c r="A195" s="15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ht="13.5" customHeight="1">
      <c r="A196" s="15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ht="13.5" customHeight="1">
      <c r="A197" s="15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ht="13.5" customHeight="1">
      <c r="A198" s="15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ht="13.5" customHeight="1">
      <c r="A199" s="15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  <row r="200" spans="1:13" ht="13.5" customHeight="1">
      <c r="A200" s="15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</row>
    <row r="201" spans="1:13" ht="13.5" customHeight="1">
      <c r="A201" s="15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</row>
    <row r="202" spans="1:13" ht="13.5" customHeight="1">
      <c r="A202" s="15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</row>
    <row r="203" spans="1:13" ht="13.5" customHeight="1">
      <c r="A203" s="15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</row>
    <row r="204" spans="1:13" ht="13.5" customHeight="1">
      <c r="A204" s="15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</row>
    <row r="205" spans="1:13" ht="13.5" customHeight="1">
      <c r="A205" s="15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</row>
    <row r="206" spans="1:13" ht="13.5" customHeight="1">
      <c r="A206" s="15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</row>
    <row r="207" spans="1:13" ht="13.5" customHeight="1">
      <c r="A207" s="15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</row>
    <row r="208" spans="1:13" ht="13.5" customHeight="1">
      <c r="A208" s="15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</row>
    <row r="209" spans="1:13" ht="13.5" customHeight="1">
      <c r="A209" s="15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</row>
    <row r="210" spans="1:13" ht="13.5" customHeight="1">
      <c r="A210" s="15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</row>
    <row r="211" spans="1:13" ht="13.5" customHeight="1">
      <c r="A211" s="15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</row>
    <row r="212" spans="1:13" ht="13.5" customHeight="1">
      <c r="A212" s="15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</row>
    <row r="213" spans="1:13" ht="13.5" customHeight="1">
      <c r="A213" s="15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</row>
    <row r="214" spans="1:13" ht="13.5" customHeight="1">
      <c r="A214" s="15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</row>
    <row r="215" spans="1:13" ht="13.5" customHeight="1">
      <c r="A215" s="15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</row>
    <row r="216" spans="1:13" ht="13.5" customHeight="1">
      <c r="A216" s="15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</row>
    <row r="217" spans="1:13" ht="13.5" customHeight="1">
      <c r="A217" s="15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</row>
    <row r="218" spans="1:13" ht="13.5" customHeight="1">
      <c r="A218" s="15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</row>
    <row r="219" spans="1:13" ht="13.5" customHeight="1">
      <c r="A219" s="15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</row>
    <row r="220" spans="1:13" ht="13.5" customHeight="1">
      <c r="A220" s="15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</row>
    <row r="221" spans="1:13" ht="13.5" customHeight="1">
      <c r="A221" s="15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</row>
    <row r="222" spans="1:13" ht="13.5" customHeight="1">
      <c r="A222" s="15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</row>
    <row r="223" spans="1:13" ht="13.5" customHeight="1">
      <c r="A223" s="15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</row>
    <row r="224" spans="1:13" ht="13.5" customHeight="1">
      <c r="A224" s="15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</row>
    <row r="225" spans="1:13" ht="13.5" customHeight="1">
      <c r="A225" s="15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</row>
    <row r="226" spans="1:13" ht="13.5" customHeight="1">
      <c r="A226" s="15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</row>
    <row r="227" spans="1:13" ht="13.5" customHeight="1">
      <c r="A227" s="15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</row>
    <row r="228" spans="1:13" ht="13.5" customHeight="1">
      <c r="A228" s="15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</row>
    <row r="229" spans="1:13" ht="13.5" customHeight="1">
      <c r="A229" s="15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</row>
    <row r="230" spans="1:13" ht="13.5" customHeight="1">
      <c r="A230" s="15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</row>
    <row r="231" spans="1:13" ht="13.5" customHeight="1">
      <c r="A231" s="15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</row>
    <row r="232" spans="1:13" ht="13.5" customHeight="1">
      <c r="A232" s="15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</row>
    <row r="233" spans="1:13" ht="13.5" customHeight="1">
      <c r="A233" s="15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</row>
    <row r="234" spans="1:13" ht="13.5" customHeight="1">
      <c r="A234" s="15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</row>
    <row r="235" spans="1:13" ht="13.5" customHeight="1">
      <c r="A235" s="15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</row>
    <row r="236" spans="1:13" ht="13.5" customHeight="1">
      <c r="A236" s="15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</row>
    <row r="237" spans="1:13" ht="13.5" customHeight="1">
      <c r="A237" s="15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</row>
    <row r="238" spans="1:13" ht="13.5" customHeight="1">
      <c r="A238" s="15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</row>
    <row r="239" spans="1:13" ht="13.5" customHeight="1">
      <c r="A239" s="15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</row>
    <row r="240" spans="1:13" ht="13.5" customHeight="1">
      <c r="A240" s="15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</row>
    <row r="241" spans="1:13" ht="13.5" customHeight="1">
      <c r="A241" s="15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</row>
    <row r="242" spans="1:13" ht="13.5" customHeight="1">
      <c r="A242" s="15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</row>
    <row r="243" spans="1:13" ht="13.5" customHeight="1">
      <c r="A243" s="15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</row>
    <row r="244" spans="1:13" ht="13.5" customHeight="1">
      <c r="A244" s="15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</row>
    <row r="245" spans="1:13" ht="13.5" customHeight="1">
      <c r="A245" s="15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</row>
    <row r="246" spans="1:13" ht="13.5" customHeight="1">
      <c r="A246" s="15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</row>
    <row r="247" spans="1:13" ht="13.5" customHeight="1">
      <c r="A247" s="15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</row>
    <row r="248" spans="1:13" ht="13.5" customHeight="1">
      <c r="A248" s="15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</row>
    <row r="249" spans="1:13" ht="13.5" customHeight="1">
      <c r="A249" s="15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</row>
    <row r="250" spans="1:13" ht="13.5" customHeight="1">
      <c r="A250" s="15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</row>
    <row r="251" spans="1:13" ht="13.5" customHeight="1">
      <c r="A251" s="15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</row>
    <row r="252" spans="1:13" ht="13.5" customHeight="1">
      <c r="A252" s="15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</row>
    <row r="253" spans="1:13" ht="13.5" customHeight="1">
      <c r="A253" s="15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</row>
    <row r="254" spans="1:13" ht="13.5" customHeight="1">
      <c r="A254" s="15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</row>
    <row r="255" spans="1:13" ht="13.5" customHeight="1">
      <c r="A255" s="15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</row>
    <row r="256" spans="1:13" ht="13.5" customHeight="1">
      <c r="A256" s="15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</row>
    <row r="257" spans="1:13" ht="13.5" customHeight="1">
      <c r="A257" s="15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</row>
    <row r="258" spans="1:13" ht="13.5" customHeight="1">
      <c r="A258" s="15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</row>
    <row r="259" spans="1:13" ht="13.5" customHeight="1">
      <c r="A259" s="15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</row>
    <row r="260" spans="1:13" ht="13.5" customHeight="1">
      <c r="A260" s="15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</row>
    <row r="261" spans="1:13" ht="13.5" customHeight="1">
      <c r="A261" s="15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</row>
    <row r="262" spans="1:13" ht="13.5" customHeight="1">
      <c r="A262" s="15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</row>
    <row r="263" spans="1:13" ht="13.5" customHeight="1">
      <c r="A263" s="15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</row>
    <row r="264" spans="1:13" ht="13.5" customHeight="1">
      <c r="A264" s="15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</row>
    <row r="265" spans="1:13" ht="13.5" customHeight="1">
      <c r="A265" s="15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</row>
    <row r="266" spans="1:13" ht="13.5" customHeight="1">
      <c r="A266" s="15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</row>
    <row r="267" spans="1:13" ht="13.5" customHeight="1">
      <c r="A267" s="15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</row>
    <row r="268" spans="1:13" ht="13.5" customHeight="1">
      <c r="A268" s="15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</row>
    <row r="269" spans="1:13" ht="13.5" customHeight="1">
      <c r="A269" s="15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</row>
    <row r="270" spans="1:13" ht="13.5" customHeight="1">
      <c r="A270" s="15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</row>
    <row r="271" spans="1:13" ht="13.5" customHeight="1">
      <c r="A271" s="15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</row>
    <row r="272" spans="1:13" ht="13.5" customHeight="1">
      <c r="A272" s="15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</row>
    <row r="273" spans="1:13" ht="13.5" customHeight="1">
      <c r="A273" s="15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</row>
    <row r="274" spans="1:13" ht="13.5" customHeight="1">
      <c r="A274" s="15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</row>
    <row r="275" spans="1:13" ht="13.5" customHeight="1">
      <c r="A275" s="15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</row>
    <row r="276" spans="1:13" ht="13.5" customHeight="1">
      <c r="A276" s="15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</row>
    <row r="277" spans="1:13" ht="13.5" customHeight="1">
      <c r="A277" s="15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</row>
    <row r="278" spans="1:13" ht="13.5" customHeight="1">
      <c r="A278" s="15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</row>
    <row r="279" spans="1:13" ht="13.5" customHeight="1">
      <c r="A279" s="15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</row>
    <row r="280" spans="1:13" ht="13.5" customHeight="1">
      <c r="A280" s="15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</row>
    <row r="281" spans="1:13" ht="13.5" customHeight="1">
      <c r="A281" s="15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 ht="13.5" customHeight="1">
      <c r="A282" s="15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 ht="13.5" customHeight="1">
      <c r="A283" s="15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 ht="13.5" customHeight="1">
      <c r="A284" s="15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 ht="13.5" customHeight="1">
      <c r="A285" s="15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 ht="13.5" customHeight="1">
      <c r="A286" s="15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 ht="13.5" customHeight="1">
      <c r="A287" s="15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 ht="13.5" customHeight="1">
      <c r="A288" s="15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 ht="13.5" customHeight="1">
      <c r="A289" s="15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 ht="13.5" customHeight="1">
      <c r="A290" s="15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 ht="13.5" customHeight="1">
      <c r="A291" s="15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 ht="13.5" customHeight="1">
      <c r="A292" s="15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 ht="13.5" customHeight="1">
      <c r="A293" s="15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 ht="13.5" customHeight="1">
      <c r="A294" s="15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 ht="13.5" customHeight="1">
      <c r="A295" s="15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 ht="13.5" customHeight="1">
      <c r="A296" s="15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 ht="13.5" customHeight="1">
      <c r="A297" s="15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 ht="13.5" customHeight="1">
      <c r="A298" s="15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 ht="15.75" customHeight="1"/>
    <row r="300" spans="1:13" ht="15.75" customHeight="1"/>
    <row r="301" spans="1:13" ht="15.75" customHeight="1"/>
    <row r="302" spans="1:13" ht="15.75" customHeight="1"/>
    <row r="303" spans="1:13" ht="15.75" customHeight="1"/>
    <row r="304" spans="1:13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</sheetData>
  <mergeCells count="14">
    <mergeCell ref="A93:M93"/>
    <mergeCell ref="A88:M88"/>
    <mergeCell ref="A5:M5"/>
    <mergeCell ref="A9:M9"/>
    <mergeCell ref="A10:M10"/>
    <mergeCell ref="A22:M22"/>
    <mergeCell ref="A69:M69"/>
    <mergeCell ref="A83:M83"/>
    <mergeCell ref="A77:M77"/>
    <mergeCell ref="A58:M58"/>
    <mergeCell ref="A31:M31"/>
    <mergeCell ref="A49:M49"/>
    <mergeCell ref="A37:M37"/>
    <mergeCell ref="A42:M4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5"/>
  <sheetViews>
    <sheetView showGridLines="0" workbookViewId="0">
      <selection sqref="A1:A1048576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121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>
        <v>4300</v>
      </c>
      <c r="G4" s="76" t="s">
        <v>10</v>
      </c>
      <c r="H4" s="77"/>
      <c r="I4" s="77"/>
      <c r="J4" s="70">
        <f>E6-J59</f>
        <v>3405</v>
      </c>
    </row>
    <row r="5" spans="1:10">
      <c r="B5" s="74"/>
      <c r="C5" s="71" t="s">
        <v>11</v>
      </c>
      <c r="D5" s="72"/>
      <c r="E5" s="5">
        <v>300</v>
      </c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4600</v>
      </c>
      <c r="G6" s="76" t="s">
        <v>14</v>
      </c>
      <c r="H6" s="77"/>
      <c r="I6" s="77"/>
      <c r="J6" s="70">
        <f>E10-J61</f>
        <v>3064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>
        <v>4000</v>
      </c>
      <c r="G8" s="76" t="s">
        <v>17</v>
      </c>
      <c r="H8" s="77"/>
      <c r="I8" s="77"/>
      <c r="J8" s="70">
        <f>J6-J4</f>
        <v>-341</v>
      </c>
    </row>
    <row r="9" spans="1:10">
      <c r="B9" s="74"/>
      <c r="C9" s="71" t="s">
        <v>11</v>
      </c>
      <c r="D9" s="72"/>
      <c r="E9" s="5">
        <v>300</v>
      </c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4300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>
        <v>1000</v>
      </c>
      <c r="D13" s="17">
        <v>1000</v>
      </c>
      <c r="E13" s="17">
        <f>Housing[[#This Row],[Projected Cost]]-Housing[[#This Row],[Actual Cost]]</f>
        <v>0</v>
      </c>
      <c r="G13" s="16" t="s">
        <v>25</v>
      </c>
      <c r="H13" s="17"/>
      <c r="I13" s="17"/>
      <c r="J13" s="17">
        <f>Entertainment[[#This Row],[Projected Cost]]-Entertainment[[#This Row],[Actual Cost]]</f>
        <v>0</v>
      </c>
    </row>
    <row r="14" spans="1:10">
      <c r="B14" s="16" t="s">
        <v>26</v>
      </c>
      <c r="C14" s="17">
        <v>54</v>
      </c>
      <c r="D14" s="17">
        <v>100</v>
      </c>
      <c r="E14" s="17">
        <f>Housing[[#This Row],[Projected Cost]]-Housing[[#This Row],[Actual Cost]]</f>
        <v>-46</v>
      </c>
      <c r="G14" s="16" t="s">
        <v>27</v>
      </c>
      <c r="H14" s="17"/>
      <c r="I14" s="17"/>
      <c r="J14" s="17">
        <f>Entertainment[[#This Row],[Projected Cost]]-Entertainment[[#This Row],[Actual Cost]]</f>
        <v>0</v>
      </c>
    </row>
    <row r="15" spans="1:10">
      <c r="B15" s="16" t="s">
        <v>28</v>
      </c>
      <c r="C15" s="17">
        <v>44</v>
      </c>
      <c r="D15" s="17">
        <v>56</v>
      </c>
      <c r="E15" s="17">
        <f>Housing[[#This Row],[Projected Cost]]-Housing[[#This Row],[Actual Cost]]</f>
        <v>-12</v>
      </c>
      <c r="G15" s="16" t="s">
        <v>29</v>
      </c>
      <c r="H15" s="17"/>
      <c r="I15" s="17"/>
      <c r="J15" s="17">
        <f>Entertainment[[#This Row],[Projected Cost]]-Entertainment[[#This Row],[Actual Cost]]</f>
        <v>0</v>
      </c>
    </row>
    <row r="16" spans="1:10">
      <c r="B16" s="16" t="s">
        <v>30</v>
      </c>
      <c r="C16" s="17">
        <v>22</v>
      </c>
      <c r="D16" s="17">
        <v>28</v>
      </c>
      <c r="E16" s="17">
        <f>Housing[[#This Row],[Projected Cost]]-Housing[[#This Row],[Actual Cost]]</f>
        <v>-6</v>
      </c>
      <c r="G16" s="16" t="s">
        <v>31</v>
      </c>
      <c r="H16" s="17"/>
      <c r="I16" s="17"/>
      <c r="J16" s="17">
        <f>Entertainment[[#This Row],[Projected Cost]]-Entertainment[[#This Row],[Actual Cost]]</f>
        <v>0</v>
      </c>
    </row>
    <row r="17" spans="1:10">
      <c r="B17" s="16" t="s">
        <v>32</v>
      </c>
      <c r="C17" s="17">
        <v>8</v>
      </c>
      <c r="D17" s="17">
        <v>8</v>
      </c>
      <c r="E17" s="17">
        <f>Housing[[#This Row],[Projected Cost]]-Housing[[#This Row],[Actual Cost]]</f>
        <v>0</v>
      </c>
      <c r="G17" s="16" t="s">
        <v>33</v>
      </c>
      <c r="H17" s="17"/>
      <c r="I17" s="17"/>
      <c r="J17" s="17">
        <f>Entertainment[[#This Row],[Projected Cost]]-Entertainment[[#This Row],[Actual Cost]]</f>
        <v>0</v>
      </c>
    </row>
    <row r="18" spans="1:10">
      <c r="B18" s="16" t="s">
        <v>34</v>
      </c>
      <c r="C18" s="17">
        <v>34</v>
      </c>
      <c r="D18" s="17">
        <v>34</v>
      </c>
      <c r="E18" s="17">
        <f>Housing[[#This Row],[Projected Cost]]-Housing[[#This Row],[Actual Cost]]</f>
        <v>0</v>
      </c>
      <c r="G18" s="16" t="s">
        <v>35</v>
      </c>
      <c r="H18" s="17"/>
      <c r="I18" s="17"/>
      <c r="J18" s="17">
        <f>Entertainment[[#This Row],[Projected Cost]]-Entertainment[[#This Row],[Actual Cost]]</f>
        <v>0</v>
      </c>
    </row>
    <row r="19" spans="1:10">
      <c r="B19" s="16" t="s">
        <v>36</v>
      </c>
      <c r="C19" s="17">
        <v>10</v>
      </c>
      <c r="D19" s="17">
        <v>10</v>
      </c>
      <c r="E19" s="17">
        <f>Housing[[#This Row],[Projected Cost]]-Housing[[#This Row],[Actual Cost]]</f>
        <v>0</v>
      </c>
      <c r="G19" s="16" t="s">
        <v>37</v>
      </c>
      <c r="H19" s="17"/>
      <c r="I19" s="17"/>
      <c r="J19" s="17">
        <f>Entertainment[[#This Row],[Projected Cost]]-Entertainment[[#This Row],[Actual Cost]]</f>
        <v>0</v>
      </c>
    </row>
    <row r="20" spans="1:10">
      <c r="B20" s="16" t="s">
        <v>38</v>
      </c>
      <c r="C20" s="17">
        <v>23</v>
      </c>
      <c r="D20" s="17">
        <v>0</v>
      </c>
      <c r="E20" s="17">
        <f>Housing[[#This Row],[Projected Cost]]-Housing[[#This Row],[Actual Cost]]</f>
        <v>23</v>
      </c>
      <c r="G20" s="16" t="s">
        <v>37</v>
      </c>
      <c r="H20" s="17"/>
      <c r="I20" s="17"/>
      <c r="J20" s="17">
        <f>Entertainment[[#This Row],[Projected Cost]]-Entertainment[[#This Row],[Actual Cost]]</f>
        <v>0</v>
      </c>
    </row>
    <row r="21" spans="1:10">
      <c r="B21" s="16" t="s">
        <v>39</v>
      </c>
      <c r="C21" s="17">
        <v>0</v>
      </c>
      <c r="D21" s="17">
        <v>0</v>
      </c>
      <c r="E21" s="17">
        <f>Housing[[#This Row],[Projected Cost]]-Housing[[#This Row],[Actual Cost]]</f>
        <v>0</v>
      </c>
      <c r="G21" s="16" t="s">
        <v>37</v>
      </c>
      <c r="H21" s="17"/>
      <c r="I21" s="17"/>
      <c r="J21" s="17">
        <f>Entertainment[[#This Row],[Projected Cost]]-Entertainment[[#This Row],[Actual Cost]]</f>
        <v>0</v>
      </c>
    </row>
    <row r="22" spans="1:10">
      <c r="B22" s="16" t="s">
        <v>37</v>
      </c>
      <c r="C22" s="17">
        <v>0</v>
      </c>
      <c r="D22" s="17">
        <v>0</v>
      </c>
      <c r="E22" s="17">
        <f>Housing[[#This Row],[Projected Cost]]-Housing[[#This Row],[Actual Cost]]</f>
        <v>0</v>
      </c>
      <c r="G22" s="18" t="s">
        <v>93</v>
      </c>
      <c r="H22" s="19"/>
      <c r="I22" s="19">
        <f>SUM(Entertainment[Actual Cost])</f>
        <v>0</v>
      </c>
      <c r="J22" s="19">
        <f>SUM(Entertainment[Actual Cost])</f>
        <v>0</v>
      </c>
    </row>
    <row r="23" spans="1:10">
      <c r="B23" s="18" t="s">
        <v>93</v>
      </c>
      <c r="C23" s="19"/>
      <c r="D23" s="19">
        <f>SUM(D13:D22)</f>
        <v>1236</v>
      </c>
      <c r="E23" s="19">
        <f>SUM(E13:E22)</f>
        <v>-41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Loans[[#This Row],[Projected Cost]]-Loans[[#This Row],[Actual Cost]]</f>
        <v>0</v>
      </c>
    </row>
    <row r="26" spans="1:10">
      <c r="B26" s="16" t="s">
        <v>44</v>
      </c>
      <c r="C26" s="17"/>
      <c r="D26" s="17"/>
      <c r="E26" s="17">
        <f>Transportation[[#This Row],[Projected Cost]]-Transportation[[#This Row],[Actual Cost]]</f>
        <v>0</v>
      </c>
      <c r="G26" s="16" t="s">
        <v>45</v>
      </c>
      <c r="H26" s="17"/>
      <c r="I26" s="17"/>
      <c r="J26" s="17">
        <f>Loans[[#This Row],[Projected Cost]]-Loans[[#This Row],[Actual Cost]]</f>
        <v>0</v>
      </c>
    </row>
    <row r="27" spans="1:10">
      <c r="B27" s="16" t="s">
        <v>46</v>
      </c>
      <c r="C27" s="17"/>
      <c r="D27" s="17"/>
      <c r="E27" s="17">
        <f>Transportation[[#This Row],[Projected Cost]]-Transportation[[#This Row],[Actual Cost]]</f>
        <v>0</v>
      </c>
      <c r="G27" s="16" t="s">
        <v>47</v>
      </c>
      <c r="H27" s="17"/>
      <c r="I27" s="17"/>
      <c r="J27" s="17">
        <f>Loans[[#This Row],[Projected Cost]]-Loans[[#This Row],[Actual Cost]]</f>
        <v>0</v>
      </c>
    </row>
    <row r="28" spans="1:10">
      <c r="B28" s="16" t="s">
        <v>48</v>
      </c>
      <c r="C28" s="17"/>
      <c r="D28" s="17"/>
      <c r="E28" s="17">
        <f>Transportation[[#This Row],[Projected Cost]]-Transportation[[#This Row],[Actual Cost]]</f>
        <v>0</v>
      </c>
      <c r="G28" s="16" t="s">
        <v>47</v>
      </c>
      <c r="H28" s="17"/>
      <c r="I28" s="17"/>
      <c r="J28" s="17">
        <f>Loans[[#This Row],[Projected Cost]]-Loans[[#This Row],[Actual Cost]]</f>
        <v>0</v>
      </c>
    </row>
    <row r="29" spans="1:10">
      <c r="B29" s="16" t="s">
        <v>49</v>
      </c>
      <c r="C29" s="17"/>
      <c r="D29" s="17"/>
      <c r="E29" s="17">
        <f>Transportation[[#This Row],[Projected Cost]]-Transportation[[#This Row],[Actual Cost]]</f>
        <v>0</v>
      </c>
      <c r="G29" s="16" t="s">
        <v>47</v>
      </c>
      <c r="H29" s="17"/>
      <c r="I29" s="17"/>
      <c r="J29" s="17">
        <f>Loans[[#This Row],[Projected Cost]]-Loans[[#This Row],[Actual Cost]]</f>
        <v>0</v>
      </c>
    </row>
    <row r="30" spans="1:10">
      <c r="B30" s="16" t="s">
        <v>50</v>
      </c>
      <c r="C30" s="17"/>
      <c r="D30" s="17"/>
      <c r="E30" s="17">
        <f>Transportation[[#This Row],[Projected Cost]]-Transportation[[#This Row],[Actual Cost]]</f>
        <v>0</v>
      </c>
      <c r="G30" s="16" t="s">
        <v>37</v>
      </c>
      <c r="H30" s="17"/>
      <c r="I30" s="17"/>
      <c r="J30" s="17">
        <f>Loans[[#This Row],[Projected Cost]]-Loans[[#This Row],[Actual Cost]]</f>
        <v>0</v>
      </c>
    </row>
    <row r="31" spans="1:10">
      <c r="B31" s="16" t="s">
        <v>38</v>
      </c>
      <c r="C31" s="17"/>
      <c r="D31" s="17"/>
      <c r="E31" s="17">
        <f>Transportation[[#This Row],[Projected Cost]]-Transportation[[#This Row],[Actual Cost]]</f>
        <v>0</v>
      </c>
      <c r="G31" s="18" t="s">
        <v>93</v>
      </c>
      <c r="H31" s="19"/>
      <c r="I31" s="19">
        <f>SUM(Loans[Actual Cost])</f>
        <v>0</v>
      </c>
      <c r="J31" s="19">
        <f>SUM(Loans[Actual Cost])</f>
        <v>0</v>
      </c>
    </row>
    <row r="32" spans="1:10">
      <c r="B32" s="16" t="s">
        <v>37</v>
      </c>
      <c r="C32" s="17"/>
      <c r="D32" s="17"/>
      <c r="E32" s="17">
        <f>Transportation[[#This Row],[Projected Cost]]-Transportation[[#This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SUM(Transportation[Actual Cost])</f>
        <v>0</v>
      </c>
      <c r="E33" s="19">
        <f>SUM(Transportation[Actual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Taxes[[#This Row],[Projected Cost]]-Taxes[[#This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Taxes[[#This Row],[Projected Cost]]-Taxes[[#This Row],[Actual Cost]]</f>
        <v>0</v>
      </c>
    </row>
    <row r="36" spans="1:10">
      <c r="B36" s="16" t="s">
        <v>94</v>
      </c>
      <c r="C36" s="17"/>
      <c r="D36" s="17"/>
      <c r="E36" s="17">
        <f>Insurance[[#This Row],[Projected Cost]]-Insurance[[#This Row],[Actual Cost]]</f>
        <v>0</v>
      </c>
      <c r="G36" s="16" t="s">
        <v>56</v>
      </c>
      <c r="H36" s="17"/>
      <c r="I36" s="17"/>
      <c r="J36" s="17">
        <f>Taxes[[#This Row],[Projected Cost]]-Taxes[[#This Row],[Actual Cost]]</f>
        <v>0</v>
      </c>
    </row>
    <row r="37" spans="1:10">
      <c r="B37" s="16" t="s">
        <v>57</v>
      </c>
      <c r="C37" s="17"/>
      <c r="D37" s="17"/>
      <c r="E37" s="17">
        <f>Insurance[[#This Row],[Projected Cost]]-Insurance[[#This Row],[Actual Cost]]</f>
        <v>0</v>
      </c>
      <c r="G37" s="16" t="s">
        <v>37</v>
      </c>
      <c r="H37" s="17"/>
      <c r="I37" s="17"/>
      <c r="J37" s="17">
        <f>Taxes[[#This Row],[Projected Cost]]-Taxes[[#This Row],[Actual Cost]]</f>
        <v>0</v>
      </c>
    </row>
    <row r="38" spans="1:10">
      <c r="B38" s="16" t="s">
        <v>58</v>
      </c>
      <c r="C38" s="17"/>
      <c r="D38" s="17"/>
      <c r="E38" s="17">
        <f>Insurance[[#This Row],[Projected Cost]]-Insurance[[#This Row],[Actual Cost]]</f>
        <v>0</v>
      </c>
      <c r="G38" s="18" t="s">
        <v>93</v>
      </c>
      <c r="H38" s="19"/>
      <c r="I38" s="19">
        <f>SUM(Taxes[Actual Cost])</f>
        <v>0</v>
      </c>
      <c r="J38" s="19">
        <f>SUM(Taxes[Actual Cost])</f>
        <v>0</v>
      </c>
    </row>
    <row r="39" spans="1:10">
      <c r="B39" s="16" t="s">
        <v>37</v>
      </c>
      <c r="C39" s="17"/>
      <c r="D39" s="17"/>
      <c r="E39" s="17">
        <f>Insurance[[#This Row],[Projected Cost]]-Insurance[[#This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SUM(Insurance[Actual Cost])</f>
        <v>0</v>
      </c>
      <c r="E40" s="19">
        <f>SUM(Insurance[Actual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Savings[[#This Row],[Projected Cost]]-Savings[[#This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Savings[[#This Row],[Projected Cost]]-Savings[[#This Row],[Actual Cost]]</f>
        <v>0</v>
      </c>
    </row>
    <row r="43" spans="1:10">
      <c r="B43" s="16" t="s">
        <v>64</v>
      </c>
      <c r="C43" s="17"/>
      <c r="D43" s="17"/>
      <c r="E43" s="17">
        <f>Food[[#This Row],[Projected Cost]]-Food[[#This Row],[Actual Cost]]</f>
        <v>0</v>
      </c>
      <c r="G43" s="16" t="s">
        <v>37</v>
      </c>
      <c r="H43" s="17"/>
      <c r="I43" s="17"/>
      <c r="J43" s="17">
        <f>Savings[[#This Row],[Projected Cost]]-Savings[[#This Row],[Actual Cost]]</f>
        <v>0</v>
      </c>
    </row>
    <row r="44" spans="1:10">
      <c r="B44" s="16" t="s">
        <v>65</v>
      </c>
      <c r="C44" s="17"/>
      <c r="D44" s="17"/>
      <c r="E44" s="17">
        <f>Food[[#This Row],[Projected Cost]]-Food[[#This Row],[Actual Cost]]</f>
        <v>0</v>
      </c>
      <c r="G44" s="18" t="s">
        <v>93</v>
      </c>
      <c r="H44" s="19"/>
      <c r="I44" s="19">
        <f>SUM(Savings[Actual Cost])</f>
        <v>0</v>
      </c>
      <c r="J44" s="19">
        <f>SUM(Savings[Actual Cost])</f>
        <v>0</v>
      </c>
    </row>
    <row r="45" spans="1:10">
      <c r="B45" s="16" t="s">
        <v>37</v>
      </c>
      <c r="C45" s="17"/>
      <c r="D45" s="17"/>
      <c r="E45" s="17">
        <f>Food[[#This Row],[Projected Cost]]-Food[[#This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SUM(Food[Actual Cost])</f>
        <v>0</v>
      </c>
      <c r="E46" s="19">
        <f>SUM(Food[Actual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Gifts[[#This Row],[Projected Cost]]-Gifts[[#This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Gifts[[#This Row],[Projected Cost]]-Gifts[[#This Row],[Actual Cost]]</f>
        <v>0</v>
      </c>
    </row>
    <row r="49" spans="1:10">
      <c r="B49" s="16" t="s">
        <v>71</v>
      </c>
      <c r="C49" s="17"/>
      <c r="D49" s="17"/>
      <c r="E49" s="17">
        <f>Pets[[#This Row],[Projected Cost]]-Pets[[#This Row],[Actual Cost]]</f>
        <v>0</v>
      </c>
      <c r="G49" s="16" t="s">
        <v>72</v>
      </c>
      <c r="H49" s="17"/>
      <c r="I49" s="17"/>
      <c r="J49" s="17">
        <f>Gifts[[#This Row],[Projected Cost]]-Gifts[[#This Row],[Actual Cost]]</f>
        <v>0</v>
      </c>
    </row>
    <row r="50" spans="1:10">
      <c r="B50" s="16" t="s">
        <v>73</v>
      </c>
      <c r="C50" s="17"/>
      <c r="D50" s="17"/>
      <c r="E50" s="17">
        <f>Pets[[#This Row],[Projected Cost]]-Pets[[#This Row],[Actual Cost]]</f>
        <v>0</v>
      </c>
      <c r="G50" s="18" t="s">
        <v>93</v>
      </c>
      <c r="H50" s="19"/>
      <c r="I50" s="19">
        <f>SUM(Gifts[Actual Cost])</f>
        <v>0</v>
      </c>
      <c r="J50" s="19">
        <f>SUM(Gifts[Actual Cost])</f>
        <v>0</v>
      </c>
    </row>
    <row r="51" spans="1:10">
      <c r="B51" s="16" t="s">
        <v>74</v>
      </c>
      <c r="C51" s="17"/>
      <c r="D51" s="17"/>
      <c r="E51" s="17">
        <f>Pets[[#This Row],[Projected Cost]]-Pets[[#This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Pets[[#This Row],[Projected Cost]]-Pets[[#This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Pets[[#This Row],[Projected Cost]]-Pets[[#This Row],[Actual Cost]]</f>
        <v>0</v>
      </c>
      <c r="G53" s="16" t="s">
        <v>77</v>
      </c>
      <c r="H53" s="17"/>
      <c r="I53" s="17"/>
      <c r="J53" s="17">
        <f>Legal[[#This Row],[Projected Cost]]-Legal[[#This Row],[Actual Cost]]</f>
        <v>0</v>
      </c>
    </row>
    <row r="54" spans="1:10">
      <c r="B54" s="18" t="s">
        <v>93</v>
      </c>
      <c r="C54" s="19"/>
      <c r="D54" s="19">
        <f>SUM(Pets[Actual Cost])</f>
        <v>0</v>
      </c>
      <c r="E54" s="19">
        <f>SUM(Pets[Actual Cost])</f>
        <v>0</v>
      </c>
      <c r="G54" s="16" t="s">
        <v>78</v>
      </c>
      <c r="H54" s="17"/>
      <c r="I54" s="17"/>
      <c r="J54" s="17">
        <f>Legal[[#This Row],[Projected Cost]]-Legal[[#This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Legal[[#This Row],[Projected Cost]]-Legal[[#This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Legal[[#This Row],[Projected Cost]]-Legal[[#This Row],[Actual Cost]]</f>
        <v>0</v>
      </c>
    </row>
    <row r="57" spans="1:10">
      <c r="B57" s="16" t="s">
        <v>73</v>
      </c>
      <c r="C57" s="17"/>
      <c r="D57" s="17"/>
      <c r="E57" s="17">
        <f>PersonalCare[[#This Row],[Projected Cost]]-PersonalCare[[#This Row],[Actual Cost]]</f>
        <v>0</v>
      </c>
      <c r="G57" s="18" t="s">
        <v>93</v>
      </c>
      <c r="H57" s="19"/>
      <c r="I57" s="19">
        <f>SUM(Legal[Actual Cost])</f>
        <v>0</v>
      </c>
      <c r="J57" s="19">
        <f>SUM(Legal[Actual Cost])</f>
        <v>0</v>
      </c>
    </row>
    <row r="58" spans="1:10">
      <c r="B58" s="16" t="s">
        <v>82</v>
      </c>
      <c r="C58" s="17"/>
      <c r="D58" s="17"/>
      <c r="E58" s="17">
        <f>PersonalCare[[#This Row],[Projected Cost]]-PersonalCare[[#This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PersonalCare[[#This Row],[Projected Cost]]-PersonalCare[[#This Row],[Actual Cost]]</f>
        <v>0</v>
      </c>
      <c r="G59" s="69" t="s">
        <v>85</v>
      </c>
      <c r="H59" s="69"/>
      <c r="I59" s="69"/>
      <c r="J59" s="70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1195</v>
      </c>
    </row>
    <row r="60" spans="1:10">
      <c r="B60" s="16" t="s">
        <v>86</v>
      </c>
      <c r="C60" s="17"/>
      <c r="D60" s="17"/>
      <c r="E60" s="17">
        <f>PersonalCare[[#This Row],[Projected Cost]]-PersonalCare[[#This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PersonalCare[[#This Row],[Projected Cost]]-PersonalCare[[#This Row],[Actual Cost]]</f>
        <v>0</v>
      </c>
      <c r="G61" s="69" t="s">
        <v>88</v>
      </c>
      <c r="H61" s="69"/>
      <c r="I61" s="69"/>
      <c r="J61" s="70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1236</v>
      </c>
    </row>
    <row r="62" spans="1:10">
      <c r="B62" s="16" t="s">
        <v>89</v>
      </c>
      <c r="C62" s="17"/>
      <c r="D62" s="17"/>
      <c r="E62" s="17">
        <f>PersonalCare[[#This Row],[Projected Cost]]-PersonalCare[[#This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PersonalCare[[#This Row],[Projected Cost]]-PersonalCare[[#This Row],[Actual Cost]]</f>
        <v>0</v>
      </c>
      <c r="G63" s="69" t="s">
        <v>90</v>
      </c>
      <c r="H63" s="69"/>
      <c r="I63" s="69"/>
      <c r="J63" s="70">
        <f>J59-J61</f>
        <v>-41</v>
      </c>
    </row>
    <row r="64" spans="1:10">
      <c r="B64" s="18" t="s">
        <v>93</v>
      </c>
      <c r="C64" s="19"/>
      <c r="D64" s="19">
        <f>SUM(PersonalCare[Actual Cost])</f>
        <v>0</v>
      </c>
      <c r="E64" s="19">
        <f>SUM(PersonalCare[Actual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B8:B10"/>
    <mergeCell ref="B4:B6"/>
    <mergeCell ref="G8:I9"/>
    <mergeCell ref="G6:I7"/>
    <mergeCell ref="G4:I5"/>
    <mergeCell ref="C10:D10"/>
    <mergeCell ref="C9:D9"/>
    <mergeCell ref="C8:D8"/>
    <mergeCell ref="C6:D6"/>
    <mergeCell ref="C5:D5"/>
    <mergeCell ref="J8:J9"/>
    <mergeCell ref="J6:J7"/>
    <mergeCell ref="J4:J5"/>
    <mergeCell ref="G59:I60"/>
    <mergeCell ref="C4:D4"/>
    <mergeCell ref="G63:I64"/>
    <mergeCell ref="J63:J64"/>
    <mergeCell ref="J59:J60"/>
    <mergeCell ref="J61:J62"/>
    <mergeCell ref="G61:I62"/>
  </mergeCells>
  <conditionalFormatting sqref="J8:J9">
    <cfRule type="cellIs" dxfId="23" priority="2" operator="lessThan">
      <formula>0</formula>
    </cfRule>
  </conditionalFormatting>
  <conditionalFormatting sqref="J63:J64">
    <cfRule type="cellIs" dxfId="22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ignoredErrors>
    <ignoredError sqref="J13:J21 E26:E32 J25:J30 J34:J37 E36:E39 E43:E45 J41:J43 J47:J49 J53:J56 J59:J62 E57:E63 E49:E53" emptyCellReference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6885-B3DA-4948-AE55-41E7822C50AA}">
  <sheetPr>
    <tabColor theme="4"/>
    <pageSetUpPr autoPageBreaks="0" fitToPage="1"/>
  </sheetPr>
  <dimension ref="A1:J65"/>
  <sheetViews>
    <sheetView showGridLines="0" workbookViewId="0">
      <selection activeCell="E9" sqref="E9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120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/>
      <c r="G4" s="76" t="s">
        <v>10</v>
      </c>
      <c r="H4" s="77"/>
      <c r="I4" s="77"/>
      <c r="J4" s="70">
        <f>E6-J59</f>
        <v>0</v>
      </c>
    </row>
    <row r="5" spans="1:10">
      <c r="B5" s="74"/>
      <c r="C5" s="71" t="s">
        <v>11</v>
      </c>
      <c r="D5" s="72"/>
      <c r="E5" s="5"/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0</v>
      </c>
      <c r="G6" s="76" t="s">
        <v>14</v>
      </c>
      <c r="H6" s="77"/>
      <c r="I6" s="77"/>
      <c r="J6" s="70">
        <f>E10-J61</f>
        <v>0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/>
      <c r="G8" s="76" t="s">
        <v>17</v>
      </c>
      <c r="H8" s="77"/>
      <c r="I8" s="77"/>
      <c r="J8" s="70">
        <f>J6-J4</f>
        <v>0</v>
      </c>
    </row>
    <row r="9" spans="1:10">
      <c r="B9" s="74"/>
      <c r="C9" s="71" t="s">
        <v>11</v>
      </c>
      <c r="D9" s="72"/>
      <c r="E9" s="5"/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/>
      <c r="D13" s="17"/>
      <c r="E13" s="17">
        <f>Housing14[[#This Row],[Projected Cost]]-Housing14[[#This Row],[Actual Cost]]</f>
        <v>0</v>
      </c>
      <c r="G13" s="16" t="s">
        <v>25</v>
      </c>
      <c r="H13" s="17"/>
      <c r="I13" s="17"/>
      <c r="J13" s="17">
        <f>Entertainment15[[#This Row],[Projected Cost]]-Entertainment15[[#This Row],[Actual Cost]]</f>
        <v>0</v>
      </c>
    </row>
    <row r="14" spans="1:10">
      <c r="B14" s="16" t="s">
        <v>26</v>
      </c>
      <c r="C14" s="17"/>
      <c r="D14" s="17"/>
      <c r="E14" s="17">
        <f>Housing14[[#This Row],[Projected Cost]]-Housing14[[#This Row],[Actual Cost]]</f>
        <v>0</v>
      </c>
      <c r="G14" s="16" t="s">
        <v>27</v>
      </c>
      <c r="H14" s="17"/>
      <c r="I14" s="17"/>
      <c r="J14" s="17">
        <f>Entertainment15[[#This Row],[Projected Cost]]-Entertainment15[[#This Row],[Actual Cost]]</f>
        <v>0</v>
      </c>
    </row>
    <row r="15" spans="1:10">
      <c r="B15" s="16" t="s">
        <v>28</v>
      </c>
      <c r="C15" s="17"/>
      <c r="D15" s="17"/>
      <c r="E15" s="17">
        <f>Housing14[[#This Row],[Projected Cost]]-Housing14[[#This Row],[Actual Cost]]</f>
        <v>0</v>
      </c>
      <c r="G15" s="16" t="s">
        <v>29</v>
      </c>
      <c r="H15" s="17"/>
      <c r="I15" s="17"/>
      <c r="J15" s="17">
        <f>Entertainment15[[#This Row],[Projected Cost]]-Entertainment15[[#This Row],[Actual Cost]]</f>
        <v>0</v>
      </c>
    </row>
    <row r="16" spans="1:10">
      <c r="B16" s="16" t="s">
        <v>30</v>
      </c>
      <c r="C16" s="17"/>
      <c r="D16" s="17"/>
      <c r="E16" s="17">
        <f>Housing14[[#This Row],[Projected Cost]]-Housing14[[#This Row],[Actual Cost]]</f>
        <v>0</v>
      </c>
      <c r="G16" s="16" t="s">
        <v>31</v>
      </c>
      <c r="H16" s="17"/>
      <c r="I16" s="17"/>
      <c r="J16" s="17">
        <f>Entertainment15[[#This Row],[Projected Cost]]-Entertainment15[[#This Row],[Actual Cost]]</f>
        <v>0</v>
      </c>
    </row>
    <row r="17" spans="1:10">
      <c r="B17" s="16" t="s">
        <v>32</v>
      </c>
      <c r="C17" s="17"/>
      <c r="D17" s="17"/>
      <c r="E17" s="17">
        <f>Housing14[[#This Row],[Projected Cost]]-Housing14[[#This Row],[Actual Cost]]</f>
        <v>0</v>
      </c>
      <c r="G17" s="16" t="s">
        <v>33</v>
      </c>
      <c r="H17" s="17"/>
      <c r="I17" s="17"/>
      <c r="J17" s="17">
        <f>Entertainment15[[#This Row],[Projected Cost]]-Entertainment15[[#This Row],[Actual Cost]]</f>
        <v>0</v>
      </c>
    </row>
    <row r="18" spans="1:10">
      <c r="B18" s="16" t="s">
        <v>34</v>
      </c>
      <c r="C18" s="17"/>
      <c r="D18" s="17"/>
      <c r="E18" s="17">
        <f>Housing14[[#This Row],[Projected Cost]]-Housing14[[#This Row],[Actual Cost]]</f>
        <v>0</v>
      </c>
      <c r="G18" s="16" t="s">
        <v>35</v>
      </c>
      <c r="H18" s="17"/>
      <c r="I18" s="17"/>
      <c r="J18" s="17">
        <f>Entertainment15[[#This Row],[Projected Cost]]-Entertainment15[[#This Row],[Actual Cost]]</f>
        <v>0</v>
      </c>
    </row>
    <row r="19" spans="1:10">
      <c r="B19" s="16" t="s">
        <v>36</v>
      </c>
      <c r="C19" s="17"/>
      <c r="D19" s="17"/>
      <c r="E19" s="17">
        <f>Housing14[[#This Row],[Projected Cost]]-Housing14[[#This Row],[Actual Cost]]</f>
        <v>0</v>
      </c>
      <c r="G19" s="16" t="s">
        <v>37</v>
      </c>
      <c r="H19" s="17"/>
      <c r="I19" s="17"/>
      <c r="J19" s="17">
        <f>Entertainment15[[#This Row],[Projected Cost]]-Entertainment15[[#This Row],[Actual Cost]]</f>
        <v>0</v>
      </c>
    </row>
    <row r="20" spans="1:10">
      <c r="B20" s="16" t="s">
        <v>38</v>
      </c>
      <c r="C20" s="17"/>
      <c r="D20" s="17"/>
      <c r="E20" s="17">
        <f>Housing14[[#This Row],[Projected Cost]]-Housing14[[#This Row],[Actual Cost]]</f>
        <v>0</v>
      </c>
      <c r="G20" s="16" t="s">
        <v>37</v>
      </c>
      <c r="H20" s="17"/>
      <c r="I20" s="17"/>
      <c r="J20" s="17">
        <f>Entertainment15[[#This Row],[Projected Cost]]-Entertainment15[[#This Row],[Actual Cost]]</f>
        <v>0</v>
      </c>
    </row>
    <row r="21" spans="1:10">
      <c r="B21" s="16" t="s">
        <v>39</v>
      </c>
      <c r="C21" s="17"/>
      <c r="D21" s="17"/>
      <c r="E21" s="17">
        <f>Housing14[[#This Row],[Projected Cost]]-Housing14[[#This Row],[Actual Cost]]</f>
        <v>0</v>
      </c>
      <c r="G21" s="16" t="s">
        <v>37</v>
      </c>
      <c r="H21" s="17"/>
      <c r="I21" s="17"/>
      <c r="J21" s="17">
        <f>Entertainment15[[#This Row],[Projected Cost]]-Entertainment15[[#This Row],[Actual Cost]]</f>
        <v>0</v>
      </c>
    </row>
    <row r="22" spans="1:10">
      <c r="B22" s="16" t="s">
        <v>37</v>
      </c>
      <c r="C22" s="17"/>
      <c r="D22" s="17"/>
      <c r="E22" s="17">
        <f>Housing14[[#This Row],[Projected Cost]]-Housing14[[#This Row],[Actual Cost]]</f>
        <v>0</v>
      </c>
      <c r="G22" s="18" t="s">
        <v>93</v>
      </c>
      <c r="H22" s="19"/>
      <c r="I22" s="19">
        <f>SUM(Entertainment15[Actual Cost])</f>
        <v>0</v>
      </c>
      <c r="J22" s="19">
        <f>SUM(Entertainment15[Actual Cost])</f>
        <v>0</v>
      </c>
    </row>
    <row r="23" spans="1:10">
      <c r="B23" s="18" t="s">
        <v>93</v>
      </c>
      <c r="C23" s="19"/>
      <c r="D23" s="19">
        <f>SUM(D13:D22)</f>
        <v>0</v>
      </c>
      <c r="E23" s="19">
        <f>SUM(E13:E22)</f>
        <v>0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Loans16[[#This Row],[Projected Cost]]-Loans16[[#This Row],[Actual Cost]]</f>
        <v>0</v>
      </c>
    </row>
    <row r="26" spans="1:10">
      <c r="B26" s="16" t="s">
        <v>44</v>
      </c>
      <c r="C26" s="17"/>
      <c r="D26" s="17"/>
      <c r="E26" s="17">
        <f>Transportation17[[#This Row],[Projected Cost]]-Transportation17[[#This Row],[Actual Cost]]</f>
        <v>0</v>
      </c>
      <c r="G26" s="16" t="s">
        <v>45</v>
      </c>
      <c r="H26" s="17"/>
      <c r="I26" s="17"/>
      <c r="J26" s="17">
        <f>Loans16[[#This Row],[Projected Cost]]-Loans16[[#This Row],[Actual Cost]]</f>
        <v>0</v>
      </c>
    </row>
    <row r="27" spans="1:10">
      <c r="B27" s="16" t="s">
        <v>46</v>
      </c>
      <c r="C27" s="17"/>
      <c r="D27" s="17"/>
      <c r="E27" s="17">
        <f>Transportation17[[#This Row],[Projected Cost]]-Transportation17[[#This Row],[Actual Cost]]</f>
        <v>0</v>
      </c>
      <c r="G27" s="16" t="s">
        <v>47</v>
      </c>
      <c r="H27" s="17"/>
      <c r="I27" s="17"/>
      <c r="J27" s="17">
        <f>Loans16[[#This Row],[Projected Cost]]-Loans16[[#This Row],[Actual Cost]]</f>
        <v>0</v>
      </c>
    </row>
    <row r="28" spans="1:10">
      <c r="B28" s="16" t="s">
        <v>48</v>
      </c>
      <c r="C28" s="17"/>
      <c r="D28" s="17"/>
      <c r="E28" s="17">
        <f>Transportation17[[#This Row],[Projected Cost]]-Transportation17[[#This Row],[Actual Cost]]</f>
        <v>0</v>
      </c>
      <c r="G28" s="16" t="s">
        <v>47</v>
      </c>
      <c r="H28" s="17"/>
      <c r="I28" s="17"/>
      <c r="J28" s="17">
        <f>Loans16[[#This Row],[Projected Cost]]-Loans16[[#This Row],[Actual Cost]]</f>
        <v>0</v>
      </c>
    </row>
    <row r="29" spans="1:10">
      <c r="B29" s="16" t="s">
        <v>49</v>
      </c>
      <c r="C29" s="17"/>
      <c r="D29" s="17"/>
      <c r="E29" s="17">
        <f>Transportation17[[#This Row],[Projected Cost]]-Transportation17[[#This Row],[Actual Cost]]</f>
        <v>0</v>
      </c>
      <c r="G29" s="16" t="s">
        <v>47</v>
      </c>
      <c r="H29" s="17"/>
      <c r="I29" s="17"/>
      <c r="J29" s="17">
        <f>Loans16[[#This Row],[Projected Cost]]-Loans16[[#This Row],[Actual Cost]]</f>
        <v>0</v>
      </c>
    </row>
    <row r="30" spans="1:10">
      <c r="B30" s="16" t="s">
        <v>50</v>
      </c>
      <c r="C30" s="17"/>
      <c r="D30" s="17"/>
      <c r="E30" s="17">
        <f>Transportation17[[#This Row],[Projected Cost]]-Transportation17[[#This Row],[Actual Cost]]</f>
        <v>0</v>
      </c>
      <c r="G30" s="16" t="s">
        <v>37</v>
      </c>
      <c r="H30" s="17"/>
      <c r="I30" s="17"/>
      <c r="J30" s="17">
        <f>Loans16[[#This Row],[Projected Cost]]-Loans16[[#This Row],[Actual Cost]]</f>
        <v>0</v>
      </c>
    </row>
    <row r="31" spans="1:10">
      <c r="B31" s="16" t="s">
        <v>38</v>
      </c>
      <c r="C31" s="17"/>
      <c r="D31" s="17"/>
      <c r="E31" s="17">
        <f>Transportation17[[#This Row],[Projected Cost]]-Transportation17[[#This Row],[Actual Cost]]</f>
        <v>0</v>
      </c>
      <c r="G31" s="18" t="s">
        <v>93</v>
      </c>
      <c r="H31" s="19"/>
      <c r="I31" s="19">
        <f>SUM(Loans16[Actual Cost])</f>
        <v>0</v>
      </c>
      <c r="J31" s="19">
        <f>SUM(Loans16[Actual Cost])</f>
        <v>0</v>
      </c>
    </row>
    <row r="32" spans="1:10">
      <c r="B32" s="16" t="s">
        <v>37</v>
      </c>
      <c r="C32" s="17"/>
      <c r="D32" s="17"/>
      <c r="E32" s="17">
        <f>Transportation17[[#This Row],[Projected Cost]]-Transportation17[[#This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SUM(Transportation17[Actual Cost])</f>
        <v>0</v>
      </c>
      <c r="E33" s="19">
        <f>SUM(Transportation17[Actual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Taxes19[[#This Row],[Projected Cost]]-Taxes19[[#This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Taxes19[[#This Row],[Projected Cost]]-Taxes19[[#This Row],[Actual Cost]]</f>
        <v>0</v>
      </c>
    </row>
    <row r="36" spans="1:10">
      <c r="B36" s="16" t="s">
        <v>94</v>
      </c>
      <c r="C36" s="17"/>
      <c r="D36" s="17"/>
      <c r="E36" s="17">
        <f>Insurance18[[#This Row],[Projected Cost]]-Insurance18[[#This Row],[Actual Cost]]</f>
        <v>0</v>
      </c>
      <c r="G36" s="16" t="s">
        <v>56</v>
      </c>
      <c r="H36" s="17"/>
      <c r="I36" s="17"/>
      <c r="J36" s="17">
        <f>Taxes19[[#This Row],[Projected Cost]]-Taxes19[[#This Row],[Actual Cost]]</f>
        <v>0</v>
      </c>
    </row>
    <row r="37" spans="1:10">
      <c r="B37" s="16" t="s">
        <v>57</v>
      </c>
      <c r="C37" s="17"/>
      <c r="D37" s="17"/>
      <c r="E37" s="17">
        <f>Insurance18[[#This Row],[Projected Cost]]-Insurance18[[#This Row],[Actual Cost]]</f>
        <v>0</v>
      </c>
      <c r="G37" s="16" t="s">
        <v>37</v>
      </c>
      <c r="H37" s="17"/>
      <c r="I37" s="17"/>
      <c r="J37" s="17">
        <f>Taxes19[[#This Row],[Projected Cost]]-Taxes19[[#This Row],[Actual Cost]]</f>
        <v>0</v>
      </c>
    </row>
    <row r="38" spans="1:10">
      <c r="B38" s="16" t="s">
        <v>58</v>
      </c>
      <c r="C38" s="17"/>
      <c r="D38" s="17"/>
      <c r="E38" s="17">
        <f>Insurance18[[#This Row],[Projected Cost]]-Insurance18[[#This Row],[Actual Cost]]</f>
        <v>0</v>
      </c>
      <c r="G38" s="18" t="s">
        <v>93</v>
      </c>
      <c r="H38" s="19"/>
      <c r="I38" s="19">
        <f>SUM(Taxes19[Actual Cost])</f>
        <v>0</v>
      </c>
      <c r="J38" s="19">
        <f>SUM(Taxes19[Actual Cost])</f>
        <v>0</v>
      </c>
    </row>
    <row r="39" spans="1:10">
      <c r="B39" s="16" t="s">
        <v>37</v>
      </c>
      <c r="C39" s="17"/>
      <c r="D39" s="17"/>
      <c r="E39" s="17">
        <f>Insurance18[[#This Row],[Projected Cost]]-Insurance18[[#This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SUM(Insurance18[Actual Cost])</f>
        <v>0</v>
      </c>
      <c r="E40" s="19">
        <f>SUM(Insurance18[Actual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Savings20[[#This Row],[Projected Cost]]-Savings20[[#This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Savings20[[#This Row],[Projected Cost]]-Savings20[[#This Row],[Actual Cost]]</f>
        <v>0</v>
      </c>
    </row>
    <row r="43" spans="1:10">
      <c r="B43" s="16" t="s">
        <v>64</v>
      </c>
      <c r="C43" s="17"/>
      <c r="D43" s="17"/>
      <c r="E43" s="17">
        <f>Food21[[#This Row],[Projected Cost]]-Food21[[#This Row],[Actual Cost]]</f>
        <v>0</v>
      </c>
      <c r="G43" s="16" t="s">
        <v>37</v>
      </c>
      <c r="H43" s="17"/>
      <c r="I43" s="17"/>
      <c r="J43" s="17">
        <f>Savings20[[#This Row],[Projected Cost]]-Savings20[[#This Row],[Actual Cost]]</f>
        <v>0</v>
      </c>
    </row>
    <row r="44" spans="1:10">
      <c r="B44" s="16" t="s">
        <v>65</v>
      </c>
      <c r="C44" s="17"/>
      <c r="D44" s="17"/>
      <c r="E44" s="17">
        <f>Food21[[#This Row],[Projected Cost]]-Food21[[#This Row],[Actual Cost]]</f>
        <v>0</v>
      </c>
      <c r="G44" s="18" t="s">
        <v>93</v>
      </c>
      <c r="H44" s="19"/>
      <c r="I44" s="19">
        <f>SUM(Savings20[Actual Cost])</f>
        <v>0</v>
      </c>
      <c r="J44" s="19">
        <f>SUM(Savings20[Actual Cost])</f>
        <v>0</v>
      </c>
    </row>
    <row r="45" spans="1:10">
      <c r="B45" s="16" t="s">
        <v>37</v>
      </c>
      <c r="C45" s="17"/>
      <c r="D45" s="17"/>
      <c r="E45" s="17">
        <f>Food21[[#This Row],[Projected Cost]]-Food21[[#This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SUM(Food21[Actual Cost])</f>
        <v>0</v>
      </c>
      <c r="E46" s="19">
        <f>SUM(Food21[Actual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Gifts22[[#This Row],[Projected Cost]]-Gifts22[[#This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Gifts22[[#This Row],[Projected Cost]]-Gifts22[[#This Row],[Actual Cost]]</f>
        <v>0</v>
      </c>
    </row>
    <row r="49" spans="1:10">
      <c r="B49" s="16" t="s">
        <v>71</v>
      </c>
      <c r="C49" s="17"/>
      <c r="D49" s="17"/>
      <c r="E49" s="17">
        <f>Pets23[[#This Row],[Projected Cost]]-Pets23[[#This Row],[Actual Cost]]</f>
        <v>0</v>
      </c>
      <c r="G49" s="16" t="s">
        <v>72</v>
      </c>
      <c r="H49" s="17"/>
      <c r="I49" s="17"/>
      <c r="J49" s="17">
        <f>Gifts22[[#This Row],[Projected Cost]]-Gifts22[[#This Row],[Actual Cost]]</f>
        <v>0</v>
      </c>
    </row>
    <row r="50" spans="1:10">
      <c r="B50" s="16" t="s">
        <v>73</v>
      </c>
      <c r="C50" s="17"/>
      <c r="D50" s="17"/>
      <c r="E50" s="17">
        <f>Pets23[[#This Row],[Projected Cost]]-Pets23[[#This Row],[Actual Cost]]</f>
        <v>0</v>
      </c>
      <c r="G50" s="18" t="s">
        <v>93</v>
      </c>
      <c r="H50" s="19"/>
      <c r="I50" s="19">
        <f>SUM(Gifts22[Actual Cost])</f>
        <v>0</v>
      </c>
      <c r="J50" s="19">
        <f>SUM(Gifts22[Actual Cost])</f>
        <v>0</v>
      </c>
    </row>
    <row r="51" spans="1:10">
      <c r="B51" s="16" t="s">
        <v>74</v>
      </c>
      <c r="C51" s="17"/>
      <c r="D51" s="17"/>
      <c r="E51" s="17">
        <f>Pets23[[#This Row],[Projected Cost]]-Pets23[[#This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Pets23[[#This Row],[Projected Cost]]-Pets23[[#This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Pets23[[#This Row],[Projected Cost]]-Pets23[[#This Row],[Actual Cost]]</f>
        <v>0</v>
      </c>
      <c r="G53" s="16" t="s">
        <v>77</v>
      </c>
      <c r="H53" s="17"/>
      <c r="I53" s="17"/>
      <c r="J53" s="17">
        <f>Legal24[[#This Row],[Projected Cost]]-Legal24[[#This Row],[Actual Cost]]</f>
        <v>0</v>
      </c>
    </row>
    <row r="54" spans="1:10">
      <c r="B54" s="18" t="s">
        <v>93</v>
      </c>
      <c r="C54" s="19"/>
      <c r="D54" s="19">
        <f>SUM(Pets23[Actual Cost])</f>
        <v>0</v>
      </c>
      <c r="E54" s="19">
        <f>SUM(Pets23[Actual Cost])</f>
        <v>0</v>
      </c>
      <c r="G54" s="16" t="s">
        <v>78</v>
      </c>
      <c r="H54" s="17"/>
      <c r="I54" s="17"/>
      <c r="J54" s="17">
        <f>Legal24[[#This Row],[Projected Cost]]-Legal24[[#This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Legal24[[#This Row],[Projected Cost]]-Legal24[[#This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Legal24[[#This Row],[Projected Cost]]-Legal24[[#This Row],[Actual Cost]]</f>
        <v>0</v>
      </c>
    </row>
    <row r="57" spans="1:10">
      <c r="B57" s="16" t="s">
        <v>73</v>
      </c>
      <c r="C57" s="17"/>
      <c r="D57" s="17"/>
      <c r="E57" s="17">
        <f>PersonalCare25[[#This Row],[Projected Cost]]-PersonalCare25[[#This Row],[Actual Cost]]</f>
        <v>0</v>
      </c>
      <c r="G57" s="18" t="s">
        <v>93</v>
      </c>
      <c r="H57" s="19"/>
      <c r="I57" s="19">
        <f>SUM(Legal24[Actual Cost])</f>
        <v>0</v>
      </c>
      <c r="J57" s="19">
        <f>SUM(Legal24[Actual Cost])</f>
        <v>0</v>
      </c>
    </row>
    <row r="58" spans="1:10">
      <c r="B58" s="16" t="s">
        <v>82</v>
      </c>
      <c r="C58" s="17"/>
      <c r="D58" s="17"/>
      <c r="E58" s="17">
        <f>PersonalCare25[[#This Row],[Projected Cost]]-PersonalCare25[[#This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PersonalCare25[[#This Row],[Projected Cost]]-PersonalCare25[[#This Row],[Actual Cost]]</f>
        <v>0</v>
      </c>
      <c r="G59" s="69" t="s">
        <v>85</v>
      </c>
      <c r="H59" s="69"/>
      <c r="I59" s="69"/>
      <c r="J59" s="70">
        <f>SUBTOTAL(109,Housing14[Projected Cost],Transportation17[Projected Cost],Insurance18[Projected Cost],Food21[Projected Cost],Pets23[Projected Cost],PersonalCare25[Projected Cost],Entertainment15[Projected Cost],Loans16[Projected Cost],Taxes19[Projected Cost],Savings20[Projected Cost],Gifts22[Projected Cost],Legal24[Projected Cost])</f>
        <v>0</v>
      </c>
    </row>
    <row r="60" spans="1:10">
      <c r="B60" s="16" t="s">
        <v>86</v>
      </c>
      <c r="C60" s="17"/>
      <c r="D60" s="17"/>
      <c r="E60" s="17">
        <f>PersonalCare25[[#This Row],[Projected Cost]]-PersonalCare25[[#This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PersonalCare25[[#This Row],[Projected Cost]]-PersonalCare25[[#This Row],[Actual Cost]]</f>
        <v>0</v>
      </c>
      <c r="G61" s="69" t="s">
        <v>88</v>
      </c>
      <c r="H61" s="69"/>
      <c r="I61" s="69"/>
      <c r="J61" s="70">
        <f>SUBTOTAL(109,Housing14[Actual Cost],Transportation17[Actual Cost],Insurance18[Actual Cost],Food21[Actual Cost],Pets23[Actual Cost],PersonalCare25[Actual Cost],Entertainment15[Actual Cost],Loans16[Actual Cost],Taxes19[Actual Cost],Savings20[Actual Cost],Gifts22[Actual Cost],Legal24[Actual Cost])</f>
        <v>0</v>
      </c>
    </row>
    <row r="62" spans="1:10">
      <c r="B62" s="16" t="s">
        <v>89</v>
      </c>
      <c r="C62" s="17"/>
      <c r="D62" s="17"/>
      <c r="E62" s="17">
        <f>PersonalCare25[[#This Row],[Projected Cost]]-PersonalCare25[[#This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PersonalCare25[[#This Row],[Projected Cost]]-PersonalCare25[[#This Row],[Actual Cost]]</f>
        <v>0</v>
      </c>
      <c r="G63" s="69" t="s">
        <v>90</v>
      </c>
      <c r="H63" s="69"/>
      <c r="I63" s="69"/>
      <c r="J63" s="70">
        <f>J59-J61</f>
        <v>0</v>
      </c>
    </row>
    <row r="64" spans="1:10">
      <c r="B64" s="18" t="s">
        <v>93</v>
      </c>
      <c r="C64" s="19"/>
      <c r="D64" s="19">
        <f>SUM(PersonalCare25[Actual Cost])</f>
        <v>0</v>
      </c>
      <c r="E64" s="19">
        <f>SUM(PersonalCare25[Actual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G59:I60"/>
    <mergeCell ref="J59:J60"/>
    <mergeCell ref="G61:I62"/>
    <mergeCell ref="J61:J62"/>
    <mergeCell ref="G63:I64"/>
    <mergeCell ref="J63:J64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conditionalFormatting sqref="J8:J9">
    <cfRule type="cellIs" dxfId="21" priority="2" operator="lessThan">
      <formula>0</formula>
    </cfRule>
  </conditionalFormatting>
  <conditionalFormatting sqref="J63:J64">
    <cfRule type="cellIs" dxfId="20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7B12D-E905-5B4B-B55A-F085ABC6D326}">
  <sheetPr>
    <tabColor theme="4"/>
    <pageSetUpPr autoPageBreaks="0" fitToPage="1"/>
  </sheetPr>
  <dimension ref="A1:J65"/>
  <sheetViews>
    <sheetView showGridLines="0" workbookViewId="0">
      <selection activeCell="E9" sqref="E9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119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/>
      <c r="G4" s="76" t="s">
        <v>10</v>
      </c>
      <c r="H4" s="77"/>
      <c r="I4" s="77"/>
      <c r="J4" s="70">
        <f>E6-J59</f>
        <v>0</v>
      </c>
    </row>
    <row r="5" spans="1:10">
      <c r="B5" s="74"/>
      <c r="C5" s="71" t="s">
        <v>11</v>
      </c>
      <c r="D5" s="72"/>
      <c r="E5" s="5"/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0</v>
      </c>
      <c r="G6" s="76" t="s">
        <v>14</v>
      </c>
      <c r="H6" s="77"/>
      <c r="I6" s="77"/>
      <c r="J6" s="70">
        <f>E10-J61</f>
        <v>0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/>
      <c r="G8" s="76" t="s">
        <v>17</v>
      </c>
      <c r="H8" s="77"/>
      <c r="I8" s="77"/>
      <c r="J8" s="70">
        <f>J6-J4</f>
        <v>0</v>
      </c>
    </row>
    <row r="9" spans="1:10">
      <c r="B9" s="74"/>
      <c r="C9" s="71" t="s">
        <v>11</v>
      </c>
      <c r="D9" s="72"/>
      <c r="E9" s="5"/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/>
      <c r="D13" s="17"/>
      <c r="E13" s="17">
        <f>Housing1426[[#This Row],[Projected Cost]]-Housing1426[[#This Row],[Actual Cost]]</f>
        <v>0</v>
      </c>
      <c r="G13" s="16" t="s">
        <v>25</v>
      </c>
      <c r="H13" s="17"/>
      <c r="I13" s="17"/>
      <c r="J13" s="17">
        <f>Entertainment1527[[#This Row],[Projected Cost]]-Entertainment1527[[#This Row],[Actual Cost]]</f>
        <v>0</v>
      </c>
    </row>
    <row r="14" spans="1:10">
      <c r="B14" s="16" t="s">
        <v>26</v>
      </c>
      <c r="C14" s="17"/>
      <c r="D14" s="17"/>
      <c r="E14" s="17">
        <f>Housing1426[[#This Row],[Projected Cost]]-Housing1426[[#This Row],[Actual Cost]]</f>
        <v>0</v>
      </c>
      <c r="G14" s="16" t="s">
        <v>27</v>
      </c>
      <c r="H14" s="17"/>
      <c r="I14" s="17"/>
      <c r="J14" s="17">
        <f>Entertainment1527[[#This Row],[Projected Cost]]-Entertainment1527[[#This Row],[Actual Cost]]</f>
        <v>0</v>
      </c>
    </row>
    <row r="15" spans="1:10">
      <c r="B15" s="16" t="s">
        <v>28</v>
      </c>
      <c r="C15" s="17"/>
      <c r="D15" s="17"/>
      <c r="E15" s="17">
        <f>Housing1426[[#This Row],[Projected Cost]]-Housing1426[[#This Row],[Actual Cost]]</f>
        <v>0</v>
      </c>
      <c r="G15" s="16" t="s">
        <v>29</v>
      </c>
      <c r="H15" s="17"/>
      <c r="I15" s="17"/>
      <c r="J15" s="17">
        <f>Entertainment1527[[#This Row],[Projected Cost]]-Entertainment1527[[#This Row],[Actual Cost]]</f>
        <v>0</v>
      </c>
    </row>
    <row r="16" spans="1:10">
      <c r="B16" s="16" t="s">
        <v>30</v>
      </c>
      <c r="C16" s="17"/>
      <c r="D16" s="17"/>
      <c r="E16" s="17">
        <f>Housing1426[[#This Row],[Projected Cost]]-Housing1426[[#This Row],[Actual Cost]]</f>
        <v>0</v>
      </c>
      <c r="G16" s="16" t="s">
        <v>31</v>
      </c>
      <c r="H16" s="17"/>
      <c r="I16" s="17"/>
      <c r="J16" s="17">
        <f>Entertainment1527[[#This Row],[Projected Cost]]-Entertainment1527[[#This Row],[Actual Cost]]</f>
        <v>0</v>
      </c>
    </row>
    <row r="17" spans="1:10">
      <c r="B17" s="16" t="s">
        <v>32</v>
      </c>
      <c r="C17" s="17"/>
      <c r="D17" s="17"/>
      <c r="E17" s="17">
        <f>Housing1426[[#This Row],[Projected Cost]]-Housing1426[[#This Row],[Actual Cost]]</f>
        <v>0</v>
      </c>
      <c r="G17" s="16" t="s">
        <v>33</v>
      </c>
      <c r="H17" s="17"/>
      <c r="I17" s="17"/>
      <c r="J17" s="17">
        <f>Entertainment1527[[#This Row],[Projected Cost]]-Entertainment1527[[#This Row],[Actual Cost]]</f>
        <v>0</v>
      </c>
    </row>
    <row r="18" spans="1:10">
      <c r="B18" s="16" t="s">
        <v>34</v>
      </c>
      <c r="C18" s="17"/>
      <c r="D18" s="17"/>
      <c r="E18" s="17">
        <f>Housing1426[[#This Row],[Projected Cost]]-Housing1426[[#This Row],[Actual Cost]]</f>
        <v>0</v>
      </c>
      <c r="G18" s="16" t="s">
        <v>35</v>
      </c>
      <c r="H18" s="17"/>
      <c r="I18" s="17"/>
      <c r="J18" s="17">
        <f>Entertainment1527[[#This Row],[Projected Cost]]-Entertainment1527[[#This Row],[Actual Cost]]</f>
        <v>0</v>
      </c>
    </row>
    <row r="19" spans="1:10">
      <c r="B19" s="16" t="s">
        <v>36</v>
      </c>
      <c r="C19" s="17"/>
      <c r="D19" s="17"/>
      <c r="E19" s="17">
        <f>Housing1426[[#This Row],[Projected Cost]]-Housing1426[[#This Row],[Actual Cost]]</f>
        <v>0</v>
      </c>
      <c r="G19" s="16" t="s">
        <v>37</v>
      </c>
      <c r="H19" s="17"/>
      <c r="I19" s="17"/>
      <c r="J19" s="17">
        <f>Entertainment1527[[#This Row],[Projected Cost]]-Entertainment1527[[#This Row],[Actual Cost]]</f>
        <v>0</v>
      </c>
    </row>
    <row r="20" spans="1:10">
      <c r="B20" s="16" t="s">
        <v>38</v>
      </c>
      <c r="C20" s="17"/>
      <c r="D20" s="17"/>
      <c r="E20" s="17">
        <f>Housing1426[[#This Row],[Projected Cost]]-Housing1426[[#This Row],[Actual Cost]]</f>
        <v>0</v>
      </c>
      <c r="G20" s="16" t="s">
        <v>37</v>
      </c>
      <c r="H20" s="17"/>
      <c r="I20" s="17"/>
      <c r="J20" s="17">
        <f>Entertainment1527[[#This Row],[Projected Cost]]-Entertainment1527[[#This Row],[Actual Cost]]</f>
        <v>0</v>
      </c>
    </row>
    <row r="21" spans="1:10">
      <c r="B21" s="16" t="s">
        <v>39</v>
      </c>
      <c r="C21" s="17"/>
      <c r="D21" s="17"/>
      <c r="E21" s="17">
        <f>Housing1426[[#This Row],[Projected Cost]]-Housing1426[[#This Row],[Actual Cost]]</f>
        <v>0</v>
      </c>
      <c r="G21" s="16" t="s">
        <v>37</v>
      </c>
      <c r="H21" s="17"/>
      <c r="I21" s="17"/>
      <c r="J21" s="17">
        <f>Entertainment1527[[#This Row],[Projected Cost]]-Entertainment1527[[#This Row],[Actual Cost]]</f>
        <v>0</v>
      </c>
    </row>
    <row r="22" spans="1:10">
      <c r="B22" s="16" t="s">
        <v>37</v>
      </c>
      <c r="C22" s="17"/>
      <c r="D22" s="17"/>
      <c r="E22" s="17">
        <f>Housing1426[[#This Row],[Projected Cost]]-Housing1426[[#This Row],[Actual Cost]]</f>
        <v>0</v>
      </c>
      <c r="G22" s="18" t="s">
        <v>93</v>
      </c>
      <c r="H22" s="19"/>
      <c r="I22" s="19">
        <f>SUM(Entertainment1527[Actual Cost])</f>
        <v>0</v>
      </c>
      <c r="J22" s="19">
        <f>SUM(Entertainment1527[Actual Cost])</f>
        <v>0</v>
      </c>
    </row>
    <row r="23" spans="1:10">
      <c r="B23" s="18" t="s">
        <v>93</v>
      </c>
      <c r="C23" s="19"/>
      <c r="D23" s="19">
        <f>SUM(D13:D22)</f>
        <v>0</v>
      </c>
      <c r="E23" s="19">
        <f>SUM(E13:E22)</f>
        <v>0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Loans1628[[#This Row],[Projected Cost]]-Loans1628[[#This Row],[Actual Cost]]</f>
        <v>0</v>
      </c>
    </row>
    <row r="26" spans="1:10">
      <c r="B26" s="16" t="s">
        <v>44</v>
      </c>
      <c r="C26" s="17"/>
      <c r="D26" s="17"/>
      <c r="E26" s="17">
        <f>Transportation1729[[#This Row],[Projected Cost]]-Transportation1729[[#This Row],[Actual Cost]]</f>
        <v>0</v>
      </c>
      <c r="G26" s="16" t="s">
        <v>45</v>
      </c>
      <c r="H26" s="17"/>
      <c r="I26" s="17"/>
      <c r="J26" s="17">
        <f>Loans1628[[#This Row],[Projected Cost]]-Loans1628[[#This Row],[Actual Cost]]</f>
        <v>0</v>
      </c>
    </row>
    <row r="27" spans="1:10">
      <c r="B27" s="16" t="s">
        <v>46</v>
      </c>
      <c r="C27" s="17"/>
      <c r="D27" s="17"/>
      <c r="E27" s="17">
        <f>Transportation1729[[#This Row],[Projected Cost]]-Transportation1729[[#This Row],[Actual Cost]]</f>
        <v>0</v>
      </c>
      <c r="G27" s="16" t="s">
        <v>47</v>
      </c>
      <c r="H27" s="17"/>
      <c r="I27" s="17"/>
      <c r="J27" s="17">
        <f>Loans1628[[#This Row],[Projected Cost]]-Loans1628[[#This Row],[Actual Cost]]</f>
        <v>0</v>
      </c>
    </row>
    <row r="28" spans="1:10">
      <c r="B28" s="16" t="s">
        <v>48</v>
      </c>
      <c r="C28" s="17"/>
      <c r="D28" s="17"/>
      <c r="E28" s="17">
        <f>Transportation1729[[#This Row],[Projected Cost]]-Transportation1729[[#This Row],[Actual Cost]]</f>
        <v>0</v>
      </c>
      <c r="G28" s="16" t="s">
        <v>47</v>
      </c>
      <c r="H28" s="17"/>
      <c r="I28" s="17"/>
      <c r="J28" s="17">
        <f>Loans1628[[#This Row],[Projected Cost]]-Loans1628[[#This Row],[Actual Cost]]</f>
        <v>0</v>
      </c>
    </row>
    <row r="29" spans="1:10">
      <c r="B29" s="16" t="s">
        <v>49</v>
      </c>
      <c r="C29" s="17"/>
      <c r="D29" s="17"/>
      <c r="E29" s="17">
        <f>Transportation1729[[#This Row],[Projected Cost]]-Transportation1729[[#This Row],[Actual Cost]]</f>
        <v>0</v>
      </c>
      <c r="G29" s="16" t="s">
        <v>47</v>
      </c>
      <c r="H29" s="17"/>
      <c r="I29" s="17"/>
      <c r="J29" s="17">
        <f>Loans1628[[#This Row],[Projected Cost]]-Loans1628[[#This Row],[Actual Cost]]</f>
        <v>0</v>
      </c>
    </row>
    <row r="30" spans="1:10">
      <c r="B30" s="16" t="s">
        <v>50</v>
      </c>
      <c r="C30" s="17"/>
      <c r="D30" s="17"/>
      <c r="E30" s="17">
        <f>Transportation1729[[#This Row],[Projected Cost]]-Transportation1729[[#This Row],[Actual Cost]]</f>
        <v>0</v>
      </c>
      <c r="G30" s="16" t="s">
        <v>37</v>
      </c>
      <c r="H30" s="17"/>
      <c r="I30" s="17"/>
      <c r="J30" s="17">
        <f>Loans1628[[#This Row],[Projected Cost]]-Loans1628[[#This Row],[Actual Cost]]</f>
        <v>0</v>
      </c>
    </row>
    <row r="31" spans="1:10">
      <c r="B31" s="16" t="s">
        <v>38</v>
      </c>
      <c r="C31" s="17"/>
      <c r="D31" s="17"/>
      <c r="E31" s="17">
        <f>Transportation1729[[#This Row],[Projected Cost]]-Transportation1729[[#This Row],[Actual Cost]]</f>
        <v>0</v>
      </c>
      <c r="G31" s="18" t="s">
        <v>93</v>
      </c>
      <c r="H31" s="19"/>
      <c r="I31" s="19">
        <f>SUM(Loans1628[Actual Cost])</f>
        <v>0</v>
      </c>
      <c r="J31" s="19">
        <f>SUM(Loans1628[Actual Cost])</f>
        <v>0</v>
      </c>
    </row>
    <row r="32" spans="1:10">
      <c r="B32" s="16" t="s">
        <v>37</v>
      </c>
      <c r="C32" s="17"/>
      <c r="D32" s="17"/>
      <c r="E32" s="17">
        <f>Transportation1729[[#This Row],[Projected Cost]]-Transportation1729[[#This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SUM(Transportation1729[Actual Cost])</f>
        <v>0</v>
      </c>
      <c r="E33" s="19">
        <f>SUM(Transportation1729[Actual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Taxes1931[[#This Row],[Projected Cost]]-Taxes1931[[#This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Taxes1931[[#This Row],[Projected Cost]]-Taxes1931[[#This Row],[Actual Cost]]</f>
        <v>0</v>
      </c>
    </row>
    <row r="36" spans="1:10">
      <c r="B36" s="16" t="s">
        <v>94</v>
      </c>
      <c r="C36" s="17"/>
      <c r="D36" s="17"/>
      <c r="E36" s="17">
        <f>Insurance1830[[#This Row],[Projected Cost]]-Insurance1830[[#This Row],[Actual Cost]]</f>
        <v>0</v>
      </c>
      <c r="G36" s="16" t="s">
        <v>56</v>
      </c>
      <c r="H36" s="17"/>
      <c r="I36" s="17"/>
      <c r="J36" s="17">
        <f>Taxes1931[[#This Row],[Projected Cost]]-Taxes1931[[#This Row],[Actual Cost]]</f>
        <v>0</v>
      </c>
    </row>
    <row r="37" spans="1:10">
      <c r="B37" s="16" t="s">
        <v>57</v>
      </c>
      <c r="C37" s="17"/>
      <c r="D37" s="17"/>
      <c r="E37" s="17">
        <f>Insurance1830[[#This Row],[Projected Cost]]-Insurance1830[[#This Row],[Actual Cost]]</f>
        <v>0</v>
      </c>
      <c r="G37" s="16" t="s">
        <v>37</v>
      </c>
      <c r="H37" s="17"/>
      <c r="I37" s="17"/>
      <c r="J37" s="17">
        <f>Taxes1931[[#This Row],[Projected Cost]]-Taxes1931[[#This Row],[Actual Cost]]</f>
        <v>0</v>
      </c>
    </row>
    <row r="38" spans="1:10">
      <c r="B38" s="16" t="s">
        <v>58</v>
      </c>
      <c r="C38" s="17"/>
      <c r="D38" s="17"/>
      <c r="E38" s="17">
        <f>Insurance1830[[#This Row],[Projected Cost]]-Insurance1830[[#This Row],[Actual Cost]]</f>
        <v>0</v>
      </c>
      <c r="G38" s="18" t="s">
        <v>93</v>
      </c>
      <c r="H38" s="19"/>
      <c r="I38" s="19">
        <f>SUM(Taxes1931[Actual Cost])</f>
        <v>0</v>
      </c>
      <c r="J38" s="19">
        <f>SUM(Taxes1931[Actual Cost])</f>
        <v>0</v>
      </c>
    </row>
    <row r="39" spans="1:10">
      <c r="B39" s="16" t="s">
        <v>37</v>
      </c>
      <c r="C39" s="17"/>
      <c r="D39" s="17"/>
      <c r="E39" s="17">
        <f>Insurance1830[[#This Row],[Projected Cost]]-Insurance1830[[#This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SUM(Insurance1830[Actual Cost])</f>
        <v>0</v>
      </c>
      <c r="E40" s="19">
        <f>SUM(Insurance1830[Actual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Savings2032[[#This Row],[Projected Cost]]-Savings2032[[#This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Savings2032[[#This Row],[Projected Cost]]-Savings2032[[#This Row],[Actual Cost]]</f>
        <v>0</v>
      </c>
    </row>
    <row r="43" spans="1:10">
      <c r="B43" s="16" t="s">
        <v>64</v>
      </c>
      <c r="C43" s="17"/>
      <c r="D43" s="17"/>
      <c r="E43" s="17">
        <f>Food2133[[#This Row],[Projected Cost]]-Food2133[[#This Row],[Actual Cost]]</f>
        <v>0</v>
      </c>
      <c r="G43" s="16" t="s">
        <v>37</v>
      </c>
      <c r="H43" s="17"/>
      <c r="I43" s="17"/>
      <c r="J43" s="17">
        <f>Savings2032[[#This Row],[Projected Cost]]-Savings2032[[#This Row],[Actual Cost]]</f>
        <v>0</v>
      </c>
    </row>
    <row r="44" spans="1:10">
      <c r="B44" s="16" t="s">
        <v>65</v>
      </c>
      <c r="C44" s="17"/>
      <c r="D44" s="17"/>
      <c r="E44" s="17">
        <f>Food2133[[#This Row],[Projected Cost]]-Food2133[[#This Row],[Actual Cost]]</f>
        <v>0</v>
      </c>
      <c r="G44" s="18" t="s">
        <v>93</v>
      </c>
      <c r="H44" s="19"/>
      <c r="I44" s="19">
        <f>SUM(Savings2032[Actual Cost])</f>
        <v>0</v>
      </c>
      <c r="J44" s="19">
        <f>SUM(Savings2032[Actual Cost])</f>
        <v>0</v>
      </c>
    </row>
    <row r="45" spans="1:10">
      <c r="B45" s="16" t="s">
        <v>37</v>
      </c>
      <c r="C45" s="17"/>
      <c r="D45" s="17"/>
      <c r="E45" s="17">
        <f>Food2133[[#This Row],[Projected Cost]]-Food2133[[#This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SUM(Food2133[Actual Cost])</f>
        <v>0</v>
      </c>
      <c r="E46" s="19">
        <f>SUM(Food2133[Actual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Gifts2234[[#This Row],[Projected Cost]]-Gifts2234[[#This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Gifts2234[[#This Row],[Projected Cost]]-Gifts2234[[#This Row],[Actual Cost]]</f>
        <v>0</v>
      </c>
    </row>
    <row r="49" spans="1:10">
      <c r="B49" s="16" t="s">
        <v>71</v>
      </c>
      <c r="C49" s="17"/>
      <c r="D49" s="17"/>
      <c r="E49" s="17">
        <f>Pets2335[[#This Row],[Projected Cost]]-Pets2335[[#This Row],[Actual Cost]]</f>
        <v>0</v>
      </c>
      <c r="G49" s="16" t="s">
        <v>72</v>
      </c>
      <c r="H49" s="17"/>
      <c r="I49" s="17"/>
      <c r="J49" s="17">
        <f>Gifts2234[[#This Row],[Projected Cost]]-Gifts2234[[#This Row],[Actual Cost]]</f>
        <v>0</v>
      </c>
    </row>
    <row r="50" spans="1:10">
      <c r="B50" s="16" t="s">
        <v>73</v>
      </c>
      <c r="C50" s="17"/>
      <c r="D50" s="17"/>
      <c r="E50" s="17">
        <f>Pets2335[[#This Row],[Projected Cost]]-Pets2335[[#This Row],[Actual Cost]]</f>
        <v>0</v>
      </c>
      <c r="G50" s="18" t="s">
        <v>93</v>
      </c>
      <c r="H50" s="19"/>
      <c r="I50" s="19">
        <f>SUM(Gifts2234[Actual Cost])</f>
        <v>0</v>
      </c>
      <c r="J50" s="19">
        <f>SUM(Gifts2234[Actual Cost])</f>
        <v>0</v>
      </c>
    </row>
    <row r="51" spans="1:10">
      <c r="B51" s="16" t="s">
        <v>74</v>
      </c>
      <c r="C51" s="17"/>
      <c r="D51" s="17"/>
      <c r="E51" s="17">
        <f>Pets2335[[#This Row],[Projected Cost]]-Pets2335[[#This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Pets2335[[#This Row],[Projected Cost]]-Pets2335[[#This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Pets2335[[#This Row],[Projected Cost]]-Pets2335[[#This Row],[Actual Cost]]</f>
        <v>0</v>
      </c>
      <c r="G53" s="16" t="s">
        <v>77</v>
      </c>
      <c r="H53" s="17"/>
      <c r="I53" s="17"/>
      <c r="J53" s="17">
        <f>Legal2436[[#This Row],[Projected Cost]]-Legal2436[[#This Row],[Actual Cost]]</f>
        <v>0</v>
      </c>
    </row>
    <row r="54" spans="1:10">
      <c r="B54" s="18" t="s">
        <v>93</v>
      </c>
      <c r="C54" s="19"/>
      <c r="D54" s="19">
        <f>SUM(Pets2335[Actual Cost])</f>
        <v>0</v>
      </c>
      <c r="E54" s="19">
        <f>SUM(Pets2335[Actual Cost])</f>
        <v>0</v>
      </c>
      <c r="G54" s="16" t="s">
        <v>78</v>
      </c>
      <c r="H54" s="17"/>
      <c r="I54" s="17"/>
      <c r="J54" s="17">
        <f>Legal2436[[#This Row],[Projected Cost]]-Legal2436[[#This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Legal2436[[#This Row],[Projected Cost]]-Legal2436[[#This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Legal2436[[#This Row],[Projected Cost]]-Legal2436[[#This Row],[Actual Cost]]</f>
        <v>0</v>
      </c>
    </row>
    <row r="57" spans="1:10">
      <c r="B57" s="16" t="s">
        <v>73</v>
      </c>
      <c r="C57" s="17"/>
      <c r="D57" s="17"/>
      <c r="E57" s="17">
        <f>PersonalCare2537[[#This Row],[Projected Cost]]-PersonalCare2537[[#This Row],[Actual Cost]]</f>
        <v>0</v>
      </c>
      <c r="G57" s="18" t="s">
        <v>93</v>
      </c>
      <c r="H57" s="19"/>
      <c r="I57" s="19">
        <f>SUM(Legal2436[Actual Cost])</f>
        <v>0</v>
      </c>
      <c r="J57" s="19">
        <f>SUM(Legal2436[Actual Cost])</f>
        <v>0</v>
      </c>
    </row>
    <row r="58" spans="1:10">
      <c r="B58" s="16" t="s">
        <v>82</v>
      </c>
      <c r="C58" s="17"/>
      <c r="D58" s="17"/>
      <c r="E58" s="17">
        <f>PersonalCare2537[[#This Row],[Projected Cost]]-PersonalCare2537[[#This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PersonalCare2537[[#This Row],[Projected Cost]]-PersonalCare2537[[#This Row],[Actual Cost]]</f>
        <v>0</v>
      </c>
      <c r="G59" s="69" t="s">
        <v>85</v>
      </c>
      <c r="H59" s="69"/>
      <c r="I59" s="69"/>
      <c r="J59" s="70">
        <f>SUBTOTAL(109,Housing1426[Projected Cost],Transportation1729[Projected Cost],Insurance1830[Projected Cost],Food2133[Projected Cost],Pets2335[Projected Cost],PersonalCare2537[Projected Cost],Entertainment1527[Projected Cost],Loans1628[Projected Cost],Taxes1931[Projected Cost],Savings2032[Projected Cost],Gifts2234[Projected Cost],Legal2436[Projected Cost])</f>
        <v>0</v>
      </c>
    </row>
    <row r="60" spans="1:10">
      <c r="B60" s="16" t="s">
        <v>86</v>
      </c>
      <c r="C60" s="17"/>
      <c r="D60" s="17"/>
      <c r="E60" s="17">
        <f>PersonalCare2537[[#This Row],[Projected Cost]]-PersonalCare2537[[#This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PersonalCare2537[[#This Row],[Projected Cost]]-PersonalCare2537[[#This Row],[Actual Cost]]</f>
        <v>0</v>
      </c>
      <c r="G61" s="69" t="s">
        <v>88</v>
      </c>
      <c r="H61" s="69"/>
      <c r="I61" s="69"/>
      <c r="J61" s="70">
        <f>SUBTOTAL(109,Housing1426[Actual Cost],Transportation1729[Actual Cost],Insurance1830[Actual Cost],Food2133[Actual Cost],Pets2335[Actual Cost],PersonalCare2537[Actual Cost],Entertainment1527[Actual Cost],Loans1628[Actual Cost],Taxes1931[Actual Cost],Savings2032[Actual Cost],Gifts2234[Actual Cost],Legal2436[Actual Cost])</f>
        <v>0</v>
      </c>
    </row>
    <row r="62" spans="1:10">
      <c r="B62" s="16" t="s">
        <v>89</v>
      </c>
      <c r="C62" s="17"/>
      <c r="D62" s="17"/>
      <c r="E62" s="17">
        <f>PersonalCare2537[[#This Row],[Projected Cost]]-PersonalCare2537[[#This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PersonalCare2537[[#This Row],[Projected Cost]]-PersonalCare2537[[#This Row],[Actual Cost]]</f>
        <v>0</v>
      </c>
      <c r="G63" s="69" t="s">
        <v>90</v>
      </c>
      <c r="H63" s="69"/>
      <c r="I63" s="69"/>
      <c r="J63" s="70">
        <f>J59-J61</f>
        <v>0</v>
      </c>
    </row>
    <row r="64" spans="1:10">
      <c r="B64" s="18" t="s">
        <v>93</v>
      </c>
      <c r="C64" s="19"/>
      <c r="D64" s="19">
        <f>SUM(PersonalCare2537[Actual Cost])</f>
        <v>0</v>
      </c>
      <c r="E64" s="19">
        <f>SUM(PersonalCare2537[Actual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G59:I60"/>
    <mergeCell ref="J59:J60"/>
    <mergeCell ref="G61:I62"/>
    <mergeCell ref="J61:J62"/>
    <mergeCell ref="G63:I64"/>
    <mergeCell ref="J63:J64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conditionalFormatting sqref="J8:J9">
    <cfRule type="cellIs" dxfId="19" priority="2" operator="lessThan">
      <formula>0</formula>
    </cfRule>
  </conditionalFormatting>
  <conditionalFormatting sqref="J63:J64">
    <cfRule type="cellIs" dxfId="18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68CFF-9976-604C-8AFC-74E2FCB9E5DE}">
  <sheetPr>
    <tabColor theme="4"/>
    <pageSetUpPr autoPageBreaks="0" fitToPage="1"/>
  </sheetPr>
  <dimension ref="A1:J65"/>
  <sheetViews>
    <sheetView showGridLines="0" workbookViewId="0">
      <selection activeCell="E9" sqref="E9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118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/>
      <c r="G4" s="76" t="s">
        <v>10</v>
      </c>
      <c r="H4" s="77"/>
      <c r="I4" s="77"/>
      <c r="J4" s="70">
        <f>E6-J59</f>
        <v>0</v>
      </c>
    </row>
    <row r="5" spans="1:10">
      <c r="B5" s="74"/>
      <c r="C5" s="71" t="s">
        <v>11</v>
      </c>
      <c r="D5" s="72"/>
      <c r="E5" s="5"/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0</v>
      </c>
      <c r="G6" s="76" t="s">
        <v>14</v>
      </c>
      <c r="H6" s="77"/>
      <c r="I6" s="77"/>
      <c r="J6" s="70">
        <f>E10-J61</f>
        <v>0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/>
      <c r="G8" s="76" t="s">
        <v>17</v>
      </c>
      <c r="H8" s="77"/>
      <c r="I8" s="77"/>
      <c r="J8" s="70">
        <f>J6-J4</f>
        <v>0</v>
      </c>
    </row>
    <row r="9" spans="1:10">
      <c r="B9" s="74"/>
      <c r="C9" s="71" t="s">
        <v>11</v>
      </c>
      <c r="D9" s="72"/>
      <c r="E9" s="5"/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/>
      <c r="D13" s="17"/>
      <c r="E13" s="17">
        <f>Housing142638[[#This Row],[Projected Cost]]-Housing142638[[#This Row],[Actual Cost]]</f>
        <v>0</v>
      </c>
      <c r="G13" s="16" t="s">
        <v>25</v>
      </c>
      <c r="H13" s="17"/>
      <c r="I13" s="17"/>
      <c r="J13" s="17">
        <f>Entertainment152739[[#This Row],[Projected Cost]]-Entertainment152739[[#This Row],[Actual Cost]]</f>
        <v>0</v>
      </c>
    </row>
    <row r="14" spans="1:10">
      <c r="B14" s="16" t="s">
        <v>26</v>
      </c>
      <c r="C14" s="17"/>
      <c r="D14" s="17"/>
      <c r="E14" s="17">
        <f>Housing142638[[#This Row],[Projected Cost]]-Housing142638[[#This Row],[Actual Cost]]</f>
        <v>0</v>
      </c>
      <c r="G14" s="16" t="s">
        <v>27</v>
      </c>
      <c r="H14" s="17"/>
      <c r="I14" s="17"/>
      <c r="J14" s="17">
        <f>Entertainment152739[[#This Row],[Projected Cost]]-Entertainment152739[[#This Row],[Actual Cost]]</f>
        <v>0</v>
      </c>
    </row>
    <row r="15" spans="1:10">
      <c r="B15" s="16" t="s">
        <v>28</v>
      </c>
      <c r="C15" s="17"/>
      <c r="D15" s="17"/>
      <c r="E15" s="17">
        <f>Housing142638[[#This Row],[Projected Cost]]-Housing142638[[#This Row],[Actual Cost]]</f>
        <v>0</v>
      </c>
      <c r="G15" s="16" t="s">
        <v>29</v>
      </c>
      <c r="H15" s="17"/>
      <c r="I15" s="17"/>
      <c r="J15" s="17">
        <f>Entertainment152739[[#This Row],[Projected Cost]]-Entertainment152739[[#This Row],[Actual Cost]]</f>
        <v>0</v>
      </c>
    </row>
    <row r="16" spans="1:10">
      <c r="B16" s="16" t="s">
        <v>30</v>
      </c>
      <c r="C16" s="17"/>
      <c r="D16" s="17"/>
      <c r="E16" s="17">
        <f>Housing142638[[#This Row],[Projected Cost]]-Housing142638[[#This Row],[Actual Cost]]</f>
        <v>0</v>
      </c>
      <c r="G16" s="16" t="s">
        <v>31</v>
      </c>
      <c r="H16" s="17"/>
      <c r="I16" s="17"/>
      <c r="J16" s="17">
        <f>Entertainment152739[[#This Row],[Projected Cost]]-Entertainment152739[[#This Row],[Actual Cost]]</f>
        <v>0</v>
      </c>
    </row>
    <row r="17" spans="1:10">
      <c r="B17" s="16" t="s">
        <v>32</v>
      </c>
      <c r="C17" s="17"/>
      <c r="D17" s="17"/>
      <c r="E17" s="17">
        <f>Housing142638[[#This Row],[Projected Cost]]-Housing142638[[#This Row],[Actual Cost]]</f>
        <v>0</v>
      </c>
      <c r="G17" s="16" t="s">
        <v>33</v>
      </c>
      <c r="H17" s="17"/>
      <c r="I17" s="17"/>
      <c r="J17" s="17">
        <f>Entertainment152739[[#This Row],[Projected Cost]]-Entertainment152739[[#This Row],[Actual Cost]]</f>
        <v>0</v>
      </c>
    </row>
    <row r="18" spans="1:10">
      <c r="B18" s="16" t="s">
        <v>34</v>
      </c>
      <c r="C18" s="17"/>
      <c r="D18" s="17"/>
      <c r="E18" s="17">
        <f>Housing142638[[#This Row],[Projected Cost]]-Housing142638[[#This Row],[Actual Cost]]</f>
        <v>0</v>
      </c>
      <c r="G18" s="16" t="s">
        <v>35</v>
      </c>
      <c r="H18" s="17"/>
      <c r="I18" s="17"/>
      <c r="J18" s="17">
        <f>Entertainment152739[[#This Row],[Projected Cost]]-Entertainment152739[[#This Row],[Actual Cost]]</f>
        <v>0</v>
      </c>
    </row>
    <row r="19" spans="1:10">
      <c r="B19" s="16" t="s">
        <v>36</v>
      </c>
      <c r="C19" s="17"/>
      <c r="D19" s="17"/>
      <c r="E19" s="17">
        <f>Housing142638[[#This Row],[Projected Cost]]-Housing142638[[#This Row],[Actual Cost]]</f>
        <v>0</v>
      </c>
      <c r="G19" s="16" t="s">
        <v>37</v>
      </c>
      <c r="H19" s="17"/>
      <c r="I19" s="17"/>
      <c r="J19" s="17">
        <f>Entertainment152739[[#This Row],[Projected Cost]]-Entertainment152739[[#This Row],[Actual Cost]]</f>
        <v>0</v>
      </c>
    </row>
    <row r="20" spans="1:10">
      <c r="B20" s="16" t="s">
        <v>38</v>
      </c>
      <c r="C20" s="17"/>
      <c r="D20" s="17"/>
      <c r="E20" s="17">
        <f>Housing142638[[#This Row],[Projected Cost]]-Housing142638[[#This Row],[Actual Cost]]</f>
        <v>0</v>
      </c>
      <c r="G20" s="16" t="s">
        <v>37</v>
      </c>
      <c r="H20" s="17"/>
      <c r="I20" s="17"/>
      <c r="J20" s="17">
        <f>Entertainment152739[[#This Row],[Projected Cost]]-Entertainment152739[[#This Row],[Actual Cost]]</f>
        <v>0</v>
      </c>
    </row>
    <row r="21" spans="1:10">
      <c r="B21" s="16" t="s">
        <v>39</v>
      </c>
      <c r="C21" s="17"/>
      <c r="D21" s="17"/>
      <c r="E21" s="17">
        <f>Housing142638[[#This Row],[Projected Cost]]-Housing142638[[#This Row],[Actual Cost]]</f>
        <v>0</v>
      </c>
      <c r="G21" s="16" t="s">
        <v>37</v>
      </c>
      <c r="H21" s="17"/>
      <c r="I21" s="17"/>
      <c r="J21" s="17">
        <f>Entertainment152739[[#This Row],[Projected Cost]]-Entertainment152739[[#This Row],[Actual Cost]]</f>
        <v>0</v>
      </c>
    </row>
    <row r="22" spans="1:10">
      <c r="B22" s="16" t="s">
        <v>37</v>
      </c>
      <c r="C22" s="17"/>
      <c r="D22" s="17"/>
      <c r="E22" s="17">
        <f>Housing142638[[#This Row],[Projected Cost]]-Housing142638[[#This Row],[Actual Cost]]</f>
        <v>0</v>
      </c>
      <c r="G22" s="18" t="s">
        <v>93</v>
      </c>
      <c r="H22" s="19"/>
      <c r="I22" s="19">
        <f>SUM(Entertainment152739[Actual Cost])</f>
        <v>0</v>
      </c>
      <c r="J22" s="19">
        <f>SUM(Entertainment152739[Actual Cost])</f>
        <v>0</v>
      </c>
    </row>
    <row r="23" spans="1:10">
      <c r="B23" s="18" t="s">
        <v>93</v>
      </c>
      <c r="C23" s="19"/>
      <c r="D23" s="19">
        <f>SUM(D13:D22)</f>
        <v>0</v>
      </c>
      <c r="E23" s="19">
        <f>SUM(E13:E22)</f>
        <v>0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Loans162840[[#This Row],[Projected Cost]]-Loans162840[[#This Row],[Actual Cost]]</f>
        <v>0</v>
      </c>
    </row>
    <row r="26" spans="1:10">
      <c r="B26" s="16" t="s">
        <v>44</v>
      </c>
      <c r="C26" s="17"/>
      <c r="D26" s="17"/>
      <c r="E26" s="17">
        <f>Transportation172941[[#This Row],[Projected Cost]]-Transportation172941[[#This Row],[Actual Cost]]</f>
        <v>0</v>
      </c>
      <c r="G26" s="16" t="s">
        <v>45</v>
      </c>
      <c r="H26" s="17"/>
      <c r="I26" s="17"/>
      <c r="J26" s="17">
        <f>Loans162840[[#This Row],[Projected Cost]]-Loans162840[[#This Row],[Actual Cost]]</f>
        <v>0</v>
      </c>
    </row>
    <row r="27" spans="1:10">
      <c r="B27" s="16" t="s">
        <v>46</v>
      </c>
      <c r="C27" s="17"/>
      <c r="D27" s="17"/>
      <c r="E27" s="17">
        <f>Transportation172941[[#This Row],[Projected Cost]]-Transportation172941[[#This Row],[Actual Cost]]</f>
        <v>0</v>
      </c>
      <c r="G27" s="16" t="s">
        <v>47</v>
      </c>
      <c r="H27" s="17"/>
      <c r="I27" s="17"/>
      <c r="J27" s="17">
        <f>Loans162840[[#This Row],[Projected Cost]]-Loans162840[[#This Row],[Actual Cost]]</f>
        <v>0</v>
      </c>
    </row>
    <row r="28" spans="1:10">
      <c r="B28" s="16" t="s">
        <v>48</v>
      </c>
      <c r="C28" s="17"/>
      <c r="D28" s="17"/>
      <c r="E28" s="17">
        <f>Transportation172941[[#This Row],[Projected Cost]]-Transportation172941[[#This Row],[Actual Cost]]</f>
        <v>0</v>
      </c>
      <c r="G28" s="16" t="s">
        <v>47</v>
      </c>
      <c r="H28" s="17"/>
      <c r="I28" s="17"/>
      <c r="J28" s="17">
        <f>Loans162840[[#This Row],[Projected Cost]]-Loans162840[[#This Row],[Actual Cost]]</f>
        <v>0</v>
      </c>
    </row>
    <row r="29" spans="1:10">
      <c r="B29" s="16" t="s">
        <v>49</v>
      </c>
      <c r="C29" s="17"/>
      <c r="D29" s="17"/>
      <c r="E29" s="17">
        <f>Transportation172941[[#This Row],[Projected Cost]]-Transportation172941[[#This Row],[Actual Cost]]</f>
        <v>0</v>
      </c>
      <c r="G29" s="16" t="s">
        <v>47</v>
      </c>
      <c r="H29" s="17"/>
      <c r="I29" s="17"/>
      <c r="J29" s="17">
        <f>Loans162840[[#This Row],[Projected Cost]]-Loans162840[[#This Row],[Actual Cost]]</f>
        <v>0</v>
      </c>
    </row>
    <row r="30" spans="1:10">
      <c r="B30" s="16" t="s">
        <v>50</v>
      </c>
      <c r="C30" s="17"/>
      <c r="D30" s="17"/>
      <c r="E30" s="17">
        <f>Transportation172941[[#This Row],[Projected Cost]]-Transportation172941[[#This Row],[Actual Cost]]</f>
        <v>0</v>
      </c>
      <c r="G30" s="16" t="s">
        <v>37</v>
      </c>
      <c r="H30" s="17"/>
      <c r="I30" s="17"/>
      <c r="J30" s="17">
        <f>Loans162840[[#This Row],[Projected Cost]]-Loans162840[[#This Row],[Actual Cost]]</f>
        <v>0</v>
      </c>
    </row>
    <row r="31" spans="1:10">
      <c r="B31" s="16" t="s">
        <v>38</v>
      </c>
      <c r="C31" s="17"/>
      <c r="D31" s="17"/>
      <c r="E31" s="17">
        <f>Transportation172941[[#This Row],[Projected Cost]]-Transportation172941[[#This Row],[Actual Cost]]</f>
        <v>0</v>
      </c>
      <c r="G31" s="18" t="s">
        <v>93</v>
      </c>
      <c r="H31" s="19"/>
      <c r="I31" s="19">
        <f>SUM(Loans162840[Actual Cost])</f>
        <v>0</v>
      </c>
      <c r="J31" s="19">
        <f>SUM(Loans162840[Actual Cost])</f>
        <v>0</v>
      </c>
    </row>
    <row r="32" spans="1:10">
      <c r="B32" s="16" t="s">
        <v>37</v>
      </c>
      <c r="C32" s="17"/>
      <c r="D32" s="17"/>
      <c r="E32" s="17">
        <f>Transportation172941[[#This Row],[Projected Cost]]-Transportation172941[[#This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SUM(Transportation172941[Actual Cost])</f>
        <v>0</v>
      </c>
      <c r="E33" s="19">
        <f>SUM(Transportation172941[Actual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Taxes193143[[#This Row],[Projected Cost]]-Taxes193143[[#This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Taxes193143[[#This Row],[Projected Cost]]-Taxes193143[[#This Row],[Actual Cost]]</f>
        <v>0</v>
      </c>
    </row>
    <row r="36" spans="1:10">
      <c r="B36" s="16" t="s">
        <v>94</v>
      </c>
      <c r="C36" s="17"/>
      <c r="D36" s="17"/>
      <c r="E36" s="17">
        <f>Insurance183042[[#This Row],[Projected Cost]]-Insurance183042[[#This Row],[Actual Cost]]</f>
        <v>0</v>
      </c>
      <c r="G36" s="16" t="s">
        <v>56</v>
      </c>
      <c r="H36" s="17"/>
      <c r="I36" s="17"/>
      <c r="J36" s="17">
        <f>Taxes193143[[#This Row],[Projected Cost]]-Taxes193143[[#This Row],[Actual Cost]]</f>
        <v>0</v>
      </c>
    </row>
    <row r="37" spans="1:10">
      <c r="B37" s="16" t="s">
        <v>57</v>
      </c>
      <c r="C37" s="17"/>
      <c r="D37" s="17"/>
      <c r="E37" s="17">
        <f>Insurance183042[[#This Row],[Projected Cost]]-Insurance183042[[#This Row],[Actual Cost]]</f>
        <v>0</v>
      </c>
      <c r="G37" s="16" t="s">
        <v>37</v>
      </c>
      <c r="H37" s="17"/>
      <c r="I37" s="17"/>
      <c r="J37" s="17">
        <f>Taxes193143[[#This Row],[Projected Cost]]-Taxes193143[[#This Row],[Actual Cost]]</f>
        <v>0</v>
      </c>
    </row>
    <row r="38" spans="1:10">
      <c r="B38" s="16" t="s">
        <v>58</v>
      </c>
      <c r="C38" s="17"/>
      <c r="D38" s="17"/>
      <c r="E38" s="17">
        <f>Insurance183042[[#This Row],[Projected Cost]]-Insurance183042[[#This Row],[Actual Cost]]</f>
        <v>0</v>
      </c>
      <c r="G38" s="18" t="s">
        <v>93</v>
      </c>
      <c r="H38" s="19"/>
      <c r="I38" s="19">
        <f>SUM(Taxes193143[Actual Cost])</f>
        <v>0</v>
      </c>
      <c r="J38" s="19">
        <f>SUM(Taxes193143[Actual Cost])</f>
        <v>0</v>
      </c>
    </row>
    <row r="39" spans="1:10">
      <c r="B39" s="16" t="s">
        <v>37</v>
      </c>
      <c r="C39" s="17"/>
      <c r="D39" s="17"/>
      <c r="E39" s="17">
        <f>Insurance183042[[#This Row],[Projected Cost]]-Insurance183042[[#This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SUM(Insurance183042[Actual Cost])</f>
        <v>0</v>
      </c>
      <c r="E40" s="19">
        <f>SUM(Insurance183042[Actual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Savings203244[[#This Row],[Projected Cost]]-Savings203244[[#This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Savings203244[[#This Row],[Projected Cost]]-Savings203244[[#This Row],[Actual Cost]]</f>
        <v>0</v>
      </c>
    </row>
    <row r="43" spans="1:10">
      <c r="B43" s="16" t="s">
        <v>64</v>
      </c>
      <c r="C43" s="17"/>
      <c r="D43" s="17"/>
      <c r="E43" s="17">
        <f>Food213345[[#This Row],[Projected Cost]]-Food213345[[#This Row],[Actual Cost]]</f>
        <v>0</v>
      </c>
      <c r="G43" s="16" t="s">
        <v>37</v>
      </c>
      <c r="H43" s="17"/>
      <c r="I43" s="17"/>
      <c r="J43" s="17">
        <f>Savings203244[[#This Row],[Projected Cost]]-Savings203244[[#This Row],[Actual Cost]]</f>
        <v>0</v>
      </c>
    </row>
    <row r="44" spans="1:10">
      <c r="B44" s="16" t="s">
        <v>65</v>
      </c>
      <c r="C44" s="17"/>
      <c r="D44" s="17"/>
      <c r="E44" s="17">
        <f>Food213345[[#This Row],[Projected Cost]]-Food213345[[#This Row],[Actual Cost]]</f>
        <v>0</v>
      </c>
      <c r="G44" s="18" t="s">
        <v>93</v>
      </c>
      <c r="H44" s="19"/>
      <c r="I44" s="19">
        <f>SUM(Savings203244[Actual Cost])</f>
        <v>0</v>
      </c>
      <c r="J44" s="19">
        <f>SUM(Savings203244[Actual Cost])</f>
        <v>0</v>
      </c>
    </row>
    <row r="45" spans="1:10">
      <c r="B45" s="16" t="s">
        <v>37</v>
      </c>
      <c r="C45" s="17"/>
      <c r="D45" s="17"/>
      <c r="E45" s="17">
        <f>Food213345[[#This Row],[Projected Cost]]-Food213345[[#This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SUM(Food213345[Actual Cost])</f>
        <v>0</v>
      </c>
      <c r="E46" s="19">
        <f>SUM(Food213345[Actual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Gifts223446[[#This Row],[Projected Cost]]-Gifts223446[[#This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Gifts223446[[#This Row],[Projected Cost]]-Gifts223446[[#This Row],[Actual Cost]]</f>
        <v>0</v>
      </c>
    </row>
    <row r="49" spans="1:10">
      <c r="B49" s="16" t="s">
        <v>71</v>
      </c>
      <c r="C49" s="17"/>
      <c r="D49" s="17"/>
      <c r="E49" s="17">
        <f>Pets233547[[#This Row],[Projected Cost]]-Pets233547[[#This Row],[Actual Cost]]</f>
        <v>0</v>
      </c>
      <c r="G49" s="16" t="s">
        <v>72</v>
      </c>
      <c r="H49" s="17"/>
      <c r="I49" s="17"/>
      <c r="J49" s="17">
        <f>Gifts223446[[#This Row],[Projected Cost]]-Gifts223446[[#This Row],[Actual Cost]]</f>
        <v>0</v>
      </c>
    </row>
    <row r="50" spans="1:10">
      <c r="B50" s="16" t="s">
        <v>73</v>
      </c>
      <c r="C50" s="17"/>
      <c r="D50" s="17"/>
      <c r="E50" s="17">
        <f>Pets233547[[#This Row],[Projected Cost]]-Pets233547[[#This Row],[Actual Cost]]</f>
        <v>0</v>
      </c>
      <c r="G50" s="18" t="s">
        <v>93</v>
      </c>
      <c r="H50" s="19"/>
      <c r="I50" s="19">
        <f>SUM(Gifts223446[Actual Cost])</f>
        <v>0</v>
      </c>
      <c r="J50" s="19">
        <f>SUM(Gifts223446[Actual Cost])</f>
        <v>0</v>
      </c>
    </row>
    <row r="51" spans="1:10">
      <c r="B51" s="16" t="s">
        <v>74</v>
      </c>
      <c r="C51" s="17"/>
      <c r="D51" s="17"/>
      <c r="E51" s="17">
        <f>Pets233547[[#This Row],[Projected Cost]]-Pets233547[[#This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Pets233547[[#This Row],[Projected Cost]]-Pets233547[[#This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Pets233547[[#This Row],[Projected Cost]]-Pets233547[[#This Row],[Actual Cost]]</f>
        <v>0</v>
      </c>
      <c r="G53" s="16" t="s">
        <v>77</v>
      </c>
      <c r="H53" s="17"/>
      <c r="I53" s="17"/>
      <c r="J53" s="17">
        <f>Legal243648[[#This Row],[Projected Cost]]-Legal243648[[#This Row],[Actual Cost]]</f>
        <v>0</v>
      </c>
    </row>
    <row r="54" spans="1:10">
      <c r="B54" s="18" t="s">
        <v>93</v>
      </c>
      <c r="C54" s="19"/>
      <c r="D54" s="19">
        <f>SUM(Pets233547[Actual Cost])</f>
        <v>0</v>
      </c>
      <c r="E54" s="19">
        <f>SUM(Pets233547[Actual Cost])</f>
        <v>0</v>
      </c>
      <c r="G54" s="16" t="s">
        <v>78</v>
      </c>
      <c r="H54" s="17"/>
      <c r="I54" s="17"/>
      <c r="J54" s="17">
        <f>Legal243648[[#This Row],[Projected Cost]]-Legal243648[[#This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Legal243648[[#This Row],[Projected Cost]]-Legal243648[[#This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Legal243648[[#This Row],[Projected Cost]]-Legal243648[[#This Row],[Actual Cost]]</f>
        <v>0</v>
      </c>
    </row>
    <row r="57" spans="1:10">
      <c r="B57" s="16" t="s">
        <v>73</v>
      </c>
      <c r="C57" s="17"/>
      <c r="D57" s="17"/>
      <c r="E57" s="17">
        <f>PersonalCare253749[[#This Row],[Projected Cost]]-PersonalCare253749[[#This Row],[Actual Cost]]</f>
        <v>0</v>
      </c>
      <c r="G57" s="18" t="s">
        <v>93</v>
      </c>
      <c r="H57" s="19"/>
      <c r="I57" s="19">
        <f>SUM(Legal243648[Actual Cost])</f>
        <v>0</v>
      </c>
      <c r="J57" s="19">
        <f>SUM(Legal243648[Actual Cost])</f>
        <v>0</v>
      </c>
    </row>
    <row r="58" spans="1:10">
      <c r="B58" s="16" t="s">
        <v>82</v>
      </c>
      <c r="C58" s="17"/>
      <c r="D58" s="17"/>
      <c r="E58" s="17">
        <f>PersonalCare253749[[#This Row],[Projected Cost]]-PersonalCare253749[[#This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PersonalCare253749[[#This Row],[Projected Cost]]-PersonalCare253749[[#This Row],[Actual Cost]]</f>
        <v>0</v>
      </c>
      <c r="G59" s="69" t="s">
        <v>85</v>
      </c>
      <c r="H59" s="69"/>
      <c r="I59" s="69"/>
      <c r="J59" s="70">
        <f>SUBTOTAL(109,Housing142638[Projected Cost],Transportation172941[Projected Cost],Insurance183042[Projected Cost],Food213345[Projected Cost],Pets233547[Projected Cost],PersonalCare253749[Projected Cost],Entertainment152739[Projected Cost],Loans162840[Projected Cost],Taxes193143[Projected Cost],Savings203244[Projected Cost],Gifts223446[Projected Cost],Legal243648[Projected Cost])</f>
        <v>0</v>
      </c>
    </row>
    <row r="60" spans="1:10">
      <c r="B60" s="16" t="s">
        <v>86</v>
      </c>
      <c r="C60" s="17"/>
      <c r="D60" s="17"/>
      <c r="E60" s="17">
        <f>PersonalCare253749[[#This Row],[Projected Cost]]-PersonalCare253749[[#This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PersonalCare253749[[#This Row],[Projected Cost]]-PersonalCare253749[[#This Row],[Actual Cost]]</f>
        <v>0</v>
      </c>
      <c r="G61" s="69" t="s">
        <v>88</v>
      </c>
      <c r="H61" s="69"/>
      <c r="I61" s="69"/>
      <c r="J61" s="70">
        <f>SUBTOTAL(109,Housing142638[Actual Cost],Transportation172941[Actual Cost],Insurance183042[Actual Cost],Food213345[Actual Cost],Pets233547[Actual Cost],PersonalCare253749[Actual Cost],Entertainment152739[Actual Cost],Loans162840[Actual Cost],Taxes193143[Actual Cost],Savings203244[Actual Cost],Gifts223446[Actual Cost],Legal243648[Actual Cost])</f>
        <v>0</v>
      </c>
    </row>
    <row r="62" spans="1:10">
      <c r="B62" s="16" t="s">
        <v>89</v>
      </c>
      <c r="C62" s="17"/>
      <c r="D62" s="17"/>
      <c r="E62" s="17">
        <f>PersonalCare253749[[#This Row],[Projected Cost]]-PersonalCare253749[[#This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PersonalCare253749[[#This Row],[Projected Cost]]-PersonalCare253749[[#This Row],[Actual Cost]]</f>
        <v>0</v>
      </c>
      <c r="G63" s="69" t="s">
        <v>90</v>
      </c>
      <c r="H63" s="69"/>
      <c r="I63" s="69"/>
      <c r="J63" s="70">
        <f>J59-J61</f>
        <v>0</v>
      </c>
    </row>
    <row r="64" spans="1:10">
      <c r="B64" s="18" t="s">
        <v>93</v>
      </c>
      <c r="C64" s="19"/>
      <c r="D64" s="19">
        <f>SUM(PersonalCare253749[Actual Cost])</f>
        <v>0</v>
      </c>
      <c r="E64" s="19">
        <f>SUM(PersonalCare253749[Actual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G59:I60"/>
    <mergeCell ref="J59:J60"/>
    <mergeCell ref="G61:I62"/>
    <mergeCell ref="J61:J62"/>
    <mergeCell ref="G63:I64"/>
    <mergeCell ref="J63:J64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conditionalFormatting sqref="J8:J9">
    <cfRule type="cellIs" dxfId="17" priority="2" operator="lessThan">
      <formula>0</formula>
    </cfRule>
  </conditionalFormatting>
  <conditionalFormatting sqref="J63:J64">
    <cfRule type="cellIs" dxfId="16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E96F-111B-464A-BD5D-412864D83903}">
  <sheetPr>
    <tabColor theme="4"/>
    <pageSetUpPr autoPageBreaks="0" fitToPage="1"/>
  </sheetPr>
  <dimension ref="A1:J65"/>
  <sheetViews>
    <sheetView showGridLines="0" workbookViewId="0">
      <selection activeCell="E9" sqref="E9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117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/>
      <c r="G4" s="76" t="s">
        <v>10</v>
      </c>
      <c r="H4" s="77"/>
      <c r="I4" s="77"/>
      <c r="J4" s="70">
        <f>E6-J59</f>
        <v>0</v>
      </c>
    </row>
    <row r="5" spans="1:10">
      <c r="B5" s="74"/>
      <c r="C5" s="71" t="s">
        <v>11</v>
      </c>
      <c r="D5" s="72"/>
      <c r="E5" s="5"/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0</v>
      </c>
      <c r="G6" s="76" t="s">
        <v>14</v>
      </c>
      <c r="H6" s="77"/>
      <c r="I6" s="77"/>
      <c r="J6" s="70">
        <f>E10-J61</f>
        <v>0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/>
      <c r="G8" s="76" t="s">
        <v>17</v>
      </c>
      <c r="H8" s="77"/>
      <c r="I8" s="77"/>
      <c r="J8" s="70">
        <f>J6-J4</f>
        <v>0</v>
      </c>
    </row>
    <row r="9" spans="1:10">
      <c r="B9" s="74"/>
      <c r="C9" s="71" t="s">
        <v>11</v>
      </c>
      <c r="D9" s="72"/>
      <c r="E9" s="5"/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/>
      <c r="D13" s="17"/>
      <c r="E13" s="17">
        <f>Housing14263850[[#This Row],[Projected Cost]]-Housing14263850[[#This Row],[Actual Cost]]</f>
        <v>0</v>
      </c>
      <c r="G13" s="16" t="s">
        <v>25</v>
      </c>
      <c r="H13" s="17"/>
      <c r="I13" s="17"/>
      <c r="J13" s="17">
        <f>Entertainment15273951[[#This Row],[Projected Cost]]-Entertainment15273951[[#This Row],[Actual Cost]]</f>
        <v>0</v>
      </c>
    </row>
    <row r="14" spans="1:10">
      <c r="B14" s="16" t="s">
        <v>26</v>
      </c>
      <c r="C14" s="17"/>
      <c r="D14" s="17"/>
      <c r="E14" s="17">
        <f>Housing14263850[[#This Row],[Projected Cost]]-Housing14263850[[#This Row],[Actual Cost]]</f>
        <v>0</v>
      </c>
      <c r="G14" s="16" t="s">
        <v>27</v>
      </c>
      <c r="H14" s="17"/>
      <c r="I14" s="17"/>
      <c r="J14" s="17">
        <f>Entertainment15273951[[#This Row],[Projected Cost]]-Entertainment15273951[[#This Row],[Actual Cost]]</f>
        <v>0</v>
      </c>
    </row>
    <row r="15" spans="1:10">
      <c r="B15" s="16" t="s">
        <v>28</v>
      </c>
      <c r="C15" s="17"/>
      <c r="D15" s="17"/>
      <c r="E15" s="17">
        <f>Housing14263850[[#This Row],[Projected Cost]]-Housing14263850[[#This Row],[Actual Cost]]</f>
        <v>0</v>
      </c>
      <c r="G15" s="16" t="s">
        <v>29</v>
      </c>
      <c r="H15" s="17"/>
      <c r="I15" s="17"/>
      <c r="J15" s="17">
        <f>Entertainment15273951[[#This Row],[Projected Cost]]-Entertainment15273951[[#This Row],[Actual Cost]]</f>
        <v>0</v>
      </c>
    </row>
    <row r="16" spans="1:10">
      <c r="B16" s="16" t="s">
        <v>30</v>
      </c>
      <c r="C16" s="17"/>
      <c r="D16" s="17"/>
      <c r="E16" s="17">
        <f>Housing14263850[[#This Row],[Projected Cost]]-Housing14263850[[#This Row],[Actual Cost]]</f>
        <v>0</v>
      </c>
      <c r="G16" s="16" t="s">
        <v>31</v>
      </c>
      <c r="H16" s="17"/>
      <c r="I16" s="17"/>
      <c r="J16" s="17">
        <f>Entertainment15273951[[#This Row],[Projected Cost]]-Entertainment15273951[[#This Row],[Actual Cost]]</f>
        <v>0</v>
      </c>
    </row>
    <row r="17" spans="1:10">
      <c r="B17" s="16" t="s">
        <v>32</v>
      </c>
      <c r="C17" s="17"/>
      <c r="D17" s="17"/>
      <c r="E17" s="17">
        <f>Housing14263850[[#This Row],[Projected Cost]]-Housing14263850[[#This Row],[Actual Cost]]</f>
        <v>0</v>
      </c>
      <c r="G17" s="16" t="s">
        <v>33</v>
      </c>
      <c r="H17" s="17"/>
      <c r="I17" s="17"/>
      <c r="J17" s="17">
        <f>Entertainment15273951[[#This Row],[Projected Cost]]-Entertainment15273951[[#This Row],[Actual Cost]]</f>
        <v>0</v>
      </c>
    </row>
    <row r="18" spans="1:10">
      <c r="B18" s="16" t="s">
        <v>34</v>
      </c>
      <c r="C18" s="17"/>
      <c r="D18" s="17"/>
      <c r="E18" s="17">
        <f>Housing14263850[[#This Row],[Projected Cost]]-Housing14263850[[#This Row],[Actual Cost]]</f>
        <v>0</v>
      </c>
      <c r="G18" s="16" t="s">
        <v>35</v>
      </c>
      <c r="H18" s="17"/>
      <c r="I18" s="17"/>
      <c r="J18" s="17">
        <f>Entertainment15273951[[#This Row],[Projected Cost]]-Entertainment15273951[[#This Row],[Actual Cost]]</f>
        <v>0</v>
      </c>
    </row>
    <row r="19" spans="1:10">
      <c r="B19" s="16" t="s">
        <v>36</v>
      </c>
      <c r="C19" s="17"/>
      <c r="D19" s="17"/>
      <c r="E19" s="17">
        <f>Housing14263850[[#This Row],[Projected Cost]]-Housing14263850[[#This Row],[Actual Cost]]</f>
        <v>0</v>
      </c>
      <c r="G19" s="16" t="s">
        <v>37</v>
      </c>
      <c r="H19" s="17"/>
      <c r="I19" s="17"/>
      <c r="J19" s="17">
        <f>Entertainment15273951[[#This Row],[Projected Cost]]-Entertainment15273951[[#This Row],[Actual Cost]]</f>
        <v>0</v>
      </c>
    </row>
    <row r="20" spans="1:10">
      <c r="B20" s="16" t="s">
        <v>38</v>
      </c>
      <c r="C20" s="17"/>
      <c r="D20" s="17"/>
      <c r="E20" s="17">
        <f>Housing14263850[[#This Row],[Projected Cost]]-Housing14263850[[#This Row],[Actual Cost]]</f>
        <v>0</v>
      </c>
      <c r="G20" s="16" t="s">
        <v>37</v>
      </c>
      <c r="H20" s="17"/>
      <c r="I20" s="17"/>
      <c r="J20" s="17">
        <f>Entertainment15273951[[#This Row],[Projected Cost]]-Entertainment15273951[[#This Row],[Actual Cost]]</f>
        <v>0</v>
      </c>
    </row>
    <row r="21" spans="1:10">
      <c r="B21" s="16" t="s">
        <v>39</v>
      </c>
      <c r="C21" s="17"/>
      <c r="D21" s="17"/>
      <c r="E21" s="17">
        <f>Housing14263850[[#This Row],[Projected Cost]]-Housing14263850[[#This Row],[Actual Cost]]</f>
        <v>0</v>
      </c>
      <c r="G21" s="16" t="s">
        <v>37</v>
      </c>
      <c r="H21" s="17"/>
      <c r="I21" s="17"/>
      <c r="J21" s="17">
        <f>Entertainment15273951[[#This Row],[Projected Cost]]-Entertainment15273951[[#This Row],[Actual Cost]]</f>
        <v>0</v>
      </c>
    </row>
    <row r="22" spans="1:10">
      <c r="B22" s="16" t="s">
        <v>37</v>
      </c>
      <c r="C22" s="17"/>
      <c r="D22" s="17"/>
      <c r="E22" s="17">
        <f>Housing14263850[[#This Row],[Projected Cost]]-Housing14263850[[#This Row],[Actual Cost]]</f>
        <v>0</v>
      </c>
      <c r="G22" s="18" t="s">
        <v>93</v>
      </c>
      <c r="H22" s="19"/>
      <c r="I22" s="19">
        <f>SUM(Entertainment15273951[Actual Cost])</f>
        <v>0</v>
      </c>
      <c r="J22" s="19">
        <f>SUM(Entertainment15273951[Actual Cost])</f>
        <v>0</v>
      </c>
    </row>
    <row r="23" spans="1:10">
      <c r="B23" s="18" t="s">
        <v>93</v>
      </c>
      <c r="C23" s="19"/>
      <c r="D23" s="19">
        <f>SUM(D13:D22)</f>
        <v>0</v>
      </c>
      <c r="E23" s="19">
        <f>SUM(E13:E22)</f>
        <v>0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Loans16284052[[#This Row],[Projected Cost]]-Loans16284052[[#This Row],[Actual Cost]]</f>
        <v>0</v>
      </c>
    </row>
    <row r="26" spans="1:10">
      <c r="B26" s="16" t="s">
        <v>44</v>
      </c>
      <c r="C26" s="17"/>
      <c r="D26" s="17"/>
      <c r="E26" s="17">
        <f>Transportation17294153[[#This Row],[Projected Cost]]-Transportation17294153[[#This Row],[Actual Cost]]</f>
        <v>0</v>
      </c>
      <c r="G26" s="16" t="s">
        <v>45</v>
      </c>
      <c r="H26" s="17"/>
      <c r="I26" s="17"/>
      <c r="J26" s="17">
        <f>Loans16284052[[#This Row],[Projected Cost]]-Loans16284052[[#This Row],[Actual Cost]]</f>
        <v>0</v>
      </c>
    </row>
    <row r="27" spans="1:10">
      <c r="B27" s="16" t="s">
        <v>46</v>
      </c>
      <c r="C27" s="17"/>
      <c r="D27" s="17"/>
      <c r="E27" s="17">
        <f>Transportation17294153[[#This Row],[Projected Cost]]-Transportation17294153[[#This Row],[Actual Cost]]</f>
        <v>0</v>
      </c>
      <c r="G27" s="16" t="s">
        <v>47</v>
      </c>
      <c r="H27" s="17"/>
      <c r="I27" s="17"/>
      <c r="J27" s="17">
        <f>Loans16284052[[#This Row],[Projected Cost]]-Loans16284052[[#This Row],[Actual Cost]]</f>
        <v>0</v>
      </c>
    </row>
    <row r="28" spans="1:10">
      <c r="B28" s="16" t="s">
        <v>48</v>
      </c>
      <c r="C28" s="17"/>
      <c r="D28" s="17"/>
      <c r="E28" s="17">
        <f>Transportation17294153[[#This Row],[Projected Cost]]-Transportation17294153[[#This Row],[Actual Cost]]</f>
        <v>0</v>
      </c>
      <c r="G28" s="16" t="s">
        <v>47</v>
      </c>
      <c r="H28" s="17"/>
      <c r="I28" s="17"/>
      <c r="J28" s="17">
        <f>Loans16284052[[#This Row],[Projected Cost]]-Loans16284052[[#This Row],[Actual Cost]]</f>
        <v>0</v>
      </c>
    </row>
    <row r="29" spans="1:10">
      <c r="B29" s="16" t="s">
        <v>49</v>
      </c>
      <c r="C29" s="17"/>
      <c r="D29" s="17"/>
      <c r="E29" s="17">
        <f>Transportation17294153[[#This Row],[Projected Cost]]-Transportation17294153[[#This Row],[Actual Cost]]</f>
        <v>0</v>
      </c>
      <c r="G29" s="16" t="s">
        <v>47</v>
      </c>
      <c r="H29" s="17"/>
      <c r="I29" s="17"/>
      <c r="J29" s="17">
        <f>Loans16284052[[#This Row],[Projected Cost]]-Loans16284052[[#This Row],[Actual Cost]]</f>
        <v>0</v>
      </c>
    </row>
    <row r="30" spans="1:10">
      <c r="B30" s="16" t="s">
        <v>50</v>
      </c>
      <c r="C30" s="17"/>
      <c r="D30" s="17"/>
      <c r="E30" s="17">
        <f>Transportation17294153[[#This Row],[Projected Cost]]-Transportation17294153[[#This Row],[Actual Cost]]</f>
        <v>0</v>
      </c>
      <c r="G30" s="16" t="s">
        <v>37</v>
      </c>
      <c r="H30" s="17"/>
      <c r="I30" s="17"/>
      <c r="J30" s="17">
        <f>Loans16284052[[#This Row],[Projected Cost]]-Loans16284052[[#This Row],[Actual Cost]]</f>
        <v>0</v>
      </c>
    </row>
    <row r="31" spans="1:10">
      <c r="B31" s="16" t="s">
        <v>38</v>
      </c>
      <c r="C31" s="17"/>
      <c r="D31" s="17"/>
      <c r="E31" s="17">
        <f>Transportation17294153[[#This Row],[Projected Cost]]-Transportation17294153[[#This Row],[Actual Cost]]</f>
        <v>0</v>
      </c>
      <c r="G31" s="18" t="s">
        <v>93</v>
      </c>
      <c r="H31" s="19"/>
      <c r="I31" s="19">
        <f>SUM(Loans16284052[Actual Cost])</f>
        <v>0</v>
      </c>
      <c r="J31" s="19">
        <f>SUM(Loans16284052[Actual Cost])</f>
        <v>0</v>
      </c>
    </row>
    <row r="32" spans="1:10">
      <c r="B32" s="16" t="s">
        <v>37</v>
      </c>
      <c r="C32" s="17"/>
      <c r="D32" s="17"/>
      <c r="E32" s="17">
        <f>Transportation17294153[[#This Row],[Projected Cost]]-Transportation17294153[[#This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SUM(Transportation17294153[Actual Cost])</f>
        <v>0</v>
      </c>
      <c r="E33" s="19">
        <f>SUM(Transportation17294153[Actual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Taxes19314355[[#This Row],[Projected Cost]]-Taxes19314355[[#This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Taxes19314355[[#This Row],[Projected Cost]]-Taxes19314355[[#This Row],[Actual Cost]]</f>
        <v>0</v>
      </c>
    </row>
    <row r="36" spans="1:10">
      <c r="B36" s="16" t="s">
        <v>94</v>
      </c>
      <c r="C36" s="17"/>
      <c r="D36" s="17"/>
      <c r="E36" s="17">
        <f>Insurance18304254[[#This Row],[Projected Cost]]-Insurance18304254[[#This Row],[Actual Cost]]</f>
        <v>0</v>
      </c>
      <c r="G36" s="16" t="s">
        <v>56</v>
      </c>
      <c r="H36" s="17"/>
      <c r="I36" s="17"/>
      <c r="J36" s="17">
        <f>Taxes19314355[[#This Row],[Projected Cost]]-Taxes19314355[[#This Row],[Actual Cost]]</f>
        <v>0</v>
      </c>
    </row>
    <row r="37" spans="1:10">
      <c r="B37" s="16" t="s">
        <v>57</v>
      </c>
      <c r="C37" s="17"/>
      <c r="D37" s="17"/>
      <c r="E37" s="17">
        <f>Insurance18304254[[#This Row],[Projected Cost]]-Insurance18304254[[#This Row],[Actual Cost]]</f>
        <v>0</v>
      </c>
      <c r="G37" s="16" t="s">
        <v>37</v>
      </c>
      <c r="H37" s="17"/>
      <c r="I37" s="17"/>
      <c r="J37" s="17">
        <f>Taxes19314355[[#This Row],[Projected Cost]]-Taxes19314355[[#This Row],[Actual Cost]]</f>
        <v>0</v>
      </c>
    </row>
    <row r="38" spans="1:10">
      <c r="B38" s="16" t="s">
        <v>58</v>
      </c>
      <c r="C38" s="17"/>
      <c r="D38" s="17"/>
      <c r="E38" s="17">
        <f>Insurance18304254[[#This Row],[Projected Cost]]-Insurance18304254[[#This Row],[Actual Cost]]</f>
        <v>0</v>
      </c>
      <c r="G38" s="18" t="s">
        <v>93</v>
      </c>
      <c r="H38" s="19"/>
      <c r="I38" s="19">
        <f>SUM(Taxes19314355[Actual Cost])</f>
        <v>0</v>
      </c>
      <c r="J38" s="19">
        <f>SUM(Taxes19314355[Actual Cost])</f>
        <v>0</v>
      </c>
    </row>
    <row r="39" spans="1:10">
      <c r="B39" s="16" t="s">
        <v>37</v>
      </c>
      <c r="C39" s="17"/>
      <c r="D39" s="17"/>
      <c r="E39" s="17">
        <f>Insurance18304254[[#This Row],[Projected Cost]]-Insurance18304254[[#This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SUM(Insurance18304254[Actual Cost])</f>
        <v>0</v>
      </c>
      <c r="E40" s="19">
        <f>SUM(Insurance18304254[Actual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Savings20324456[[#This Row],[Projected Cost]]-Savings20324456[[#This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Savings20324456[[#This Row],[Projected Cost]]-Savings20324456[[#This Row],[Actual Cost]]</f>
        <v>0</v>
      </c>
    </row>
    <row r="43" spans="1:10">
      <c r="B43" s="16" t="s">
        <v>64</v>
      </c>
      <c r="C43" s="17"/>
      <c r="D43" s="17"/>
      <c r="E43" s="17">
        <f>Food21334557[[#This Row],[Projected Cost]]-Food21334557[[#This Row],[Actual Cost]]</f>
        <v>0</v>
      </c>
      <c r="G43" s="16" t="s">
        <v>37</v>
      </c>
      <c r="H43" s="17"/>
      <c r="I43" s="17"/>
      <c r="J43" s="17">
        <f>Savings20324456[[#This Row],[Projected Cost]]-Savings20324456[[#This Row],[Actual Cost]]</f>
        <v>0</v>
      </c>
    </row>
    <row r="44" spans="1:10">
      <c r="B44" s="16" t="s">
        <v>65</v>
      </c>
      <c r="C44" s="17"/>
      <c r="D44" s="17"/>
      <c r="E44" s="17">
        <f>Food21334557[[#This Row],[Projected Cost]]-Food21334557[[#This Row],[Actual Cost]]</f>
        <v>0</v>
      </c>
      <c r="G44" s="18" t="s">
        <v>93</v>
      </c>
      <c r="H44" s="19"/>
      <c r="I44" s="19">
        <f>SUM(Savings20324456[Actual Cost])</f>
        <v>0</v>
      </c>
      <c r="J44" s="19">
        <f>SUM(Savings20324456[Actual Cost])</f>
        <v>0</v>
      </c>
    </row>
    <row r="45" spans="1:10">
      <c r="B45" s="16" t="s">
        <v>37</v>
      </c>
      <c r="C45" s="17"/>
      <c r="D45" s="17"/>
      <c r="E45" s="17">
        <f>Food21334557[[#This Row],[Projected Cost]]-Food21334557[[#This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SUM(Food21334557[Actual Cost])</f>
        <v>0</v>
      </c>
      <c r="E46" s="19">
        <f>SUM(Food21334557[Actual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Gifts22344658[[#This Row],[Projected Cost]]-Gifts22344658[[#This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Gifts22344658[[#This Row],[Projected Cost]]-Gifts22344658[[#This Row],[Actual Cost]]</f>
        <v>0</v>
      </c>
    </row>
    <row r="49" spans="1:10">
      <c r="B49" s="16" t="s">
        <v>71</v>
      </c>
      <c r="C49" s="17"/>
      <c r="D49" s="17"/>
      <c r="E49" s="17">
        <f>Pets23354759[[#This Row],[Projected Cost]]-Pets23354759[[#This Row],[Actual Cost]]</f>
        <v>0</v>
      </c>
      <c r="G49" s="16" t="s">
        <v>72</v>
      </c>
      <c r="H49" s="17"/>
      <c r="I49" s="17"/>
      <c r="J49" s="17">
        <f>Gifts22344658[[#This Row],[Projected Cost]]-Gifts22344658[[#This Row],[Actual Cost]]</f>
        <v>0</v>
      </c>
    </row>
    <row r="50" spans="1:10">
      <c r="B50" s="16" t="s">
        <v>73</v>
      </c>
      <c r="C50" s="17"/>
      <c r="D50" s="17"/>
      <c r="E50" s="17">
        <f>Pets23354759[[#This Row],[Projected Cost]]-Pets23354759[[#This Row],[Actual Cost]]</f>
        <v>0</v>
      </c>
      <c r="G50" s="18" t="s">
        <v>93</v>
      </c>
      <c r="H50" s="19"/>
      <c r="I50" s="19">
        <f>SUM(Gifts22344658[Actual Cost])</f>
        <v>0</v>
      </c>
      <c r="J50" s="19">
        <f>SUM(Gifts22344658[Actual Cost])</f>
        <v>0</v>
      </c>
    </row>
    <row r="51" spans="1:10">
      <c r="B51" s="16" t="s">
        <v>74</v>
      </c>
      <c r="C51" s="17"/>
      <c r="D51" s="17"/>
      <c r="E51" s="17">
        <f>Pets23354759[[#This Row],[Projected Cost]]-Pets23354759[[#This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Pets23354759[[#This Row],[Projected Cost]]-Pets23354759[[#This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Pets23354759[[#This Row],[Projected Cost]]-Pets23354759[[#This Row],[Actual Cost]]</f>
        <v>0</v>
      </c>
      <c r="G53" s="16" t="s">
        <v>77</v>
      </c>
      <c r="H53" s="17"/>
      <c r="I53" s="17"/>
      <c r="J53" s="17">
        <f>Legal24364860[[#This Row],[Projected Cost]]-Legal24364860[[#This Row],[Actual Cost]]</f>
        <v>0</v>
      </c>
    </row>
    <row r="54" spans="1:10">
      <c r="B54" s="18" t="s">
        <v>93</v>
      </c>
      <c r="C54" s="19"/>
      <c r="D54" s="19">
        <f>SUM(Pets23354759[Actual Cost])</f>
        <v>0</v>
      </c>
      <c r="E54" s="19">
        <f>SUM(Pets23354759[Actual Cost])</f>
        <v>0</v>
      </c>
      <c r="G54" s="16" t="s">
        <v>78</v>
      </c>
      <c r="H54" s="17"/>
      <c r="I54" s="17"/>
      <c r="J54" s="17">
        <f>Legal24364860[[#This Row],[Projected Cost]]-Legal24364860[[#This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Legal24364860[[#This Row],[Projected Cost]]-Legal24364860[[#This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Legal24364860[[#This Row],[Projected Cost]]-Legal24364860[[#This Row],[Actual Cost]]</f>
        <v>0</v>
      </c>
    </row>
    <row r="57" spans="1:10">
      <c r="B57" s="16" t="s">
        <v>73</v>
      </c>
      <c r="C57" s="17"/>
      <c r="D57" s="17"/>
      <c r="E57" s="17">
        <f>PersonalCare25374961[[#This Row],[Projected Cost]]-PersonalCare25374961[[#This Row],[Actual Cost]]</f>
        <v>0</v>
      </c>
      <c r="G57" s="18" t="s">
        <v>93</v>
      </c>
      <c r="H57" s="19"/>
      <c r="I57" s="19">
        <f>SUM(Legal24364860[Actual Cost])</f>
        <v>0</v>
      </c>
      <c r="J57" s="19">
        <f>SUM(Legal24364860[Actual Cost])</f>
        <v>0</v>
      </c>
    </row>
    <row r="58" spans="1:10">
      <c r="B58" s="16" t="s">
        <v>82</v>
      </c>
      <c r="C58" s="17"/>
      <c r="D58" s="17"/>
      <c r="E58" s="17">
        <f>PersonalCare25374961[[#This Row],[Projected Cost]]-PersonalCare25374961[[#This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PersonalCare25374961[[#This Row],[Projected Cost]]-PersonalCare25374961[[#This Row],[Actual Cost]]</f>
        <v>0</v>
      </c>
      <c r="G59" s="69" t="s">
        <v>85</v>
      </c>
      <c r="H59" s="69"/>
      <c r="I59" s="69"/>
      <c r="J59" s="70">
        <f>SUBTOTAL(109,Housing14263850[Projected Cost],Transportation17294153[Projected Cost],Insurance18304254[Projected Cost],Food21334557[Projected Cost],Pets23354759[Projected Cost],PersonalCare25374961[Projected Cost],Entertainment15273951[Projected Cost],Loans16284052[Projected Cost],Taxes19314355[Projected Cost],Savings20324456[Projected Cost],Gifts22344658[Projected Cost],Legal24364860[Projected Cost])</f>
        <v>0</v>
      </c>
    </row>
    <row r="60" spans="1:10">
      <c r="B60" s="16" t="s">
        <v>86</v>
      </c>
      <c r="C60" s="17"/>
      <c r="D60" s="17"/>
      <c r="E60" s="17">
        <f>PersonalCare25374961[[#This Row],[Projected Cost]]-PersonalCare25374961[[#This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PersonalCare25374961[[#This Row],[Projected Cost]]-PersonalCare25374961[[#This Row],[Actual Cost]]</f>
        <v>0</v>
      </c>
      <c r="G61" s="69" t="s">
        <v>88</v>
      </c>
      <c r="H61" s="69"/>
      <c r="I61" s="69"/>
      <c r="J61" s="70">
        <f>SUBTOTAL(109,Housing14263850[Actual Cost],Transportation17294153[Actual Cost],Insurance18304254[Actual Cost],Food21334557[Actual Cost],Pets23354759[Actual Cost],PersonalCare25374961[Actual Cost],Entertainment15273951[Actual Cost],Loans16284052[Actual Cost],Taxes19314355[Actual Cost],Savings20324456[Actual Cost],Gifts22344658[Actual Cost],Legal24364860[Actual Cost])</f>
        <v>0</v>
      </c>
    </row>
    <row r="62" spans="1:10">
      <c r="B62" s="16" t="s">
        <v>89</v>
      </c>
      <c r="C62" s="17"/>
      <c r="D62" s="17"/>
      <c r="E62" s="17">
        <f>PersonalCare25374961[[#This Row],[Projected Cost]]-PersonalCare25374961[[#This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PersonalCare25374961[[#This Row],[Projected Cost]]-PersonalCare25374961[[#This Row],[Actual Cost]]</f>
        <v>0</v>
      </c>
      <c r="G63" s="69" t="s">
        <v>90</v>
      </c>
      <c r="H63" s="69"/>
      <c r="I63" s="69"/>
      <c r="J63" s="70">
        <f>J59-J61</f>
        <v>0</v>
      </c>
    </row>
    <row r="64" spans="1:10">
      <c r="B64" s="18" t="s">
        <v>93</v>
      </c>
      <c r="C64" s="19"/>
      <c r="D64" s="19">
        <f>SUM(PersonalCare25374961[Actual Cost])</f>
        <v>0</v>
      </c>
      <c r="E64" s="19">
        <f>SUM(PersonalCare25374961[Actual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G59:I60"/>
    <mergeCell ref="J59:J60"/>
    <mergeCell ref="G61:I62"/>
    <mergeCell ref="J61:J62"/>
    <mergeCell ref="G63:I64"/>
    <mergeCell ref="J63:J64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conditionalFormatting sqref="J8:J9">
    <cfRule type="cellIs" dxfId="15" priority="2" operator="lessThan">
      <formula>0</formula>
    </cfRule>
  </conditionalFormatting>
  <conditionalFormatting sqref="J63:J64">
    <cfRule type="cellIs" dxfId="14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419B-AC06-BF48-92F0-2D6020B567A8}">
  <sheetPr>
    <tabColor theme="4"/>
    <pageSetUpPr autoPageBreaks="0" fitToPage="1"/>
  </sheetPr>
  <dimension ref="A1:J65"/>
  <sheetViews>
    <sheetView showGridLines="0" workbookViewId="0">
      <selection activeCell="E10" sqref="E10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116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/>
      <c r="G4" s="76" t="s">
        <v>10</v>
      </c>
      <c r="H4" s="77"/>
      <c r="I4" s="77"/>
      <c r="J4" s="70">
        <f>E6-J59</f>
        <v>0</v>
      </c>
    </row>
    <row r="5" spans="1:10">
      <c r="B5" s="74"/>
      <c r="C5" s="71" t="s">
        <v>11</v>
      </c>
      <c r="D5" s="72"/>
      <c r="E5" s="5"/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0</v>
      </c>
      <c r="G6" s="76" t="s">
        <v>14</v>
      </c>
      <c r="H6" s="77"/>
      <c r="I6" s="77"/>
      <c r="J6" s="70">
        <f>E10-J61</f>
        <v>0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/>
      <c r="G8" s="76" t="s">
        <v>17</v>
      </c>
      <c r="H8" s="77"/>
      <c r="I8" s="77"/>
      <c r="J8" s="70">
        <f>J6-J4</f>
        <v>0</v>
      </c>
    </row>
    <row r="9" spans="1:10">
      <c r="B9" s="74"/>
      <c r="C9" s="71" t="s">
        <v>11</v>
      </c>
      <c r="D9" s="72"/>
      <c r="E9" s="5"/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/>
      <c r="D13" s="17"/>
      <c r="E13" s="17">
        <f>Housing1426385062[[#This Row],[Projected Cost]]-Housing1426385062[[#This Row],[Actual Cost]]</f>
        <v>0</v>
      </c>
      <c r="G13" s="16" t="s">
        <v>25</v>
      </c>
      <c r="H13" s="17"/>
      <c r="I13" s="17"/>
      <c r="J13" s="17">
        <f>Entertainment1527395163[[#This Row],[Projected Cost]]-Entertainment1527395163[[#This Row],[Actual Cost]]</f>
        <v>0</v>
      </c>
    </row>
    <row r="14" spans="1:10">
      <c r="B14" s="16" t="s">
        <v>26</v>
      </c>
      <c r="C14" s="17"/>
      <c r="D14" s="17"/>
      <c r="E14" s="17">
        <f>Housing1426385062[[#This Row],[Projected Cost]]-Housing1426385062[[#This Row],[Actual Cost]]</f>
        <v>0</v>
      </c>
      <c r="G14" s="16" t="s">
        <v>27</v>
      </c>
      <c r="H14" s="17"/>
      <c r="I14" s="17"/>
      <c r="J14" s="17">
        <f>Entertainment1527395163[[#This Row],[Projected Cost]]-Entertainment1527395163[[#This Row],[Actual Cost]]</f>
        <v>0</v>
      </c>
    </row>
    <row r="15" spans="1:10">
      <c r="B15" s="16" t="s">
        <v>28</v>
      </c>
      <c r="C15" s="17"/>
      <c r="D15" s="17"/>
      <c r="E15" s="17">
        <f>Housing1426385062[[#This Row],[Projected Cost]]-Housing1426385062[[#This Row],[Actual Cost]]</f>
        <v>0</v>
      </c>
      <c r="G15" s="16" t="s">
        <v>29</v>
      </c>
      <c r="H15" s="17"/>
      <c r="I15" s="17"/>
      <c r="J15" s="17">
        <f>Entertainment1527395163[[#This Row],[Projected Cost]]-Entertainment1527395163[[#This Row],[Actual Cost]]</f>
        <v>0</v>
      </c>
    </row>
    <row r="16" spans="1:10">
      <c r="B16" s="16" t="s">
        <v>30</v>
      </c>
      <c r="C16" s="17"/>
      <c r="D16" s="17"/>
      <c r="E16" s="17">
        <f>Housing1426385062[[#This Row],[Projected Cost]]-Housing1426385062[[#This Row],[Actual Cost]]</f>
        <v>0</v>
      </c>
      <c r="G16" s="16" t="s">
        <v>31</v>
      </c>
      <c r="H16" s="17"/>
      <c r="I16" s="17"/>
      <c r="J16" s="17">
        <f>Entertainment1527395163[[#This Row],[Projected Cost]]-Entertainment1527395163[[#This Row],[Actual Cost]]</f>
        <v>0</v>
      </c>
    </row>
    <row r="17" spans="1:10">
      <c r="B17" s="16" t="s">
        <v>32</v>
      </c>
      <c r="C17" s="17"/>
      <c r="D17" s="17"/>
      <c r="E17" s="17">
        <f>Housing1426385062[[#This Row],[Projected Cost]]-Housing1426385062[[#This Row],[Actual Cost]]</f>
        <v>0</v>
      </c>
      <c r="G17" s="16" t="s">
        <v>33</v>
      </c>
      <c r="H17" s="17"/>
      <c r="I17" s="17"/>
      <c r="J17" s="17">
        <f>Entertainment1527395163[[#This Row],[Projected Cost]]-Entertainment1527395163[[#This Row],[Actual Cost]]</f>
        <v>0</v>
      </c>
    </row>
    <row r="18" spans="1:10">
      <c r="B18" s="16" t="s">
        <v>34</v>
      </c>
      <c r="C18" s="17"/>
      <c r="D18" s="17"/>
      <c r="E18" s="17">
        <f>Housing1426385062[[#This Row],[Projected Cost]]-Housing1426385062[[#This Row],[Actual Cost]]</f>
        <v>0</v>
      </c>
      <c r="G18" s="16" t="s">
        <v>35</v>
      </c>
      <c r="H18" s="17"/>
      <c r="I18" s="17"/>
      <c r="J18" s="17">
        <f>Entertainment1527395163[[#This Row],[Projected Cost]]-Entertainment1527395163[[#This Row],[Actual Cost]]</f>
        <v>0</v>
      </c>
    </row>
    <row r="19" spans="1:10">
      <c r="B19" s="16" t="s">
        <v>36</v>
      </c>
      <c r="C19" s="17"/>
      <c r="D19" s="17"/>
      <c r="E19" s="17">
        <f>Housing1426385062[[#This Row],[Projected Cost]]-Housing1426385062[[#This Row],[Actual Cost]]</f>
        <v>0</v>
      </c>
      <c r="G19" s="16" t="s">
        <v>37</v>
      </c>
      <c r="H19" s="17"/>
      <c r="I19" s="17"/>
      <c r="J19" s="17">
        <f>Entertainment1527395163[[#This Row],[Projected Cost]]-Entertainment1527395163[[#This Row],[Actual Cost]]</f>
        <v>0</v>
      </c>
    </row>
    <row r="20" spans="1:10">
      <c r="B20" s="16" t="s">
        <v>38</v>
      </c>
      <c r="C20" s="17"/>
      <c r="D20" s="17"/>
      <c r="E20" s="17">
        <f>Housing1426385062[[#This Row],[Projected Cost]]-Housing1426385062[[#This Row],[Actual Cost]]</f>
        <v>0</v>
      </c>
      <c r="G20" s="16" t="s">
        <v>37</v>
      </c>
      <c r="H20" s="17"/>
      <c r="I20" s="17"/>
      <c r="J20" s="17">
        <f>Entertainment1527395163[[#This Row],[Projected Cost]]-Entertainment1527395163[[#This Row],[Actual Cost]]</f>
        <v>0</v>
      </c>
    </row>
    <row r="21" spans="1:10">
      <c r="B21" s="16" t="s">
        <v>39</v>
      </c>
      <c r="C21" s="17"/>
      <c r="D21" s="17"/>
      <c r="E21" s="17">
        <f>Housing1426385062[[#This Row],[Projected Cost]]-Housing1426385062[[#This Row],[Actual Cost]]</f>
        <v>0</v>
      </c>
      <c r="G21" s="16" t="s">
        <v>37</v>
      </c>
      <c r="H21" s="17"/>
      <c r="I21" s="17"/>
      <c r="J21" s="17">
        <f>Entertainment1527395163[[#This Row],[Projected Cost]]-Entertainment1527395163[[#This Row],[Actual Cost]]</f>
        <v>0</v>
      </c>
    </row>
    <row r="22" spans="1:10">
      <c r="B22" s="16" t="s">
        <v>37</v>
      </c>
      <c r="C22" s="17"/>
      <c r="D22" s="17"/>
      <c r="E22" s="17">
        <f>Housing1426385062[[#This Row],[Projected Cost]]-Housing1426385062[[#This Row],[Actual Cost]]</f>
        <v>0</v>
      </c>
      <c r="G22" s="18" t="s">
        <v>93</v>
      </c>
      <c r="H22" s="19"/>
      <c r="I22" s="19">
        <f>SUM(Entertainment1527395163[Actual Cost])</f>
        <v>0</v>
      </c>
      <c r="J22" s="19">
        <f>SUM(Entertainment1527395163[Actual Cost])</f>
        <v>0</v>
      </c>
    </row>
    <row r="23" spans="1:10">
      <c r="B23" s="18" t="s">
        <v>93</v>
      </c>
      <c r="C23" s="19"/>
      <c r="D23" s="19">
        <f>SUM(D13:D22)</f>
        <v>0</v>
      </c>
      <c r="E23" s="19">
        <f>SUM(E13:E22)</f>
        <v>0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Loans1628405264[[#This Row],[Projected Cost]]-Loans1628405264[[#This Row],[Actual Cost]]</f>
        <v>0</v>
      </c>
    </row>
    <row r="26" spans="1:10">
      <c r="B26" s="16" t="s">
        <v>44</v>
      </c>
      <c r="C26" s="17"/>
      <c r="D26" s="17"/>
      <c r="E26" s="17">
        <f>Transportation1729415365[[#This Row],[Projected Cost]]-Transportation1729415365[[#This Row],[Actual Cost]]</f>
        <v>0</v>
      </c>
      <c r="G26" s="16" t="s">
        <v>45</v>
      </c>
      <c r="H26" s="17"/>
      <c r="I26" s="17"/>
      <c r="J26" s="17">
        <f>Loans1628405264[[#This Row],[Projected Cost]]-Loans1628405264[[#This Row],[Actual Cost]]</f>
        <v>0</v>
      </c>
    </row>
    <row r="27" spans="1:10">
      <c r="B27" s="16" t="s">
        <v>46</v>
      </c>
      <c r="C27" s="17"/>
      <c r="D27" s="17"/>
      <c r="E27" s="17">
        <f>Transportation1729415365[[#This Row],[Projected Cost]]-Transportation1729415365[[#This Row],[Actual Cost]]</f>
        <v>0</v>
      </c>
      <c r="G27" s="16" t="s">
        <v>47</v>
      </c>
      <c r="H27" s="17"/>
      <c r="I27" s="17"/>
      <c r="J27" s="17">
        <f>Loans1628405264[[#This Row],[Projected Cost]]-Loans1628405264[[#This Row],[Actual Cost]]</f>
        <v>0</v>
      </c>
    </row>
    <row r="28" spans="1:10">
      <c r="B28" s="16" t="s">
        <v>48</v>
      </c>
      <c r="C28" s="17"/>
      <c r="D28" s="17"/>
      <c r="E28" s="17">
        <f>Transportation1729415365[[#This Row],[Projected Cost]]-Transportation1729415365[[#This Row],[Actual Cost]]</f>
        <v>0</v>
      </c>
      <c r="G28" s="16" t="s">
        <v>47</v>
      </c>
      <c r="H28" s="17"/>
      <c r="I28" s="17"/>
      <c r="J28" s="17">
        <f>Loans1628405264[[#This Row],[Projected Cost]]-Loans1628405264[[#This Row],[Actual Cost]]</f>
        <v>0</v>
      </c>
    </row>
    <row r="29" spans="1:10">
      <c r="B29" s="16" t="s">
        <v>49</v>
      </c>
      <c r="C29" s="17"/>
      <c r="D29" s="17"/>
      <c r="E29" s="17">
        <f>Transportation1729415365[[#This Row],[Projected Cost]]-Transportation1729415365[[#This Row],[Actual Cost]]</f>
        <v>0</v>
      </c>
      <c r="G29" s="16" t="s">
        <v>47</v>
      </c>
      <c r="H29" s="17"/>
      <c r="I29" s="17"/>
      <c r="J29" s="17">
        <f>Loans1628405264[[#This Row],[Projected Cost]]-Loans1628405264[[#This Row],[Actual Cost]]</f>
        <v>0</v>
      </c>
    </row>
    <row r="30" spans="1:10">
      <c r="B30" s="16" t="s">
        <v>50</v>
      </c>
      <c r="C30" s="17"/>
      <c r="D30" s="17"/>
      <c r="E30" s="17">
        <f>Transportation1729415365[[#This Row],[Projected Cost]]-Transportation1729415365[[#This Row],[Actual Cost]]</f>
        <v>0</v>
      </c>
      <c r="G30" s="16" t="s">
        <v>37</v>
      </c>
      <c r="H30" s="17"/>
      <c r="I30" s="17"/>
      <c r="J30" s="17">
        <f>Loans1628405264[[#This Row],[Projected Cost]]-Loans1628405264[[#This Row],[Actual Cost]]</f>
        <v>0</v>
      </c>
    </row>
    <row r="31" spans="1:10">
      <c r="B31" s="16" t="s">
        <v>38</v>
      </c>
      <c r="C31" s="17"/>
      <c r="D31" s="17"/>
      <c r="E31" s="17">
        <f>Transportation1729415365[[#This Row],[Projected Cost]]-Transportation1729415365[[#This Row],[Actual Cost]]</f>
        <v>0</v>
      </c>
      <c r="G31" s="18" t="s">
        <v>93</v>
      </c>
      <c r="H31" s="19"/>
      <c r="I31" s="19">
        <f>SUM(Loans1628405264[Actual Cost])</f>
        <v>0</v>
      </c>
      <c r="J31" s="19">
        <f>SUM(Loans1628405264[Actual Cost])</f>
        <v>0</v>
      </c>
    </row>
    <row r="32" spans="1:10">
      <c r="B32" s="16" t="s">
        <v>37</v>
      </c>
      <c r="C32" s="17"/>
      <c r="D32" s="17"/>
      <c r="E32" s="17">
        <f>Transportation1729415365[[#This Row],[Projected Cost]]-Transportation1729415365[[#This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SUM(Transportation1729415365[Actual Cost])</f>
        <v>0</v>
      </c>
      <c r="E33" s="19">
        <f>SUM(Transportation1729415365[Actual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Taxes1931435567[[#This Row],[Projected Cost]]-Taxes1931435567[[#This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Taxes1931435567[[#This Row],[Projected Cost]]-Taxes1931435567[[#This Row],[Actual Cost]]</f>
        <v>0</v>
      </c>
    </row>
    <row r="36" spans="1:10">
      <c r="B36" s="16" t="s">
        <v>94</v>
      </c>
      <c r="C36" s="17"/>
      <c r="D36" s="17"/>
      <c r="E36" s="17">
        <f>Insurance1830425466[[#This Row],[Projected Cost]]-Insurance1830425466[[#This Row],[Actual Cost]]</f>
        <v>0</v>
      </c>
      <c r="G36" s="16" t="s">
        <v>56</v>
      </c>
      <c r="H36" s="17"/>
      <c r="I36" s="17"/>
      <c r="J36" s="17">
        <f>Taxes1931435567[[#This Row],[Projected Cost]]-Taxes1931435567[[#This Row],[Actual Cost]]</f>
        <v>0</v>
      </c>
    </row>
    <row r="37" spans="1:10">
      <c r="B37" s="16" t="s">
        <v>57</v>
      </c>
      <c r="C37" s="17"/>
      <c r="D37" s="17"/>
      <c r="E37" s="17">
        <f>Insurance1830425466[[#This Row],[Projected Cost]]-Insurance1830425466[[#This Row],[Actual Cost]]</f>
        <v>0</v>
      </c>
      <c r="G37" s="16" t="s">
        <v>37</v>
      </c>
      <c r="H37" s="17"/>
      <c r="I37" s="17"/>
      <c r="J37" s="17">
        <f>Taxes1931435567[[#This Row],[Projected Cost]]-Taxes1931435567[[#This Row],[Actual Cost]]</f>
        <v>0</v>
      </c>
    </row>
    <row r="38" spans="1:10">
      <c r="B38" s="16" t="s">
        <v>58</v>
      </c>
      <c r="C38" s="17"/>
      <c r="D38" s="17"/>
      <c r="E38" s="17">
        <f>Insurance1830425466[[#This Row],[Projected Cost]]-Insurance1830425466[[#This Row],[Actual Cost]]</f>
        <v>0</v>
      </c>
      <c r="G38" s="18" t="s">
        <v>93</v>
      </c>
      <c r="H38" s="19"/>
      <c r="I38" s="19">
        <f>SUM(Taxes1931435567[Actual Cost])</f>
        <v>0</v>
      </c>
      <c r="J38" s="19">
        <f>SUM(Taxes1931435567[Actual Cost])</f>
        <v>0</v>
      </c>
    </row>
    <row r="39" spans="1:10">
      <c r="B39" s="16" t="s">
        <v>37</v>
      </c>
      <c r="C39" s="17"/>
      <c r="D39" s="17"/>
      <c r="E39" s="17">
        <f>Insurance1830425466[[#This Row],[Projected Cost]]-Insurance1830425466[[#This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SUM(Insurance1830425466[Actual Cost])</f>
        <v>0</v>
      </c>
      <c r="E40" s="19">
        <f>SUM(Insurance1830425466[Actual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Savings2032445668[[#This Row],[Projected Cost]]-Savings2032445668[[#This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Savings2032445668[[#This Row],[Projected Cost]]-Savings2032445668[[#This Row],[Actual Cost]]</f>
        <v>0</v>
      </c>
    </row>
    <row r="43" spans="1:10">
      <c r="B43" s="16" t="s">
        <v>64</v>
      </c>
      <c r="C43" s="17"/>
      <c r="D43" s="17"/>
      <c r="E43" s="17">
        <f>Food2133455769[[#This Row],[Projected Cost]]-Food2133455769[[#This Row],[Actual Cost]]</f>
        <v>0</v>
      </c>
      <c r="G43" s="16" t="s">
        <v>37</v>
      </c>
      <c r="H43" s="17"/>
      <c r="I43" s="17"/>
      <c r="J43" s="17">
        <f>Savings2032445668[[#This Row],[Projected Cost]]-Savings2032445668[[#This Row],[Actual Cost]]</f>
        <v>0</v>
      </c>
    </row>
    <row r="44" spans="1:10">
      <c r="B44" s="16" t="s">
        <v>65</v>
      </c>
      <c r="C44" s="17"/>
      <c r="D44" s="17"/>
      <c r="E44" s="17">
        <f>Food2133455769[[#This Row],[Projected Cost]]-Food2133455769[[#This Row],[Actual Cost]]</f>
        <v>0</v>
      </c>
      <c r="G44" s="18" t="s">
        <v>93</v>
      </c>
      <c r="H44" s="19"/>
      <c r="I44" s="19">
        <f>SUM(Savings2032445668[Actual Cost])</f>
        <v>0</v>
      </c>
      <c r="J44" s="19">
        <f>SUM(Savings2032445668[Actual Cost])</f>
        <v>0</v>
      </c>
    </row>
    <row r="45" spans="1:10">
      <c r="B45" s="16" t="s">
        <v>37</v>
      </c>
      <c r="C45" s="17"/>
      <c r="D45" s="17"/>
      <c r="E45" s="17">
        <f>Food2133455769[[#This Row],[Projected Cost]]-Food2133455769[[#This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SUM(Food2133455769[Actual Cost])</f>
        <v>0</v>
      </c>
      <c r="E46" s="19">
        <f>SUM(Food2133455769[Actual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Gifts2234465870[[#This Row],[Projected Cost]]-Gifts2234465870[[#This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Gifts2234465870[[#This Row],[Projected Cost]]-Gifts2234465870[[#This Row],[Actual Cost]]</f>
        <v>0</v>
      </c>
    </row>
    <row r="49" spans="1:10">
      <c r="B49" s="16" t="s">
        <v>71</v>
      </c>
      <c r="C49" s="17"/>
      <c r="D49" s="17"/>
      <c r="E49" s="17">
        <f>Pets2335475971[[#This Row],[Projected Cost]]-Pets2335475971[[#This Row],[Actual Cost]]</f>
        <v>0</v>
      </c>
      <c r="G49" s="16" t="s">
        <v>72</v>
      </c>
      <c r="H49" s="17"/>
      <c r="I49" s="17"/>
      <c r="J49" s="17">
        <f>Gifts2234465870[[#This Row],[Projected Cost]]-Gifts2234465870[[#This Row],[Actual Cost]]</f>
        <v>0</v>
      </c>
    </row>
    <row r="50" spans="1:10">
      <c r="B50" s="16" t="s">
        <v>73</v>
      </c>
      <c r="C50" s="17"/>
      <c r="D50" s="17"/>
      <c r="E50" s="17">
        <f>Pets2335475971[[#This Row],[Projected Cost]]-Pets2335475971[[#This Row],[Actual Cost]]</f>
        <v>0</v>
      </c>
      <c r="G50" s="18" t="s">
        <v>93</v>
      </c>
      <c r="H50" s="19"/>
      <c r="I50" s="19">
        <f>SUM(Gifts2234465870[Actual Cost])</f>
        <v>0</v>
      </c>
      <c r="J50" s="19">
        <f>SUM(Gifts2234465870[Actual Cost])</f>
        <v>0</v>
      </c>
    </row>
    <row r="51" spans="1:10">
      <c r="B51" s="16" t="s">
        <v>74</v>
      </c>
      <c r="C51" s="17"/>
      <c r="D51" s="17"/>
      <c r="E51" s="17">
        <f>Pets2335475971[[#This Row],[Projected Cost]]-Pets2335475971[[#This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Pets2335475971[[#This Row],[Projected Cost]]-Pets2335475971[[#This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Pets2335475971[[#This Row],[Projected Cost]]-Pets2335475971[[#This Row],[Actual Cost]]</f>
        <v>0</v>
      </c>
      <c r="G53" s="16" t="s">
        <v>77</v>
      </c>
      <c r="H53" s="17"/>
      <c r="I53" s="17"/>
      <c r="J53" s="17">
        <f>Legal2436486072[[#This Row],[Projected Cost]]-Legal2436486072[[#This Row],[Actual Cost]]</f>
        <v>0</v>
      </c>
    </row>
    <row r="54" spans="1:10">
      <c r="B54" s="18" t="s">
        <v>93</v>
      </c>
      <c r="C54" s="19"/>
      <c r="D54" s="19">
        <f>SUM(Pets2335475971[Actual Cost])</f>
        <v>0</v>
      </c>
      <c r="E54" s="19">
        <f>SUM(Pets2335475971[Actual Cost])</f>
        <v>0</v>
      </c>
      <c r="G54" s="16" t="s">
        <v>78</v>
      </c>
      <c r="H54" s="17"/>
      <c r="I54" s="17"/>
      <c r="J54" s="17">
        <f>Legal2436486072[[#This Row],[Projected Cost]]-Legal2436486072[[#This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Legal2436486072[[#This Row],[Projected Cost]]-Legal2436486072[[#This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Legal2436486072[[#This Row],[Projected Cost]]-Legal2436486072[[#This Row],[Actual Cost]]</f>
        <v>0</v>
      </c>
    </row>
    <row r="57" spans="1:10">
      <c r="B57" s="16" t="s">
        <v>73</v>
      </c>
      <c r="C57" s="17"/>
      <c r="D57" s="17"/>
      <c r="E57" s="17">
        <f>PersonalCare2537496173[[#This Row],[Projected Cost]]-PersonalCare2537496173[[#This Row],[Actual Cost]]</f>
        <v>0</v>
      </c>
      <c r="G57" s="18" t="s">
        <v>93</v>
      </c>
      <c r="H57" s="19"/>
      <c r="I57" s="19">
        <f>SUM(Legal2436486072[Actual Cost])</f>
        <v>0</v>
      </c>
      <c r="J57" s="19">
        <f>SUM(Legal2436486072[Actual Cost])</f>
        <v>0</v>
      </c>
    </row>
    <row r="58" spans="1:10">
      <c r="B58" s="16" t="s">
        <v>82</v>
      </c>
      <c r="C58" s="17"/>
      <c r="D58" s="17"/>
      <c r="E58" s="17">
        <f>PersonalCare2537496173[[#This Row],[Projected Cost]]-PersonalCare2537496173[[#This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PersonalCare2537496173[[#This Row],[Projected Cost]]-PersonalCare2537496173[[#This Row],[Actual Cost]]</f>
        <v>0</v>
      </c>
      <c r="G59" s="69" t="s">
        <v>85</v>
      </c>
      <c r="H59" s="69"/>
      <c r="I59" s="69"/>
      <c r="J59" s="70">
        <f>SUBTOTAL(109,Housing1426385062[Projected Cost],Transportation1729415365[Projected Cost],Insurance1830425466[Projected Cost],Food2133455769[Projected Cost],Pets2335475971[Projected Cost],PersonalCare2537496173[Projected Cost],Entertainment1527395163[Projected Cost],Loans1628405264[Projected Cost],Taxes1931435567[Projected Cost],Savings2032445668[Projected Cost],Gifts2234465870[Projected Cost],Legal2436486072[Projected Cost])</f>
        <v>0</v>
      </c>
    </row>
    <row r="60" spans="1:10">
      <c r="B60" s="16" t="s">
        <v>86</v>
      </c>
      <c r="C60" s="17"/>
      <c r="D60" s="17"/>
      <c r="E60" s="17">
        <f>PersonalCare2537496173[[#This Row],[Projected Cost]]-PersonalCare2537496173[[#This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PersonalCare2537496173[[#This Row],[Projected Cost]]-PersonalCare2537496173[[#This Row],[Actual Cost]]</f>
        <v>0</v>
      </c>
      <c r="G61" s="69" t="s">
        <v>88</v>
      </c>
      <c r="H61" s="69"/>
      <c r="I61" s="69"/>
      <c r="J61" s="70">
        <f>SUBTOTAL(109,Housing1426385062[Actual Cost],Transportation1729415365[Actual Cost],Insurance1830425466[Actual Cost],Food2133455769[Actual Cost],Pets2335475971[Actual Cost],PersonalCare2537496173[Actual Cost],Entertainment1527395163[Actual Cost],Loans1628405264[Actual Cost],Taxes1931435567[Actual Cost],Savings2032445668[Actual Cost],Gifts2234465870[Actual Cost],Legal2436486072[Actual Cost])</f>
        <v>0</v>
      </c>
    </row>
    <row r="62" spans="1:10">
      <c r="B62" s="16" t="s">
        <v>89</v>
      </c>
      <c r="C62" s="17"/>
      <c r="D62" s="17"/>
      <c r="E62" s="17">
        <f>PersonalCare2537496173[[#This Row],[Projected Cost]]-PersonalCare2537496173[[#This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PersonalCare2537496173[[#This Row],[Projected Cost]]-PersonalCare2537496173[[#This Row],[Actual Cost]]</f>
        <v>0</v>
      </c>
      <c r="G63" s="69" t="s">
        <v>90</v>
      </c>
      <c r="H63" s="69"/>
      <c r="I63" s="69"/>
      <c r="J63" s="70">
        <f>J59-J61</f>
        <v>0</v>
      </c>
    </row>
    <row r="64" spans="1:10">
      <c r="B64" s="18" t="s">
        <v>93</v>
      </c>
      <c r="C64" s="19"/>
      <c r="D64" s="19">
        <f>SUM(PersonalCare2537496173[Actual Cost])</f>
        <v>0</v>
      </c>
      <c r="E64" s="19">
        <f>SUM(PersonalCare2537496173[Actual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G59:I60"/>
    <mergeCell ref="J59:J60"/>
    <mergeCell ref="G61:I62"/>
    <mergeCell ref="J61:J62"/>
    <mergeCell ref="G63:I64"/>
    <mergeCell ref="J63:J64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conditionalFormatting sqref="J8:J9">
    <cfRule type="cellIs" dxfId="13" priority="2" operator="lessThan">
      <formula>0</formula>
    </cfRule>
  </conditionalFormatting>
  <conditionalFormatting sqref="J63:J64">
    <cfRule type="cellIs" dxfId="12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1758-31C9-E14E-9375-6BB5AA5B8332}">
  <sheetPr>
    <tabColor theme="4"/>
    <pageSetUpPr autoPageBreaks="0" fitToPage="1"/>
  </sheetPr>
  <dimension ref="A1:J65"/>
  <sheetViews>
    <sheetView showGridLines="0" workbookViewId="0">
      <selection activeCell="E9" sqref="E9"/>
    </sheetView>
  </sheetViews>
  <sheetFormatPr baseColWidth="10" defaultColWidth="9" defaultRowHeight="14"/>
  <cols>
    <col min="1" max="1" width="2.796875" style="9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>
      <c r="A1" s="8" t="s">
        <v>5</v>
      </c>
    </row>
    <row r="2" spans="1:10" s="2" customFormat="1" ht="29" thickBot="1">
      <c r="A2" s="8" t="s">
        <v>6</v>
      </c>
      <c r="B2" s="1" t="s">
        <v>115</v>
      </c>
      <c r="C2" s="1"/>
      <c r="D2" s="1"/>
      <c r="E2" s="1"/>
      <c r="F2" s="1"/>
      <c r="G2" s="1"/>
      <c r="H2" s="1"/>
      <c r="I2" s="1"/>
      <c r="J2" s="1"/>
    </row>
    <row r="4" spans="1:10">
      <c r="A4" s="9" t="s">
        <v>7</v>
      </c>
      <c r="B4" s="73" t="s">
        <v>8</v>
      </c>
      <c r="C4" s="71" t="s">
        <v>9</v>
      </c>
      <c r="D4" s="72"/>
      <c r="E4" s="4"/>
      <c r="G4" s="76" t="s">
        <v>10</v>
      </c>
      <c r="H4" s="77"/>
      <c r="I4" s="77"/>
      <c r="J4" s="70">
        <f>E6-J59</f>
        <v>0</v>
      </c>
    </row>
    <row r="5" spans="1:10">
      <c r="B5" s="74"/>
      <c r="C5" s="71" t="s">
        <v>11</v>
      </c>
      <c r="D5" s="72"/>
      <c r="E5" s="5"/>
      <c r="G5" s="77"/>
      <c r="H5" s="77"/>
      <c r="I5" s="77"/>
      <c r="J5" s="70"/>
    </row>
    <row r="6" spans="1:10">
      <c r="A6" s="9" t="s">
        <v>12</v>
      </c>
      <c r="B6" s="75"/>
      <c r="C6" s="71" t="s">
        <v>13</v>
      </c>
      <c r="D6" s="72"/>
      <c r="E6" s="6">
        <f>SUM(E4:E5)</f>
        <v>0</v>
      </c>
      <c r="G6" s="76" t="s">
        <v>14</v>
      </c>
      <c r="H6" s="77"/>
      <c r="I6" s="77"/>
      <c r="J6" s="70">
        <f>E10-J61</f>
        <v>0</v>
      </c>
    </row>
    <row r="7" spans="1:10">
      <c r="B7" s="3"/>
      <c r="C7" s="3"/>
      <c r="D7" s="3"/>
      <c r="E7" s="3"/>
      <c r="G7" s="77"/>
      <c r="H7" s="77"/>
      <c r="I7" s="77"/>
      <c r="J7" s="70"/>
    </row>
    <row r="8" spans="1:10">
      <c r="A8" s="9" t="s">
        <v>15</v>
      </c>
      <c r="B8" s="73" t="s">
        <v>16</v>
      </c>
      <c r="C8" s="71" t="s">
        <v>9</v>
      </c>
      <c r="D8" s="72"/>
      <c r="E8" s="4"/>
      <c r="G8" s="76" t="s">
        <v>17</v>
      </c>
      <c r="H8" s="77"/>
      <c r="I8" s="77"/>
      <c r="J8" s="70">
        <f>J6-J4</f>
        <v>0</v>
      </c>
    </row>
    <row r="9" spans="1:10">
      <c r="B9" s="74"/>
      <c r="C9" s="71" t="s">
        <v>11</v>
      </c>
      <c r="D9" s="72"/>
      <c r="E9" s="5"/>
      <c r="G9" s="77"/>
      <c r="H9" s="77"/>
      <c r="I9" s="77"/>
      <c r="J9" s="70"/>
    </row>
    <row r="10" spans="1:10">
      <c r="B10" s="75"/>
      <c r="C10" s="71" t="s">
        <v>13</v>
      </c>
      <c r="D10" s="72"/>
      <c r="E10" s="6">
        <f>SUM(E8:E9)</f>
        <v>0</v>
      </c>
    </row>
    <row r="12" spans="1:10">
      <c r="A12" s="9" t="s">
        <v>18</v>
      </c>
      <c r="B12" s="16" t="s">
        <v>19</v>
      </c>
      <c r="C12" s="16" t="s">
        <v>20</v>
      </c>
      <c r="D12" s="16" t="s">
        <v>21</v>
      </c>
      <c r="E12" s="16" t="s">
        <v>22</v>
      </c>
      <c r="G12" s="16" t="s">
        <v>23</v>
      </c>
      <c r="H12" s="16" t="s">
        <v>20</v>
      </c>
      <c r="I12" s="16" t="s">
        <v>21</v>
      </c>
      <c r="J12" s="16" t="s">
        <v>22</v>
      </c>
    </row>
    <row r="13" spans="1:10">
      <c r="B13" s="16" t="s">
        <v>24</v>
      </c>
      <c r="C13" s="17"/>
      <c r="D13" s="17"/>
      <c r="E13" s="17">
        <f>Housing142638506274[[#This Row],[Projected Cost]]-Housing142638506274[[#This Row],[Actual Cost]]</f>
        <v>0</v>
      </c>
      <c r="G13" s="16" t="s">
        <v>25</v>
      </c>
      <c r="H13" s="17"/>
      <c r="I13" s="17"/>
      <c r="J13" s="17">
        <f>Entertainment152739516375[[#This Row],[Projected Cost]]-Entertainment152739516375[[#This Row],[Actual Cost]]</f>
        <v>0</v>
      </c>
    </row>
    <row r="14" spans="1:10">
      <c r="B14" s="16" t="s">
        <v>26</v>
      </c>
      <c r="C14" s="17"/>
      <c r="D14" s="17"/>
      <c r="E14" s="17">
        <f>Housing142638506274[[#This Row],[Projected Cost]]-Housing142638506274[[#This Row],[Actual Cost]]</f>
        <v>0</v>
      </c>
      <c r="G14" s="16" t="s">
        <v>27</v>
      </c>
      <c r="H14" s="17"/>
      <c r="I14" s="17"/>
      <c r="J14" s="17">
        <f>Entertainment152739516375[[#This Row],[Projected Cost]]-Entertainment152739516375[[#This Row],[Actual Cost]]</f>
        <v>0</v>
      </c>
    </row>
    <row r="15" spans="1:10">
      <c r="B15" s="16" t="s">
        <v>28</v>
      </c>
      <c r="C15" s="17"/>
      <c r="D15" s="17"/>
      <c r="E15" s="17">
        <f>Housing142638506274[[#This Row],[Projected Cost]]-Housing142638506274[[#This Row],[Actual Cost]]</f>
        <v>0</v>
      </c>
      <c r="G15" s="16" t="s">
        <v>29</v>
      </c>
      <c r="H15" s="17"/>
      <c r="I15" s="17"/>
      <c r="J15" s="17">
        <f>Entertainment152739516375[[#This Row],[Projected Cost]]-Entertainment152739516375[[#This Row],[Actual Cost]]</f>
        <v>0</v>
      </c>
    </row>
    <row r="16" spans="1:10">
      <c r="B16" s="16" t="s">
        <v>30</v>
      </c>
      <c r="C16" s="17"/>
      <c r="D16" s="17"/>
      <c r="E16" s="17">
        <f>Housing142638506274[[#This Row],[Projected Cost]]-Housing142638506274[[#This Row],[Actual Cost]]</f>
        <v>0</v>
      </c>
      <c r="G16" s="16" t="s">
        <v>31</v>
      </c>
      <c r="H16" s="17"/>
      <c r="I16" s="17"/>
      <c r="J16" s="17">
        <f>Entertainment152739516375[[#This Row],[Projected Cost]]-Entertainment152739516375[[#This Row],[Actual Cost]]</f>
        <v>0</v>
      </c>
    </row>
    <row r="17" spans="1:10">
      <c r="B17" s="16" t="s">
        <v>32</v>
      </c>
      <c r="C17" s="17"/>
      <c r="D17" s="17"/>
      <c r="E17" s="17">
        <f>Housing142638506274[[#This Row],[Projected Cost]]-Housing142638506274[[#This Row],[Actual Cost]]</f>
        <v>0</v>
      </c>
      <c r="G17" s="16" t="s">
        <v>33</v>
      </c>
      <c r="H17" s="17"/>
      <c r="I17" s="17"/>
      <c r="J17" s="17">
        <f>Entertainment152739516375[[#This Row],[Projected Cost]]-Entertainment152739516375[[#This Row],[Actual Cost]]</f>
        <v>0</v>
      </c>
    </row>
    <row r="18" spans="1:10">
      <c r="B18" s="16" t="s">
        <v>34</v>
      </c>
      <c r="C18" s="17"/>
      <c r="D18" s="17"/>
      <c r="E18" s="17">
        <f>Housing142638506274[[#This Row],[Projected Cost]]-Housing142638506274[[#This Row],[Actual Cost]]</f>
        <v>0</v>
      </c>
      <c r="G18" s="16" t="s">
        <v>35</v>
      </c>
      <c r="H18" s="17"/>
      <c r="I18" s="17"/>
      <c r="J18" s="17">
        <f>Entertainment152739516375[[#This Row],[Projected Cost]]-Entertainment152739516375[[#This Row],[Actual Cost]]</f>
        <v>0</v>
      </c>
    </row>
    <row r="19" spans="1:10">
      <c r="B19" s="16" t="s">
        <v>36</v>
      </c>
      <c r="C19" s="17"/>
      <c r="D19" s="17"/>
      <c r="E19" s="17">
        <f>Housing142638506274[[#This Row],[Projected Cost]]-Housing142638506274[[#This Row],[Actual Cost]]</f>
        <v>0</v>
      </c>
      <c r="G19" s="16" t="s">
        <v>37</v>
      </c>
      <c r="H19" s="17"/>
      <c r="I19" s="17"/>
      <c r="J19" s="17">
        <f>Entertainment152739516375[[#This Row],[Projected Cost]]-Entertainment152739516375[[#This Row],[Actual Cost]]</f>
        <v>0</v>
      </c>
    </row>
    <row r="20" spans="1:10">
      <c r="B20" s="16" t="s">
        <v>38</v>
      </c>
      <c r="C20" s="17"/>
      <c r="D20" s="17"/>
      <c r="E20" s="17">
        <f>Housing142638506274[[#This Row],[Projected Cost]]-Housing142638506274[[#This Row],[Actual Cost]]</f>
        <v>0</v>
      </c>
      <c r="G20" s="16" t="s">
        <v>37</v>
      </c>
      <c r="H20" s="17"/>
      <c r="I20" s="17"/>
      <c r="J20" s="17">
        <f>Entertainment152739516375[[#This Row],[Projected Cost]]-Entertainment152739516375[[#This Row],[Actual Cost]]</f>
        <v>0</v>
      </c>
    </row>
    <row r="21" spans="1:10">
      <c r="B21" s="16" t="s">
        <v>39</v>
      </c>
      <c r="C21" s="17"/>
      <c r="D21" s="17"/>
      <c r="E21" s="17">
        <f>Housing142638506274[[#This Row],[Projected Cost]]-Housing142638506274[[#This Row],[Actual Cost]]</f>
        <v>0</v>
      </c>
      <c r="G21" s="16" t="s">
        <v>37</v>
      </c>
      <c r="H21" s="17"/>
      <c r="I21" s="17"/>
      <c r="J21" s="17">
        <f>Entertainment152739516375[[#This Row],[Projected Cost]]-Entertainment152739516375[[#This Row],[Actual Cost]]</f>
        <v>0</v>
      </c>
    </row>
    <row r="22" spans="1:10">
      <c r="B22" s="16" t="s">
        <v>37</v>
      </c>
      <c r="C22" s="17"/>
      <c r="D22" s="17"/>
      <c r="E22" s="17">
        <f>Housing142638506274[[#This Row],[Projected Cost]]-Housing142638506274[[#This Row],[Actual Cost]]</f>
        <v>0</v>
      </c>
      <c r="G22" s="18" t="s">
        <v>93</v>
      </c>
      <c r="H22" s="19"/>
      <c r="I22" s="19">
        <f>SUM(Entertainment152739516375[Actual Cost])</f>
        <v>0</v>
      </c>
      <c r="J22" s="19">
        <f>SUM(Entertainment152739516375[Actual Cost])</f>
        <v>0</v>
      </c>
    </row>
    <row r="23" spans="1:10">
      <c r="B23" s="18" t="s">
        <v>93</v>
      </c>
      <c r="C23" s="19"/>
      <c r="D23" s="19">
        <f>SUM(D13:D22)</f>
        <v>0</v>
      </c>
      <c r="E23" s="19">
        <f>SUM(E13:E22)</f>
        <v>0</v>
      </c>
      <c r="G23" s="12"/>
      <c r="H23" s="12"/>
      <c r="I23" s="12"/>
      <c r="J23" s="12"/>
    </row>
    <row r="24" spans="1:10">
      <c r="B24" s="12"/>
      <c r="C24" s="12"/>
      <c r="D24" s="12"/>
      <c r="E24" s="12"/>
      <c r="G24" s="16" t="s">
        <v>40</v>
      </c>
      <c r="H24" s="16" t="s">
        <v>20</v>
      </c>
      <c r="I24" s="16" t="s">
        <v>21</v>
      </c>
      <c r="J24" s="16" t="s">
        <v>22</v>
      </c>
    </row>
    <row r="25" spans="1:10">
      <c r="A25" s="9" t="s">
        <v>41</v>
      </c>
      <c r="B25" s="16" t="s">
        <v>42</v>
      </c>
      <c r="C25" s="16" t="s">
        <v>20</v>
      </c>
      <c r="D25" s="16" t="s">
        <v>21</v>
      </c>
      <c r="E25" s="16" t="s">
        <v>22</v>
      </c>
      <c r="G25" s="16" t="s">
        <v>43</v>
      </c>
      <c r="H25" s="17"/>
      <c r="I25" s="17"/>
      <c r="J25" s="17">
        <f>Loans162840526476[[#This Row],[Projected Cost]]-Loans162840526476[[#This Row],[Actual Cost]]</f>
        <v>0</v>
      </c>
    </row>
    <row r="26" spans="1:10">
      <c r="B26" s="16" t="s">
        <v>44</v>
      </c>
      <c r="C26" s="17"/>
      <c r="D26" s="17"/>
      <c r="E26" s="17">
        <f>Transportation172941536577[[#This Row],[Projected Cost]]-Transportation172941536577[[#This Row],[Actual Cost]]</f>
        <v>0</v>
      </c>
      <c r="G26" s="16" t="s">
        <v>45</v>
      </c>
      <c r="H26" s="17"/>
      <c r="I26" s="17"/>
      <c r="J26" s="17">
        <f>Loans162840526476[[#This Row],[Projected Cost]]-Loans162840526476[[#This Row],[Actual Cost]]</f>
        <v>0</v>
      </c>
    </row>
    <row r="27" spans="1:10">
      <c r="B27" s="16" t="s">
        <v>46</v>
      </c>
      <c r="C27" s="17"/>
      <c r="D27" s="17"/>
      <c r="E27" s="17">
        <f>Transportation172941536577[[#This Row],[Projected Cost]]-Transportation172941536577[[#This Row],[Actual Cost]]</f>
        <v>0</v>
      </c>
      <c r="G27" s="16" t="s">
        <v>47</v>
      </c>
      <c r="H27" s="17"/>
      <c r="I27" s="17"/>
      <c r="J27" s="17">
        <f>Loans162840526476[[#This Row],[Projected Cost]]-Loans162840526476[[#This Row],[Actual Cost]]</f>
        <v>0</v>
      </c>
    </row>
    <row r="28" spans="1:10">
      <c r="B28" s="16" t="s">
        <v>48</v>
      </c>
      <c r="C28" s="17"/>
      <c r="D28" s="17"/>
      <c r="E28" s="17">
        <f>Transportation172941536577[[#This Row],[Projected Cost]]-Transportation172941536577[[#This Row],[Actual Cost]]</f>
        <v>0</v>
      </c>
      <c r="G28" s="16" t="s">
        <v>47</v>
      </c>
      <c r="H28" s="17"/>
      <c r="I28" s="17"/>
      <c r="J28" s="17">
        <f>Loans162840526476[[#This Row],[Projected Cost]]-Loans162840526476[[#This Row],[Actual Cost]]</f>
        <v>0</v>
      </c>
    </row>
    <row r="29" spans="1:10">
      <c r="B29" s="16" t="s">
        <v>49</v>
      </c>
      <c r="C29" s="17"/>
      <c r="D29" s="17"/>
      <c r="E29" s="17">
        <f>Transportation172941536577[[#This Row],[Projected Cost]]-Transportation172941536577[[#This Row],[Actual Cost]]</f>
        <v>0</v>
      </c>
      <c r="G29" s="16" t="s">
        <v>47</v>
      </c>
      <c r="H29" s="17"/>
      <c r="I29" s="17"/>
      <c r="J29" s="17">
        <f>Loans162840526476[[#This Row],[Projected Cost]]-Loans162840526476[[#This Row],[Actual Cost]]</f>
        <v>0</v>
      </c>
    </row>
    <row r="30" spans="1:10">
      <c r="B30" s="16" t="s">
        <v>50</v>
      </c>
      <c r="C30" s="17"/>
      <c r="D30" s="17"/>
      <c r="E30" s="17">
        <f>Transportation172941536577[[#This Row],[Projected Cost]]-Transportation172941536577[[#This Row],[Actual Cost]]</f>
        <v>0</v>
      </c>
      <c r="G30" s="16" t="s">
        <v>37</v>
      </c>
      <c r="H30" s="17"/>
      <c r="I30" s="17"/>
      <c r="J30" s="17">
        <f>Loans162840526476[[#This Row],[Projected Cost]]-Loans162840526476[[#This Row],[Actual Cost]]</f>
        <v>0</v>
      </c>
    </row>
    <row r="31" spans="1:10">
      <c r="B31" s="16" t="s">
        <v>38</v>
      </c>
      <c r="C31" s="17"/>
      <c r="D31" s="17"/>
      <c r="E31" s="17">
        <f>Transportation172941536577[[#This Row],[Projected Cost]]-Transportation172941536577[[#This Row],[Actual Cost]]</f>
        <v>0</v>
      </c>
      <c r="G31" s="18" t="s">
        <v>93</v>
      </c>
      <c r="H31" s="19"/>
      <c r="I31" s="19">
        <f>SUM(Loans162840526476[Actual Cost])</f>
        <v>0</v>
      </c>
      <c r="J31" s="19">
        <f>SUM(Loans162840526476[Actual Cost])</f>
        <v>0</v>
      </c>
    </row>
    <row r="32" spans="1:10">
      <c r="B32" s="16" t="s">
        <v>37</v>
      </c>
      <c r="C32" s="17"/>
      <c r="D32" s="17"/>
      <c r="E32" s="17">
        <f>Transportation172941536577[[#This Row],[Projected Cost]]-Transportation172941536577[[#This Row],[Actual Cost]]</f>
        <v>0</v>
      </c>
      <c r="G32" s="12"/>
      <c r="H32" s="12"/>
      <c r="I32" s="12"/>
      <c r="J32" s="12"/>
    </row>
    <row r="33" spans="1:10">
      <c r="B33" s="18" t="s">
        <v>93</v>
      </c>
      <c r="C33" s="19"/>
      <c r="D33" s="19">
        <f>SUM(Transportation172941536577[Actual Cost])</f>
        <v>0</v>
      </c>
      <c r="E33" s="19">
        <f>SUM(Transportation172941536577[Actual Cost])</f>
        <v>0</v>
      </c>
      <c r="G33" t="s">
        <v>51</v>
      </c>
      <c r="H33" t="s">
        <v>20</v>
      </c>
      <c r="I33" t="s">
        <v>21</v>
      </c>
      <c r="J33" t="s">
        <v>22</v>
      </c>
    </row>
    <row r="34" spans="1:10">
      <c r="B34" s="12"/>
      <c r="C34" s="12"/>
      <c r="D34" s="12"/>
      <c r="E34" s="12"/>
      <c r="G34" s="16" t="s">
        <v>52</v>
      </c>
      <c r="H34" s="17"/>
      <c r="I34" s="17"/>
      <c r="J34" s="17">
        <f>Taxes193143556779[[#This Row],[Projected Cost]]-Taxes193143556779[[#This Row],[Actual Cost]]</f>
        <v>0</v>
      </c>
    </row>
    <row r="35" spans="1:10">
      <c r="A35" s="9" t="s">
        <v>53</v>
      </c>
      <c r="B35" s="16" t="s">
        <v>54</v>
      </c>
      <c r="C35" s="16" t="s">
        <v>20</v>
      </c>
      <c r="D35" s="16" t="s">
        <v>21</v>
      </c>
      <c r="E35" s="16" t="s">
        <v>22</v>
      </c>
      <c r="G35" s="16" t="s">
        <v>55</v>
      </c>
      <c r="H35" s="17"/>
      <c r="I35" s="17"/>
      <c r="J35" s="17">
        <f>Taxes193143556779[[#This Row],[Projected Cost]]-Taxes193143556779[[#This Row],[Actual Cost]]</f>
        <v>0</v>
      </c>
    </row>
    <row r="36" spans="1:10">
      <c r="B36" s="16" t="s">
        <v>94</v>
      </c>
      <c r="C36" s="17"/>
      <c r="D36" s="17"/>
      <c r="E36" s="17">
        <f>Insurance183042546678[[#This Row],[Projected Cost]]-Insurance183042546678[[#This Row],[Actual Cost]]</f>
        <v>0</v>
      </c>
      <c r="G36" s="16" t="s">
        <v>56</v>
      </c>
      <c r="H36" s="17"/>
      <c r="I36" s="17"/>
      <c r="J36" s="17">
        <f>Taxes193143556779[[#This Row],[Projected Cost]]-Taxes193143556779[[#This Row],[Actual Cost]]</f>
        <v>0</v>
      </c>
    </row>
    <row r="37" spans="1:10">
      <c r="B37" s="16" t="s">
        <v>57</v>
      </c>
      <c r="C37" s="17"/>
      <c r="D37" s="17"/>
      <c r="E37" s="17">
        <f>Insurance183042546678[[#This Row],[Projected Cost]]-Insurance183042546678[[#This Row],[Actual Cost]]</f>
        <v>0</v>
      </c>
      <c r="G37" s="16" t="s">
        <v>37</v>
      </c>
      <c r="H37" s="17"/>
      <c r="I37" s="17"/>
      <c r="J37" s="17">
        <f>Taxes193143556779[[#This Row],[Projected Cost]]-Taxes193143556779[[#This Row],[Actual Cost]]</f>
        <v>0</v>
      </c>
    </row>
    <row r="38" spans="1:10">
      <c r="B38" s="16" t="s">
        <v>58</v>
      </c>
      <c r="C38" s="17"/>
      <c r="D38" s="17"/>
      <c r="E38" s="17">
        <f>Insurance183042546678[[#This Row],[Projected Cost]]-Insurance183042546678[[#This Row],[Actual Cost]]</f>
        <v>0</v>
      </c>
      <c r="G38" s="18" t="s">
        <v>93</v>
      </c>
      <c r="H38" s="19"/>
      <c r="I38" s="19">
        <f>SUM(Taxes193143556779[Actual Cost])</f>
        <v>0</v>
      </c>
      <c r="J38" s="19">
        <f>SUM(Taxes193143556779[Actual Cost])</f>
        <v>0</v>
      </c>
    </row>
    <row r="39" spans="1:10">
      <c r="B39" s="16" t="s">
        <v>37</v>
      </c>
      <c r="C39" s="17"/>
      <c r="D39" s="17"/>
      <c r="E39" s="17">
        <f>Insurance183042546678[[#This Row],[Projected Cost]]-Insurance183042546678[[#This Row],[Actual Cost]]</f>
        <v>0</v>
      </c>
      <c r="G39" s="12"/>
      <c r="H39" s="12"/>
      <c r="I39" s="12"/>
      <c r="J39" s="12"/>
    </row>
    <row r="40" spans="1:10">
      <c r="B40" s="18" t="s">
        <v>93</v>
      </c>
      <c r="C40" s="19"/>
      <c r="D40" s="19">
        <f>SUM(Insurance183042546678[Actual Cost])</f>
        <v>0</v>
      </c>
      <c r="E40" s="19">
        <f>SUM(Insurance183042546678[Actual Cost])</f>
        <v>0</v>
      </c>
      <c r="G40" t="s">
        <v>59</v>
      </c>
      <c r="H40" t="s">
        <v>20</v>
      </c>
      <c r="I40" t="s">
        <v>21</v>
      </c>
      <c r="J40" t="s">
        <v>22</v>
      </c>
    </row>
    <row r="41" spans="1:10">
      <c r="B41" s="12"/>
      <c r="C41" s="12"/>
      <c r="D41" s="12"/>
      <c r="E41" s="12"/>
      <c r="G41" s="16" t="s">
        <v>60</v>
      </c>
      <c r="H41" s="17"/>
      <c r="I41" s="17"/>
      <c r="J41" s="17">
        <f>Savings203244566880[[#This Row],[Projected Cost]]-Savings203244566880[[#This Row],[Actual Cost]]</f>
        <v>0</v>
      </c>
    </row>
    <row r="42" spans="1:10">
      <c r="A42" s="9" t="s">
        <v>61</v>
      </c>
      <c r="B42" s="16" t="s">
        <v>62</v>
      </c>
      <c r="C42" s="16" t="s">
        <v>20</v>
      </c>
      <c r="D42" s="16" t="s">
        <v>21</v>
      </c>
      <c r="E42" s="16" t="s">
        <v>22</v>
      </c>
      <c r="G42" s="16" t="s">
        <v>63</v>
      </c>
      <c r="H42" s="17"/>
      <c r="I42" s="17"/>
      <c r="J42" s="17">
        <f>Savings203244566880[[#This Row],[Projected Cost]]-Savings203244566880[[#This Row],[Actual Cost]]</f>
        <v>0</v>
      </c>
    </row>
    <row r="43" spans="1:10">
      <c r="B43" s="16" t="s">
        <v>64</v>
      </c>
      <c r="C43" s="17"/>
      <c r="D43" s="17"/>
      <c r="E43" s="17">
        <f>Food213345576981[[#This Row],[Projected Cost]]-Food213345576981[[#This Row],[Actual Cost]]</f>
        <v>0</v>
      </c>
      <c r="G43" s="16" t="s">
        <v>37</v>
      </c>
      <c r="H43" s="17"/>
      <c r="I43" s="17"/>
      <c r="J43" s="17">
        <f>Savings203244566880[[#This Row],[Projected Cost]]-Savings203244566880[[#This Row],[Actual Cost]]</f>
        <v>0</v>
      </c>
    </row>
    <row r="44" spans="1:10">
      <c r="B44" s="16" t="s">
        <v>65</v>
      </c>
      <c r="C44" s="17"/>
      <c r="D44" s="17"/>
      <c r="E44" s="17">
        <f>Food213345576981[[#This Row],[Projected Cost]]-Food213345576981[[#This Row],[Actual Cost]]</f>
        <v>0</v>
      </c>
      <c r="G44" s="18" t="s">
        <v>93</v>
      </c>
      <c r="H44" s="19"/>
      <c r="I44" s="19">
        <f>SUM(Savings203244566880[Actual Cost])</f>
        <v>0</v>
      </c>
      <c r="J44" s="19">
        <f>SUM(Savings203244566880[Actual Cost])</f>
        <v>0</v>
      </c>
    </row>
    <row r="45" spans="1:10">
      <c r="B45" s="16" t="s">
        <v>37</v>
      </c>
      <c r="C45" s="17"/>
      <c r="D45" s="17"/>
      <c r="E45" s="17">
        <f>Food213345576981[[#This Row],[Projected Cost]]-Food213345576981[[#This Row],[Actual Cost]]</f>
        <v>0</v>
      </c>
      <c r="G45" s="12"/>
      <c r="H45" s="12"/>
      <c r="I45" s="12"/>
      <c r="J45" s="12"/>
    </row>
    <row r="46" spans="1:10">
      <c r="B46" s="18" t="s">
        <v>93</v>
      </c>
      <c r="C46" s="19"/>
      <c r="D46" s="19">
        <f>SUM(Food213345576981[Actual Cost])</f>
        <v>0</v>
      </c>
      <c r="E46" s="19">
        <f>SUM(Food213345576981[Actual Cost])</f>
        <v>0</v>
      </c>
      <c r="G46" s="16" t="s">
        <v>66</v>
      </c>
      <c r="H46" s="16" t="s">
        <v>20</v>
      </c>
      <c r="I46" s="16" t="s">
        <v>21</v>
      </c>
      <c r="J46" s="16" t="s">
        <v>22</v>
      </c>
    </row>
    <row r="47" spans="1:10">
      <c r="B47" s="12"/>
      <c r="C47" s="12"/>
      <c r="D47" s="12"/>
      <c r="E47" s="12"/>
      <c r="G47" s="16" t="s">
        <v>67</v>
      </c>
      <c r="H47" s="17"/>
      <c r="I47" s="17"/>
      <c r="J47" s="17">
        <f>Gifts223446587082[[#This Row],[Projected Cost]]-Gifts223446587082[[#This Row],[Actual Cost]]</f>
        <v>0</v>
      </c>
    </row>
    <row r="48" spans="1:10">
      <c r="A48" s="9" t="s">
        <v>68</v>
      </c>
      <c r="B48" s="16" t="s">
        <v>69</v>
      </c>
      <c r="C48" s="16" t="s">
        <v>20</v>
      </c>
      <c r="D48" s="16" t="s">
        <v>21</v>
      </c>
      <c r="E48" s="16" t="s">
        <v>22</v>
      </c>
      <c r="G48" s="16" t="s">
        <v>70</v>
      </c>
      <c r="H48" s="17"/>
      <c r="I48" s="17"/>
      <c r="J48" s="17">
        <f>Gifts223446587082[[#This Row],[Projected Cost]]-Gifts223446587082[[#This Row],[Actual Cost]]</f>
        <v>0</v>
      </c>
    </row>
    <row r="49" spans="1:10">
      <c r="B49" s="16" t="s">
        <v>71</v>
      </c>
      <c r="C49" s="17"/>
      <c r="D49" s="17"/>
      <c r="E49" s="17">
        <f>Pets233547597183[[#This Row],[Projected Cost]]-Pets233547597183[[#This Row],[Actual Cost]]</f>
        <v>0</v>
      </c>
      <c r="G49" s="16" t="s">
        <v>72</v>
      </c>
      <c r="H49" s="17"/>
      <c r="I49" s="17"/>
      <c r="J49" s="17">
        <f>Gifts223446587082[[#This Row],[Projected Cost]]-Gifts223446587082[[#This Row],[Actual Cost]]</f>
        <v>0</v>
      </c>
    </row>
    <row r="50" spans="1:10">
      <c r="B50" s="16" t="s">
        <v>73</v>
      </c>
      <c r="C50" s="17"/>
      <c r="D50" s="17"/>
      <c r="E50" s="17">
        <f>Pets233547597183[[#This Row],[Projected Cost]]-Pets233547597183[[#This Row],[Actual Cost]]</f>
        <v>0</v>
      </c>
      <c r="G50" s="18" t="s">
        <v>93</v>
      </c>
      <c r="H50" s="19"/>
      <c r="I50" s="19">
        <f>SUM(Gifts223446587082[Actual Cost])</f>
        <v>0</v>
      </c>
      <c r="J50" s="19">
        <f>SUM(Gifts223446587082[Actual Cost])</f>
        <v>0</v>
      </c>
    </row>
    <row r="51" spans="1:10">
      <c r="B51" s="16" t="s">
        <v>74</v>
      </c>
      <c r="C51" s="17"/>
      <c r="D51" s="17"/>
      <c r="E51" s="17">
        <f>Pets233547597183[[#This Row],[Projected Cost]]-Pets233547597183[[#This Row],[Actual Cost]]</f>
        <v>0</v>
      </c>
      <c r="G51" s="12"/>
      <c r="H51" s="12"/>
      <c r="I51" s="12"/>
      <c r="J51" s="12"/>
    </row>
    <row r="52" spans="1:10">
      <c r="B52" s="16" t="s">
        <v>75</v>
      </c>
      <c r="C52" s="17"/>
      <c r="D52" s="17"/>
      <c r="E52" s="17">
        <f>Pets233547597183[[#This Row],[Projected Cost]]-Pets233547597183[[#This Row],[Actual Cost]]</f>
        <v>0</v>
      </c>
      <c r="G52" s="16" t="s">
        <v>76</v>
      </c>
      <c r="H52" s="16" t="s">
        <v>20</v>
      </c>
      <c r="I52" s="16" t="s">
        <v>21</v>
      </c>
      <c r="J52" s="16" t="s">
        <v>22</v>
      </c>
    </row>
    <row r="53" spans="1:10">
      <c r="B53" s="16" t="s">
        <v>37</v>
      </c>
      <c r="C53" s="17"/>
      <c r="D53" s="17"/>
      <c r="E53" s="17">
        <f>Pets233547597183[[#This Row],[Projected Cost]]-Pets233547597183[[#This Row],[Actual Cost]]</f>
        <v>0</v>
      </c>
      <c r="G53" s="16" t="s">
        <v>77</v>
      </c>
      <c r="H53" s="17"/>
      <c r="I53" s="17"/>
      <c r="J53" s="17">
        <f>Legal243648607284[[#This Row],[Projected Cost]]-Legal243648607284[[#This Row],[Actual Cost]]</f>
        <v>0</v>
      </c>
    </row>
    <row r="54" spans="1:10">
      <c r="B54" s="18" t="s">
        <v>93</v>
      </c>
      <c r="C54" s="19"/>
      <c r="D54" s="19">
        <f>SUM(Pets233547597183[Actual Cost])</f>
        <v>0</v>
      </c>
      <c r="E54" s="19">
        <f>SUM(Pets233547597183[Actual Cost])</f>
        <v>0</v>
      </c>
      <c r="G54" s="16" t="s">
        <v>78</v>
      </c>
      <c r="H54" s="17"/>
      <c r="I54" s="17"/>
      <c r="J54" s="17">
        <f>Legal243648607284[[#This Row],[Projected Cost]]-Legal243648607284[[#This Row],[Actual Cost]]</f>
        <v>0</v>
      </c>
    </row>
    <row r="55" spans="1:10">
      <c r="B55" s="12"/>
      <c r="C55" s="12"/>
      <c r="D55" s="12"/>
      <c r="E55" s="12"/>
      <c r="G55" s="16" t="s">
        <v>79</v>
      </c>
      <c r="H55" s="17"/>
      <c r="I55" s="17"/>
      <c r="J55" s="17">
        <f>Legal243648607284[[#This Row],[Projected Cost]]-Legal243648607284[[#This Row],[Actual Cost]]</f>
        <v>0</v>
      </c>
    </row>
    <row r="56" spans="1:10">
      <c r="A56" s="9" t="s">
        <v>80</v>
      </c>
      <c r="B56" s="16" t="s">
        <v>81</v>
      </c>
      <c r="C56" s="16" t="s">
        <v>20</v>
      </c>
      <c r="D56" s="16" t="s">
        <v>21</v>
      </c>
      <c r="E56" s="16" t="s">
        <v>22</v>
      </c>
      <c r="G56" s="16" t="s">
        <v>37</v>
      </c>
      <c r="H56" s="17"/>
      <c r="I56" s="17"/>
      <c r="J56" s="17">
        <f>Legal243648607284[[#This Row],[Projected Cost]]-Legal243648607284[[#This Row],[Actual Cost]]</f>
        <v>0</v>
      </c>
    </row>
    <row r="57" spans="1:10">
      <c r="B57" s="16" t="s">
        <v>73</v>
      </c>
      <c r="C57" s="17"/>
      <c r="D57" s="17"/>
      <c r="E57" s="17">
        <f>PersonalCare253749617385[[#This Row],[Projected Cost]]-PersonalCare253749617385[[#This Row],[Actual Cost]]</f>
        <v>0</v>
      </c>
      <c r="G57" s="18" t="s">
        <v>93</v>
      </c>
      <c r="H57" s="19"/>
      <c r="I57" s="19">
        <f>SUM(Legal243648607284[Actual Cost])</f>
        <v>0</v>
      </c>
      <c r="J57" s="19">
        <f>SUM(Legal243648607284[Actual Cost])</f>
        <v>0</v>
      </c>
    </row>
    <row r="58" spans="1:10">
      <c r="B58" s="16" t="s">
        <v>82</v>
      </c>
      <c r="C58" s="17"/>
      <c r="D58" s="17"/>
      <c r="E58" s="17">
        <f>PersonalCare253749617385[[#This Row],[Projected Cost]]-PersonalCare253749617385[[#This Row],[Actual Cost]]</f>
        <v>0</v>
      </c>
      <c r="G58" s="12"/>
      <c r="H58" s="12"/>
      <c r="I58" s="12"/>
      <c r="J58" s="12"/>
    </row>
    <row r="59" spans="1:10">
      <c r="A59" s="9" t="s">
        <v>83</v>
      </c>
      <c r="B59" s="16" t="s">
        <v>84</v>
      </c>
      <c r="C59" s="17"/>
      <c r="D59" s="17"/>
      <c r="E59" s="17">
        <f>PersonalCare253749617385[[#This Row],[Projected Cost]]-PersonalCare253749617385[[#This Row],[Actual Cost]]</f>
        <v>0</v>
      </c>
      <c r="G59" s="69" t="s">
        <v>85</v>
      </c>
      <c r="H59" s="69"/>
      <c r="I59" s="69"/>
      <c r="J59" s="70">
        <f>SUBTOTAL(109,Housing142638506274[Projected Cost],Transportation172941536577[Projected Cost],Insurance183042546678[Projected Cost],Food213345576981[Projected Cost],Pets233547597183[Projected Cost],PersonalCare253749617385[Projected Cost],Entertainment152739516375[Projected Cost],Loans162840526476[Projected Cost],Taxes193143556779[Projected Cost],Savings203244566880[Projected Cost],Gifts223446587082[Projected Cost],Legal243648607284[Projected Cost])</f>
        <v>0</v>
      </c>
    </row>
    <row r="60" spans="1:10">
      <c r="B60" s="16" t="s">
        <v>86</v>
      </c>
      <c r="C60" s="17"/>
      <c r="D60" s="17"/>
      <c r="E60" s="17">
        <f>PersonalCare253749617385[[#This Row],[Projected Cost]]-PersonalCare253749617385[[#This Row],[Actual Cost]]</f>
        <v>0</v>
      </c>
      <c r="G60" s="69"/>
      <c r="H60" s="69"/>
      <c r="I60" s="69"/>
      <c r="J60" s="70"/>
    </row>
    <row r="61" spans="1:10">
      <c r="B61" s="16" t="s">
        <v>87</v>
      </c>
      <c r="C61" s="17"/>
      <c r="D61" s="17"/>
      <c r="E61" s="17">
        <f>PersonalCare253749617385[[#This Row],[Projected Cost]]-PersonalCare253749617385[[#This Row],[Actual Cost]]</f>
        <v>0</v>
      </c>
      <c r="G61" s="69" t="s">
        <v>88</v>
      </c>
      <c r="H61" s="69"/>
      <c r="I61" s="69"/>
      <c r="J61" s="70">
        <f>SUBTOTAL(109,Housing142638506274[Actual Cost],Transportation172941536577[Actual Cost],Insurance183042546678[Actual Cost],Food213345576981[Actual Cost],Pets233547597183[Actual Cost],PersonalCare253749617385[Actual Cost],Entertainment152739516375[Actual Cost],Loans162840526476[Actual Cost],Taxes193143556779[Actual Cost],Savings203244566880[Actual Cost],Gifts223446587082[Actual Cost],Legal243648607284[Actual Cost])</f>
        <v>0</v>
      </c>
    </row>
    <row r="62" spans="1:10">
      <c r="B62" s="16" t="s">
        <v>89</v>
      </c>
      <c r="C62" s="17"/>
      <c r="D62" s="17"/>
      <c r="E62" s="17">
        <f>PersonalCare253749617385[[#This Row],[Projected Cost]]-PersonalCare253749617385[[#This Row],[Actual Cost]]</f>
        <v>0</v>
      </c>
      <c r="G62" s="69"/>
      <c r="H62" s="69"/>
      <c r="I62" s="69"/>
      <c r="J62" s="70"/>
    </row>
    <row r="63" spans="1:10">
      <c r="B63" s="16" t="s">
        <v>37</v>
      </c>
      <c r="C63" s="17"/>
      <c r="D63" s="17"/>
      <c r="E63" s="17">
        <f>PersonalCare253749617385[[#This Row],[Projected Cost]]-PersonalCare253749617385[[#This Row],[Actual Cost]]</f>
        <v>0</v>
      </c>
      <c r="G63" s="69" t="s">
        <v>90</v>
      </c>
      <c r="H63" s="69"/>
      <c r="I63" s="69"/>
      <c r="J63" s="70">
        <f>J59-J61</f>
        <v>0</v>
      </c>
    </row>
    <row r="64" spans="1:10">
      <c r="B64" s="18" t="s">
        <v>93</v>
      </c>
      <c r="C64" s="19"/>
      <c r="D64" s="19">
        <f>SUM(PersonalCare253749617385[Actual Cost])</f>
        <v>0</v>
      </c>
      <c r="E64" s="19">
        <f>SUM(PersonalCare253749617385[Actual Cost])</f>
        <v>0</v>
      </c>
      <c r="G64" s="69"/>
      <c r="H64" s="69"/>
      <c r="I64" s="69"/>
      <c r="J64" s="70"/>
    </row>
    <row r="65" spans="2:5">
      <c r="B65" s="12"/>
      <c r="C65" s="12"/>
      <c r="D65" s="12"/>
      <c r="E65" s="12"/>
    </row>
  </sheetData>
  <mergeCells count="20">
    <mergeCell ref="G59:I60"/>
    <mergeCell ref="J59:J60"/>
    <mergeCell ref="G61:I62"/>
    <mergeCell ref="J61:J62"/>
    <mergeCell ref="G63:I64"/>
    <mergeCell ref="J63:J64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conditionalFormatting sqref="J8:J9">
    <cfRule type="cellIs" dxfId="11" priority="2" operator="lessThan">
      <formula>0</formula>
    </cfRule>
  </conditionalFormatting>
  <conditionalFormatting sqref="J63:J64">
    <cfRule type="cellIs" dxfId="10" priority="1" operator="lessThan">
      <formula>0</formula>
    </cfRule>
  </conditionalFormatting>
  <printOptions horizontalCentered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C97F38-AC51-4DF5-A8A1-C688B0C06A9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A421AA56-93FF-42F2-9B83-858AC84E66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8CDC10-ABEC-4481-B96A-4E286E4D6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TM04101071</Templat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START</vt:lpstr>
      <vt:lpstr>YEARLY BUDGET</vt:lpstr>
      <vt:lpstr>PERSONAL MONTHLY BUDGET (1)</vt:lpstr>
      <vt:lpstr>PERSONAL MONTHLY BUDGET (2)</vt:lpstr>
      <vt:lpstr>PERSONAL MONTHLY BUDGET (3)</vt:lpstr>
      <vt:lpstr>PERSONAL MONTHLY BUDGET (4)</vt:lpstr>
      <vt:lpstr>PERSONAL MONTHLY BUDGET (5)</vt:lpstr>
      <vt:lpstr>PERSONAL MONTHLY BUDGET (6)</vt:lpstr>
      <vt:lpstr>PERSONAL MONTHLY BUDGET (7)</vt:lpstr>
      <vt:lpstr>PERSONAL MONTHLY BUDGET (8)</vt:lpstr>
      <vt:lpstr>PERSONAL MONTHLY BUDGET (9)</vt:lpstr>
      <vt:lpstr>PERSONAL MONTHLY BUDGET (10)</vt:lpstr>
      <vt:lpstr>PERSONAL MONTHLY BUDGET (11)</vt:lpstr>
      <vt:lpstr>PERSONAL MONTHLY BUDGET (12)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2024-09-10T21:59:32Z</cp:lastPrinted>
  <dcterms:created xsi:type="dcterms:W3CDTF">2024-04-27T14:34:10Z</dcterms:created>
  <dcterms:modified xsi:type="dcterms:W3CDTF">2024-09-11T15:26:21Z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