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G:\My Drive\Website Content\"/>
    </mc:Choice>
  </mc:AlternateContent>
  <xr:revisionPtr revIDLastSave="0" documentId="13_ncr:1_{50D3A014-E874-4F09-A54F-A8A4EFC3EFB8}" xr6:coauthVersionLast="47" xr6:coauthVersionMax="47" xr10:uidLastSave="{00000000-0000-0000-0000-000000000000}"/>
  <bookViews>
    <workbookView xWindow="19090" yWindow="-110" windowWidth="19420" windowHeight="10300" tabRatio="803" xr2:uid="{00000000-000D-0000-FFFF-FFFF00000000}"/>
  </bookViews>
  <sheets>
    <sheet name="Welcome" sheetId="1" r:id="rId1"/>
    <sheet name="Info" sheetId="6" r:id="rId2"/>
    <sheet name="Weekly Rollforward" sheetId="11" r:id="rId3"/>
    <sheet name="13 Week Cash Flow" sheetId="9" r:id="rId4"/>
    <sheet name="EBITDA Rec" sheetId="18" r:id="rId5"/>
  </sheets>
  <definedNames>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"01/29/2016 15:32:18"</definedName>
    <definedName name="IQ_QTD" hidden="1">750000</definedName>
    <definedName name="IQ_TODAY" hidden="1">0</definedName>
    <definedName name="IQ_YTDMONTH" hidden="1">130000</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11" l="1"/>
  <c r="A7" i="1"/>
  <c r="D92" i="11"/>
  <c r="D93" i="11" s="1"/>
  <c r="D101" i="11"/>
  <c r="D102" i="11"/>
  <c r="H11" i="11"/>
  <c r="H31" i="11" s="1"/>
  <c r="D16" i="11"/>
  <c r="D22" i="11" s="1"/>
  <c r="D25" i="11" s="1"/>
  <c r="D27" i="11" s="1"/>
  <c r="E16" i="11"/>
  <c r="E22" i="11" s="1"/>
  <c r="E25" i="11" s="1"/>
  <c r="E27" i="11" s="1"/>
  <c r="F16" i="11"/>
  <c r="F22" i="11" s="1"/>
  <c r="F25" i="11" s="1"/>
  <c r="F27" i="11" s="1"/>
  <c r="G16" i="11"/>
  <c r="G22" i="11" s="1"/>
  <c r="G25" i="11" s="1"/>
  <c r="G27" i="11" s="1"/>
  <c r="I16" i="11"/>
  <c r="I22" i="11" s="1"/>
  <c r="I25" i="11" s="1"/>
  <c r="I27" i="11" s="1"/>
  <c r="J16" i="11"/>
  <c r="J22" i="11" s="1"/>
  <c r="J25" i="11" s="1"/>
  <c r="J27" i="11" s="1"/>
  <c r="K16" i="11"/>
  <c r="K22" i="11" s="1"/>
  <c r="K25" i="11" s="1"/>
  <c r="K27" i="11" s="1"/>
  <c r="L16" i="11"/>
  <c r="L22" i="11" s="1"/>
  <c r="L25" i="11" s="1"/>
  <c r="L27" i="11" s="1"/>
  <c r="M16" i="11"/>
  <c r="M22" i="11" s="1"/>
  <c r="M25" i="11" s="1"/>
  <c r="M27" i="11" s="1"/>
  <c r="N16" i="11"/>
  <c r="N22" i="11" s="1"/>
  <c r="N25" i="11" s="1"/>
  <c r="N27" i="11" s="1"/>
  <c r="O16" i="11"/>
  <c r="O22" i="11" s="1"/>
  <c r="O25" i="11" s="1"/>
  <c r="O27" i="11" s="1"/>
  <c r="P16" i="11"/>
  <c r="P22" i="11" s="1"/>
  <c r="P25" i="11" s="1"/>
  <c r="P27" i="11" s="1"/>
  <c r="D30" i="11"/>
  <c r="E30" i="11"/>
  <c r="F30" i="11"/>
  <c r="G30" i="11"/>
  <c r="I30" i="11"/>
  <c r="J30" i="11"/>
  <c r="K30" i="11"/>
  <c r="L30" i="11"/>
  <c r="M30" i="11"/>
  <c r="N30" i="11"/>
  <c r="O30" i="11"/>
  <c r="P30" i="11"/>
  <c r="D31" i="11"/>
  <c r="E31" i="11"/>
  <c r="F31" i="11"/>
  <c r="G31" i="11"/>
  <c r="I31" i="11"/>
  <c r="J31" i="11"/>
  <c r="K31" i="11"/>
  <c r="L31" i="11"/>
  <c r="M31" i="11"/>
  <c r="N31" i="11"/>
  <c r="O31" i="11"/>
  <c r="P31" i="11"/>
  <c r="D32" i="11"/>
  <c r="E32" i="11"/>
  <c r="F32" i="11"/>
  <c r="G32" i="11"/>
  <c r="I32" i="11"/>
  <c r="J32" i="11"/>
  <c r="K32" i="11"/>
  <c r="L32" i="11"/>
  <c r="M32" i="11"/>
  <c r="N32" i="11"/>
  <c r="O32" i="11"/>
  <c r="P32" i="11"/>
  <c r="D33" i="11"/>
  <c r="E33" i="11"/>
  <c r="F33" i="11"/>
  <c r="G33" i="11"/>
  <c r="I33" i="11"/>
  <c r="J33" i="11"/>
  <c r="K33" i="11"/>
  <c r="L33" i="11"/>
  <c r="M33" i="11"/>
  <c r="N33" i="11"/>
  <c r="O33" i="11"/>
  <c r="P33" i="11"/>
  <c r="D38" i="11"/>
  <c r="E38" i="11"/>
  <c r="F38" i="11"/>
  <c r="G38" i="11"/>
  <c r="I38" i="11"/>
  <c r="J38" i="11"/>
  <c r="K38" i="11"/>
  <c r="L38" i="11"/>
  <c r="M38" i="11"/>
  <c r="N38" i="11"/>
  <c r="O38" i="11"/>
  <c r="P38" i="11"/>
  <c r="W13" i="9"/>
  <c r="X13" i="9"/>
  <c r="Y13" i="9"/>
  <c r="Z13" i="9"/>
  <c r="AA13" i="9"/>
  <c r="AB13" i="9"/>
  <c r="AC13" i="9"/>
  <c r="T13" i="9"/>
  <c r="U13" i="9"/>
  <c r="V13" i="9"/>
  <c r="Q13" i="9"/>
  <c r="R13" i="9"/>
  <c r="S13" i="9"/>
  <c r="P13" i="9"/>
  <c r="P11" i="9"/>
  <c r="P10" i="9"/>
  <c r="P6" i="9"/>
  <c r="D103" i="11"/>
  <c r="AD16" i="18"/>
  <c r="AD90" i="11"/>
  <c r="AD57" i="11"/>
  <c r="AD50" i="11"/>
  <c r="AD93" i="11"/>
  <c r="AD13" i="18"/>
  <c r="AD6" i="18"/>
  <c r="AD37" i="11"/>
  <c r="AD43" i="11"/>
  <c r="AD85" i="11"/>
  <c r="AD114" i="11"/>
  <c r="AD63" i="11"/>
  <c r="AD68" i="11"/>
  <c r="AD82" i="11"/>
  <c r="AD78" i="11"/>
  <c r="AD109" i="11"/>
  <c r="AD124" i="11"/>
  <c r="AD49" i="11"/>
  <c r="AD16" i="11"/>
  <c r="AD116" i="11"/>
  <c r="AD10" i="18"/>
  <c r="AD115" i="11"/>
  <c r="AD7" i="11"/>
  <c r="AD75" i="11"/>
  <c r="AD120" i="11"/>
  <c r="AD84" i="11"/>
  <c r="AD64" i="11"/>
  <c r="AD101" i="11"/>
  <c r="AD105" i="11"/>
  <c r="AD59" i="11"/>
  <c r="AD103" i="11"/>
  <c r="AD25" i="11"/>
  <c r="AD9" i="18"/>
  <c r="AD13" i="11"/>
  <c r="AD104" i="11"/>
  <c r="AD60" i="11"/>
  <c r="AD44" i="11"/>
  <c r="AD18" i="18"/>
  <c r="AD15" i="18"/>
  <c r="AD38" i="11"/>
  <c r="AD70" i="11"/>
  <c r="AD53" i="11"/>
  <c r="AD102" i="11"/>
  <c r="AD58" i="11"/>
  <c r="AD11" i="18"/>
  <c r="AD12" i="18"/>
  <c r="AD92" i="11"/>
  <c r="AD8" i="18"/>
  <c r="AD48" i="11"/>
  <c r="AD54" i="11"/>
  <c r="AD47" i="11"/>
  <c r="AD40" i="11"/>
  <c r="AD121" i="11"/>
  <c r="AD76" i="11"/>
  <c r="AD123" i="11"/>
  <c r="AD95" i="11"/>
  <c r="AD67" i="11"/>
  <c r="AD117" i="11"/>
  <c r="AD107" i="11"/>
  <c r="AD22" i="11"/>
  <c r="AD14" i="11"/>
  <c r="AD100" i="11"/>
  <c r="AD91" i="11"/>
  <c r="AD19" i="11"/>
  <c r="AD39" i="11"/>
  <c r="AD8" i="11"/>
  <c r="AD18" i="11"/>
  <c r="AD27" i="11"/>
  <c r="AD69" i="11"/>
  <c r="AD122" i="11"/>
  <c r="H38" i="11" l="1"/>
  <c r="H16" i="11"/>
  <c r="H22" i="11" s="1"/>
  <c r="H25" i="11" s="1"/>
  <c r="H27" i="11" s="1"/>
  <c r="H32" i="11"/>
  <c r="D104" i="11"/>
  <c r="D105" i="11" s="1"/>
  <c r="D109" i="11" s="1"/>
  <c r="H30" i="11"/>
  <c r="H33" i="11"/>
  <c r="P48" i="9" l="1"/>
  <c r="P53" i="9"/>
  <c r="AD30" i="9"/>
  <c r="AD43" i="9"/>
  <c r="AD13" i="9"/>
  <c r="AD10" i="9"/>
  <c r="AD6" i="9"/>
  <c r="AD16" i="9"/>
  <c r="AD11" i="9"/>
  <c r="AD49" i="9"/>
  <c r="AD18" i="9"/>
  <c r="AD55" i="9"/>
  <c r="AD26" i="9"/>
  <c r="AD14" i="9"/>
  <c r="AD8" i="9"/>
  <c r="AD23" i="9"/>
  <c r="AD56" i="9"/>
  <c r="AD53" i="9"/>
  <c r="AD31" i="9"/>
  <c r="AD41" i="9"/>
  <c r="AD29" i="9"/>
  <c r="AD19" i="9"/>
  <c r="AD46" i="9"/>
  <c r="AD48" i="9"/>
  <c r="AD45" i="9"/>
  <c r="AD52" i="9"/>
  <c r="AD7" i="9"/>
  <c r="AD12" i="9"/>
  <c r="AD21" i="9"/>
  <c r="AD35" i="9"/>
  <c r="AD20" i="9"/>
  <c r="AD37" i="9"/>
  <c r="AD47" i="9"/>
  <c r="AD39" i="9"/>
  <c r="AD36" i="9"/>
  <c r="AD27" i="9"/>
  <c r="AD28" i="9"/>
  <c r="E7" i="9" l="1"/>
  <c r="F7" i="9"/>
  <c r="G7" i="9"/>
  <c r="H7" i="9"/>
  <c r="I7" i="9"/>
  <c r="J7" i="9"/>
  <c r="K7" i="9"/>
  <c r="L7" i="9"/>
  <c r="M7" i="9"/>
  <c r="N7" i="9"/>
  <c r="O7" i="9"/>
  <c r="P8" i="9"/>
  <c r="D7" i="9"/>
  <c r="E4" i="18" l="1"/>
  <c r="F4" i="18" s="1"/>
  <c r="G4" i="18" s="1"/>
  <c r="H4" i="18" s="1"/>
  <c r="I4" i="18" s="1"/>
  <c r="J4" i="18" s="1"/>
  <c r="K4" i="18" s="1"/>
  <c r="L4" i="18" s="1"/>
  <c r="M4" i="18" s="1"/>
  <c r="N4" i="18" s="1"/>
  <c r="O4" i="18" s="1"/>
  <c r="P4" i="18" s="1"/>
  <c r="Q4" i="18" s="1"/>
  <c r="R4" i="18" s="1"/>
  <c r="S4" i="18" s="1"/>
  <c r="T4" i="18" s="1"/>
  <c r="U4" i="18" s="1"/>
  <c r="V4" i="18" s="1"/>
  <c r="W4" i="18" s="1"/>
  <c r="X4" i="18" s="1"/>
  <c r="Y4" i="18" s="1"/>
  <c r="Z4" i="18" s="1"/>
  <c r="AA4" i="18" s="1"/>
  <c r="AB4" i="18" s="1"/>
  <c r="AC4" i="18" s="1"/>
  <c r="R3" i="18"/>
  <c r="S3" i="18" s="1"/>
  <c r="T3" i="18" s="1"/>
  <c r="U3" i="18" s="1"/>
  <c r="V3" i="18" s="1"/>
  <c r="W3" i="18" s="1"/>
  <c r="X3" i="18" s="1"/>
  <c r="Y3" i="18" s="1"/>
  <c r="Z3" i="18" s="1"/>
  <c r="AA3" i="18" s="1"/>
  <c r="AB3" i="18" s="1"/>
  <c r="AC3" i="18" s="1"/>
  <c r="E3" i="18"/>
  <c r="F3" i="18" s="1"/>
  <c r="G3" i="18" s="1"/>
  <c r="H3" i="18" s="1"/>
  <c r="I3" i="18" s="1"/>
  <c r="J3" i="18" s="1"/>
  <c r="K3" i="18" s="1"/>
  <c r="L3" i="18" s="1"/>
  <c r="M3" i="18" s="1"/>
  <c r="N3" i="18" s="1"/>
  <c r="O3" i="18" s="1"/>
  <c r="P3" i="18" s="1"/>
  <c r="A1" i="18"/>
  <c r="Q56" i="9"/>
  <c r="Q55" i="9"/>
  <c r="AB21" i="9"/>
  <c r="AA21" i="9"/>
  <c r="Z21" i="9"/>
  <c r="Y21" i="9"/>
  <c r="X21" i="9"/>
  <c r="W21" i="9"/>
  <c r="V21" i="9"/>
  <c r="U21" i="9"/>
  <c r="T21" i="9"/>
  <c r="S21" i="9"/>
  <c r="R21" i="9"/>
  <c r="Q53" i="9"/>
  <c r="P52" i="9"/>
  <c r="Q45" i="9"/>
  <c r="Q29" i="9"/>
  <c r="R29" i="9" s="1"/>
  <c r="S29" i="9" s="1"/>
  <c r="T29" i="9" s="1"/>
  <c r="U29" i="9" s="1"/>
  <c r="V29" i="9" s="1"/>
  <c r="W29" i="9" s="1"/>
  <c r="X29" i="9" s="1"/>
  <c r="Y29" i="9" s="1"/>
  <c r="Z29" i="9" s="1"/>
  <c r="AA29" i="9" s="1"/>
  <c r="AB29" i="9" s="1"/>
  <c r="AC29" i="9" s="1"/>
  <c r="P28" i="9"/>
  <c r="Q26" i="9" s="1"/>
  <c r="Q21" i="9"/>
  <c r="P21" i="9"/>
  <c r="R53" i="9" l="1"/>
  <c r="S53" i="9" s="1"/>
  <c r="Q124" i="11"/>
  <c r="R56" i="9"/>
  <c r="T56" i="9" l="1"/>
  <c r="S124" i="11"/>
  <c r="S56" i="9"/>
  <c r="R124" i="11"/>
  <c r="T53" i="9"/>
  <c r="U56" i="9" l="1"/>
  <c r="T124" i="11"/>
  <c r="U53" i="9"/>
  <c r="V56" i="9" l="1"/>
  <c r="U124" i="11"/>
  <c r="V53" i="9"/>
  <c r="W56" i="9" l="1"/>
  <c r="V124" i="11"/>
  <c r="W53" i="9"/>
  <c r="X56" i="9" l="1"/>
  <c r="W124" i="11"/>
  <c r="X53" i="9"/>
  <c r="Y56" i="9" l="1"/>
  <c r="X124" i="11"/>
  <c r="Y53" i="9"/>
  <c r="Z56" i="9" l="1"/>
  <c r="Y124" i="11"/>
  <c r="Z53" i="9"/>
  <c r="AA56" i="9" l="1"/>
  <c r="Z124" i="11"/>
  <c r="AA53" i="9"/>
  <c r="AB56" i="9" l="1"/>
  <c r="AA124" i="11"/>
  <c r="AB53" i="9"/>
  <c r="AC56" i="9" l="1"/>
  <c r="AC19" i="9" s="1"/>
  <c r="AB124" i="11"/>
  <c r="AC53" i="9"/>
  <c r="AC124" i="11" s="1"/>
  <c r="E84" i="11" l="1"/>
  <c r="F84" i="11"/>
  <c r="G84" i="11"/>
  <c r="H84" i="11"/>
  <c r="I84" i="11"/>
  <c r="J84" i="11"/>
  <c r="K84" i="11"/>
  <c r="L84" i="11"/>
  <c r="M84" i="11"/>
  <c r="N84" i="11"/>
  <c r="O84" i="11"/>
  <c r="P84" i="11"/>
  <c r="D84" i="11"/>
  <c r="M21" i="9"/>
  <c r="N21" i="9"/>
  <c r="O21" i="9"/>
  <c r="H21" i="9"/>
  <c r="I21" i="9"/>
  <c r="J21" i="9"/>
  <c r="K21" i="9"/>
  <c r="E11" i="9"/>
  <c r="F11" i="9"/>
  <c r="G11" i="9"/>
  <c r="H11" i="9"/>
  <c r="I11" i="9"/>
  <c r="J11" i="9"/>
  <c r="K11" i="9"/>
  <c r="L11" i="9"/>
  <c r="M11" i="9"/>
  <c r="N11" i="9"/>
  <c r="O11" i="9"/>
  <c r="D11" i="9"/>
  <c r="H13" i="9"/>
  <c r="I13" i="9"/>
  <c r="J13" i="9"/>
  <c r="K13" i="9"/>
  <c r="L13" i="9"/>
  <c r="M13" i="9"/>
  <c r="N13" i="9"/>
  <c r="O13" i="9"/>
  <c r="E13" i="9"/>
  <c r="F13" i="9"/>
  <c r="G13" i="9"/>
  <c r="D13" i="9"/>
  <c r="E10" i="9"/>
  <c r="F10" i="9"/>
  <c r="G10" i="9"/>
  <c r="H10" i="9"/>
  <c r="I10" i="9"/>
  <c r="J10" i="9"/>
  <c r="K10" i="9"/>
  <c r="L10" i="9"/>
  <c r="M10" i="9"/>
  <c r="N10" i="9"/>
  <c r="O10" i="9"/>
  <c r="D10" i="9"/>
  <c r="E6" i="9"/>
  <c r="E8" i="9" s="1"/>
  <c r="F6" i="9"/>
  <c r="F8" i="9" s="1"/>
  <c r="G6" i="9"/>
  <c r="G8" i="9" s="1"/>
  <c r="H6" i="9"/>
  <c r="H8" i="9" s="1"/>
  <c r="I6" i="9"/>
  <c r="I8" i="9" s="1"/>
  <c r="J6" i="9"/>
  <c r="J8" i="9" s="1"/>
  <c r="K6" i="9"/>
  <c r="K8" i="9" s="1"/>
  <c r="L6" i="9"/>
  <c r="L8" i="9" s="1"/>
  <c r="M6" i="9"/>
  <c r="M8" i="9" s="1"/>
  <c r="N6" i="9"/>
  <c r="N8" i="9" s="1"/>
  <c r="O6" i="9"/>
  <c r="O8" i="9" s="1"/>
  <c r="D6" i="9"/>
  <c r="D8" i="9" s="1"/>
  <c r="H76" i="11"/>
  <c r="I76" i="11"/>
  <c r="J76" i="11"/>
  <c r="K76" i="11"/>
  <c r="L76" i="11"/>
  <c r="N76" i="11"/>
  <c r="O76" i="11"/>
  <c r="P76" i="11"/>
  <c r="E76" i="11"/>
  <c r="F76" i="11"/>
  <c r="G76" i="11"/>
  <c r="D76" i="11"/>
  <c r="E58" i="11"/>
  <c r="F58" i="11"/>
  <c r="G58" i="11"/>
  <c r="H58" i="11"/>
  <c r="I58" i="11"/>
  <c r="J58" i="11"/>
  <c r="K58" i="11"/>
  <c r="L58" i="11"/>
  <c r="M58" i="11"/>
  <c r="N58" i="11"/>
  <c r="O58" i="11"/>
  <c r="P58" i="11"/>
  <c r="D58" i="11"/>
  <c r="G6" i="11"/>
  <c r="K6" i="11" s="1"/>
  <c r="F6" i="11"/>
  <c r="E6" i="11"/>
  <c r="D7" i="11"/>
  <c r="D8" i="11" s="1"/>
  <c r="D6" i="11"/>
  <c r="L21" i="9" l="1"/>
  <c r="I6" i="11"/>
  <c r="J6" i="11"/>
  <c r="H6" i="11"/>
  <c r="L6" i="11"/>
  <c r="M6" i="11"/>
  <c r="N6" i="11"/>
  <c r="O6" i="11"/>
  <c r="P6" i="11"/>
  <c r="E4" i="11"/>
  <c r="R3" i="11"/>
  <c r="S3" i="11" s="1"/>
  <c r="T3" i="11" s="1"/>
  <c r="U3" i="11" s="1"/>
  <c r="V3" i="11" s="1"/>
  <c r="W3" i="11" s="1"/>
  <c r="X3" i="11" s="1"/>
  <c r="Y3" i="11" s="1"/>
  <c r="Z3" i="11" s="1"/>
  <c r="AA3" i="11" s="1"/>
  <c r="AB3" i="11" s="1"/>
  <c r="AC3" i="11" s="1"/>
  <c r="E3" i="11"/>
  <c r="F3" i="11" s="1"/>
  <c r="G3" i="11" s="1"/>
  <c r="H3" i="11" s="1"/>
  <c r="I3" i="11" s="1"/>
  <c r="J3" i="11" s="1"/>
  <c r="K3" i="11" s="1"/>
  <c r="L3" i="11" s="1"/>
  <c r="M3" i="11" s="1"/>
  <c r="N3" i="11" s="1"/>
  <c r="O3" i="11" s="1"/>
  <c r="P3" i="11" s="1"/>
  <c r="A1" i="11"/>
  <c r="T6" i="11" l="1"/>
  <c r="S6" i="11"/>
  <c r="R6" i="11"/>
  <c r="Q6" i="11"/>
  <c r="F4" i="11"/>
  <c r="E7" i="11"/>
  <c r="E8" i="11" s="1"/>
  <c r="D12" i="9" l="1"/>
  <c r="D15" i="18"/>
  <c r="G4" i="11"/>
  <c r="F7" i="11"/>
  <c r="U6" i="11"/>
  <c r="W6" i="11"/>
  <c r="V6" i="11"/>
  <c r="X6" i="11"/>
  <c r="D67" i="11"/>
  <c r="AB6" i="11" l="1"/>
  <c r="Z6" i="11"/>
  <c r="AA6" i="11"/>
  <c r="AC6" i="11"/>
  <c r="E12" i="9"/>
  <c r="E15" i="18"/>
  <c r="F8" i="11"/>
  <c r="D72" i="11"/>
  <c r="H4" i="11"/>
  <c r="G7" i="11"/>
  <c r="Y6" i="11"/>
  <c r="F12" i="9" l="1"/>
  <c r="F15" i="18"/>
  <c r="G8" i="11"/>
  <c r="D37" i="11"/>
  <c r="I4" i="11"/>
  <c r="H7" i="11"/>
  <c r="H8" i="11" s="1"/>
  <c r="H12" i="9" l="1"/>
  <c r="H15" i="18"/>
  <c r="G12" i="9"/>
  <c r="G15" i="18"/>
  <c r="J4" i="11"/>
  <c r="I7" i="11"/>
  <c r="I8" i="11" s="1"/>
  <c r="I12" i="9" l="1"/>
  <c r="I15" i="18"/>
  <c r="K4" i="11"/>
  <c r="J7" i="11"/>
  <c r="J8" i="11" s="1"/>
  <c r="J12" i="9" l="1"/>
  <c r="J15" i="18"/>
  <c r="L4" i="11"/>
  <c r="K7" i="11"/>
  <c r="K8" i="11" s="1"/>
  <c r="K12" i="9" l="1"/>
  <c r="K15" i="18"/>
  <c r="M4" i="11"/>
  <c r="L7" i="11"/>
  <c r="L8" i="11" l="1"/>
  <c r="L12" i="9"/>
  <c r="L15" i="18"/>
  <c r="N4" i="11"/>
  <c r="M7" i="11"/>
  <c r="M8" i="11" l="1"/>
  <c r="M12" i="9"/>
  <c r="M15" i="18"/>
  <c r="O4" i="11"/>
  <c r="N7" i="11"/>
  <c r="N8" i="11" l="1"/>
  <c r="N12" i="9"/>
  <c r="N15" i="18"/>
  <c r="P4" i="11"/>
  <c r="O7" i="11"/>
  <c r="O8" i="11" l="1"/>
  <c r="O12" i="9"/>
  <c r="O15" i="18"/>
  <c r="Q4" i="11"/>
  <c r="P7" i="11"/>
  <c r="P8" i="11" l="1"/>
  <c r="P15" i="18"/>
  <c r="R4" i="11"/>
  <c r="Q7" i="11"/>
  <c r="Q8" i="11" l="1"/>
  <c r="P12" i="9"/>
  <c r="P14" i="9" s="1"/>
  <c r="P16" i="9" s="1"/>
  <c r="P23" i="9" s="1"/>
  <c r="Q15" i="18"/>
  <c r="Q12" i="9"/>
  <c r="S4" i="11"/>
  <c r="R7" i="11"/>
  <c r="R8" i="11" l="1"/>
  <c r="R15" i="18"/>
  <c r="R12" i="9"/>
  <c r="T4" i="11"/>
  <c r="S7" i="11"/>
  <c r="S8" i="11" l="1"/>
  <c r="S15" i="18"/>
  <c r="S12" i="9"/>
  <c r="U4" i="11"/>
  <c r="T7" i="11"/>
  <c r="T8" i="11" l="1"/>
  <c r="T15" i="18"/>
  <c r="T12" i="9"/>
  <c r="V4" i="11"/>
  <c r="U7" i="11"/>
  <c r="U8" i="11" l="1"/>
  <c r="U15" i="18"/>
  <c r="U12" i="9"/>
  <c r="W4" i="11"/>
  <c r="V7" i="11"/>
  <c r="V8" i="11" l="1"/>
  <c r="V15" i="18"/>
  <c r="V12" i="9"/>
  <c r="X4" i="11"/>
  <c r="W7" i="11"/>
  <c r="W8" i="11" l="1"/>
  <c r="W15" i="18"/>
  <c r="W12" i="9"/>
  <c r="Y4" i="11"/>
  <c r="X7" i="11"/>
  <c r="X8" i="11" l="1"/>
  <c r="X15" i="18"/>
  <c r="X12" i="9"/>
  <c r="Z4" i="11"/>
  <c r="Y7" i="11"/>
  <c r="Y8" i="11" l="1"/>
  <c r="Y15" i="18"/>
  <c r="Y12" i="9"/>
  <c r="AA4" i="11"/>
  <c r="Z7" i="11"/>
  <c r="Z8" i="11" l="1"/>
  <c r="Z15" i="18"/>
  <c r="Z12" i="9"/>
  <c r="AB4" i="11"/>
  <c r="AA7" i="11"/>
  <c r="AA8" i="11" l="1"/>
  <c r="AA15" i="18"/>
  <c r="AA12" i="9"/>
  <c r="AC4" i="11"/>
  <c r="AC7" i="11" s="1"/>
  <c r="AB7" i="11"/>
  <c r="AC8" i="11" l="1"/>
  <c r="AB8" i="11"/>
  <c r="AB15" i="18"/>
  <c r="AB12" i="9"/>
  <c r="AC15" i="18"/>
  <c r="AC12" i="9"/>
  <c r="M76" i="11"/>
  <c r="D82" i="11" l="1"/>
  <c r="D85" i="11" s="1"/>
  <c r="E82" i="11" s="1"/>
  <c r="E85" i="11" s="1"/>
  <c r="F82" i="11" s="1"/>
  <c r="F85" i="11" s="1"/>
  <c r="G82" i="11" s="1"/>
  <c r="G85" i="11" s="1"/>
  <c r="H82" i="11" s="1"/>
  <c r="H85" i="11" s="1"/>
  <c r="I82" i="11" s="1"/>
  <c r="I85" i="11" s="1"/>
  <c r="J82" i="11" s="1"/>
  <c r="J85" i="11" s="1"/>
  <c r="K82" i="11" s="1"/>
  <c r="K85" i="11" s="1"/>
  <c r="L82" i="11" s="1"/>
  <c r="L85" i="11" s="1"/>
  <c r="M82" i="11" s="1"/>
  <c r="M85" i="11" s="1"/>
  <c r="N82" i="11" s="1"/>
  <c r="N85" i="11" s="1"/>
  <c r="O82" i="11" s="1"/>
  <c r="O85" i="11" s="1"/>
  <c r="P82" i="11" s="1"/>
  <c r="P85" i="11" s="1"/>
  <c r="Q82" i="11" s="1"/>
  <c r="E21" i="9"/>
  <c r="F21" i="9"/>
  <c r="G21" i="9"/>
  <c r="D21" i="9"/>
  <c r="G14" i="9"/>
  <c r="G16" i="9" s="1"/>
  <c r="F14" i="9"/>
  <c r="F16" i="9" s="1"/>
  <c r="E14" i="9"/>
  <c r="E16" i="9" s="1"/>
  <c r="R3" i="9"/>
  <c r="S3" i="9" s="1"/>
  <c r="T3" i="9" s="1"/>
  <c r="U3" i="9" s="1"/>
  <c r="V3" i="9" s="1"/>
  <c r="W3" i="9" s="1"/>
  <c r="X3" i="9" s="1"/>
  <c r="Y3" i="9" s="1"/>
  <c r="Z3" i="9" s="1"/>
  <c r="AA3" i="9" s="1"/>
  <c r="AB3" i="9" s="1"/>
  <c r="AC3" i="9" s="1"/>
  <c r="E3" i="9"/>
  <c r="F3" i="9" s="1"/>
  <c r="G3" i="9" s="1"/>
  <c r="H3" i="9" s="1"/>
  <c r="I3" i="9" s="1"/>
  <c r="J3" i="9" s="1"/>
  <c r="K3" i="9" s="1"/>
  <c r="L3" i="9" s="1"/>
  <c r="M3" i="9" s="1"/>
  <c r="N3" i="9" s="1"/>
  <c r="O3" i="9" s="1"/>
  <c r="P3" i="9" s="1"/>
  <c r="G23" i="9" l="1"/>
  <c r="F23" i="9"/>
  <c r="E23" i="9"/>
  <c r="D14" i="9"/>
  <c r="D16" i="9" l="1"/>
  <c r="D23" i="9" s="1"/>
  <c r="E4" i="9"/>
  <c r="A1" i="9"/>
  <c r="F4" i="9" l="1"/>
  <c r="G68" i="11" l="1"/>
  <c r="G4" i="9"/>
  <c r="D49" i="11"/>
  <c r="E49" i="11"/>
  <c r="G49" i="11"/>
  <c r="F49" i="11"/>
  <c r="D75" i="11" l="1"/>
  <c r="D78" i="11" s="1"/>
  <c r="F68" i="11"/>
  <c r="E68" i="11"/>
  <c r="D68" i="11"/>
  <c r="D70" i="11" s="1"/>
  <c r="H4" i="9"/>
  <c r="E6" i="18"/>
  <c r="F6" i="18"/>
  <c r="G6" i="18"/>
  <c r="D6" i="18"/>
  <c r="A1" i="6"/>
  <c r="E75" i="11" l="1"/>
  <c r="E78" i="11" s="1"/>
  <c r="D12" i="18"/>
  <c r="E67" i="11"/>
  <c r="E72" i="11" s="1"/>
  <c r="D11" i="18"/>
  <c r="I4" i="9"/>
  <c r="H14" i="9"/>
  <c r="H49" i="11"/>
  <c r="I49" i="11"/>
  <c r="H16" i="9" l="1"/>
  <c r="H23" i="9" s="1"/>
  <c r="E70" i="11"/>
  <c r="E11" i="18" s="1"/>
  <c r="F75" i="11"/>
  <c r="F78" i="11" s="1"/>
  <c r="E12" i="18"/>
  <c r="J4" i="9"/>
  <c r="I14" i="9"/>
  <c r="I68" i="11"/>
  <c r="H68" i="11"/>
  <c r="H6" i="18"/>
  <c r="I6" i="18"/>
  <c r="J49" i="11"/>
  <c r="I16" i="9" l="1"/>
  <c r="I23" i="9" s="1"/>
  <c r="F67" i="11"/>
  <c r="G75" i="11"/>
  <c r="G78" i="11" s="1"/>
  <c r="F12" i="18"/>
  <c r="K4" i="9"/>
  <c r="J14" i="9"/>
  <c r="J68" i="11"/>
  <c r="J6" i="18"/>
  <c r="J16" i="9" l="1"/>
  <c r="J23" i="9" s="1"/>
  <c r="F70" i="11"/>
  <c r="F72" i="11"/>
  <c r="H75" i="11"/>
  <c r="H78" i="11" s="1"/>
  <c r="G12" i="18"/>
  <c r="L4" i="9"/>
  <c r="K14" i="9"/>
  <c r="K49" i="11"/>
  <c r="K16" i="9" l="1"/>
  <c r="K23" i="9" s="1"/>
  <c r="G67" i="11"/>
  <c r="F11" i="18"/>
  <c r="I75" i="11"/>
  <c r="I78" i="11" s="1"/>
  <c r="H12" i="18"/>
  <c r="M4" i="9"/>
  <c r="L14" i="9"/>
  <c r="K6" i="18"/>
  <c r="K68" i="11"/>
  <c r="L49" i="11"/>
  <c r="M49" i="11"/>
  <c r="L16" i="9" l="1"/>
  <c r="L23" i="9" s="1"/>
  <c r="G70" i="11"/>
  <c r="G72" i="11"/>
  <c r="J75" i="11"/>
  <c r="J78" i="11" s="1"/>
  <c r="I12" i="18"/>
  <c r="N4" i="9"/>
  <c r="M14" i="9"/>
  <c r="L68" i="11"/>
  <c r="M68" i="11"/>
  <c r="L6" i="18"/>
  <c r="M6" i="18"/>
  <c r="M16" i="9" l="1"/>
  <c r="M23" i="9" s="1"/>
  <c r="H67" i="11"/>
  <c r="G11" i="18"/>
  <c r="K75" i="11"/>
  <c r="K78" i="11" s="1"/>
  <c r="J12" i="18"/>
  <c r="O4" i="9"/>
  <c r="N14" i="9"/>
  <c r="N49" i="11"/>
  <c r="O49" i="11"/>
  <c r="N16" i="9" l="1"/>
  <c r="N23" i="9" s="1"/>
  <c r="H72" i="11"/>
  <c r="H70" i="11"/>
  <c r="L75" i="11"/>
  <c r="L78" i="11" s="1"/>
  <c r="K12" i="18"/>
  <c r="P4" i="9"/>
  <c r="O14" i="9"/>
  <c r="N68" i="11"/>
  <c r="O68" i="11"/>
  <c r="N6" i="18"/>
  <c r="O6" i="18"/>
  <c r="P49" i="11"/>
  <c r="Q38" i="11" l="1"/>
  <c r="Q14" i="11"/>
  <c r="Q19" i="11"/>
  <c r="Q18" i="11"/>
  <c r="O16" i="9"/>
  <c r="O23" i="9" s="1"/>
  <c r="H11" i="18"/>
  <c r="I67" i="11"/>
  <c r="M75" i="11"/>
  <c r="M78" i="11" s="1"/>
  <c r="L12" i="18"/>
  <c r="Q4" i="9"/>
  <c r="P68" i="11"/>
  <c r="Q16" i="11" l="1"/>
  <c r="Q22" i="11" s="1"/>
  <c r="Q25" i="11" s="1"/>
  <c r="Q27" i="11" s="1"/>
  <c r="R18" i="11"/>
  <c r="R38" i="11"/>
  <c r="R14" i="11"/>
  <c r="R19" i="11"/>
  <c r="R13" i="11"/>
  <c r="I70" i="11"/>
  <c r="I72" i="11"/>
  <c r="Q84" i="11"/>
  <c r="Q85" i="11" s="1"/>
  <c r="N75" i="11"/>
  <c r="N78" i="11" s="1"/>
  <c r="M12" i="18"/>
  <c r="R4" i="9"/>
  <c r="P6" i="18"/>
  <c r="R82" i="11" l="1"/>
  <c r="Q117" i="11"/>
  <c r="R16" i="11"/>
  <c r="R22" i="11" s="1"/>
  <c r="R25" i="11" s="1"/>
  <c r="R27" i="11" s="1"/>
  <c r="S18" i="11"/>
  <c r="S38" i="11"/>
  <c r="S14" i="11"/>
  <c r="S19" i="11"/>
  <c r="S13" i="11"/>
  <c r="S16" i="11" s="1"/>
  <c r="J67" i="11"/>
  <c r="I11" i="18"/>
  <c r="Q40" i="11"/>
  <c r="Q76" i="11"/>
  <c r="Q49" i="11"/>
  <c r="R84" i="11"/>
  <c r="R85" i="11" s="1"/>
  <c r="O75" i="11"/>
  <c r="O78" i="11" s="1"/>
  <c r="N12" i="18"/>
  <c r="S4" i="9"/>
  <c r="Q95" i="11" l="1"/>
  <c r="R90" i="11" s="1"/>
  <c r="R91" i="11" s="1"/>
  <c r="R92" i="11" s="1"/>
  <c r="R93" i="11" s="1"/>
  <c r="R35" i="9" s="1"/>
  <c r="Q115" i="11"/>
  <c r="S82" i="11"/>
  <c r="R117" i="11"/>
  <c r="S22" i="11"/>
  <c r="S25" i="11" s="1"/>
  <c r="S27" i="11" s="1"/>
  <c r="T18" i="11"/>
  <c r="T38" i="11"/>
  <c r="T14" i="11"/>
  <c r="T13" i="11"/>
  <c r="T19" i="11"/>
  <c r="J70" i="11"/>
  <c r="J72" i="11"/>
  <c r="Q6" i="18"/>
  <c r="S84" i="11"/>
  <c r="S85" i="11" s="1"/>
  <c r="Q60" i="11"/>
  <c r="Q121" i="11" s="1"/>
  <c r="Q50" i="11"/>
  <c r="Q116" i="11" s="1"/>
  <c r="R40" i="11"/>
  <c r="R49" i="11"/>
  <c r="R76" i="11"/>
  <c r="R37" i="11"/>
  <c r="Q68" i="11"/>
  <c r="P75" i="11"/>
  <c r="P78" i="11" s="1"/>
  <c r="O12" i="18"/>
  <c r="Q43" i="11"/>
  <c r="T4" i="9"/>
  <c r="R95" i="11" l="1"/>
  <c r="S90" i="11" s="1"/>
  <c r="S91" i="11" s="1"/>
  <c r="R115" i="11"/>
  <c r="T82" i="11"/>
  <c r="S117" i="11"/>
  <c r="T16" i="11"/>
  <c r="T22" i="11" s="1"/>
  <c r="T25" i="11" s="1"/>
  <c r="T27" i="11" s="1"/>
  <c r="U13" i="11"/>
  <c r="U16" i="11" s="1"/>
  <c r="U18" i="11"/>
  <c r="U38" i="11"/>
  <c r="U14" i="11"/>
  <c r="U19" i="11"/>
  <c r="R8" i="18"/>
  <c r="Q53" i="11"/>
  <c r="Q107" i="11"/>
  <c r="R100" i="11" s="1"/>
  <c r="K67" i="11"/>
  <c r="J11" i="18"/>
  <c r="R43" i="11"/>
  <c r="R68" i="11"/>
  <c r="R39" i="11"/>
  <c r="T84" i="11"/>
  <c r="T85" i="11" s="1"/>
  <c r="R57" i="11"/>
  <c r="S49" i="11"/>
  <c r="S76" i="11"/>
  <c r="S40" i="11"/>
  <c r="R47" i="11"/>
  <c r="Q63" i="11"/>
  <c r="R50" i="11"/>
  <c r="R116" i="11" s="1"/>
  <c r="R60" i="11"/>
  <c r="R121" i="11" s="1"/>
  <c r="S37" i="11"/>
  <c r="P12" i="18"/>
  <c r="Q75" i="11"/>
  <c r="Q78" i="11" s="1"/>
  <c r="Q123" i="11" s="1"/>
  <c r="U4" i="9"/>
  <c r="S92" i="11" l="1"/>
  <c r="S93" i="11" s="1"/>
  <c r="S35" i="9" s="1"/>
  <c r="U82" i="11"/>
  <c r="T117" i="11"/>
  <c r="S95" i="11"/>
  <c r="T90" i="11" s="1"/>
  <c r="S115" i="11"/>
  <c r="T91" i="11"/>
  <c r="T92" i="11" s="1"/>
  <c r="T93" i="11" s="1"/>
  <c r="R101" i="11"/>
  <c r="R102" i="11"/>
  <c r="U22" i="11"/>
  <c r="U25" i="11" s="1"/>
  <c r="U27" i="11" s="1"/>
  <c r="V13" i="11"/>
  <c r="V18" i="11"/>
  <c r="V14" i="11"/>
  <c r="V19" i="11"/>
  <c r="V38" i="11"/>
  <c r="R6" i="9"/>
  <c r="R8" i="9" s="1"/>
  <c r="R103" i="11"/>
  <c r="R107" i="11"/>
  <c r="S100" i="11" s="1"/>
  <c r="K72" i="11"/>
  <c r="K70" i="11"/>
  <c r="S68" i="11"/>
  <c r="T37" i="11"/>
  <c r="U84" i="11"/>
  <c r="R10" i="18"/>
  <c r="S57" i="11"/>
  <c r="S47" i="11"/>
  <c r="T49" i="11"/>
  <c r="T76" i="11"/>
  <c r="T40" i="11"/>
  <c r="S50" i="11"/>
  <c r="S60" i="11"/>
  <c r="S121" i="11" s="1"/>
  <c r="S43" i="11"/>
  <c r="S8" i="18"/>
  <c r="R9" i="18"/>
  <c r="S39" i="11"/>
  <c r="R48" i="11"/>
  <c r="R58" i="11" s="1"/>
  <c r="R59" i="11" s="1"/>
  <c r="R11" i="9" s="1"/>
  <c r="Q12" i="18"/>
  <c r="R75" i="11"/>
  <c r="R78" i="11" s="1"/>
  <c r="R123" i="11" s="1"/>
  <c r="R6" i="18"/>
  <c r="R63" i="11"/>
  <c r="R53" i="11"/>
  <c r="V4" i="9"/>
  <c r="U85" i="11" l="1"/>
  <c r="V16" i="11"/>
  <c r="V22" i="11" s="1"/>
  <c r="V25" i="11" s="1"/>
  <c r="V27" i="11" s="1"/>
  <c r="V82" i="11"/>
  <c r="U117" i="11"/>
  <c r="T95" i="11"/>
  <c r="U90" i="11" s="1"/>
  <c r="U91" i="11" s="1"/>
  <c r="U92" i="11" s="1"/>
  <c r="U93" i="11" s="1"/>
  <c r="T115" i="11"/>
  <c r="S107" i="11"/>
  <c r="T100" i="11" s="1"/>
  <c r="T102" i="11" s="1"/>
  <c r="S116" i="11"/>
  <c r="S101" i="11"/>
  <c r="S102" i="11"/>
  <c r="R104" i="11"/>
  <c r="R105" i="11" s="1"/>
  <c r="R109" i="11" s="1"/>
  <c r="W19" i="11"/>
  <c r="W13" i="11"/>
  <c r="W18" i="11"/>
  <c r="W14" i="11"/>
  <c r="W38" i="11"/>
  <c r="S6" i="9"/>
  <c r="S8" i="9" s="1"/>
  <c r="S103" i="11"/>
  <c r="T35" i="9"/>
  <c r="T8" i="18"/>
  <c r="K11" i="18"/>
  <c r="L67" i="11"/>
  <c r="T39" i="11"/>
  <c r="T47" i="11"/>
  <c r="S9" i="18"/>
  <c r="V84" i="11"/>
  <c r="V85" i="11" s="1"/>
  <c r="T43" i="11"/>
  <c r="T68" i="11"/>
  <c r="U49" i="11"/>
  <c r="U40" i="11"/>
  <c r="U76" i="11"/>
  <c r="T60" i="11"/>
  <c r="T121" i="11" s="1"/>
  <c r="T50" i="11"/>
  <c r="S48" i="11"/>
  <c r="S58" i="11" s="1"/>
  <c r="S59" i="11" s="1"/>
  <c r="S11" i="9" s="1"/>
  <c r="U37" i="11"/>
  <c r="S10" i="18"/>
  <c r="T57" i="11"/>
  <c r="S75" i="11"/>
  <c r="S78" i="11" s="1"/>
  <c r="S123" i="11" s="1"/>
  <c r="R12" i="18"/>
  <c r="S6" i="18"/>
  <c r="S53" i="11"/>
  <c r="S63" i="11"/>
  <c r="W4" i="9"/>
  <c r="T103" i="11" l="1"/>
  <c r="W82" i="11"/>
  <c r="V117" i="11"/>
  <c r="T107" i="11"/>
  <c r="U100" i="11" s="1"/>
  <c r="U101" i="11" s="1"/>
  <c r="T116" i="11"/>
  <c r="T101" i="11"/>
  <c r="U95" i="11"/>
  <c r="V90" i="11" s="1"/>
  <c r="V91" i="11" s="1"/>
  <c r="V92" i="11" s="1"/>
  <c r="V93" i="11" s="1"/>
  <c r="U115" i="11"/>
  <c r="R36" i="9"/>
  <c r="R37" i="9" s="1"/>
  <c r="R39" i="9" s="1"/>
  <c r="R41" i="9" s="1"/>
  <c r="S104" i="11"/>
  <c r="S105" i="11" s="1"/>
  <c r="S36" i="9" s="1"/>
  <c r="W16" i="11"/>
  <c r="W22" i="11" s="1"/>
  <c r="W25" i="11" s="1"/>
  <c r="W27" i="11" s="1"/>
  <c r="X14" i="11"/>
  <c r="X19" i="11"/>
  <c r="X38" i="11"/>
  <c r="X13" i="11"/>
  <c r="X18" i="11"/>
  <c r="T6" i="9"/>
  <c r="T8" i="9" s="1"/>
  <c r="U35" i="9"/>
  <c r="U43" i="11"/>
  <c r="L72" i="11"/>
  <c r="L70" i="11"/>
  <c r="U68" i="11"/>
  <c r="U39" i="11"/>
  <c r="U57" i="11"/>
  <c r="T10" i="18"/>
  <c r="U47" i="11"/>
  <c r="T48" i="11"/>
  <c r="T58" i="11" s="1"/>
  <c r="T59" i="11" s="1"/>
  <c r="T11" i="9" s="1"/>
  <c r="V49" i="11"/>
  <c r="V40" i="11"/>
  <c r="V76" i="11"/>
  <c r="T9" i="18"/>
  <c r="W84" i="11"/>
  <c r="V37" i="11"/>
  <c r="U8" i="18"/>
  <c r="U50" i="11"/>
  <c r="U116" i="11" s="1"/>
  <c r="U60" i="11"/>
  <c r="U121" i="11" s="1"/>
  <c r="S12" i="18"/>
  <c r="T75" i="11"/>
  <c r="T78" i="11" s="1"/>
  <c r="T123" i="11" s="1"/>
  <c r="T6" i="18"/>
  <c r="X4" i="9"/>
  <c r="W85" i="11" l="1"/>
  <c r="X82" i="11" s="1"/>
  <c r="T104" i="11"/>
  <c r="T105" i="11" s="1"/>
  <c r="T36" i="9" s="1"/>
  <c r="T37" i="9" s="1"/>
  <c r="T39" i="9" s="1"/>
  <c r="T41" i="9" s="1"/>
  <c r="U103" i="11"/>
  <c r="U102" i="11"/>
  <c r="V95" i="11"/>
  <c r="W90" i="11" s="1"/>
  <c r="V115" i="11"/>
  <c r="S109" i="11"/>
  <c r="W91" i="11"/>
  <c r="W92" i="11" s="1"/>
  <c r="W93" i="11" s="1"/>
  <c r="W35" i="9" s="1"/>
  <c r="X16" i="11"/>
  <c r="X22" i="11" s="1"/>
  <c r="X25" i="11" s="1"/>
  <c r="X27" i="11" s="1"/>
  <c r="Y38" i="11"/>
  <c r="Y14" i="11"/>
  <c r="Y19" i="11"/>
  <c r="Y13" i="11"/>
  <c r="Y18" i="11"/>
  <c r="U104" i="11"/>
  <c r="U105" i="11" s="1"/>
  <c r="U36" i="9" s="1"/>
  <c r="U6" i="9"/>
  <c r="U8" i="9" s="1"/>
  <c r="U9" i="18"/>
  <c r="U107" i="11"/>
  <c r="V100" i="11" s="1"/>
  <c r="V35" i="9"/>
  <c r="M67" i="11"/>
  <c r="L11" i="18"/>
  <c r="S37" i="9"/>
  <c r="S39" i="9" s="1"/>
  <c r="S41" i="9" s="1"/>
  <c r="U48" i="11"/>
  <c r="U58" i="11" s="1"/>
  <c r="U59" i="11" s="1"/>
  <c r="U11" i="9" s="1"/>
  <c r="V68" i="11"/>
  <c r="V60" i="11"/>
  <c r="V50" i="11"/>
  <c r="V116" i="11" s="1"/>
  <c r="W37" i="11"/>
  <c r="V43" i="11"/>
  <c r="V57" i="11"/>
  <c r="U10" i="18"/>
  <c r="X84" i="11"/>
  <c r="V47" i="11"/>
  <c r="V39" i="11"/>
  <c r="W40" i="11"/>
  <c r="W76" i="11"/>
  <c r="W49" i="11"/>
  <c r="V8" i="18"/>
  <c r="U75" i="11"/>
  <c r="U78" i="11" s="1"/>
  <c r="U123" i="11" s="1"/>
  <c r="T12" i="18"/>
  <c r="U6" i="18"/>
  <c r="V6" i="18"/>
  <c r="T53" i="11"/>
  <c r="U53" i="11"/>
  <c r="T63" i="11"/>
  <c r="U63" i="11"/>
  <c r="Y4" i="9"/>
  <c r="W117" i="11" l="1"/>
  <c r="T109" i="11"/>
  <c r="X85" i="11"/>
  <c r="Y82" i="11" s="1"/>
  <c r="X117" i="11"/>
  <c r="W95" i="11"/>
  <c r="X90" i="11" s="1"/>
  <c r="X91" i="11" s="1"/>
  <c r="X92" i="11" s="1"/>
  <c r="X93" i="11" s="1"/>
  <c r="W115" i="11"/>
  <c r="V63" i="11"/>
  <c r="V121" i="11"/>
  <c r="Y16" i="11"/>
  <c r="Y22" i="11" s="1"/>
  <c r="Y25" i="11" s="1"/>
  <c r="Y27" i="11" s="1"/>
  <c r="V101" i="11"/>
  <c r="V102" i="11"/>
  <c r="U109" i="11"/>
  <c r="Z38" i="11"/>
  <c r="Z18" i="11"/>
  <c r="Z14" i="11"/>
  <c r="Z19" i="11"/>
  <c r="Z13" i="11"/>
  <c r="V6" i="9"/>
  <c r="V8" i="9" s="1"/>
  <c r="W8" i="18"/>
  <c r="V53" i="11"/>
  <c r="V107" i="11"/>
  <c r="W100" i="11" s="1"/>
  <c r="V103" i="11"/>
  <c r="M70" i="11"/>
  <c r="M72" i="11"/>
  <c r="V9" i="18"/>
  <c r="W39" i="11"/>
  <c r="Y84" i="11"/>
  <c r="W68" i="11"/>
  <c r="X37" i="11"/>
  <c r="W43" i="11"/>
  <c r="V48" i="11"/>
  <c r="V58" i="11" s="1"/>
  <c r="V59" i="11" s="1"/>
  <c r="V11" i="9" s="1"/>
  <c r="W57" i="11"/>
  <c r="V10" i="18"/>
  <c r="U37" i="9"/>
  <c r="U39" i="9" s="1"/>
  <c r="U41" i="9" s="1"/>
  <c r="X76" i="11"/>
  <c r="X40" i="11"/>
  <c r="X49" i="11"/>
  <c r="W47" i="11"/>
  <c r="W60" i="11"/>
  <c r="W50" i="11"/>
  <c r="W116" i="11" s="1"/>
  <c r="U12" i="18"/>
  <c r="V75" i="11"/>
  <c r="V78" i="11" s="1"/>
  <c r="V123" i="11" s="1"/>
  <c r="W6" i="18"/>
  <c r="Z4" i="9"/>
  <c r="Y85" i="11" l="1"/>
  <c r="Y117" i="11" s="1"/>
  <c r="W63" i="11"/>
  <c r="W121" i="11"/>
  <c r="X95" i="11"/>
  <c r="Y90" i="11" s="1"/>
  <c r="Y91" i="11" s="1"/>
  <c r="Y92" i="11" s="1"/>
  <c r="Y93" i="11" s="1"/>
  <c r="X115" i="11"/>
  <c r="W101" i="11"/>
  <c r="W102" i="11"/>
  <c r="Z16" i="11"/>
  <c r="Z22" i="11" s="1"/>
  <c r="Z25" i="11" s="1"/>
  <c r="Z27" i="11" s="1"/>
  <c r="V104" i="11"/>
  <c r="V105" i="11" s="1"/>
  <c r="V109" i="11" s="1"/>
  <c r="AA13" i="11"/>
  <c r="AA38" i="11"/>
  <c r="AA18" i="11"/>
  <c r="AA14" i="11"/>
  <c r="AA19" i="11"/>
  <c r="W6" i="9"/>
  <c r="W8" i="9" s="1"/>
  <c r="W103" i="11"/>
  <c r="X35" i="9"/>
  <c r="X8" i="18"/>
  <c r="W53" i="11"/>
  <c r="W107" i="11"/>
  <c r="X100" i="11" s="1"/>
  <c r="N67" i="11"/>
  <c r="M11" i="18"/>
  <c r="X43" i="11"/>
  <c r="X39" i="11"/>
  <c r="W9" i="18"/>
  <c r="W48" i="11"/>
  <c r="W58" i="11" s="1"/>
  <c r="W59" i="11" s="1"/>
  <c r="W11" i="9" s="1"/>
  <c r="Y76" i="11"/>
  <c r="Y40" i="11"/>
  <c r="Y49" i="11"/>
  <c r="X6" i="18"/>
  <c r="X47" i="11"/>
  <c r="Y37" i="11"/>
  <c r="W10" i="18"/>
  <c r="X57" i="11"/>
  <c r="Z84" i="11"/>
  <c r="X50" i="11"/>
  <c r="X116" i="11" s="1"/>
  <c r="X60" i="11"/>
  <c r="X121" i="11" s="1"/>
  <c r="X68" i="11"/>
  <c r="V12" i="18"/>
  <c r="W75" i="11"/>
  <c r="W78" i="11" s="1"/>
  <c r="W123" i="11" s="1"/>
  <c r="AA4" i="9"/>
  <c r="Z82" i="11" l="1"/>
  <c r="Z85" i="11" s="1"/>
  <c r="Y95" i="11"/>
  <c r="Z90" i="11" s="1"/>
  <c r="Y115" i="11"/>
  <c r="Z91" i="11"/>
  <c r="Z92" i="11" s="1"/>
  <c r="Z93" i="11" s="1"/>
  <c r="Z35" i="9" s="1"/>
  <c r="X101" i="11"/>
  <c r="X102" i="11"/>
  <c r="V36" i="9"/>
  <c r="V37" i="9" s="1"/>
  <c r="V39" i="9" s="1"/>
  <c r="V41" i="9" s="1"/>
  <c r="AA16" i="11"/>
  <c r="AA22" i="11" s="1"/>
  <c r="AA25" i="11" s="1"/>
  <c r="AA27" i="11" s="1"/>
  <c r="W104" i="11"/>
  <c r="W105" i="11" s="1"/>
  <c r="W109" i="11" s="1"/>
  <c r="AB18" i="11"/>
  <c r="AB38" i="11"/>
  <c r="AB14" i="11"/>
  <c r="AB19" i="11"/>
  <c r="AB13" i="11"/>
  <c r="X6" i="9"/>
  <c r="X8" i="9" s="1"/>
  <c r="Y35" i="9"/>
  <c r="X107" i="11"/>
  <c r="Y100" i="11" s="1"/>
  <c r="X103" i="11"/>
  <c r="N72" i="11"/>
  <c r="N70" i="11"/>
  <c r="Y57" i="11"/>
  <c r="X10" i="18"/>
  <c r="Z37" i="11"/>
  <c r="Y39" i="11"/>
  <c r="Y50" i="11"/>
  <c r="Y60" i="11"/>
  <c r="Y121" i="11" s="1"/>
  <c r="X48" i="11"/>
  <c r="X58" i="11" s="1"/>
  <c r="X59" i="11" s="1"/>
  <c r="X11" i="9" s="1"/>
  <c r="Y68" i="11"/>
  <c r="Y47" i="11"/>
  <c r="Z40" i="11"/>
  <c r="Z76" i="11"/>
  <c r="Z49" i="11"/>
  <c r="X63" i="11"/>
  <c r="Y8" i="18"/>
  <c r="AA84" i="11"/>
  <c r="X9" i="18"/>
  <c r="X53" i="11"/>
  <c r="X75" i="11"/>
  <c r="X78" i="11" s="1"/>
  <c r="X123" i="11" s="1"/>
  <c r="W12" i="18"/>
  <c r="AB4" i="9"/>
  <c r="AA82" i="11" l="1"/>
  <c r="Z117" i="11"/>
  <c r="AA85" i="11"/>
  <c r="AB82" i="11" s="1"/>
  <c r="Z95" i="11"/>
  <c r="AA90" i="11" s="1"/>
  <c r="AA91" i="11" s="1"/>
  <c r="AA92" i="11" s="1"/>
  <c r="AA93" i="11" s="1"/>
  <c r="Z115" i="11"/>
  <c r="AA117" i="11"/>
  <c r="Y107" i="11"/>
  <c r="Z100" i="11" s="1"/>
  <c r="Z101" i="11" s="1"/>
  <c r="Y116" i="11"/>
  <c r="Y101" i="11"/>
  <c r="Y102" i="11"/>
  <c r="W36" i="9"/>
  <c r="W37" i="9" s="1"/>
  <c r="W39" i="9" s="1"/>
  <c r="W41" i="9" s="1"/>
  <c r="AB16" i="11"/>
  <c r="AB22" i="11" s="1"/>
  <c r="AB25" i="11" s="1"/>
  <c r="AB27" i="11" s="1"/>
  <c r="X104" i="11"/>
  <c r="X105" i="11" s="1"/>
  <c r="AC13" i="11"/>
  <c r="AC18" i="11"/>
  <c r="AC19" i="11"/>
  <c r="AC38" i="11"/>
  <c r="AC14" i="11"/>
  <c r="Y6" i="9"/>
  <c r="Y8" i="9" s="1"/>
  <c r="Y103" i="11"/>
  <c r="Z8" i="18"/>
  <c r="O67" i="11"/>
  <c r="N11" i="18"/>
  <c r="Z43" i="11"/>
  <c r="AC84" i="11"/>
  <c r="Y9" i="18"/>
  <c r="Y48" i="11"/>
  <c r="Y58" i="11" s="1"/>
  <c r="Y59" i="11" s="1"/>
  <c r="Y11" i="9" s="1"/>
  <c r="Z47" i="11"/>
  <c r="Z50" i="11"/>
  <c r="Z116" i="11" s="1"/>
  <c r="Z60" i="11"/>
  <c r="Z121" i="11" s="1"/>
  <c r="Z68" i="11"/>
  <c r="AA37" i="11"/>
  <c r="Y10" i="18"/>
  <c r="Z57" i="11"/>
  <c r="AB84" i="11"/>
  <c r="AA76" i="11"/>
  <c r="AA49" i="11"/>
  <c r="AA40" i="11"/>
  <c r="Z39" i="11"/>
  <c r="Y75" i="11"/>
  <c r="Y78" i="11" s="1"/>
  <c r="Y123" i="11" s="1"/>
  <c r="X12" i="18"/>
  <c r="Y6" i="18"/>
  <c r="Y43" i="11"/>
  <c r="Y63" i="11"/>
  <c r="Y53" i="11"/>
  <c r="AC4" i="9"/>
  <c r="AB85" i="11" l="1"/>
  <c r="Z103" i="11"/>
  <c r="AA95" i="11"/>
  <c r="AB90" i="11" s="1"/>
  <c r="AB91" i="11" s="1"/>
  <c r="AB92" i="11" s="1"/>
  <c r="AB93" i="11" s="1"/>
  <c r="AA115" i="11"/>
  <c r="Z102" i="11"/>
  <c r="Z104" i="11" s="1"/>
  <c r="Z105" i="11" s="1"/>
  <c r="Z109" i="11" s="1"/>
  <c r="AC82" i="11"/>
  <c r="AC85" i="11" s="1"/>
  <c r="AC117" i="11" s="1"/>
  <c r="AB117" i="11"/>
  <c r="AC16" i="11"/>
  <c r="AC22" i="11" s="1"/>
  <c r="AC25" i="11" s="1"/>
  <c r="AC27" i="11" s="1"/>
  <c r="Y104" i="11"/>
  <c r="Y105" i="11" s="1"/>
  <c r="X109" i="11"/>
  <c r="X36" i="9"/>
  <c r="X37" i="9" s="1"/>
  <c r="X39" i="9" s="1"/>
  <c r="X41" i="9" s="1"/>
  <c r="Z6" i="9"/>
  <c r="Z8" i="9" s="1"/>
  <c r="Z9" i="18"/>
  <c r="Z107" i="11"/>
  <c r="AA100" i="11" s="1"/>
  <c r="AA43" i="11"/>
  <c r="AA35" i="9"/>
  <c r="Z48" i="11"/>
  <c r="Z58" i="11" s="1"/>
  <c r="Z59" i="11" s="1"/>
  <c r="Z11" i="9" s="1"/>
  <c r="O72" i="11"/>
  <c r="O70" i="11"/>
  <c r="AA68" i="11"/>
  <c r="AC76" i="11"/>
  <c r="AC49" i="11"/>
  <c r="AC40" i="11"/>
  <c r="AA39" i="11"/>
  <c r="AB37" i="11"/>
  <c r="AA8" i="18"/>
  <c r="AB40" i="11"/>
  <c r="AB76" i="11"/>
  <c r="AB49" i="11"/>
  <c r="AA50" i="11"/>
  <c r="AA116" i="11" s="1"/>
  <c r="AA60" i="11"/>
  <c r="AA57" i="11"/>
  <c r="Z10" i="18"/>
  <c r="AA47" i="11"/>
  <c r="Z75" i="11"/>
  <c r="Z78" i="11" s="1"/>
  <c r="Z123" i="11" s="1"/>
  <c r="Y12" i="18"/>
  <c r="Z6" i="18"/>
  <c r="Z53" i="11"/>
  <c r="Z63" i="11"/>
  <c r="AB95" i="11" l="1"/>
  <c r="AC90" i="11" s="1"/>
  <c r="AC91" i="11" s="1"/>
  <c r="AC92" i="11" s="1"/>
  <c r="AC93" i="11" s="1"/>
  <c r="AB115" i="11"/>
  <c r="AB57" i="11"/>
  <c r="AA121" i="11"/>
  <c r="AC95" i="11"/>
  <c r="AC115" i="11"/>
  <c r="Z36" i="9"/>
  <c r="Z37" i="9" s="1"/>
  <c r="Z39" i="9" s="1"/>
  <c r="Z41" i="9" s="1"/>
  <c r="AA101" i="11"/>
  <c r="AA102" i="11"/>
  <c r="Y109" i="11"/>
  <c r="Y36" i="9"/>
  <c r="Y37" i="9" s="1"/>
  <c r="Y39" i="9" s="1"/>
  <c r="Y41" i="9" s="1"/>
  <c r="AA6" i="9"/>
  <c r="AA8" i="9" s="1"/>
  <c r="AB35" i="9"/>
  <c r="AA103" i="11"/>
  <c r="AA9" i="18"/>
  <c r="AA107" i="11"/>
  <c r="AB100" i="11" s="1"/>
  <c r="AC68" i="11"/>
  <c r="O11" i="18"/>
  <c r="P67" i="11"/>
  <c r="AB68" i="11"/>
  <c r="AC50" i="11"/>
  <c r="AC60" i="11"/>
  <c r="AC121" i="11" s="1"/>
  <c r="AB50" i="11"/>
  <c r="AB60" i="11"/>
  <c r="AB121" i="11" s="1"/>
  <c r="AB47" i="11"/>
  <c r="AA48" i="11"/>
  <c r="AA58" i="11" s="1"/>
  <c r="AA59" i="11" s="1"/>
  <c r="AA11" i="9" s="1"/>
  <c r="AB8" i="18"/>
  <c r="AC8" i="18"/>
  <c r="AC37" i="11"/>
  <c r="AC39" i="11" s="1"/>
  <c r="AB39" i="11"/>
  <c r="AA10" i="18"/>
  <c r="Z12" i="18"/>
  <c r="AA75" i="11"/>
  <c r="AA78" i="11" s="1"/>
  <c r="AA123" i="11" s="1"/>
  <c r="AA6" i="18"/>
  <c r="AB43" i="11"/>
  <c r="AC43" i="11"/>
  <c r="AA63" i="11"/>
  <c r="AA53" i="11"/>
  <c r="AC44" i="11"/>
  <c r="D40" i="11"/>
  <c r="D95" i="11" s="1"/>
  <c r="E90" i="11" s="1"/>
  <c r="E92" i="11" s="1"/>
  <c r="E93" i="11" s="1"/>
  <c r="AC107" i="11" l="1"/>
  <c r="AC116" i="11"/>
  <c r="AB107" i="11"/>
  <c r="AC100" i="11" s="1"/>
  <c r="AB116" i="11"/>
  <c r="AB102" i="11"/>
  <c r="AB101" i="11"/>
  <c r="AC102" i="11"/>
  <c r="AC101" i="11"/>
  <c r="AA104" i="11"/>
  <c r="AA105" i="11" s="1"/>
  <c r="AA109" i="11" s="1"/>
  <c r="AB6" i="9"/>
  <c r="AB8" i="9" s="1"/>
  <c r="AC6" i="9"/>
  <c r="AC8" i="9" s="1"/>
  <c r="AC35" i="9"/>
  <c r="AC103" i="11"/>
  <c r="AB103" i="11"/>
  <c r="P70" i="11"/>
  <c r="P72" i="11"/>
  <c r="AB10" i="18"/>
  <c r="AC57" i="11"/>
  <c r="AB9" i="18"/>
  <c r="AC47" i="11"/>
  <c r="AC48" i="11" s="1"/>
  <c r="AC58" i="11" s="1"/>
  <c r="AB48" i="11"/>
  <c r="AB58" i="11" s="1"/>
  <c r="AB59" i="11" s="1"/>
  <c r="AB11" i="9" s="1"/>
  <c r="AC9" i="18"/>
  <c r="AC10" i="18"/>
  <c r="AA12" i="18"/>
  <c r="AB75" i="11"/>
  <c r="AB78" i="11" s="1"/>
  <c r="AB123" i="11" s="1"/>
  <c r="D8" i="18"/>
  <c r="AC6" i="18"/>
  <c r="AB6" i="18"/>
  <c r="D42" i="11"/>
  <c r="E37" i="11"/>
  <c r="AA36" i="9" l="1"/>
  <c r="AA37" i="9" s="1"/>
  <c r="AA39" i="9" s="1"/>
  <c r="AA41" i="9" s="1"/>
  <c r="AC104" i="11"/>
  <c r="AC105" i="11" s="1"/>
  <c r="AC36" i="9" s="1"/>
  <c r="AB104" i="11"/>
  <c r="AB105" i="11" s="1"/>
  <c r="Q67" i="11"/>
  <c r="P11" i="18"/>
  <c r="AC59" i="11"/>
  <c r="AC11" i="9" s="1"/>
  <c r="AC75" i="11"/>
  <c r="AC78" i="11" s="1"/>
  <c r="AC123" i="11" s="1"/>
  <c r="AB12" i="18"/>
  <c r="AC63" i="11"/>
  <c r="AC64" i="11"/>
  <c r="AB63" i="11"/>
  <c r="AC53" i="11"/>
  <c r="AC54" i="11"/>
  <c r="AB53" i="11"/>
  <c r="E40" i="11"/>
  <c r="E95" i="11" s="1"/>
  <c r="F90" i="11" s="1"/>
  <c r="F92" i="11" s="1"/>
  <c r="F93" i="11" s="1"/>
  <c r="AC109" i="11" l="1"/>
  <c r="AB109" i="11"/>
  <c r="AB36" i="9"/>
  <c r="AB37" i="9" s="1"/>
  <c r="AB39" i="9" s="1"/>
  <c r="AB41" i="9" s="1"/>
  <c r="Q69" i="11"/>
  <c r="AC37" i="9"/>
  <c r="AC39" i="9" s="1"/>
  <c r="AC41" i="9" s="1"/>
  <c r="E8" i="18"/>
  <c r="AC12" i="18"/>
  <c r="E42" i="11"/>
  <c r="F37" i="11"/>
  <c r="F40" i="11" s="1"/>
  <c r="F95" i="11" s="1"/>
  <c r="G90" i="11" s="1"/>
  <c r="G92" i="11" s="1"/>
  <c r="G93" i="11" s="1"/>
  <c r="Q70" i="11" l="1"/>
  <c r="Q10" i="9"/>
  <c r="F8" i="18"/>
  <c r="G37" i="11"/>
  <c r="G40" i="11" s="1"/>
  <c r="G95" i="11" s="1"/>
  <c r="H90" i="11" s="1"/>
  <c r="H92" i="11" s="1"/>
  <c r="H93" i="11" s="1"/>
  <c r="F42" i="11"/>
  <c r="R67" i="11" l="1"/>
  <c r="Q122" i="11"/>
  <c r="Q11" i="18"/>
  <c r="G8" i="18"/>
  <c r="R69" i="11"/>
  <c r="H37" i="11"/>
  <c r="H40" i="11" s="1"/>
  <c r="H95" i="11" s="1"/>
  <c r="I90" i="11" s="1"/>
  <c r="I92" i="11" s="1"/>
  <c r="I93" i="11" s="1"/>
  <c r="G43" i="11"/>
  <c r="G42" i="11"/>
  <c r="R10" i="9" l="1"/>
  <c r="R14" i="9" s="1"/>
  <c r="R16" i="9" s="1"/>
  <c r="R23" i="9" s="1"/>
  <c r="R27" i="9" s="1"/>
  <c r="R70" i="11"/>
  <c r="H8" i="18"/>
  <c r="I37" i="11"/>
  <c r="I40" i="11" s="1"/>
  <c r="I95" i="11" s="1"/>
  <c r="J90" i="11" s="1"/>
  <c r="J92" i="11" s="1"/>
  <c r="J93" i="11" s="1"/>
  <c r="H43" i="11"/>
  <c r="H42" i="11"/>
  <c r="R11" i="18" l="1"/>
  <c r="R13" i="18" s="1"/>
  <c r="R16" i="18" s="1"/>
  <c r="R18" i="18" s="1"/>
  <c r="R122" i="11"/>
  <c r="S67" i="11"/>
  <c r="S69" i="11" s="1"/>
  <c r="I8" i="18"/>
  <c r="I42" i="11"/>
  <c r="I43" i="11"/>
  <c r="J37" i="11"/>
  <c r="J40" i="11" s="1"/>
  <c r="J95" i="11" s="1"/>
  <c r="K90" i="11" s="1"/>
  <c r="K92" i="11" s="1"/>
  <c r="K93" i="11" s="1"/>
  <c r="S10" i="9" l="1"/>
  <c r="S14" i="9" s="1"/>
  <c r="S16" i="9" s="1"/>
  <c r="S23" i="9" s="1"/>
  <c r="S27" i="9" s="1"/>
  <c r="J8" i="18"/>
  <c r="S70" i="11"/>
  <c r="S122" i="11" s="1"/>
  <c r="J42" i="11"/>
  <c r="J43" i="11"/>
  <c r="K37" i="11"/>
  <c r="K40" i="11" s="1"/>
  <c r="K95" i="11" s="1"/>
  <c r="L90" i="11" s="1"/>
  <c r="L92" i="11" s="1"/>
  <c r="L93" i="11" s="1"/>
  <c r="K8" i="18" l="1"/>
  <c r="T67" i="11"/>
  <c r="S11" i="18"/>
  <c r="S13" i="18" s="1"/>
  <c r="S16" i="18" s="1"/>
  <c r="S18" i="18" s="1"/>
  <c r="L37" i="11"/>
  <c r="L40" i="11" s="1"/>
  <c r="L95" i="11" s="1"/>
  <c r="M90" i="11" s="1"/>
  <c r="M92" i="11" s="1"/>
  <c r="M93" i="11" s="1"/>
  <c r="K43" i="11"/>
  <c r="K42" i="11"/>
  <c r="T69" i="11" l="1"/>
  <c r="L8" i="18"/>
  <c r="L43" i="11"/>
  <c r="L42" i="11"/>
  <c r="M37" i="11"/>
  <c r="M40" i="11" s="1"/>
  <c r="M95" i="11" s="1"/>
  <c r="N90" i="11" s="1"/>
  <c r="N92" i="11" s="1"/>
  <c r="N93" i="11" s="1"/>
  <c r="T10" i="9" l="1"/>
  <c r="T14" i="9" s="1"/>
  <c r="T16" i="9" s="1"/>
  <c r="T23" i="9" s="1"/>
  <c r="T27" i="9" s="1"/>
  <c r="T70" i="11"/>
  <c r="T122" i="11" s="1"/>
  <c r="M8" i="18"/>
  <c r="N37" i="11"/>
  <c r="N40" i="11" s="1"/>
  <c r="N95" i="11" s="1"/>
  <c r="O90" i="11" s="1"/>
  <c r="O92" i="11" s="1"/>
  <c r="O93" i="11" s="1"/>
  <c r="M43" i="11"/>
  <c r="M42" i="11"/>
  <c r="T11" i="18" l="1"/>
  <c r="T13" i="18" s="1"/>
  <c r="T16" i="18" s="1"/>
  <c r="T18" i="18" s="1"/>
  <c r="U67" i="11"/>
  <c r="N8" i="18"/>
  <c r="O37" i="11"/>
  <c r="O40" i="11" s="1"/>
  <c r="O95" i="11" s="1"/>
  <c r="P90" i="11" s="1"/>
  <c r="P92" i="11" s="1"/>
  <c r="P93" i="11" s="1"/>
  <c r="N43" i="11"/>
  <c r="N42" i="11"/>
  <c r="U69" i="11" l="1"/>
  <c r="U70" i="11" s="1"/>
  <c r="U122" i="11" s="1"/>
  <c r="O8" i="18"/>
  <c r="P37" i="11"/>
  <c r="O43" i="11"/>
  <c r="O42" i="11"/>
  <c r="U10" i="9" l="1"/>
  <c r="U14" i="9" s="1"/>
  <c r="U16" i="9" s="1"/>
  <c r="U23" i="9" s="1"/>
  <c r="U27" i="9" s="1"/>
  <c r="U11" i="18"/>
  <c r="U13" i="18" s="1"/>
  <c r="U16" i="18" s="1"/>
  <c r="V67" i="11"/>
  <c r="P40" i="11"/>
  <c r="P95" i="11" s="1"/>
  <c r="Q90" i="11" s="1"/>
  <c r="Q91" i="11" l="1"/>
  <c r="Q92" i="11" s="1"/>
  <c r="Q93" i="11" s="1"/>
  <c r="Q35" i="9" s="1"/>
  <c r="U18" i="18"/>
  <c r="V69" i="11"/>
  <c r="P8" i="18"/>
  <c r="Q8" i="18"/>
  <c r="Q37" i="11"/>
  <c r="Q39" i="11" s="1"/>
  <c r="P42" i="11"/>
  <c r="P44" i="11"/>
  <c r="P43" i="11"/>
  <c r="V10" i="9" l="1"/>
  <c r="V14" i="9" s="1"/>
  <c r="V16" i="9" s="1"/>
  <c r="V23" i="9" s="1"/>
  <c r="V27" i="9" s="1"/>
  <c r="Q6" i="9"/>
  <c r="Q8" i="9" s="1"/>
  <c r="V70" i="11"/>
  <c r="D47" i="11"/>
  <c r="D50" i="11" s="1"/>
  <c r="D107" i="11" s="1"/>
  <c r="E100" i="11" s="1"/>
  <c r="D57" i="11"/>
  <c r="D60" i="11" s="1"/>
  <c r="D10" i="18" s="1"/>
  <c r="V11" i="18" l="1"/>
  <c r="V13" i="18" s="1"/>
  <c r="V16" i="18" s="1"/>
  <c r="V18" i="18" s="1"/>
  <c r="V122" i="11"/>
  <c r="W67" i="11"/>
  <c r="W69" i="11" s="1"/>
  <c r="E102" i="11"/>
  <c r="E101" i="11"/>
  <c r="E104" i="11" s="1"/>
  <c r="E105" i="11" s="1"/>
  <c r="E109" i="11" s="1"/>
  <c r="E103" i="11"/>
  <c r="D9" i="18"/>
  <c r="D13" i="18" s="1"/>
  <c r="D16" i="18" s="1"/>
  <c r="D18" i="18" s="1"/>
  <c r="E47" i="11"/>
  <c r="E50" i="11" s="1"/>
  <c r="E107" i="11" s="1"/>
  <c r="F100" i="11" s="1"/>
  <c r="D52" i="11"/>
  <c r="E57" i="11"/>
  <c r="E60" i="11" s="1"/>
  <c r="E10" i="18" s="1"/>
  <c r="D62" i="11"/>
  <c r="F102" i="11" l="1"/>
  <c r="F101" i="11"/>
  <c r="W10" i="9"/>
  <c r="W14" i="9" s="1"/>
  <c r="W16" i="9" s="1"/>
  <c r="W23" i="9" s="1"/>
  <c r="W27" i="9" s="1"/>
  <c r="F103" i="11"/>
  <c r="W70" i="11"/>
  <c r="W122" i="11" s="1"/>
  <c r="E9" i="18"/>
  <c r="E13" i="18" s="1"/>
  <c r="E16" i="18" s="1"/>
  <c r="E18" i="18" s="1"/>
  <c r="E52" i="11"/>
  <c r="F47" i="11"/>
  <c r="F50" i="11" s="1"/>
  <c r="F107" i="11" s="1"/>
  <c r="G100" i="11" s="1"/>
  <c r="F57" i="11"/>
  <c r="F60" i="11" s="1"/>
  <c r="F10" i="18" s="1"/>
  <c r="E62" i="11"/>
  <c r="G101" i="11" l="1"/>
  <c r="G102" i="11"/>
  <c r="F104" i="11"/>
  <c r="F105" i="11" s="1"/>
  <c r="F109" i="11" s="1"/>
  <c r="G103" i="11"/>
  <c r="X67" i="11"/>
  <c r="W11" i="18"/>
  <c r="W13" i="18" s="1"/>
  <c r="W16" i="18" s="1"/>
  <c r="W18" i="18" s="1"/>
  <c r="F9" i="18"/>
  <c r="F13" i="18" s="1"/>
  <c r="F16" i="18" s="1"/>
  <c r="F18" i="18" s="1"/>
  <c r="F52" i="11"/>
  <c r="G47" i="11"/>
  <c r="G50" i="11" s="1"/>
  <c r="G57" i="11"/>
  <c r="G60" i="11" s="1"/>
  <c r="G10" i="18" s="1"/>
  <c r="F62" i="11"/>
  <c r="G104" i="11" l="1"/>
  <c r="G105" i="11" s="1"/>
  <c r="G109" i="11" s="1"/>
  <c r="G9" i="18"/>
  <c r="G13" i="18" s="1"/>
  <c r="G16" i="18" s="1"/>
  <c r="G18" i="18" s="1"/>
  <c r="G107" i="11"/>
  <c r="H100" i="11" s="1"/>
  <c r="X69" i="11"/>
  <c r="G53" i="11"/>
  <c r="G52" i="11"/>
  <c r="H47" i="11"/>
  <c r="H50" i="11" s="1"/>
  <c r="H57" i="11"/>
  <c r="H60" i="11" s="1"/>
  <c r="H10" i="18" s="1"/>
  <c r="G62" i="11"/>
  <c r="G63" i="11"/>
  <c r="H101" i="11" l="1"/>
  <c r="H102" i="11"/>
  <c r="X10" i="9"/>
  <c r="X14" i="9" s="1"/>
  <c r="X16" i="9" s="1"/>
  <c r="X23" i="9" s="1"/>
  <c r="X27" i="9" s="1"/>
  <c r="H9" i="18"/>
  <c r="H13" i="18" s="1"/>
  <c r="H16" i="18" s="1"/>
  <c r="H18" i="18" s="1"/>
  <c r="H107" i="11"/>
  <c r="I100" i="11" s="1"/>
  <c r="H103" i="11"/>
  <c r="X70" i="11"/>
  <c r="X122" i="11" s="1"/>
  <c r="I47" i="11"/>
  <c r="I50" i="11" s="1"/>
  <c r="I107" i="11" s="1"/>
  <c r="J100" i="11" s="1"/>
  <c r="H52" i="11"/>
  <c r="H53" i="11"/>
  <c r="I57" i="11"/>
  <c r="I60" i="11" s="1"/>
  <c r="I10" i="18" s="1"/>
  <c r="H62" i="11"/>
  <c r="H63" i="11"/>
  <c r="J101" i="11" l="1"/>
  <c r="J102" i="11"/>
  <c r="I102" i="11"/>
  <c r="I101" i="11"/>
  <c r="H104" i="11"/>
  <c r="H105" i="11" s="1"/>
  <c r="H109" i="11" s="1"/>
  <c r="I103" i="11"/>
  <c r="J103" i="11"/>
  <c r="Y67" i="11"/>
  <c r="X11" i="18"/>
  <c r="X13" i="18" s="1"/>
  <c r="X16" i="18" s="1"/>
  <c r="X18" i="18" s="1"/>
  <c r="I9" i="18"/>
  <c r="I13" i="18" s="1"/>
  <c r="I16" i="18" s="1"/>
  <c r="I18" i="18" s="1"/>
  <c r="I52" i="11"/>
  <c r="I53" i="11"/>
  <c r="J47" i="11"/>
  <c r="J50" i="11" s="1"/>
  <c r="J57" i="11"/>
  <c r="J60" i="11" s="1"/>
  <c r="J10" i="18" s="1"/>
  <c r="I62" i="11"/>
  <c r="I63" i="11"/>
  <c r="J104" i="11" l="1"/>
  <c r="J105" i="11" s="1"/>
  <c r="J109" i="11" s="1"/>
  <c r="I104" i="11"/>
  <c r="I105" i="11" s="1"/>
  <c r="I109" i="11" s="1"/>
  <c r="J9" i="18"/>
  <c r="J13" i="18" s="1"/>
  <c r="J16" i="18" s="1"/>
  <c r="J18" i="18" s="1"/>
  <c r="J107" i="11"/>
  <c r="K100" i="11" s="1"/>
  <c r="Y69" i="11"/>
  <c r="J53" i="11"/>
  <c r="J52" i="11"/>
  <c r="K47" i="11"/>
  <c r="K50" i="11" s="1"/>
  <c r="K57" i="11"/>
  <c r="K60" i="11" s="1"/>
  <c r="K10" i="18" s="1"/>
  <c r="J63" i="11"/>
  <c r="J62" i="11"/>
  <c r="K101" i="11" l="1"/>
  <c r="K102" i="11"/>
  <c r="Y10" i="9"/>
  <c r="Y14" i="9" s="1"/>
  <c r="Y16" i="9" s="1"/>
  <c r="Y23" i="9" s="1"/>
  <c r="Y27" i="9" s="1"/>
  <c r="K9" i="18"/>
  <c r="K107" i="11"/>
  <c r="L100" i="11" s="1"/>
  <c r="K103" i="11"/>
  <c r="Y70" i="11"/>
  <c r="Y122" i="11" s="1"/>
  <c r="K13" i="18"/>
  <c r="K16" i="18" s="1"/>
  <c r="K18" i="18" s="1"/>
  <c r="K52" i="11"/>
  <c r="K53" i="11"/>
  <c r="L47" i="11"/>
  <c r="L50" i="11" s="1"/>
  <c r="L57" i="11"/>
  <c r="L60" i="11" s="1"/>
  <c r="L10" i="18" s="1"/>
  <c r="K62" i="11"/>
  <c r="K63" i="11"/>
  <c r="L101" i="11" l="1"/>
  <c r="L102" i="11"/>
  <c r="K104" i="11"/>
  <c r="K105" i="11" s="1"/>
  <c r="K109" i="11" s="1"/>
  <c r="L9" i="18"/>
  <c r="L13" i="18" s="1"/>
  <c r="L16" i="18" s="1"/>
  <c r="L18" i="18" s="1"/>
  <c r="L107" i="11"/>
  <c r="M100" i="11" s="1"/>
  <c r="L103" i="11"/>
  <c r="Z67" i="11"/>
  <c r="Y11" i="18"/>
  <c r="Y13" i="18" s="1"/>
  <c r="Y16" i="18" s="1"/>
  <c r="Y18" i="18" s="1"/>
  <c r="L53" i="11"/>
  <c r="L52" i="11"/>
  <c r="M47" i="11"/>
  <c r="M50" i="11" s="1"/>
  <c r="M57" i="11"/>
  <c r="M60" i="11" s="1"/>
  <c r="M10" i="18" s="1"/>
  <c r="L63" i="11"/>
  <c r="L62" i="11"/>
  <c r="L104" i="11" l="1"/>
  <c r="L105" i="11" s="1"/>
  <c r="L109" i="11" s="1"/>
  <c r="M102" i="11"/>
  <c r="M101" i="11"/>
  <c r="M103" i="11"/>
  <c r="M9" i="18"/>
  <c r="M13" i="18" s="1"/>
  <c r="M16" i="18" s="1"/>
  <c r="M18" i="18" s="1"/>
  <c r="M107" i="11"/>
  <c r="N100" i="11" s="1"/>
  <c r="Z69" i="11"/>
  <c r="M53" i="11"/>
  <c r="M52" i="11"/>
  <c r="N47" i="11"/>
  <c r="N50" i="11" s="1"/>
  <c r="N107" i="11" s="1"/>
  <c r="O100" i="11" s="1"/>
  <c r="N57" i="11"/>
  <c r="N60" i="11" s="1"/>
  <c r="N10" i="18" s="1"/>
  <c r="M63" i="11"/>
  <c r="M62" i="11"/>
  <c r="M104" i="11" l="1"/>
  <c r="M105" i="11" s="1"/>
  <c r="M109" i="11" s="1"/>
  <c r="N102" i="11"/>
  <c r="N101" i="11"/>
  <c r="O101" i="11"/>
  <c r="O102" i="11"/>
  <c r="Z10" i="9"/>
  <c r="Z14" i="9" s="1"/>
  <c r="Z16" i="9" s="1"/>
  <c r="Z23" i="9" s="1"/>
  <c r="Z27" i="9" s="1"/>
  <c r="N103" i="11"/>
  <c r="O103" i="11"/>
  <c r="Z70" i="11"/>
  <c r="N9" i="18"/>
  <c r="N13" i="18" s="1"/>
  <c r="N16" i="18" s="1"/>
  <c r="N18" i="18" s="1"/>
  <c r="N53" i="11"/>
  <c r="N52" i="11"/>
  <c r="O47" i="11"/>
  <c r="O50" i="11" s="1"/>
  <c r="O57" i="11"/>
  <c r="O60" i="11" s="1"/>
  <c r="O10" i="18" s="1"/>
  <c r="N63" i="11"/>
  <c r="N62" i="11"/>
  <c r="Z11" i="18" l="1"/>
  <c r="Z13" i="18" s="1"/>
  <c r="Z16" i="18" s="1"/>
  <c r="Z18" i="18" s="1"/>
  <c r="Z122" i="11"/>
  <c r="N104" i="11"/>
  <c r="N105" i="11" s="1"/>
  <c r="N109" i="11" s="1"/>
  <c r="O104" i="11"/>
  <c r="O105" i="11" s="1"/>
  <c r="O109" i="11" s="1"/>
  <c r="AA67" i="11"/>
  <c r="AA69" i="11" s="1"/>
  <c r="O9" i="18"/>
  <c r="O13" i="18" s="1"/>
  <c r="O16" i="18" s="1"/>
  <c r="O18" i="18" s="1"/>
  <c r="O107" i="11"/>
  <c r="P100" i="11" s="1"/>
  <c r="O53" i="11"/>
  <c r="O52" i="11"/>
  <c r="P47" i="11"/>
  <c r="P50" i="11" s="1"/>
  <c r="P57" i="11"/>
  <c r="P60" i="11" s="1"/>
  <c r="O62" i="11"/>
  <c r="O63" i="11"/>
  <c r="P101" i="11" l="1"/>
  <c r="P102" i="11"/>
  <c r="AA10" i="9"/>
  <c r="AA14" i="9" s="1"/>
  <c r="AA16" i="9" s="1"/>
  <c r="AA23" i="9" s="1"/>
  <c r="AA27" i="9" s="1"/>
  <c r="AA70" i="11"/>
  <c r="P9" i="18"/>
  <c r="P107" i="11"/>
  <c r="Q100" i="11" s="1"/>
  <c r="P103" i="11"/>
  <c r="P104" i="11" s="1"/>
  <c r="P105" i="11" s="1"/>
  <c r="P109" i="11" s="1"/>
  <c r="P10" i="18"/>
  <c r="Q57" i="11"/>
  <c r="Q10" i="18"/>
  <c r="P52" i="11"/>
  <c r="P54" i="11"/>
  <c r="Q9" i="18"/>
  <c r="Q47" i="11"/>
  <c r="Q48" i="11" s="1"/>
  <c r="Q58" i="11" s="1"/>
  <c r="P53" i="11"/>
  <c r="P62" i="11"/>
  <c r="P64" i="11"/>
  <c r="P63" i="11"/>
  <c r="AB67" i="11" l="1"/>
  <c r="AA122" i="11"/>
  <c r="Q101" i="11"/>
  <c r="Q102" i="11"/>
  <c r="P13" i="18"/>
  <c r="P16" i="18" s="1"/>
  <c r="P18" i="18" s="1"/>
  <c r="AA11" i="18"/>
  <c r="AA13" i="18" s="1"/>
  <c r="AA16" i="18" s="1"/>
  <c r="AA18" i="18" s="1"/>
  <c r="Q103" i="11"/>
  <c r="Q59" i="11"/>
  <c r="Q13" i="18"/>
  <c r="Q16" i="18" s="1"/>
  <c r="AB69" i="11"/>
  <c r="AB10" i="9" l="1"/>
  <c r="AB14" i="9" s="1"/>
  <c r="AB16" i="9" s="1"/>
  <c r="AB23" i="9" s="1"/>
  <c r="AB27" i="9" s="1"/>
  <c r="Q11" i="9"/>
  <c r="Q14" i="9" s="1"/>
  <c r="Q16" i="9" s="1"/>
  <c r="Q104" i="11"/>
  <c r="Q105" i="11" s="1"/>
  <c r="AB70" i="11"/>
  <c r="AB11" i="18" l="1"/>
  <c r="AB13" i="18" s="1"/>
  <c r="AB16" i="18" s="1"/>
  <c r="AB18" i="18" s="1"/>
  <c r="AB122" i="11"/>
  <c r="Q23" i="9"/>
  <c r="Q27" i="9" s="1"/>
  <c r="Q28" i="9" s="1"/>
  <c r="Q30" i="9" s="1"/>
  <c r="Q18" i="18"/>
  <c r="Q109" i="11"/>
  <c r="Q36" i="9"/>
  <c r="Q37" i="9" s="1"/>
  <c r="Q39" i="9" s="1"/>
  <c r="Q41" i="9" s="1"/>
  <c r="Q43" i="9" s="1"/>
  <c r="AC67" i="11"/>
  <c r="AC69" i="11" s="1"/>
  <c r="Q46" i="9" l="1"/>
  <c r="R26" i="9"/>
  <c r="R28" i="9" s="1"/>
  <c r="R30" i="9" s="1"/>
  <c r="R31" i="9" s="1"/>
  <c r="R114" i="11" s="1"/>
  <c r="AC10" i="9"/>
  <c r="AC14" i="9" s="1"/>
  <c r="AC16" i="9" s="1"/>
  <c r="AC70" i="11"/>
  <c r="Q47" i="9"/>
  <c r="Q48" i="9" s="1"/>
  <c r="Q31" i="9"/>
  <c r="Q114" i="11" s="1"/>
  <c r="AC11" i="18" l="1"/>
  <c r="AC13" i="18" s="1"/>
  <c r="AC16" i="18" s="1"/>
  <c r="AC122" i="11"/>
  <c r="S26" i="9"/>
  <c r="S28" i="9" s="1"/>
  <c r="S30" i="9" s="1"/>
  <c r="S31" i="9" s="1"/>
  <c r="S114" i="11" s="1"/>
  <c r="AC18" i="18"/>
  <c r="Q49" i="9"/>
  <c r="R55" i="9"/>
  <c r="Q52" i="9"/>
  <c r="Q120" i="11" s="1"/>
  <c r="R45" i="9"/>
  <c r="T26" i="9" l="1"/>
  <c r="T28" i="9" s="1"/>
  <c r="U26" i="9" s="1"/>
  <c r="U28" i="9" s="1"/>
  <c r="V26" i="9" s="1"/>
  <c r="V28" i="9" s="1"/>
  <c r="W26" i="9" s="1"/>
  <c r="W28" i="9" s="1"/>
  <c r="R43" i="9"/>
  <c r="R46" i="9" s="1"/>
  <c r="R47" i="9"/>
  <c r="V30" i="9" l="1"/>
  <c r="V31" i="9" s="1"/>
  <c r="V114" i="11" s="1"/>
  <c r="U30" i="9"/>
  <c r="U31" i="9" s="1"/>
  <c r="U114" i="11" s="1"/>
  <c r="T30" i="9"/>
  <c r="T31" i="9" s="1"/>
  <c r="T114" i="11" s="1"/>
  <c r="R48" i="9"/>
  <c r="W30" i="9"/>
  <c r="W31" i="9" s="1"/>
  <c r="W114" i="11" s="1"/>
  <c r="X26" i="9"/>
  <c r="X28" i="9" s="1"/>
  <c r="S55" i="9" l="1"/>
  <c r="R52" i="9"/>
  <c r="R120" i="11" s="1"/>
  <c r="S45" i="9"/>
  <c r="R49" i="9"/>
  <c r="X30" i="9"/>
  <c r="X31" i="9" s="1"/>
  <c r="X114" i="11" s="1"/>
  <c r="Y26" i="9"/>
  <c r="Y28" i="9" s="1"/>
  <c r="S47" i="9" l="1"/>
  <c r="S43" i="9"/>
  <c r="S46" i="9" s="1"/>
  <c r="Y30" i="9"/>
  <c r="Y31" i="9" s="1"/>
  <c r="Y114" i="11" s="1"/>
  <c r="Z26" i="9"/>
  <c r="Z28" i="9" s="1"/>
  <c r="S48" i="9" l="1"/>
  <c r="T55" i="9" s="1"/>
  <c r="AA26" i="9"/>
  <c r="AA28" i="9" s="1"/>
  <c r="Z30" i="9"/>
  <c r="Z31" i="9" s="1"/>
  <c r="Z114" i="11" s="1"/>
  <c r="S49" i="9" l="1"/>
  <c r="T45" i="9"/>
  <c r="T43" i="9" s="1"/>
  <c r="T46" i="9" s="1"/>
  <c r="S52" i="9"/>
  <c r="S120" i="11" s="1"/>
  <c r="AA30" i="9"/>
  <c r="AA31" i="9" s="1"/>
  <c r="AA114" i="11" s="1"/>
  <c r="AB26" i="9"/>
  <c r="AB28" i="9" s="1"/>
  <c r="T47" i="9" l="1"/>
  <c r="T48" i="9" s="1"/>
  <c r="AC26" i="9"/>
  <c r="AB30" i="9"/>
  <c r="AB31" i="9" s="1"/>
  <c r="AB114" i="11" s="1"/>
  <c r="T49" i="9" l="1"/>
  <c r="U45" i="9"/>
  <c r="U55" i="9"/>
  <c r="T52" i="9"/>
  <c r="T120" i="11" s="1"/>
  <c r="U43" i="9" l="1"/>
  <c r="U46" i="9" s="1"/>
  <c r="U47" i="9"/>
  <c r="U48" i="9" l="1"/>
  <c r="V55" i="9" s="1"/>
  <c r="U52" i="9" l="1"/>
  <c r="U120" i="11" s="1"/>
  <c r="U49" i="9"/>
  <c r="V45" i="9"/>
  <c r="V43" i="9" s="1"/>
  <c r="V46" i="9" s="1"/>
  <c r="V47" i="9" l="1"/>
  <c r="V48" i="9" s="1"/>
  <c r="V52" i="9" s="1"/>
  <c r="V120" i="11" s="1"/>
  <c r="W45" i="9" l="1"/>
  <c r="W43" i="9" s="1"/>
  <c r="W46" i="9" s="1"/>
  <c r="V49" i="9"/>
  <c r="W55" i="9"/>
  <c r="W47" i="9" l="1"/>
  <c r="W48" i="9" s="1"/>
  <c r="W52" i="9" s="1"/>
  <c r="W120" i="11" s="1"/>
  <c r="W49" i="9" l="1"/>
  <c r="X45" i="9"/>
  <c r="X47" i="9" s="1"/>
  <c r="X55" i="9"/>
  <c r="X43" i="9" l="1"/>
  <c r="X46" i="9" s="1"/>
  <c r="X48" i="9" s="1"/>
  <c r="Y55" i="9" s="1"/>
  <c r="X52" i="9" l="1"/>
  <c r="X120" i="11" s="1"/>
  <c r="Y45" i="9"/>
  <c r="Y43" i="9" s="1"/>
  <c r="Y46" i="9" s="1"/>
  <c r="X49" i="9"/>
  <c r="Y47" i="9" l="1"/>
  <c r="Y48" i="9" s="1"/>
  <c r="Z55" i="9" s="1"/>
  <c r="Y49" i="9" l="1"/>
  <c r="Z45" i="9"/>
  <c r="Z47" i="9" s="1"/>
  <c r="Y52" i="9"/>
  <c r="Y120" i="11" s="1"/>
  <c r="Z43" i="9" l="1"/>
  <c r="Z46" i="9" s="1"/>
  <c r="Z48" i="9" s="1"/>
  <c r="AA55" i="9" s="1"/>
  <c r="Z52" i="9" l="1"/>
  <c r="Z120" i="11" s="1"/>
  <c r="AA45" i="9"/>
  <c r="AA47" i="9" s="1"/>
  <c r="Z49" i="9"/>
  <c r="AA43" i="9" l="1"/>
  <c r="AA46" i="9" s="1"/>
  <c r="AA48" i="9" s="1"/>
  <c r="AB55" i="9" l="1"/>
  <c r="AB45" i="9"/>
  <c r="AA49" i="9"/>
  <c r="AA52" i="9"/>
  <c r="AA120" i="11" s="1"/>
  <c r="AB47" i="9" l="1"/>
  <c r="AB43" i="9"/>
  <c r="AB46" i="9" s="1"/>
  <c r="AB48" i="9" l="1"/>
  <c r="AC45" i="9" s="1"/>
  <c r="AC55" i="9" l="1"/>
  <c r="AC18" i="9" s="1"/>
  <c r="AC21" i="9" s="1"/>
  <c r="AC23" i="9" s="1"/>
  <c r="AC27" i="9" s="1"/>
  <c r="AC28" i="9" s="1"/>
  <c r="AC30" i="9" s="1"/>
  <c r="AC31" i="9" s="1"/>
  <c r="AC114" i="11" s="1"/>
  <c r="AB52" i="9"/>
  <c r="AB120" i="11" s="1"/>
  <c r="AB49" i="9"/>
  <c r="AC43" i="9"/>
  <c r="AC47" i="9" l="1"/>
  <c r="AC46" i="9"/>
  <c r="AC48" i="9" l="1"/>
  <c r="AC49" i="9" s="1"/>
  <c r="AC52" i="9" l="1"/>
  <c r="AC12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Cordone</author>
  </authors>
  <commentList>
    <comment ref="Q39" authorId="0" shapeId="0" xr:uid="{AF2155F4-C859-438F-A5AB-0873618D28B9}">
      <text>
        <r>
          <rPr>
            <b/>
            <sz val="9"/>
            <color indexed="81"/>
            <rFont val="Tahoma"/>
            <family val="2"/>
          </rPr>
          <t>Chris Cordone:</t>
        </r>
        <r>
          <rPr>
            <sz val="9"/>
            <color indexed="81"/>
            <rFont val="Tahoma"/>
            <family val="2"/>
          </rPr>
          <t xml:space="preserve">
Step 2)Once ending AR is calculated, solve for this.</t>
        </r>
      </text>
    </comment>
    <comment ref="C40" authorId="0" shapeId="0" xr:uid="{6C900760-0541-4B50-B06B-503EFF3693D1}">
      <text>
        <r>
          <rPr>
            <b/>
            <sz val="9"/>
            <color indexed="81"/>
            <rFont val="Tahoma"/>
            <family val="2"/>
          </rPr>
          <t>Chris Cordone:</t>
        </r>
        <r>
          <rPr>
            <sz val="9"/>
            <color indexed="81"/>
            <rFont val="Tahoma"/>
            <family val="2"/>
          </rPr>
          <t xml:space="preserve">
In this case, the ending of the previous week happens to be the month end date, so we can get this data from our balance sheet. In any other case, we would have to track down the ending balance amount on the week end date.</t>
        </r>
      </text>
    </comment>
    <comment ref="P40" authorId="0" shapeId="0" xr:uid="{0D1B7089-F592-4DEF-A47A-30BEDA65862B}">
      <text>
        <r>
          <rPr>
            <b/>
            <sz val="9"/>
            <color indexed="81"/>
            <rFont val="Tahoma"/>
            <family val="2"/>
          </rPr>
          <t>Chris Cordone:</t>
        </r>
        <r>
          <rPr>
            <sz val="9"/>
            <color indexed="81"/>
            <rFont val="Tahoma"/>
            <family val="2"/>
          </rPr>
          <t xml:space="preserve">
If we are building the 13WCF for the first time, we will need a starting point for the balance sheet data.  We will need balance sheet data as of the previous week end which would most likely come from management. We have provided that on the "Weekly BS" tab. 
</t>
        </r>
      </text>
    </comment>
    <comment ref="Q40" authorId="0" shapeId="0" xr:uid="{B943BADB-F5E1-4821-A882-C698C70AF014}">
      <text>
        <r>
          <rPr>
            <b/>
            <sz val="9"/>
            <color indexed="81"/>
            <rFont val="Tahoma"/>
            <family val="2"/>
          </rPr>
          <t>Chris Cordone:</t>
        </r>
        <r>
          <rPr>
            <sz val="9"/>
            <color indexed="81"/>
            <rFont val="Tahoma"/>
            <family val="2"/>
          </rPr>
          <t xml:space="preserve">
Step 1)Solve for this using assumption for AR days</t>
        </r>
      </text>
    </comment>
    <comment ref="Q48" authorId="0" shapeId="0" xr:uid="{29CE2997-AC60-4DD0-855E-0B290307DA77}">
      <text>
        <r>
          <rPr>
            <b/>
            <sz val="9"/>
            <color indexed="81"/>
            <rFont val="Tahoma"/>
            <family val="2"/>
          </rPr>
          <t>Chris Cordone:</t>
        </r>
        <r>
          <rPr>
            <sz val="9"/>
            <color indexed="81"/>
            <rFont val="Tahoma"/>
            <family val="2"/>
          </rPr>
          <t xml:space="preserve">
2)Solve for Purchases of Materials, which will lead to your Accounts Payable analysis</t>
        </r>
      </text>
    </comment>
    <comment ref="Q49" authorId="0" shapeId="0" xr:uid="{A95F9BC5-3FC2-42C7-89EC-FF403128C67A}">
      <text>
        <r>
          <rPr>
            <b/>
            <sz val="9"/>
            <color indexed="81"/>
            <rFont val="Tahoma"/>
            <family val="2"/>
          </rPr>
          <t>Chris Cordone:</t>
        </r>
        <r>
          <rPr>
            <sz val="9"/>
            <color indexed="81"/>
            <rFont val="Tahoma"/>
            <family val="2"/>
          </rPr>
          <t xml:space="preserve">
This comes from weekly  IS -- only considering materials not labor</t>
        </r>
      </text>
    </comment>
    <comment ref="C50" authorId="0" shapeId="0" xr:uid="{FE08DA97-112A-4D14-99E7-11C416E8D72C}">
      <text>
        <r>
          <rPr>
            <b/>
            <sz val="9"/>
            <color indexed="81"/>
            <rFont val="Tahoma"/>
            <family val="2"/>
          </rPr>
          <t>Chris Cordone:</t>
        </r>
        <r>
          <rPr>
            <sz val="9"/>
            <color indexed="81"/>
            <rFont val="Tahoma"/>
            <family val="2"/>
          </rPr>
          <t xml:space="preserve">
In this case, the ending of the previous week happens to be the month end date, so we can get this data from our balance sheet. In any other case, we would have to track down the ending balance amount on the week end date.</t>
        </r>
      </text>
    </comment>
    <comment ref="P50" authorId="0" shapeId="0" xr:uid="{944CD5BF-BE8B-4C3C-A452-D6C7FD8CD9E2}">
      <text>
        <r>
          <rPr>
            <b/>
            <sz val="9"/>
            <color indexed="81"/>
            <rFont val="Tahoma"/>
            <family val="2"/>
          </rPr>
          <t>Chris Cordone:</t>
        </r>
        <r>
          <rPr>
            <sz val="9"/>
            <color indexed="81"/>
            <rFont val="Tahoma"/>
            <family val="2"/>
          </rPr>
          <t xml:space="preserve">
If we are building the 13WCF for the first time, we will need a starting point for the balance sheet data.  We will need balance sheet data as of the previous week end which would most likely come from management. We have provided that on the "Weekly BS" tab. 
</t>
        </r>
      </text>
    </comment>
    <comment ref="Q50" authorId="0" shapeId="0" xr:uid="{320693BB-2713-404D-900A-786A21556315}">
      <text>
        <r>
          <rPr>
            <b/>
            <sz val="9"/>
            <color indexed="81"/>
            <rFont val="Tahoma"/>
            <family val="2"/>
          </rPr>
          <t>Chris Cordone:</t>
        </r>
        <r>
          <rPr>
            <sz val="9"/>
            <color indexed="81"/>
            <rFont val="Tahoma"/>
            <family val="2"/>
          </rPr>
          <t xml:space="preserve">
1)Solve for ending Inventory using Days Outstanding assumption</t>
        </r>
      </text>
    </comment>
    <comment ref="Q58" authorId="0" shapeId="0" xr:uid="{E8ED3A64-A1CC-401E-8538-3999832A6758}">
      <text>
        <r>
          <rPr>
            <b/>
            <sz val="9"/>
            <color indexed="81"/>
            <rFont val="Tahoma"/>
            <family val="2"/>
          </rPr>
          <t>Chris Cordone:</t>
        </r>
        <r>
          <rPr>
            <sz val="9"/>
            <color indexed="81"/>
            <rFont val="Tahoma"/>
            <family val="2"/>
          </rPr>
          <t xml:space="preserve">
1)This comes from Inventory calc above</t>
        </r>
      </text>
    </comment>
    <comment ref="Q59" authorId="0" shapeId="0" xr:uid="{C5BDD556-551D-413B-8581-9F9817F0CE33}">
      <text>
        <r>
          <rPr>
            <b/>
            <sz val="9"/>
            <color indexed="81"/>
            <rFont val="Tahoma"/>
            <family val="2"/>
          </rPr>
          <t>Chris Cordone:</t>
        </r>
        <r>
          <rPr>
            <sz val="9"/>
            <color indexed="81"/>
            <rFont val="Tahoma"/>
            <family val="2"/>
          </rPr>
          <t xml:space="preserve">
3) Solve for supplier payments</t>
        </r>
      </text>
    </comment>
    <comment ref="C60" authorId="0" shapeId="0" xr:uid="{C0DCE8AB-508C-4B27-8E19-5EE3D29346FB}">
      <text>
        <r>
          <rPr>
            <b/>
            <sz val="9"/>
            <color indexed="81"/>
            <rFont val="Tahoma"/>
            <family val="2"/>
          </rPr>
          <t>Chris Cordone:</t>
        </r>
        <r>
          <rPr>
            <sz val="9"/>
            <color indexed="81"/>
            <rFont val="Tahoma"/>
            <family val="2"/>
          </rPr>
          <t xml:space="preserve">
In this case, the ending of the previous week happens to be the month end date, so we can get this data from our balance sheet. In any other case, we would have to track down the ending balance amount on the week end date.</t>
        </r>
      </text>
    </comment>
    <comment ref="P60" authorId="0" shapeId="0" xr:uid="{C3B5B090-72D4-4C2C-9F18-44BBA125A879}">
      <text>
        <r>
          <rPr>
            <b/>
            <sz val="9"/>
            <color indexed="81"/>
            <rFont val="Tahoma"/>
            <family val="2"/>
          </rPr>
          <t>Chris Cordone:</t>
        </r>
        <r>
          <rPr>
            <sz val="9"/>
            <color indexed="81"/>
            <rFont val="Tahoma"/>
            <family val="2"/>
          </rPr>
          <t xml:space="preserve">
If we are building the 13WCF for the first time, we will need a starting point for the balance sheet data.  We will need balance sheet data as of the previous week end which would most likely come from management. We have provided that on the "Weekly BS" tab. 
</t>
        </r>
      </text>
    </comment>
    <comment ref="Q60" authorId="0" shapeId="0" xr:uid="{79EFB0D7-5294-4D5E-8FEB-802F7712A770}">
      <text>
        <r>
          <rPr>
            <b/>
            <sz val="9"/>
            <color indexed="81"/>
            <rFont val="Tahoma"/>
            <family val="2"/>
          </rPr>
          <t>Chris Cordone:</t>
        </r>
        <r>
          <rPr>
            <sz val="9"/>
            <color indexed="81"/>
            <rFont val="Tahoma"/>
            <family val="2"/>
          </rPr>
          <t xml:space="preserve">
2)Solve using days payables assumption below</t>
        </r>
      </text>
    </comment>
    <comment ref="Q69" authorId="0" shapeId="0" xr:uid="{94FEF620-AA34-4409-AD9E-810B0B3E5BF6}">
      <text>
        <r>
          <rPr>
            <b/>
            <sz val="9"/>
            <color indexed="81"/>
            <rFont val="Tahoma"/>
            <family val="2"/>
          </rPr>
          <t>Chris Cordone:</t>
        </r>
        <r>
          <rPr>
            <sz val="9"/>
            <color indexed="81"/>
            <rFont val="Tahoma"/>
            <family val="2"/>
          </rPr>
          <t xml:space="preserve">
Use the assumption below</t>
        </r>
      </text>
    </comment>
    <comment ref="C70" authorId="0" shapeId="0" xr:uid="{A32D2F10-4EF6-475A-BF6B-7D864CC24E3B}">
      <text>
        <r>
          <rPr>
            <b/>
            <sz val="9"/>
            <color indexed="81"/>
            <rFont val="Tahoma"/>
            <family val="2"/>
          </rPr>
          <t>Chris Cordone:</t>
        </r>
        <r>
          <rPr>
            <sz val="9"/>
            <color indexed="81"/>
            <rFont val="Tahoma"/>
            <family val="2"/>
          </rPr>
          <t xml:space="preserve">
In this case, the ending of the previous week happens to be the month end date, so we can get this data from our balance sheet. In any other case, we would have to track down the ending balance amount on the week end date.</t>
        </r>
      </text>
    </comment>
    <comment ref="P70" authorId="0" shapeId="0" xr:uid="{BA45F6FC-A489-4194-90AF-BB0249D71454}">
      <text>
        <r>
          <rPr>
            <b/>
            <sz val="9"/>
            <color indexed="81"/>
            <rFont val="Tahoma"/>
            <family val="2"/>
          </rPr>
          <t>Chris Cordone:</t>
        </r>
        <r>
          <rPr>
            <sz val="9"/>
            <color indexed="81"/>
            <rFont val="Tahoma"/>
            <family val="2"/>
          </rPr>
          <t xml:space="preserve">
If we are building the 13WCF for the first time, we will need a starting point for the balance sheet data.  We will need balance sheet data as of the previous week end which would most likely come from management. We have provided that on the "Weekly BS" tab. 
</t>
        </r>
      </text>
    </comment>
    <comment ref="Q76" authorId="0" shapeId="0" xr:uid="{98EC800E-228B-4B40-B0EE-BD63C1EA7524}">
      <text>
        <r>
          <rPr>
            <b/>
            <sz val="9"/>
            <color indexed="81"/>
            <rFont val="Tahoma"/>
            <family val="2"/>
          </rPr>
          <t>Chris Cordone:</t>
        </r>
        <r>
          <rPr>
            <sz val="9"/>
            <color indexed="81"/>
            <rFont val="Tahoma"/>
            <family val="2"/>
          </rPr>
          <t xml:space="preserve">
From the "Other" operating expense on IS</t>
        </r>
      </text>
    </comment>
    <comment ref="C78" authorId="0" shapeId="0" xr:uid="{2175C83A-8202-4230-8288-CBF32B508E84}">
      <text>
        <r>
          <rPr>
            <b/>
            <sz val="9"/>
            <color indexed="81"/>
            <rFont val="Tahoma"/>
            <family val="2"/>
          </rPr>
          <t>Chris Cordone:</t>
        </r>
        <r>
          <rPr>
            <sz val="9"/>
            <color indexed="81"/>
            <rFont val="Tahoma"/>
            <family val="2"/>
          </rPr>
          <t xml:space="preserve">
In this case, the ending of the previous week happens to be the month end date, so we can get this data from our balance sheet. In any other case, we would have to track down the ending balance amount on the week end date.</t>
        </r>
      </text>
    </comment>
    <comment ref="P78" authorId="0" shapeId="0" xr:uid="{A84DA485-A2F4-4BCC-B9B1-6FB858EF205B}">
      <text>
        <r>
          <rPr>
            <b/>
            <sz val="9"/>
            <color indexed="81"/>
            <rFont val="Tahoma"/>
            <family val="2"/>
          </rPr>
          <t>Chris Cordone:</t>
        </r>
        <r>
          <rPr>
            <sz val="9"/>
            <color indexed="81"/>
            <rFont val="Tahoma"/>
            <family val="2"/>
          </rPr>
          <t xml:space="preserve">
If we are building the 13WCF for the first time, we will need a starting point for the balance sheet data.  We will need balance sheet data as of the previous week end which would most likely come from management. We have provided that on the "Weekly BS" tab. 
</t>
        </r>
      </text>
    </comment>
    <comment ref="C85" authorId="0" shapeId="0" xr:uid="{51A421C7-CF47-435D-B0F4-BDA000F13155}">
      <text>
        <r>
          <rPr>
            <b/>
            <sz val="9"/>
            <color indexed="81"/>
            <rFont val="Tahoma"/>
            <family val="2"/>
          </rPr>
          <t>Chris Cordone:</t>
        </r>
        <r>
          <rPr>
            <sz val="9"/>
            <color indexed="81"/>
            <rFont val="Tahoma"/>
            <family val="2"/>
          </rPr>
          <t xml:space="preserve">
In this case, the ending of the previous week happens to be the month end date, so we can get this data from our balance sheet. In any other case, we would have to track down the ending balance amount on the week end date.</t>
        </r>
      </text>
    </comment>
    <comment ref="P85" authorId="0" shapeId="0" xr:uid="{71B07F1C-7CE8-4DB8-A6A1-A6544F1699DC}">
      <text>
        <r>
          <rPr>
            <b/>
            <sz val="9"/>
            <color indexed="81"/>
            <rFont val="Tahoma"/>
            <family val="2"/>
          </rPr>
          <t>Chris Cordone:</t>
        </r>
        <r>
          <rPr>
            <sz val="9"/>
            <color indexed="81"/>
            <rFont val="Tahoma"/>
            <family val="2"/>
          </rPr>
          <t xml:space="preserve">
If we are building the 13WCF for the first time, we will need a starting point for the balance sheet data.  We will need balance sheet data as of the previous week end which would most likely come from management. We have provided that on the "Weekly BS"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Cordone</author>
  </authors>
  <commentList>
    <comment ref="P28" authorId="0" shapeId="0" xr:uid="{95ED4BAE-EEB1-4D17-AD74-5D1347833ADD}">
      <text>
        <r>
          <rPr>
            <b/>
            <sz val="9"/>
            <color indexed="81"/>
            <rFont val="Tahoma"/>
            <family val="2"/>
          </rPr>
          <t>Chris Cordone:</t>
        </r>
        <r>
          <rPr>
            <sz val="9"/>
            <color indexed="81"/>
            <rFont val="Tahoma"/>
            <family val="2"/>
          </rPr>
          <t xml:space="preserve">
Get from Weekly BS</t>
        </r>
      </text>
    </comment>
    <comment ref="Q31" authorId="0" shapeId="0" xr:uid="{715C531B-206A-4802-96CD-A0B596DB1107}">
      <text>
        <r>
          <rPr>
            <b/>
            <sz val="9"/>
            <color indexed="81"/>
            <rFont val="Tahoma"/>
            <family val="2"/>
          </rPr>
          <t>Chris Cordone:</t>
        </r>
        <r>
          <rPr>
            <sz val="9"/>
            <color indexed="81"/>
            <rFont val="Tahoma"/>
            <family val="2"/>
          </rPr>
          <t xml:space="preserve">
Need to ensure we never go below the $20,000 required</t>
        </r>
      </text>
    </comment>
    <comment ref="Q39" authorId="0" shapeId="0" xr:uid="{17C42421-6D9C-44ED-9658-839C1E0457B7}">
      <text>
        <r>
          <rPr>
            <b/>
            <sz val="9"/>
            <color indexed="81"/>
            <rFont val="Tahoma"/>
            <family val="2"/>
          </rPr>
          <t>Chris Cordone:</t>
        </r>
        <r>
          <rPr>
            <sz val="9"/>
            <color indexed="81"/>
            <rFont val="Tahoma"/>
            <family val="2"/>
          </rPr>
          <t xml:space="preserve">
Cannot borrow more than allowed under facility, which is $100,000</t>
        </r>
      </text>
    </comment>
    <comment ref="Q43" authorId="0" shapeId="0" xr:uid="{4CBCF6FD-2DE5-4107-97E9-FAD293C56236}">
      <text>
        <r>
          <rPr>
            <b/>
            <sz val="9"/>
            <color indexed="81"/>
            <rFont val="Tahoma"/>
            <family val="2"/>
          </rPr>
          <t>Chris Cordone:</t>
        </r>
        <r>
          <rPr>
            <sz val="9"/>
            <color indexed="81"/>
            <rFont val="Tahoma"/>
            <family val="2"/>
          </rPr>
          <t xml:space="preserve">
This  is how much room there is to borrow under the facility based on the beginning of the year balance on the revolver</t>
        </r>
      </text>
    </comment>
    <comment ref="Q46" authorId="0" shapeId="0" xr:uid="{DBBE4B94-28B6-44C6-8F07-BFD9CEAFE646}">
      <text>
        <r>
          <rPr>
            <b/>
            <sz val="9"/>
            <color indexed="81"/>
            <rFont val="Tahoma"/>
            <family val="2"/>
          </rPr>
          <t>Chris Cordone:</t>
        </r>
        <r>
          <rPr>
            <sz val="9"/>
            <color indexed="81"/>
            <rFont val="Tahoma"/>
            <family val="2"/>
          </rPr>
          <t xml:space="preserve">
This should be positive here as it will add to beginning balance. It should also be greater than 0 as we are only considering the increases to revolver here. Also, cannot be greater than what is available under the current facility.</t>
        </r>
      </text>
    </comment>
    <comment ref="Q47" authorId="0" shapeId="0" xr:uid="{59AD96C7-9921-4207-8ED8-A87D5FD931CC}">
      <text>
        <r>
          <rPr>
            <b/>
            <sz val="9"/>
            <color indexed="81"/>
            <rFont val="Tahoma"/>
            <family val="2"/>
          </rPr>
          <t>Chris Cordone:</t>
        </r>
        <r>
          <rPr>
            <sz val="9"/>
            <color indexed="81"/>
            <rFont val="Tahoma"/>
            <family val="2"/>
          </rPr>
          <t xml:space="preserve">
If surplus cash is positive, we will repay the revolver, so if surplus cash is negative, there should be 0 here. Also, no matter how much surplus cash is available, we cannot repay more than we owe.</t>
        </r>
      </text>
    </comment>
    <comment ref="Q49" authorId="0" shapeId="0" xr:uid="{27F52236-0B5D-4B1D-9F0A-4086EB67D6C7}">
      <text>
        <r>
          <rPr>
            <b/>
            <sz val="9"/>
            <color indexed="81"/>
            <rFont val="Tahoma"/>
            <family val="2"/>
          </rPr>
          <t>Chris Cordone:</t>
        </r>
        <r>
          <rPr>
            <sz val="9"/>
            <color indexed="81"/>
            <rFont val="Tahoma"/>
            <family val="2"/>
          </rPr>
          <t xml:space="preserve">
This is the difference between what is needed and what is available under current facility. We also only care if the gap is negative.</t>
        </r>
      </text>
    </comment>
    <comment ref="Q53" authorId="0" shapeId="0" xr:uid="{5986511F-BB69-42AB-91E4-2C70299746AC}">
      <text>
        <r>
          <rPr>
            <b/>
            <sz val="9"/>
            <color indexed="81"/>
            <rFont val="Tahoma"/>
            <family val="2"/>
          </rPr>
          <t>Chris Cordone:</t>
        </r>
        <r>
          <rPr>
            <sz val="9"/>
            <color indexed="81"/>
            <rFont val="Tahoma"/>
            <family val="2"/>
          </rPr>
          <t xml:space="preserve">
Term Loan B is non-amortizing so we do not have to worry about this changing</t>
        </r>
      </text>
    </comment>
    <comment ref="Q55" authorId="0" shapeId="0" xr:uid="{EF91D1C5-915A-4DCC-9886-9CDE59D4EE2D}">
      <text>
        <r>
          <rPr>
            <b/>
            <sz val="9"/>
            <color indexed="81"/>
            <rFont val="Tahoma"/>
            <family val="2"/>
          </rPr>
          <t>Chris Cordone:</t>
        </r>
        <r>
          <rPr>
            <sz val="9"/>
            <color indexed="81"/>
            <rFont val="Tahoma"/>
            <family val="2"/>
          </rPr>
          <t xml:space="preserve">
Calculating interest on BOY balance to avoid circularity</t>
        </r>
      </text>
    </comment>
    <comment ref="Q56" authorId="0" shapeId="0" xr:uid="{40C02549-1C18-4248-ADB0-4C6A0947C69F}">
      <text>
        <r>
          <rPr>
            <b/>
            <sz val="9"/>
            <color indexed="81"/>
            <rFont val="Tahoma"/>
            <family val="2"/>
          </rPr>
          <t>Chris Cordone:</t>
        </r>
        <r>
          <rPr>
            <sz val="9"/>
            <color indexed="81"/>
            <rFont val="Tahoma"/>
            <family val="2"/>
          </rPr>
          <t xml:space="preserve">
Since this is a bullet loan, the interest should be calculated on the BOY balance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Cordone</author>
  </authors>
  <commentList>
    <comment ref="B18" authorId="0" shapeId="0" xr:uid="{0F9E866F-8E8C-4BFE-BF43-921326334A9D}">
      <text>
        <r>
          <rPr>
            <b/>
            <sz val="9"/>
            <color indexed="81"/>
            <rFont val="Tahoma"/>
            <family val="2"/>
          </rPr>
          <t>Chris Cordone:</t>
        </r>
        <r>
          <rPr>
            <sz val="9"/>
            <color indexed="81"/>
            <rFont val="Tahoma"/>
            <family val="2"/>
          </rPr>
          <t xml:space="preserve">
 vs Operating Cash Flow from '13 Week Cash Flow' worksheet</t>
        </r>
      </text>
    </comment>
  </commentList>
</comments>
</file>

<file path=xl/sharedStrings.xml><?xml version="1.0" encoding="utf-8"?>
<sst xmlns="http://schemas.openxmlformats.org/spreadsheetml/2006/main" count="276" uniqueCount="173">
  <si>
    <t>13-Week Cash Flow Model</t>
  </si>
  <si>
    <t>Workout Information</t>
  </si>
  <si>
    <t>Features</t>
  </si>
  <si>
    <t>Model Details</t>
  </si>
  <si>
    <t>◦</t>
  </si>
  <si>
    <t>Monthly data</t>
  </si>
  <si>
    <t>Company name</t>
  </si>
  <si>
    <t>Weekly data and assumptions</t>
  </si>
  <si>
    <t>Date</t>
  </si>
  <si>
    <t>OWC BASE Analysis/Rollforwards</t>
  </si>
  <si>
    <t>Currency</t>
  </si>
  <si>
    <t>USD</t>
  </si>
  <si>
    <t>Revolver base calculations</t>
  </si>
  <si>
    <t>Units</t>
  </si>
  <si>
    <t>Thousands</t>
  </si>
  <si>
    <t>EBITDA reconciliation</t>
  </si>
  <si>
    <t>Analyst Name</t>
  </si>
  <si>
    <t>Firstname Lastname</t>
  </si>
  <si>
    <t>Circular Switch</t>
  </si>
  <si>
    <t>None</t>
  </si>
  <si>
    <t>Tab Structure</t>
  </si>
  <si>
    <t>Formatting</t>
  </si>
  <si>
    <t>NB: For the purposes of showing a 13-week cash flow model, some elements which may typically be forecasted have simplified and hard-coded.</t>
  </si>
  <si>
    <t>Input</t>
  </si>
  <si>
    <t>Typically a 13-week cash flow model can be build up using weekly forecasting and monthly data.</t>
  </si>
  <si>
    <t>Hard coded</t>
  </si>
  <si>
    <t>Formulas</t>
  </si>
  <si>
    <t>Weekly Data</t>
  </si>
  <si>
    <t>Summary of projected critical BS accounts affected by rollovers - N.B. some elements are hard-coded</t>
  </si>
  <si>
    <t>Projected IS converted from monthly projections - N.B. some elements are hard-coded</t>
  </si>
  <si>
    <t>Projected reconciliation of critical BS accounts - N.B. some elements are hard-coded</t>
  </si>
  <si>
    <t>Calculation of weekly borrowing base under revolver - N.B. some elements are hard-coded</t>
  </si>
  <si>
    <t>13 Week Cash Flow</t>
  </si>
  <si>
    <t>Presentation of all disbursements and receipts, cash and debt balances - N.B. some elements are hard-coded</t>
  </si>
  <si>
    <t>EBITDA rec</t>
  </si>
  <si>
    <t>Reconciliation of EBITDA from CFS</t>
  </si>
  <si>
    <t>Hist.</t>
  </si>
  <si>
    <t>Proj.</t>
  </si>
  <si>
    <t>Calendar Month end</t>
  </si>
  <si>
    <t>Days from current month in current week</t>
  </si>
  <si>
    <t>Days from previous month in current week</t>
  </si>
  <si>
    <t>WEEKLY INCOME STATEMENT</t>
  </si>
  <si>
    <t>Revenues</t>
  </si>
  <si>
    <t>Cost of sales</t>
  </si>
  <si>
    <t>Payroll</t>
  </si>
  <si>
    <t>Materials and other</t>
  </si>
  <si>
    <t>Depreciation</t>
  </si>
  <si>
    <t>Gross profit</t>
  </si>
  <si>
    <t>SG&amp;A expenses</t>
  </si>
  <si>
    <t>Other SGA</t>
  </si>
  <si>
    <t>Amortization of intangibles</t>
  </si>
  <si>
    <t>Other income</t>
  </si>
  <si>
    <t>Operating income</t>
  </si>
  <si>
    <t>Legal and Advisory Fees</t>
  </si>
  <si>
    <t>Earnings before interest and taxes</t>
  </si>
  <si>
    <t>EBITDA</t>
  </si>
  <si>
    <t>COGS - payroll and benefits % sales</t>
  </si>
  <si>
    <t>COGS - materials</t>
  </si>
  <si>
    <t>SGA - payroll and benefits % sales</t>
  </si>
  <si>
    <t>SGA - other</t>
  </si>
  <si>
    <t>WEEKLY ROLLFORWARD</t>
  </si>
  <si>
    <t>Accounts Receivable</t>
  </si>
  <si>
    <t>Beginning balance</t>
  </si>
  <si>
    <t>Plus: Sales</t>
  </si>
  <si>
    <t>Less: Customer receipts</t>
  </si>
  <si>
    <t>Ending balance</t>
  </si>
  <si>
    <t>DSO</t>
  </si>
  <si>
    <t>DSO trailing 4 weeks</t>
  </si>
  <si>
    <t>DSO trailing 13 weeks (quarter)</t>
  </si>
  <si>
    <t>Inventory</t>
  </si>
  <si>
    <t>Plus: Purchases of materials</t>
  </si>
  <si>
    <t>Less: COGS - materials</t>
  </si>
  <si>
    <t>Ending inventory</t>
  </si>
  <si>
    <t>Inventory days (materials only, no labor)</t>
  </si>
  <si>
    <t>Inventory days trailing 4 weeks</t>
  </si>
  <si>
    <t>Inventory days trailing 13 weeks (quarter)</t>
  </si>
  <si>
    <t>Accounts Payable</t>
  </si>
  <si>
    <t>Less: Supplier payments</t>
  </si>
  <si>
    <t>Ending accounts payable</t>
  </si>
  <si>
    <t>Payable days</t>
  </si>
  <si>
    <t>Payable days trailing 4 weeks</t>
  </si>
  <si>
    <t>Payable days trailing 13 weeks (quarter)</t>
  </si>
  <si>
    <t>Salaries and wages payable</t>
  </si>
  <si>
    <t>Plus: Accrued wages and salaries</t>
  </si>
  <si>
    <t>Less: Wages and salaries paid</t>
  </si>
  <si>
    <t>Ending wages payable</t>
  </si>
  <si>
    <t>Wages and salaries paid as a % of beginning balance</t>
  </si>
  <si>
    <t>Accrued liabilities</t>
  </si>
  <si>
    <t>Plus: Accrued expenses</t>
  </si>
  <si>
    <t>Less: Cash operating disbursements</t>
  </si>
  <si>
    <t>See previous point on cash operating disbursements maybe not only relating to accruals</t>
  </si>
  <si>
    <t>Ending accrued liabilities</t>
  </si>
  <si>
    <t>PPE</t>
  </si>
  <si>
    <t>Beginning PPE</t>
  </si>
  <si>
    <t>Plus: Capex</t>
  </si>
  <si>
    <t>Less: Depreciation</t>
  </si>
  <si>
    <t>Ending PPE</t>
  </si>
  <si>
    <t>WEEKLY REVOLVER BASE</t>
  </si>
  <si>
    <t>Accounts Receivable, beginning balance</t>
  </si>
  <si>
    <t>Less: over 90 days</t>
  </si>
  <si>
    <t>Total eligible accounts receivable</t>
  </si>
  <si>
    <t>Eligible base rate and amount</t>
  </si>
  <si>
    <t>Accounts Receivable, ending on BS</t>
  </si>
  <si>
    <t>Over 90 days % beginning AR</t>
  </si>
  <si>
    <t>Inventory, beginning balance</t>
  </si>
  <si>
    <t>Obsolete inventory % beginning</t>
  </si>
  <si>
    <t>Promotional inventory % beginning</t>
  </si>
  <si>
    <t>Work in process inventory % beginning</t>
  </si>
  <si>
    <t>Total eligible inventory</t>
  </si>
  <si>
    <t>Inventory, ending balance on BS</t>
  </si>
  <si>
    <t>Total Revolver Base Availability</t>
  </si>
  <si>
    <t>WEEKLY BALANCE SHEET</t>
  </si>
  <si>
    <t>Assets:</t>
  </si>
  <si>
    <t>Cash</t>
  </si>
  <si>
    <t>Liabilities</t>
  </si>
  <si>
    <t>Revolver</t>
  </si>
  <si>
    <t>Salaries and Wages Payable</t>
  </si>
  <si>
    <t>Accrued Liabilities</t>
  </si>
  <si>
    <t>Term Loan</t>
  </si>
  <si>
    <t>End</t>
  </si>
  <si>
    <t>Cash flows</t>
  </si>
  <si>
    <t>Total revenue receipts</t>
  </si>
  <si>
    <t>Total cash receipts</t>
  </si>
  <si>
    <t>Payroll and benefits</t>
  </si>
  <si>
    <t>Payments to trade</t>
  </si>
  <si>
    <t>Capex</t>
  </si>
  <si>
    <t>Other operating disbursements</t>
  </si>
  <si>
    <t>Total operating disbursements</t>
  </si>
  <si>
    <t>Operating cash flow</t>
  </si>
  <si>
    <t>Revolver interest</t>
  </si>
  <si>
    <t>Term loan interest</t>
  </si>
  <si>
    <t>Total non-operating cash flows</t>
  </si>
  <si>
    <t>Net cash flow</t>
  </si>
  <si>
    <t>Cash balance</t>
  </si>
  <si>
    <t>Beginning cash</t>
  </si>
  <si>
    <t>Ending cash</t>
  </si>
  <si>
    <t>Minimum cash required</t>
  </si>
  <si>
    <t>Surplus cash (Revolver draw needed)</t>
  </si>
  <si>
    <t>Ending cash on balance sheet</t>
  </si>
  <si>
    <t>Revolver Availability</t>
  </si>
  <si>
    <t>Borrowing base</t>
  </si>
  <si>
    <t>75% of eligible Accounts Receivable</t>
  </si>
  <si>
    <t>75% of eligible inventory</t>
  </si>
  <si>
    <t>Gross Availability</t>
  </si>
  <si>
    <t>Maximum availability</t>
  </si>
  <si>
    <t>Current gross availability</t>
  </si>
  <si>
    <t>LoC (Letters of Credit outstanding)</t>
  </si>
  <si>
    <t>Ending availability</t>
  </si>
  <si>
    <t>Incremental availability in period</t>
  </si>
  <si>
    <t>Revolver, beginning balance</t>
  </si>
  <si>
    <t>Revolver draw in period</t>
  </si>
  <si>
    <t>Revolver paid back in period</t>
  </si>
  <si>
    <t>Revolver, ending balance</t>
  </si>
  <si>
    <t>Funding gap (beyond revolver)</t>
  </si>
  <si>
    <t>Debt and Interest Calcs</t>
  </si>
  <si>
    <t>Revolver balance</t>
  </si>
  <si>
    <t>Term loan balance</t>
  </si>
  <si>
    <t>Interest rate on revolver*</t>
  </si>
  <si>
    <t>Interest rate on term loan*</t>
  </si>
  <si>
    <t>*Interest is paid Jan, April, July, October</t>
  </si>
  <si>
    <t>Change in Accounts Receivable</t>
  </si>
  <si>
    <t>Change in Inventory</t>
  </si>
  <si>
    <t>Change in Accounts Payable</t>
  </si>
  <si>
    <t>Changes in Salaries and Wages Payable</t>
  </si>
  <si>
    <t>Changes in Accrued Liabilities</t>
  </si>
  <si>
    <t>Cash flow from operations</t>
  </si>
  <si>
    <t>Less: Capex</t>
  </si>
  <si>
    <t>Operating Cash flow</t>
  </si>
  <si>
    <t>Check</t>
  </si>
  <si>
    <t>www.strawbridgecfo.com</t>
  </si>
  <si>
    <t>This document is for training purposes only. Strawbridge CFO Group accepts no responsibility or liability for any other purpose or usage.</t>
  </si>
  <si>
    <t>[download and link]</t>
  </si>
  <si>
    <t>Formulas for 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</si>
</sst>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3" formatCode="_(* #,##0.00_);_(* \(#,##0.00\);_(* &quot;-&quot;??_);_(@_)"/>
    <numFmt numFmtId="164" formatCode="_(&quot;£&quot;* #,##0_);_(&quot;£&quot;* \(#,##0\);_(&quot;£&quot;* &quot;-&quot;_);_(@_)"/>
    <numFmt numFmtId="165" formatCode="_(&quot;£&quot;* #,##0.00_);_(&quot;£&quot;* \(#,##0.00\);_(&quot;£&quot;* &quot;-&quot;??_);_(@_)"/>
    <numFmt numFmtId="166" formatCode="[$-409]d\-mmm\-yy;@"/>
    <numFmt numFmtId="167" formatCode="#,##0.0_);\(#,##0.0\)\,0.0_);@_)"/>
    <numFmt numFmtId="168" formatCode="#,##0.0\ \x_);\(#,##0.0\ \x\);"/>
    <numFmt numFmtId="169" formatCode="0.0%_);\(0.0%\)"/>
    <numFmt numFmtId="170" formatCode="#,##0.0_);\(#,##0.0\);0.0_);@_)"/>
    <numFmt numFmtId="171" formatCode="#,##0.0\ \x_);\(#,##0.0\ \x\)"/>
    <numFmt numFmtId="172" formatCode="#,##0.00_);\(#,##0.00\);0.00_);@_)"/>
    <numFmt numFmtId="173" formatCode="0.0%"/>
    <numFmt numFmtId="174" formatCode="[$-409]dd\-mmm\-yy;@"/>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22"/>
      <color theme="0"/>
      <name val="Calibri Light"/>
      <family val="2"/>
      <scheme val="major"/>
    </font>
    <font>
      <u/>
      <sz val="11"/>
      <color theme="10"/>
      <name val="Calibri"/>
      <family val="2"/>
      <scheme val="minor"/>
    </font>
    <font>
      <sz val="9"/>
      <color indexed="81"/>
      <name val="Tahoma"/>
      <family val="2"/>
    </font>
    <font>
      <b/>
      <sz val="9"/>
      <color indexed="81"/>
      <name val="Tahoma"/>
      <family val="2"/>
    </font>
    <font>
      <i/>
      <sz val="11"/>
      <name val="Calibri"/>
      <family val="2"/>
      <scheme val="minor"/>
    </font>
    <font>
      <b/>
      <sz val="11"/>
      <name val="Calibri"/>
      <family val="2"/>
      <scheme val="minor"/>
    </font>
    <font>
      <b/>
      <u/>
      <sz val="12"/>
      <color rgb="FF163260"/>
      <name val="Calibri"/>
      <family val="2"/>
      <scheme val="minor"/>
    </font>
    <font>
      <b/>
      <sz val="11"/>
      <color theme="0"/>
      <name val="Calibri"/>
      <family val="2"/>
      <scheme val="minor"/>
    </font>
  </fonts>
  <fills count="41">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EFD"/>
        <bgColor indexed="64"/>
      </patternFill>
    </fill>
    <fill>
      <patternFill patternType="solid">
        <fgColor rgb="FFFFC000"/>
        <bgColor indexed="64"/>
      </patternFill>
    </fill>
    <fill>
      <patternFill patternType="solid">
        <fgColor theme="9" tint="-0.499984740745262"/>
        <bgColor indexed="64"/>
      </patternFill>
    </fill>
    <fill>
      <patternFill patternType="solid">
        <fgColor theme="9" tint="-0.249977111117893"/>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60">
    <xf numFmtId="170" fontId="0" fillId="0" borderId="0"/>
    <xf numFmtId="0" fontId="6"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4" applyNumberFormat="0" applyAlignment="0" applyProtection="0"/>
    <xf numFmtId="0" fontId="18" fillId="10" borderId="5" applyNumberFormat="0" applyAlignment="0" applyProtection="0"/>
    <xf numFmtId="0" fontId="19" fillId="10" borderId="4" applyNumberFormat="0" applyAlignment="0" applyProtection="0"/>
    <xf numFmtId="0" fontId="20" fillId="0" borderId="6" applyNumberFormat="0" applyFill="0" applyAlignment="0" applyProtection="0"/>
    <xf numFmtId="0" fontId="21" fillId="11" borderId="7" applyNumberFormat="0" applyAlignment="0" applyProtection="0"/>
    <xf numFmtId="0" fontId="22" fillId="0" borderId="0" applyNumberFormat="0" applyFill="0" applyBorder="0" applyAlignment="0" applyProtection="0"/>
    <xf numFmtId="0" fontId="9" fillId="12" borderId="8" applyNumberFormat="0" applyFon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1"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6" fontId="28" fillId="3" borderId="0">
      <alignment horizontal="center"/>
    </xf>
    <xf numFmtId="167" fontId="27" fillId="2" borderId="0" applyNumberFormat="0" applyBorder="0" applyProtection="0">
      <alignment horizontal="center"/>
    </xf>
    <xf numFmtId="166" fontId="29" fillId="0" borderId="0" applyFont="0" applyFill="0" applyBorder="0" applyAlignment="0" applyProtection="0"/>
    <xf numFmtId="171" fontId="9" fillId="0" borderId="0" applyFont="0" applyFill="0" applyBorder="0" applyAlignment="0" applyProtection="0"/>
    <xf numFmtId="169" fontId="29" fillId="2" borderId="0" applyFont="0" applyFill="0" applyBorder="0" applyAlignment="0" applyProtection="0"/>
    <xf numFmtId="167" fontId="30" fillId="2" borderId="0" applyNumberFormat="0" applyFill="0" applyBorder="0" applyAlignment="0" applyProtection="0"/>
    <xf numFmtId="170" fontId="32" fillId="0" borderId="0" applyNumberFormat="0" applyFill="0" applyBorder="0" applyAlignment="0" applyProtection="0"/>
    <xf numFmtId="168" fontId="30" fillId="37" borderId="10" applyNumberFormat="0">
      <protection locked="0"/>
    </xf>
  </cellStyleXfs>
  <cellXfs count="102">
    <xf numFmtId="170" fontId="0" fillId="0" borderId="0" xfId="0"/>
    <xf numFmtId="170" fontId="2" fillId="5" borderId="0" xfId="51" applyNumberFormat="1" applyFont="1" applyAlignment="1"/>
    <xf numFmtId="170" fontId="2" fillId="5" borderId="0" xfId="51" applyNumberFormat="1" applyFont="1" applyAlignment="1">
      <alignment horizontal="left" vertical="top"/>
    </xf>
    <xf numFmtId="170" fontId="2" fillId="4" borderId="0" xfId="0" applyFont="1" applyFill="1"/>
    <xf numFmtId="170" fontId="26" fillId="3" borderId="0" xfId="0" applyFont="1" applyFill="1"/>
    <xf numFmtId="167" fontId="8" fillId="3" borderId="0" xfId="49" applyNumberFormat="1" applyAlignment="1"/>
    <xf numFmtId="167" fontId="4" fillId="0" borderId="0" xfId="50" applyNumberFormat="1">
      <alignment horizontal="left" vertical="center"/>
    </xf>
    <xf numFmtId="170" fontId="2" fillId="0" borderId="0" xfId="0" applyFont="1" applyAlignment="1">
      <alignment vertical="top"/>
    </xf>
    <xf numFmtId="170" fontId="2" fillId="0" borderId="0" xfId="0" applyFont="1"/>
    <xf numFmtId="170" fontId="4" fillId="0" borderId="0" xfId="0" applyFont="1" applyAlignment="1">
      <alignment vertical="center"/>
    </xf>
    <xf numFmtId="170" fontId="5" fillId="0" borderId="0" xfId="0" applyFont="1" applyAlignment="1">
      <alignment vertical="center" wrapText="1"/>
    </xf>
    <xf numFmtId="170" fontId="3" fillId="0" borderId="0" xfId="0" applyFont="1" applyAlignment="1">
      <alignment horizontal="center" vertical="top"/>
    </xf>
    <xf numFmtId="170" fontId="25" fillId="0" borderId="0" xfId="0" applyFont="1"/>
    <xf numFmtId="167" fontId="30" fillId="0" borderId="0" xfId="57" applyFill="1" applyBorder="1" applyAlignment="1">
      <alignment vertical="top"/>
    </xf>
    <xf numFmtId="167" fontId="2" fillId="5" borderId="0" xfId="51" applyNumberFormat="1" applyFont="1" applyAlignment="1">
      <alignment horizontal="left" vertical="top"/>
    </xf>
    <xf numFmtId="167" fontId="3" fillId="5" borderId="0" xfId="51" applyNumberFormat="1" applyFont="1" applyAlignment="1">
      <alignment horizontal="center" vertical="top"/>
    </xf>
    <xf numFmtId="167" fontId="2" fillId="5" borderId="0" xfId="51" applyNumberFormat="1" applyFont="1" applyAlignment="1"/>
    <xf numFmtId="167" fontId="5" fillId="5" borderId="0" xfId="51" applyNumberFormat="1" applyFont="1" applyAlignment="1">
      <alignment vertical="center" wrapText="1"/>
    </xf>
    <xf numFmtId="167" fontId="2" fillId="5" borderId="0" xfId="51" applyNumberFormat="1" applyFont="1" applyAlignment="1">
      <alignment vertical="top"/>
    </xf>
    <xf numFmtId="167" fontId="7" fillId="5" borderId="0" xfId="51" applyNumberFormat="1" applyFont="1" applyAlignment="1">
      <alignment vertical="center" wrapText="1"/>
    </xf>
    <xf numFmtId="167" fontId="30" fillId="37" borderId="10" xfId="59" applyNumberFormat="1">
      <protection locked="0"/>
    </xf>
    <xf numFmtId="167" fontId="2" fillId="0" borderId="0" xfId="51" applyNumberFormat="1" applyFont="1" applyFill="1" applyAlignment="1"/>
    <xf numFmtId="170" fontId="0" fillId="5" borderId="0" xfId="51" applyNumberFormat="1" applyFont="1" applyAlignment="1"/>
    <xf numFmtId="170" fontId="2" fillId="5" borderId="0" xfId="51" applyNumberFormat="1" applyFont="1" applyAlignment="1">
      <alignment vertical="top"/>
    </xf>
    <xf numFmtId="170" fontId="4" fillId="5" borderId="0" xfId="51" applyNumberFormat="1" applyFont="1" applyAlignment="1">
      <alignment vertical="center"/>
    </xf>
    <xf numFmtId="170" fontId="4" fillId="0" borderId="0" xfId="50" applyNumberFormat="1" applyFill="1">
      <alignment horizontal="left" vertical="center"/>
    </xf>
    <xf numFmtId="170" fontId="3" fillId="5" borderId="0" xfId="51" applyNumberFormat="1" applyFont="1" applyAlignment="1">
      <alignment horizontal="center" vertical="top"/>
    </xf>
    <xf numFmtId="170" fontId="2" fillId="5" borderId="11" xfId="51" applyNumberFormat="1" applyFont="1" applyBorder="1" applyAlignment="1">
      <alignment vertical="top"/>
    </xf>
    <xf numFmtId="170" fontId="3" fillId="5" borderId="11" xfId="51" applyNumberFormat="1" applyFont="1" applyBorder="1" applyAlignment="1">
      <alignment horizontal="center" vertical="top"/>
    </xf>
    <xf numFmtId="170" fontId="2" fillId="5" borderId="11" xfId="51" applyNumberFormat="1" applyFont="1" applyBorder="1" applyAlignment="1"/>
    <xf numFmtId="170" fontId="5" fillId="5" borderId="11" xfId="51" applyNumberFormat="1" applyFont="1" applyBorder="1" applyAlignment="1">
      <alignment vertical="center" wrapText="1"/>
    </xf>
    <xf numFmtId="170" fontId="2" fillId="5" borderId="0" xfId="51" applyNumberFormat="1" applyFont="1" applyAlignment="1">
      <alignment vertical="top" wrapText="1"/>
    </xf>
    <xf numFmtId="170" fontId="3" fillId="5" borderId="0" xfId="51" applyNumberFormat="1" applyFont="1" applyAlignment="1">
      <alignment vertical="top"/>
    </xf>
    <xf numFmtId="170" fontId="30" fillId="0" borderId="0" xfId="57" applyNumberFormat="1" applyFill="1"/>
    <xf numFmtId="170" fontId="0" fillId="0" borderId="0" xfId="0" applyAlignment="1">
      <alignment horizontal="left" indent="1"/>
    </xf>
    <xf numFmtId="170" fontId="0" fillId="0" borderId="12" xfId="0" applyBorder="1"/>
    <xf numFmtId="170" fontId="30" fillId="0" borderId="0" xfId="57" applyNumberFormat="1" applyFill="1" applyBorder="1"/>
    <xf numFmtId="1" fontId="28" fillId="3" borderId="0" xfId="52" applyNumberFormat="1">
      <alignment horizontal="center"/>
    </xf>
    <xf numFmtId="170" fontId="0" fillId="0" borderId="0" xfId="0" applyAlignment="1">
      <alignment horizontal="left"/>
    </xf>
    <xf numFmtId="170" fontId="0" fillId="0" borderId="12" xfId="0" applyBorder="1" applyAlignment="1">
      <alignment horizontal="left"/>
    </xf>
    <xf numFmtId="167" fontId="4" fillId="0" borderId="0" xfId="50" applyNumberFormat="1" applyBorder="1">
      <alignment horizontal="left" vertical="center"/>
    </xf>
    <xf numFmtId="170" fontId="4" fillId="0" borderId="0" xfId="50" applyNumberFormat="1" applyFill="1" applyBorder="1">
      <alignment horizontal="left" vertical="center"/>
    </xf>
    <xf numFmtId="170" fontId="0" fillId="0" borderId="12" xfId="0" applyBorder="1" applyAlignment="1">
      <alignment horizontal="left" indent="1"/>
    </xf>
    <xf numFmtId="173" fontId="0" fillId="0" borderId="0" xfId="0" applyNumberFormat="1"/>
    <xf numFmtId="173" fontId="30" fillId="37" borderId="10" xfId="59" applyNumberFormat="1">
      <protection locked="0"/>
    </xf>
    <xf numFmtId="170" fontId="30" fillId="37" borderId="10" xfId="59" applyNumberFormat="1">
      <protection locked="0"/>
    </xf>
    <xf numFmtId="170" fontId="29" fillId="0" borderId="12" xfId="57" applyNumberFormat="1" applyFont="1" applyFill="1" applyBorder="1"/>
    <xf numFmtId="174" fontId="0" fillId="0" borderId="0" xfId="0" applyNumberFormat="1"/>
    <xf numFmtId="166" fontId="0" fillId="0" borderId="0" xfId="0" applyNumberFormat="1"/>
    <xf numFmtId="166" fontId="30" fillId="0" borderId="0" xfId="57" applyNumberFormat="1" applyFill="1" applyBorder="1"/>
    <xf numFmtId="170" fontId="29" fillId="0" borderId="0" xfId="57" applyNumberFormat="1" applyFont="1" applyFill="1" applyBorder="1"/>
    <xf numFmtId="170" fontId="29" fillId="0" borderId="0" xfId="57" applyNumberFormat="1" applyFont="1" applyFill="1"/>
    <xf numFmtId="172" fontId="0" fillId="0" borderId="0" xfId="0" applyNumberFormat="1"/>
    <xf numFmtId="9" fontId="30" fillId="37" borderId="10" xfId="59" applyNumberFormat="1">
      <protection locked="0"/>
    </xf>
    <xf numFmtId="9" fontId="30" fillId="37" borderId="0" xfId="59" applyNumberFormat="1" applyBorder="1">
      <protection locked="0"/>
    </xf>
    <xf numFmtId="10" fontId="0" fillId="0" borderId="0" xfId="0" applyNumberFormat="1"/>
    <xf numFmtId="10" fontId="30" fillId="37" borderId="10" xfId="59" applyNumberFormat="1">
      <protection locked="0"/>
    </xf>
    <xf numFmtId="170" fontId="29" fillId="0" borderId="13" xfId="57" applyNumberFormat="1" applyFont="1" applyFill="1" applyBorder="1"/>
    <xf numFmtId="170" fontId="0" fillId="0" borderId="13" xfId="0" applyBorder="1"/>
    <xf numFmtId="170" fontId="35" fillId="0" borderId="0" xfId="0" applyFont="1"/>
    <xf numFmtId="170" fontId="36" fillId="0" borderId="0" xfId="0" applyFont="1"/>
    <xf numFmtId="170" fontId="0" fillId="38" borderId="0" xfId="0" applyFill="1"/>
    <xf numFmtId="170" fontId="0" fillId="5" borderId="0" xfId="51" applyNumberFormat="1" applyFont="1" applyAlignment="1">
      <alignment horizontal="left"/>
    </xf>
    <xf numFmtId="167" fontId="37" fillId="0" borderId="0" xfId="50" applyNumberFormat="1" applyFont="1" applyBorder="1">
      <alignment horizontal="left" vertical="center"/>
    </xf>
    <xf numFmtId="170" fontId="30" fillId="0" borderId="0" xfId="0" applyFont="1"/>
    <xf numFmtId="167" fontId="31" fillId="39" borderId="0" xfId="48" applyNumberFormat="1" applyFill="1" applyAlignment="1"/>
    <xf numFmtId="170" fontId="25" fillId="39" borderId="0" xfId="0" applyFont="1" applyFill="1"/>
    <xf numFmtId="167" fontId="8" fillId="40" borderId="0" xfId="49" applyNumberFormat="1" applyFill="1" applyAlignment="1"/>
    <xf numFmtId="170" fontId="26" fillId="40" borderId="0" xfId="0" applyFont="1" applyFill="1"/>
    <xf numFmtId="167" fontId="31" fillId="39" borderId="0" xfId="48" applyNumberFormat="1" applyFill="1">
      <alignment horizontal="left"/>
    </xf>
    <xf numFmtId="170" fontId="25" fillId="39" borderId="0" xfId="0" applyFont="1" applyFill="1" applyAlignment="1">
      <alignment vertical="center"/>
    </xf>
    <xf numFmtId="167" fontId="27" fillId="39" borderId="0" xfId="53" applyFill="1">
      <alignment horizontal="center"/>
    </xf>
    <xf numFmtId="167" fontId="38" fillId="39" borderId="21" xfId="53" applyFont="1" applyFill="1" applyBorder="1" applyAlignment="1">
      <alignment horizontal="left"/>
    </xf>
    <xf numFmtId="167" fontId="38" fillId="39" borderId="22" xfId="53" applyFont="1" applyFill="1" applyBorder="1">
      <alignment horizontal="center"/>
    </xf>
    <xf numFmtId="167" fontId="38" fillId="39" borderId="23" xfId="53" applyFont="1" applyFill="1" applyBorder="1">
      <alignment horizontal="center"/>
    </xf>
    <xf numFmtId="1" fontId="28" fillId="40" borderId="0" xfId="52" applyNumberFormat="1" applyFill="1">
      <alignment horizontal="center"/>
    </xf>
    <xf numFmtId="166" fontId="28" fillId="40" borderId="0" xfId="52" applyFill="1">
      <alignment horizontal="center"/>
    </xf>
    <xf numFmtId="167" fontId="27" fillId="39" borderId="22" xfId="53" applyFill="1" applyBorder="1">
      <alignment horizontal="center"/>
    </xf>
    <xf numFmtId="167" fontId="27" fillId="39" borderId="23" xfId="53" applyFill="1" applyBorder="1">
      <alignment horizontal="center"/>
    </xf>
    <xf numFmtId="167" fontId="31" fillId="39" borderId="0" xfId="48" applyNumberFormat="1" applyFill="1" applyAlignment="1">
      <alignment horizontal="center"/>
    </xf>
    <xf numFmtId="170" fontId="0" fillId="0" borderId="0" xfId="0"/>
    <xf numFmtId="167" fontId="2" fillId="5" borderId="0" xfId="51" applyNumberFormat="1" applyFont="1" applyAlignment="1">
      <alignment horizontal="left" vertical="top"/>
    </xf>
    <xf numFmtId="167" fontId="31" fillId="40" borderId="0" xfId="49" applyNumberFormat="1" applyFont="1" applyFill="1" applyAlignment="1">
      <alignment horizontal="center" vertical="center"/>
    </xf>
    <xf numFmtId="167" fontId="0" fillId="5" borderId="0" xfId="0" applyNumberFormat="1" applyFill="1" applyAlignment="1">
      <alignment horizontal="center" vertical="center" wrapText="1"/>
    </xf>
    <xf numFmtId="167" fontId="32" fillId="5" borderId="0" xfId="58" applyNumberFormat="1" applyFill="1" applyBorder="1" applyAlignment="1">
      <alignment horizontal="center" vertical="center" wrapText="1"/>
    </xf>
    <xf numFmtId="167" fontId="32" fillId="5" borderId="0" xfId="58" applyNumberFormat="1" applyFill="1" applyAlignment="1">
      <alignment horizontal="center" vertical="center" wrapText="1"/>
    </xf>
    <xf numFmtId="170" fontId="0" fillId="5" borderId="0" xfId="51" applyNumberFormat="1" applyFont="1" applyAlignment="1">
      <alignment horizontal="left"/>
    </xf>
    <xf numFmtId="170" fontId="36" fillId="5" borderId="14" xfId="51" applyNumberFormat="1" applyFont="1" applyBorder="1" applyAlignment="1">
      <alignment horizontal="left" wrapText="1"/>
    </xf>
    <xf numFmtId="170" fontId="0" fillId="5" borderId="12" xfId="51" applyNumberFormat="1" applyFont="1" applyBorder="1" applyAlignment="1">
      <alignment horizontal="left" wrapText="1"/>
    </xf>
    <xf numFmtId="170" fontId="0" fillId="5" borderId="15" xfId="51" applyNumberFormat="1" applyFont="1" applyBorder="1" applyAlignment="1">
      <alignment horizontal="left" wrapText="1"/>
    </xf>
    <xf numFmtId="170" fontId="0" fillId="0" borderId="16" xfId="0" applyBorder="1" applyAlignment="1">
      <alignment wrapText="1"/>
    </xf>
    <xf numFmtId="170" fontId="0" fillId="0" borderId="0" xfId="0" applyAlignment="1">
      <alignment wrapText="1"/>
    </xf>
    <xf numFmtId="170" fontId="0" fillId="0" borderId="17" xfId="0" applyBorder="1" applyAlignment="1">
      <alignment wrapText="1"/>
    </xf>
    <xf numFmtId="170" fontId="0" fillId="5" borderId="16" xfId="51" applyNumberFormat="1" applyFont="1" applyBorder="1" applyAlignment="1">
      <alignment horizontal="left" wrapText="1"/>
    </xf>
    <xf numFmtId="170" fontId="0" fillId="5" borderId="0" xfId="51" applyNumberFormat="1" applyFont="1" applyAlignment="1">
      <alignment horizontal="left" wrapText="1"/>
    </xf>
    <xf numFmtId="170" fontId="0" fillId="5" borderId="17" xfId="51" applyNumberFormat="1" applyFont="1" applyBorder="1" applyAlignment="1">
      <alignment horizontal="left" wrapText="1"/>
    </xf>
    <xf numFmtId="170" fontId="0" fillId="0" borderId="18" xfId="0" applyBorder="1" applyAlignment="1">
      <alignment horizontal="left" wrapText="1"/>
    </xf>
    <xf numFmtId="170" fontId="0" fillId="0" borderId="19" xfId="0" applyBorder="1" applyAlignment="1">
      <alignment horizontal="left" wrapText="1"/>
    </xf>
    <xf numFmtId="170" fontId="0" fillId="0" borderId="20" xfId="0" applyBorder="1" applyAlignment="1">
      <alignment horizontal="left" wrapText="1"/>
    </xf>
    <xf numFmtId="170" fontId="4" fillId="5" borderId="0" xfId="51" applyNumberFormat="1" applyFont="1" applyAlignment="1">
      <alignment horizontal="left" vertical="center"/>
    </xf>
    <xf numFmtId="170" fontId="0" fillId="5" borderId="0" xfId="51" applyNumberFormat="1" applyFont="1" applyAlignment="1"/>
    <xf numFmtId="166" fontId="0" fillId="5" borderId="0" xfId="51" applyNumberFormat="1" applyFont="1" applyAlignment="1">
      <alignment horizontal="left"/>
    </xf>
  </cellXfs>
  <cellStyles count="60">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8000000}"/>
    <cellStyle name="Bad" xfId="13" builtinId="27" hidden="1"/>
    <cellStyle name="Calculation" xfId="17" builtinId="22" hidden="1"/>
    <cellStyle name="Check Cell" xfId="19" builtinId="23" hidden="1"/>
    <cellStyle name="Column Heading" xfId="53" xr:uid="{00000000-0005-0000-0000-00002D000000}"/>
    <cellStyle name="Comma" xfId="2" builtinId="3" hidden="1"/>
    <cellStyle name="Comma [0]" xfId="3" builtinId="6" hidden="1"/>
    <cellStyle name="Currency" xfId="4" builtinId="4" hidden="1"/>
    <cellStyle name="Currency [0]" xfId="5" builtinId="7" hidden="1"/>
    <cellStyle name="Date" xfId="54" xr:uid="{00000000-0005-0000-0000-000023000000}"/>
    <cellStyle name="Date Heading" xfId="52" xr:uid="{00000000-0005-0000-0000-000024000000}"/>
    <cellStyle name="Explanatory Text" xfId="22" builtinId="53" hidden="1"/>
    <cellStyle name="Good" xfId="12" builtinId="26" hidden="1"/>
    <cellStyle name="Hard Coded Number" xfId="57" xr:uid="{00000000-0005-0000-0000-000027000000}"/>
    <cellStyle name="Heading 1" xfId="8" builtinId="16" hidden="1"/>
    <cellStyle name="Heading 2" xfId="9" builtinId="17" hidden="1"/>
    <cellStyle name="Heading 3" xfId="10" builtinId="18" hidden="1"/>
    <cellStyle name="Heading 4" xfId="11" builtinId="19" hidden="1"/>
    <cellStyle name="Hyperlink" xfId="1" builtinId="8" hidden="1" customBuiltin="1"/>
    <cellStyle name="Hyperlink" xfId="58" builtinId="8"/>
    <cellStyle name="Input" xfId="15" builtinId="20" hidden="1"/>
    <cellStyle name="Input" xfId="59" builtinId="20" customBuiltin="1"/>
    <cellStyle name="Linked Cell" xfId="18" builtinId="24" hidden="1"/>
    <cellStyle name="Multiple" xfId="55" xr:uid="{00000000-0005-0000-0000-000032000000}"/>
    <cellStyle name="Neutral" xfId="14" builtinId="28" hidden="1"/>
    <cellStyle name="Normal" xfId="0" builtinId="0" customBuiltin="1"/>
    <cellStyle name="Note" xfId="21" builtinId="10" hidden="1"/>
    <cellStyle name="Output" xfId="16" builtinId="21" hidden="1"/>
    <cellStyle name="Percent" xfId="6" builtinId="5" hidden="1"/>
    <cellStyle name="Percent" xfId="56" builtinId="5" customBuiltin="1"/>
    <cellStyle name="Primary Title" xfId="48" xr:uid="{00000000-0005-0000-0000-00003A000000}"/>
    <cellStyle name="Secondary Title" xfId="49" xr:uid="{00000000-0005-0000-0000-00003C000000}"/>
    <cellStyle name="Tertiary Title" xfId="50" xr:uid="{00000000-0005-0000-0000-00003D000000}"/>
    <cellStyle name="Title" xfId="7" builtinId="15" hidden="1"/>
    <cellStyle name="Total" xfId="23" builtinId="25" hidden="1"/>
    <cellStyle name="Warning Text" xfId="20" builtinId="11" hidden="1"/>
  </cellStyles>
  <dxfs count="1">
    <dxf>
      <font>
        <color rgb="FF9C0006"/>
      </font>
      <fill>
        <patternFill>
          <bgColor rgb="FFFFC7CE"/>
        </patternFill>
      </fill>
    </dxf>
  </dxfs>
  <tableStyles count="0" defaultTableStyle="TableStyleMedium2" defaultPivotStyle="PivotStyleLight16"/>
  <colors>
    <mruColors>
      <color rgb="FF0000FF"/>
      <color rgb="FFDBEEFD"/>
      <color rgb="FF163260"/>
      <color rgb="FF085393"/>
      <color rgb="FFBBDEFB"/>
      <color rgb="FFF0F8FE"/>
      <color rgb="FFEBF1FB"/>
      <color rgb="FFD3E0F5"/>
      <color rgb="FFC9D9F3"/>
      <color rgb="FFE2F1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88900</xdr:colOff>
      <xdr:row>0</xdr:row>
      <xdr:rowOff>1712356</xdr:rowOff>
    </xdr:to>
    <xdr:pic>
      <xdr:nvPicPr>
        <xdr:cNvPr id="3" name="Picture 2">
          <a:extLst>
            <a:ext uri="{FF2B5EF4-FFF2-40B4-BE49-F238E27FC236}">
              <a16:creationId xmlns:a16="http://schemas.microsoft.com/office/drawing/2014/main" id="{517DA37E-585E-A36B-493F-070B70552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712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552450</xdr:colOff>
      <xdr:row>0</xdr:row>
      <xdr:rowOff>88900</xdr:rowOff>
    </xdr:from>
    <xdr:to>
      <xdr:col>28</xdr:col>
      <xdr:colOff>698500</xdr:colOff>
      <xdr:row>0</xdr:row>
      <xdr:rowOff>479216</xdr:rowOff>
    </xdr:to>
    <xdr:pic>
      <xdr:nvPicPr>
        <xdr:cNvPr id="3" name="Picture 2">
          <a:extLst>
            <a:ext uri="{FF2B5EF4-FFF2-40B4-BE49-F238E27FC236}">
              <a16:creationId xmlns:a16="http://schemas.microsoft.com/office/drawing/2014/main" id="{4EAFE7CA-C0EF-4A66-9A89-789D604A04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12400" y="88900"/>
          <a:ext cx="1771650" cy="3903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495300</xdr:colOff>
      <xdr:row>0</xdr:row>
      <xdr:rowOff>50800</xdr:rowOff>
    </xdr:from>
    <xdr:to>
      <xdr:col>25</xdr:col>
      <xdr:colOff>641350</xdr:colOff>
      <xdr:row>0</xdr:row>
      <xdr:rowOff>441116</xdr:rowOff>
    </xdr:to>
    <xdr:pic>
      <xdr:nvPicPr>
        <xdr:cNvPr id="4" name="Picture 3">
          <a:extLst>
            <a:ext uri="{FF2B5EF4-FFF2-40B4-BE49-F238E27FC236}">
              <a16:creationId xmlns:a16="http://schemas.microsoft.com/office/drawing/2014/main" id="{AE608366-7536-4F03-A180-B58612EA1C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9600" y="50800"/>
          <a:ext cx="1771650" cy="3903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488950</xdr:colOff>
      <xdr:row>0</xdr:row>
      <xdr:rowOff>76200</xdr:rowOff>
    </xdr:from>
    <xdr:to>
      <xdr:col>28</xdr:col>
      <xdr:colOff>635000</xdr:colOff>
      <xdr:row>0</xdr:row>
      <xdr:rowOff>466516</xdr:rowOff>
    </xdr:to>
    <xdr:pic>
      <xdr:nvPicPr>
        <xdr:cNvPr id="3" name="Picture 2">
          <a:extLst>
            <a:ext uri="{FF2B5EF4-FFF2-40B4-BE49-F238E27FC236}">
              <a16:creationId xmlns:a16="http://schemas.microsoft.com/office/drawing/2014/main" id="{A907324F-1402-49CA-AFD7-844A0FAA4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17550" y="76200"/>
          <a:ext cx="1771650" cy="390316"/>
        </a:xfrm>
        <a:prstGeom prst="rect">
          <a:avLst/>
        </a:prstGeom>
      </xdr:spPr>
    </xdr:pic>
    <xdr:clientData/>
  </xdr:twoCellAnchor>
</xdr:wsDr>
</file>

<file path=xl/theme/theme1.xml><?xml version="1.0" encoding="utf-8"?>
<a:theme xmlns:a="http://schemas.openxmlformats.org/drawingml/2006/main" name="FE Training">
  <a:themeElements>
    <a:clrScheme name="Financial Edge">
      <a:dk1>
        <a:srgbClr val="3F3F3F"/>
      </a:dk1>
      <a:lt1>
        <a:sysClr val="window" lastClr="FFFFFF"/>
      </a:lt1>
      <a:dk2>
        <a:srgbClr val="163260"/>
      </a:dk2>
      <a:lt2>
        <a:srgbClr val="F2F2F2"/>
      </a:lt2>
      <a:accent1>
        <a:srgbClr val="085393"/>
      </a:accent1>
      <a:accent2>
        <a:srgbClr val="8064A2"/>
      </a:accent2>
      <a:accent3>
        <a:srgbClr val="C0504D"/>
      </a:accent3>
      <a:accent4>
        <a:srgbClr val="ED7D31"/>
      </a:accent4>
      <a:accent5>
        <a:srgbClr val="FFC000"/>
      </a:accent5>
      <a:accent6>
        <a:srgbClr val="70AD47"/>
      </a:accent6>
      <a:hlink>
        <a:srgbClr val="085393"/>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trawbridgecfo.com/" TargetMode="External"/><Relationship Id="rId1" Type="http://schemas.openxmlformats.org/officeDocument/2006/relationships/hyperlink" Target="http://www.strawbridgecfo.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showGridLines="0" tabSelected="1" zoomScale="70" zoomScaleNormal="70" workbookViewId="0">
      <selection activeCell="F13" sqref="F13"/>
    </sheetView>
  </sheetViews>
  <sheetFormatPr defaultColWidth="9" defaultRowHeight="14.5" x14ac:dyDescent="0.35"/>
  <cols>
    <col min="1" max="1" width="10" customWidth="1"/>
    <col min="2" max="13" width="9.08984375" customWidth="1"/>
    <col min="14" max="14" width="10" customWidth="1"/>
    <col min="15" max="26" width="9" customWidth="1"/>
  </cols>
  <sheetData>
    <row r="1" spans="1:21" s="12" customFormat="1" ht="189.75" customHeight="1" x14ac:dyDescent="0.65">
      <c r="A1" s="79"/>
      <c r="B1" s="79"/>
      <c r="C1" s="79"/>
      <c r="D1" s="79"/>
      <c r="E1" s="79"/>
      <c r="F1" s="79"/>
      <c r="G1" s="79"/>
      <c r="H1" s="79"/>
      <c r="I1" s="79"/>
      <c r="J1" s="79"/>
      <c r="K1" s="79"/>
      <c r="L1" s="79"/>
      <c r="M1" s="79"/>
      <c r="N1" s="79"/>
      <c r="O1"/>
      <c r="P1"/>
      <c r="Q1"/>
      <c r="R1"/>
      <c r="S1"/>
      <c r="T1"/>
      <c r="U1"/>
    </row>
    <row r="2" spans="1:21" s="7" customFormat="1" ht="75" customHeight="1" x14ac:dyDescent="0.35">
      <c r="A2" s="82" t="s">
        <v>0</v>
      </c>
      <c r="B2" s="82"/>
      <c r="C2" s="82"/>
      <c r="D2" s="82"/>
      <c r="E2" s="82"/>
      <c r="F2" s="82"/>
      <c r="G2" s="82"/>
      <c r="H2" s="82"/>
      <c r="I2" s="82"/>
      <c r="J2" s="82"/>
      <c r="K2" s="82"/>
      <c r="L2" s="82"/>
      <c r="M2" s="82"/>
      <c r="N2" s="82"/>
      <c r="O2"/>
      <c r="P2"/>
      <c r="Q2"/>
      <c r="R2"/>
      <c r="S2"/>
      <c r="T2"/>
      <c r="U2"/>
    </row>
    <row r="3" spans="1:21" s="8" customFormat="1" ht="7.5" customHeight="1" x14ac:dyDescent="0.35">
      <c r="B3" s="9"/>
      <c r="C3" s="9"/>
      <c r="F3" s="10"/>
      <c r="G3" s="10"/>
      <c r="H3" s="10"/>
      <c r="I3" s="10"/>
      <c r="J3" s="10"/>
      <c r="K3" s="10"/>
      <c r="O3"/>
      <c r="P3"/>
      <c r="Q3"/>
      <c r="R3"/>
      <c r="S3"/>
      <c r="T3"/>
      <c r="U3"/>
    </row>
    <row r="4" spans="1:21" s="8" customFormat="1" ht="15" customHeight="1" x14ac:dyDescent="0.35">
      <c r="A4" s="14"/>
      <c r="B4" s="15"/>
      <c r="C4" s="81"/>
      <c r="D4" s="81"/>
      <c r="E4" s="16"/>
      <c r="F4" s="17"/>
      <c r="G4" s="17"/>
      <c r="H4" s="17"/>
      <c r="I4" s="17"/>
      <c r="J4" s="17"/>
      <c r="K4" s="17"/>
      <c r="L4" s="16"/>
      <c r="M4" s="16"/>
      <c r="N4" s="16"/>
      <c r="O4"/>
      <c r="P4"/>
      <c r="Q4"/>
      <c r="R4"/>
      <c r="S4"/>
      <c r="T4"/>
      <c r="U4"/>
    </row>
    <row r="5" spans="1:21" s="8" customFormat="1" ht="15" customHeight="1" x14ac:dyDescent="0.35">
      <c r="A5" s="83" t="s">
        <v>170</v>
      </c>
      <c r="B5" s="83"/>
      <c r="C5" s="83"/>
      <c r="D5" s="83"/>
      <c r="E5" s="83"/>
      <c r="F5" s="83"/>
      <c r="G5" s="83"/>
      <c r="H5" s="83"/>
      <c r="I5" s="83"/>
      <c r="J5" s="83"/>
      <c r="K5" s="83"/>
      <c r="L5" s="83"/>
      <c r="M5" s="83"/>
      <c r="N5" s="83"/>
      <c r="O5"/>
      <c r="P5"/>
      <c r="Q5"/>
      <c r="R5"/>
      <c r="S5"/>
      <c r="T5"/>
      <c r="U5"/>
    </row>
    <row r="6" spans="1:21" s="8" customFormat="1" ht="15" customHeight="1" x14ac:dyDescent="0.35">
      <c r="A6" s="83"/>
      <c r="B6" s="83"/>
      <c r="C6" s="83"/>
      <c r="D6" s="83"/>
      <c r="E6" s="83"/>
      <c r="F6" s="83"/>
      <c r="G6" s="83"/>
      <c r="H6" s="83"/>
      <c r="I6" s="83"/>
      <c r="J6" s="83"/>
      <c r="K6" s="83"/>
      <c r="L6" s="83"/>
      <c r="M6" s="83"/>
      <c r="N6" s="83"/>
      <c r="O6"/>
      <c r="P6"/>
      <c r="Q6"/>
      <c r="R6"/>
      <c r="S6"/>
      <c r="T6"/>
      <c r="U6"/>
    </row>
    <row r="7" spans="1:21" s="8" customFormat="1" ht="15" customHeight="1" x14ac:dyDescent="0.35">
      <c r="A7" s="83" t="str">
        <f ca="1">"© "&amp;YEAR(TODAY())&amp;" Strawbridge CFO Group"</f>
        <v>© 2025 Strawbridge CFO Group</v>
      </c>
      <c r="B7" s="83"/>
      <c r="C7" s="83"/>
      <c r="D7" s="83"/>
      <c r="E7" s="83"/>
      <c r="F7" s="83"/>
      <c r="G7" s="83"/>
      <c r="H7" s="83"/>
      <c r="I7" s="83"/>
      <c r="J7" s="83"/>
      <c r="K7" s="83"/>
      <c r="L7" s="83"/>
      <c r="M7" s="83"/>
      <c r="N7" s="83"/>
      <c r="O7"/>
      <c r="P7"/>
      <c r="Q7"/>
      <c r="R7"/>
      <c r="S7"/>
      <c r="T7"/>
      <c r="U7"/>
    </row>
    <row r="8" spans="1:21" s="8" customFormat="1" ht="15" customHeight="1" x14ac:dyDescent="0.35">
      <c r="A8" s="84" t="s">
        <v>169</v>
      </c>
      <c r="B8" s="85"/>
      <c r="C8" s="85"/>
      <c r="D8" s="85"/>
      <c r="E8" s="85"/>
      <c r="F8" s="85"/>
      <c r="G8" s="85"/>
      <c r="H8" s="85"/>
      <c r="I8" s="85"/>
      <c r="J8" s="85"/>
      <c r="K8" s="85"/>
      <c r="L8" s="85"/>
      <c r="M8" s="85"/>
      <c r="N8" s="85"/>
      <c r="O8"/>
      <c r="P8"/>
      <c r="Q8"/>
      <c r="R8"/>
      <c r="S8"/>
      <c r="T8"/>
      <c r="U8"/>
    </row>
    <row r="9" spans="1:21" s="8" customFormat="1" ht="15" customHeight="1" thickBot="1" x14ac:dyDescent="0.4">
      <c r="A9" s="27"/>
      <c r="B9" s="28"/>
      <c r="C9" s="27"/>
      <c r="D9" s="27"/>
      <c r="E9" s="29"/>
      <c r="F9" s="30"/>
      <c r="G9" s="30"/>
      <c r="H9" s="30"/>
      <c r="I9" s="30"/>
      <c r="J9" s="30"/>
      <c r="K9" s="30"/>
      <c r="L9" s="29"/>
      <c r="M9" s="29"/>
      <c r="N9" s="29"/>
      <c r="O9"/>
      <c r="P9"/>
      <c r="Q9"/>
      <c r="R9"/>
      <c r="S9"/>
      <c r="T9"/>
      <c r="U9"/>
    </row>
    <row r="10" spans="1:21" s="8" customFormat="1" ht="15" customHeight="1" x14ac:dyDescent="0.35">
      <c r="A10"/>
      <c r="B10"/>
      <c r="C10"/>
      <c r="D10"/>
      <c r="E10"/>
      <c r="F10"/>
      <c r="G10" s="80"/>
      <c r="H10" s="80"/>
      <c r="I10" s="80"/>
      <c r="J10" s="80"/>
      <c r="K10"/>
      <c r="L10"/>
      <c r="M10"/>
      <c r="N10"/>
      <c r="O10"/>
      <c r="P10"/>
      <c r="Q10"/>
      <c r="R10"/>
      <c r="S10"/>
      <c r="T10"/>
      <c r="U10"/>
    </row>
    <row r="11" spans="1:21" s="8" customFormat="1" ht="15" customHeight="1" x14ac:dyDescent="0.35">
      <c r="A11"/>
      <c r="B11"/>
      <c r="C11"/>
      <c r="D11"/>
      <c r="E11"/>
      <c r="F11"/>
      <c r="G11" s="80"/>
      <c r="H11" s="80"/>
      <c r="I11" s="80"/>
      <c r="J11" s="80"/>
      <c r="K11"/>
      <c r="L11"/>
      <c r="M11"/>
      <c r="N11"/>
      <c r="O11"/>
      <c r="P11"/>
      <c r="Q11"/>
      <c r="R11"/>
      <c r="S11"/>
      <c r="T11"/>
      <c r="U11"/>
    </row>
    <row r="12" spans="1:21" s="8" customFormat="1" ht="15" customHeight="1" x14ac:dyDescent="0.35">
      <c r="A12"/>
      <c r="B12"/>
      <c r="C12"/>
      <c r="D12"/>
      <c r="E12"/>
      <c r="F12"/>
      <c r="G12"/>
      <c r="H12"/>
      <c r="I12"/>
      <c r="J12"/>
      <c r="K12"/>
      <c r="L12"/>
      <c r="M12"/>
      <c r="N12"/>
      <c r="O12"/>
      <c r="P12"/>
      <c r="Q12"/>
      <c r="R12"/>
      <c r="S12"/>
      <c r="T12"/>
      <c r="U12"/>
    </row>
    <row r="13" spans="1:21" s="8" customFormat="1" ht="15" customHeight="1" x14ac:dyDescent="0.35">
      <c r="A13"/>
      <c r="B13"/>
      <c r="C13"/>
      <c r="D13"/>
      <c r="E13"/>
      <c r="F13"/>
      <c r="G13" s="80"/>
      <c r="H13" s="80"/>
      <c r="I13" s="80"/>
      <c r="J13" s="80"/>
      <c r="K13"/>
      <c r="L13"/>
      <c r="M13"/>
      <c r="N13"/>
      <c r="O13"/>
      <c r="P13"/>
      <c r="Q13"/>
      <c r="R13"/>
      <c r="S13"/>
      <c r="T13"/>
      <c r="U13"/>
    </row>
    <row r="14" spans="1:21" s="8" customFormat="1" ht="15" customHeight="1" x14ac:dyDescent="0.35">
      <c r="A14"/>
      <c r="B14"/>
      <c r="C14"/>
      <c r="D14"/>
      <c r="E14"/>
      <c r="F14"/>
      <c r="G14" s="80"/>
      <c r="H14" s="80"/>
      <c r="I14" s="80"/>
      <c r="J14" s="80"/>
      <c r="K14"/>
      <c r="L14"/>
      <c r="M14"/>
      <c r="N14"/>
      <c r="O14"/>
      <c r="P14"/>
      <c r="Q14"/>
      <c r="R14"/>
      <c r="S14"/>
      <c r="T14"/>
      <c r="U14"/>
    </row>
    <row r="15" spans="1:21" s="8" customFormat="1" ht="15" customHeight="1" x14ac:dyDescent="0.35">
      <c r="A15"/>
      <c r="B15"/>
      <c r="C15"/>
      <c r="D15"/>
      <c r="E15"/>
      <c r="F15"/>
      <c r="G15" s="80"/>
      <c r="H15" s="80"/>
      <c r="I15" s="80"/>
      <c r="J15" s="80"/>
      <c r="K15"/>
      <c r="L15"/>
      <c r="M15"/>
      <c r="N15"/>
      <c r="O15"/>
      <c r="P15"/>
      <c r="Q15"/>
      <c r="R15"/>
      <c r="S15"/>
      <c r="T15"/>
      <c r="U15"/>
    </row>
    <row r="16" spans="1:21" s="8" customFormat="1" ht="15" customHeight="1" x14ac:dyDescent="0.35">
      <c r="A16"/>
      <c r="B16"/>
      <c r="C16"/>
      <c r="D16"/>
      <c r="E16"/>
      <c r="F16"/>
      <c r="G16"/>
      <c r="H16"/>
      <c r="I16"/>
      <c r="J16"/>
      <c r="K16"/>
      <c r="L16"/>
      <c r="M16"/>
      <c r="N16"/>
      <c r="O16"/>
      <c r="P16"/>
      <c r="Q16"/>
      <c r="R16"/>
      <c r="S16"/>
      <c r="T16"/>
      <c r="U16"/>
    </row>
    <row r="17" spans="1:21" s="8" customFormat="1" ht="15" customHeight="1" x14ac:dyDescent="0.35">
      <c r="A17"/>
      <c r="B17"/>
      <c r="C17"/>
      <c r="D17"/>
      <c r="E17"/>
      <c r="F17"/>
      <c r="G17" s="80"/>
      <c r="H17" s="80"/>
      <c r="I17" s="80"/>
      <c r="J17" s="80"/>
      <c r="K17"/>
      <c r="L17"/>
      <c r="M17"/>
      <c r="N17"/>
      <c r="O17"/>
      <c r="P17"/>
      <c r="Q17"/>
      <c r="R17"/>
      <c r="S17"/>
      <c r="T17"/>
      <c r="U17"/>
    </row>
    <row r="18" spans="1:21" s="8" customFormat="1" ht="15" customHeight="1" x14ac:dyDescent="0.35">
      <c r="A18"/>
      <c r="B18"/>
      <c r="C18"/>
      <c r="D18"/>
      <c r="E18"/>
      <c r="F18"/>
      <c r="G18"/>
      <c r="H18"/>
      <c r="I18"/>
      <c r="J18"/>
      <c r="K18"/>
      <c r="L18"/>
      <c r="M18"/>
      <c r="N18"/>
      <c r="O18"/>
      <c r="P18"/>
      <c r="Q18"/>
      <c r="R18"/>
      <c r="S18"/>
      <c r="T18"/>
      <c r="U18"/>
    </row>
    <row r="19" spans="1:21" ht="15" customHeight="1" x14ac:dyDescent="0.35"/>
  </sheetData>
  <mergeCells count="9">
    <mergeCell ref="A1:N1"/>
    <mergeCell ref="G17:J17"/>
    <mergeCell ref="G13:J15"/>
    <mergeCell ref="C4:D4"/>
    <mergeCell ref="A2:N2"/>
    <mergeCell ref="A5:N6"/>
    <mergeCell ref="A7:N7"/>
    <mergeCell ref="G10:J11"/>
    <mergeCell ref="A8:N8"/>
  </mergeCells>
  <hyperlinks>
    <hyperlink ref="A8" r:id="rId1" xr:uid="{862FB886-0E77-43B0-A664-3C4707117648}"/>
    <hyperlink ref="A8:N8" r:id="rId2" display="www.strawbridgecfo.com" xr:uid="{DB78EEC6-8404-450D-95AA-F02158085E30}"/>
  </hyperlinks>
  <pageMargins left="0.7" right="0.7" top="0.75" bottom="0.75" header="0.3" footer="0.3"/>
  <pageSetup paperSize="9" orientation="landscape" verticalDpi="1200" r:id="rId3"/>
  <headerFooter>
    <oddHeader xml:space="preserve">&amp;R&amp;10&amp;F 
&amp;A
</oddHeader>
    <oddFooter>&amp;L&amp;10© 2020&amp;C&amp;10Page &amp;P of &amp;N&amp;R&amp;G</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6"/>
  <sheetViews>
    <sheetView showGridLines="0" zoomScaleNormal="100" workbookViewId="0">
      <selection activeCell="I6" sqref="I6"/>
    </sheetView>
  </sheetViews>
  <sheetFormatPr defaultColWidth="9" defaultRowHeight="14.5" x14ac:dyDescent="0.35"/>
  <cols>
    <col min="1" max="1" width="1.36328125" customWidth="1"/>
    <col min="2" max="2" width="3" customWidth="1"/>
    <col min="3" max="3" width="29.36328125" bestFit="1" customWidth="1"/>
    <col min="4" max="4" width="3" customWidth="1"/>
    <col min="5" max="7" width="1.36328125" customWidth="1"/>
    <col min="8" max="8" width="3" customWidth="1"/>
    <col min="9" max="9" width="42.81640625" customWidth="1"/>
    <col min="10" max="11" width="1.36328125" customWidth="1"/>
    <col min="12" max="12" width="15.6328125" customWidth="1"/>
    <col min="13" max="14" width="1.36328125" customWidth="1"/>
    <col min="15" max="15" width="3" customWidth="1"/>
    <col min="16" max="16" width="32.6328125" customWidth="1"/>
    <col min="17" max="17" width="3" customWidth="1"/>
    <col min="18" max="18" width="1.36328125" customWidth="1"/>
    <col min="23" max="23" width="9" customWidth="1"/>
  </cols>
  <sheetData>
    <row r="1" spans="1:24" ht="45" customHeight="1" x14ac:dyDescent="0.65">
      <c r="A1" s="65" t="str">
        <f>Welcome!A2</f>
        <v>13-Week Cash Flow Model</v>
      </c>
      <c r="B1" s="65"/>
      <c r="C1" s="65"/>
      <c r="D1" s="65"/>
      <c r="E1" s="65"/>
      <c r="F1" s="65"/>
      <c r="G1" s="65"/>
      <c r="H1" s="65"/>
      <c r="I1" s="65"/>
      <c r="J1" s="66"/>
      <c r="K1" s="66"/>
      <c r="L1" s="66"/>
      <c r="M1" s="66"/>
      <c r="N1" s="66"/>
      <c r="O1" s="66"/>
      <c r="P1" s="66"/>
      <c r="Q1" s="66"/>
      <c r="R1" s="66"/>
    </row>
    <row r="2" spans="1:24" ht="30" customHeight="1" x14ac:dyDescent="0.5">
      <c r="A2" s="67" t="s">
        <v>1</v>
      </c>
      <c r="B2" s="67"/>
      <c r="C2" s="67"/>
      <c r="D2" s="67"/>
      <c r="E2" s="67"/>
      <c r="F2" s="67"/>
      <c r="G2" s="67"/>
      <c r="H2" s="67"/>
      <c r="I2" s="67"/>
      <c r="J2" s="68"/>
      <c r="K2" s="68"/>
      <c r="L2" s="68"/>
      <c r="M2" s="68"/>
      <c r="N2" s="68"/>
      <c r="O2" s="68"/>
      <c r="P2" s="68"/>
      <c r="Q2" s="68"/>
      <c r="R2" s="68"/>
    </row>
    <row r="3" spans="1:24" s="3" customFormat="1" ht="7.5" customHeight="1" x14ac:dyDescent="0.35">
      <c r="S3"/>
      <c r="T3"/>
      <c r="U3"/>
      <c r="V3"/>
      <c r="W3"/>
      <c r="X3"/>
    </row>
    <row r="4" spans="1:24" s="3" customFormat="1" ht="22.5" customHeight="1" x14ac:dyDescent="0.35">
      <c r="A4" s="1"/>
      <c r="B4" s="99" t="s">
        <v>2</v>
      </c>
      <c r="C4" s="99"/>
      <c r="D4" s="99"/>
      <c r="E4" s="99"/>
      <c r="F4" s="99"/>
      <c r="G4" s="99"/>
      <c r="H4" s="99"/>
      <c r="I4" s="99"/>
      <c r="K4" s="1"/>
      <c r="L4" s="99" t="s">
        <v>3</v>
      </c>
      <c r="M4" s="99"/>
      <c r="N4" s="99"/>
      <c r="O4" s="99"/>
      <c r="P4" s="99"/>
      <c r="Q4" s="17"/>
      <c r="R4" s="17"/>
      <c r="S4"/>
      <c r="T4"/>
      <c r="U4"/>
      <c r="V4"/>
      <c r="W4"/>
      <c r="X4"/>
    </row>
    <row r="5" spans="1:24" s="3" customFormat="1" ht="15" customHeight="1" x14ac:dyDescent="0.35">
      <c r="A5" s="2"/>
      <c r="B5" s="26" t="s">
        <v>4</v>
      </c>
      <c r="C5" s="22" t="s">
        <v>5</v>
      </c>
      <c r="D5" s="23"/>
      <c r="E5" s="23"/>
      <c r="F5" s="23"/>
      <c r="G5" s="23"/>
      <c r="H5" s="23"/>
      <c r="I5" s="23"/>
      <c r="K5" s="1"/>
      <c r="L5" s="32" t="s">
        <v>6</v>
      </c>
      <c r="M5" s="32"/>
      <c r="N5" s="100" t="s">
        <v>171</v>
      </c>
      <c r="O5" s="100"/>
      <c r="P5" s="100"/>
      <c r="Q5" s="100"/>
      <c r="R5" s="17"/>
      <c r="S5"/>
      <c r="T5"/>
      <c r="U5"/>
      <c r="V5"/>
      <c r="W5"/>
      <c r="X5"/>
    </row>
    <row r="6" spans="1:24" s="3" customFormat="1" ht="15" customHeight="1" x14ac:dyDescent="0.35">
      <c r="A6" s="31"/>
      <c r="B6" s="26" t="s">
        <v>4</v>
      </c>
      <c r="C6" s="22" t="s">
        <v>7</v>
      </c>
      <c r="D6" s="23"/>
      <c r="E6" s="23"/>
      <c r="F6" s="23"/>
      <c r="G6" s="23"/>
      <c r="H6" s="23"/>
      <c r="I6" s="23"/>
      <c r="K6" s="2"/>
      <c r="L6" s="32" t="s">
        <v>8</v>
      </c>
      <c r="M6" s="32"/>
      <c r="N6" s="101">
        <v>44135</v>
      </c>
      <c r="O6" s="101"/>
      <c r="P6" s="101"/>
      <c r="Q6" s="101"/>
      <c r="R6" s="17"/>
      <c r="S6"/>
      <c r="T6"/>
      <c r="U6"/>
      <c r="V6"/>
      <c r="W6"/>
      <c r="X6"/>
    </row>
    <row r="7" spans="1:24" s="3" customFormat="1" ht="15" customHeight="1" x14ac:dyDescent="0.35">
      <c r="A7" s="23"/>
      <c r="B7" s="26" t="s">
        <v>4</v>
      </c>
      <c r="C7" s="22" t="s">
        <v>9</v>
      </c>
      <c r="D7" s="23"/>
      <c r="E7" s="23"/>
      <c r="F7" s="23"/>
      <c r="G7" s="23"/>
      <c r="H7" s="23"/>
      <c r="I7" s="23"/>
      <c r="K7" s="31"/>
      <c r="L7" s="32" t="s">
        <v>10</v>
      </c>
      <c r="M7" s="32"/>
      <c r="N7" s="100" t="s">
        <v>11</v>
      </c>
      <c r="O7" s="100"/>
      <c r="P7" s="100"/>
      <c r="Q7" s="100"/>
      <c r="R7" s="17"/>
      <c r="S7"/>
      <c r="T7"/>
      <c r="U7"/>
      <c r="V7"/>
      <c r="W7"/>
      <c r="X7"/>
    </row>
    <row r="8" spans="1:24" s="3" customFormat="1" ht="15" customHeight="1" x14ac:dyDescent="0.35">
      <c r="A8" s="23"/>
      <c r="B8" s="26" t="s">
        <v>4</v>
      </c>
      <c r="C8" s="22" t="s">
        <v>12</v>
      </c>
      <c r="D8" s="23"/>
      <c r="E8" s="23"/>
      <c r="F8" s="23"/>
      <c r="G8" s="23"/>
      <c r="H8" s="23"/>
      <c r="I8" s="23"/>
      <c r="K8" s="23"/>
      <c r="L8" s="32" t="s">
        <v>13</v>
      </c>
      <c r="M8" s="32"/>
      <c r="N8" s="100" t="s">
        <v>14</v>
      </c>
      <c r="O8" s="100"/>
      <c r="P8" s="100"/>
      <c r="Q8" s="100"/>
      <c r="R8" s="17"/>
      <c r="S8"/>
      <c r="T8"/>
      <c r="U8"/>
      <c r="V8"/>
      <c r="W8"/>
      <c r="X8"/>
    </row>
    <row r="9" spans="1:24" s="3" customFormat="1" ht="15" customHeight="1" x14ac:dyDescent="0.35">
      <c r="A9" s="18"/>
      <c r="B9" s="26" t="s">
        <v>4</v>
      </c>
      <c r="C9" s="22" t="s">
        <v>15</v>
      </c>
      <c r="D9" s="18"/>
      <c r="E9" s="18"/>
      <c r="F9" s="18"/>
      <c r="G9" s="18"/>
      <c r="H9" s="18"/>
      <c r="I9" s="18"/>
      <c r="K9" s="23"/>
      <c r="L9" s="32" t="s">
        <v>16</v>
      </c>
      <c r="M9" s="32"/>
      <c r="N9" s="100" t="s">
        <v>17</v>
      </c>
      <c r="O9" s="100"/>
      <c r="P9" s="100"/>
      <c r="Q9" s="100"/>
      <c r="R9" s="17"/>
      <c r="S9"/>
      <c r="T9"/>
      <c r="U9"/>
      <c r="V9"/>
      <c r="W9"/>
      <c r="X9"/>
    </row>
    <row r="10" spans="1:24" s="3" customFormat="1" ht="15" customHeight="1" x14ac:dyDescent="0.35">
      <c r="A10" s="16"/>
      <c r="B10" s="16"/>
      <c r="C10" s="16"/>
      <c r="D10" s="16"/>
      <c r="E10" s="16"/>
      <c r="F10" s="16"/>
      <c r="G10" s="16"/>
      <c r="H10" s="16"/>
      <c r="I10" s="16"/>
      <c r="K10" s="23"/>
      <c r="L10" s="32" t="s">
        <v>18</v>
      </c>
      <c r="M10" s="32"/>
      <c r="N10" s="86" t="s">
        <v>19</v>
      </c>
      <c r="O10" s="86"/>
      <c r="P10" s="86"/>
      <c r="Q10" s="86"/>
      <c r="R10" s="19"/>
      <c r="S10"/>
      <c r="T10"/>
      <c r="U10"/>
      <c r="V10"/>
      <c r="W10"/>
      <c r="X10"/>
    </row>
    <row r="11" spans="1:24" s="3" customFormat="1" ht="15" customHeight="1" thickBot="1" x14ac:dyDescent="0.4">
      <c r="A11" s="27"/>
      <c r="B11" s="27"/>
      <c r="C11" s="27"/>
      <c r="D11" s="27"/>
      <c r="E11" s="27"/>
      <c r="F11" s="27"/>
      <c r="G11" s="27"/>
      <c r="H11" s="27"/>
      <c r="I11" s="27"/>
      <c r="K11" s="27"/>
      <c r="L11" s="27"/>
      <c r="M11" s="27"/>
      <c r="N11" s="27"/>
      <c r="O11" s="27"/>
      <c r="P11" s="27"/>
      <c r="Q11" s="27"/>
      <c r="R11" s="27"/>
      <c r="S11"/>
      <c r="T11"/>
      <c r="U11"/>
      <c r="V11"/>
      <c r="W11"/>
      <c r="X11"/>
    </row>
    <row r="12" spans="1:24" s="3" customFormat="1" ht="7.5" customHeight="1" x14ac:dyDescent="0.35">
      <c r="K12" s="10"/>
      <c r="L12" s="10"/>
      <c r="M12" s="10"/>
      <c r="N12" s="10"/>
      <c r="O12" s="10"/>
      <c r="P12" s="10"/>
      <c r="Q12" s="10"/>
      <c r="R12" s="10"/>
      <c r="S12"/>
      <c r="T12"/>
      <c r="U12"/>
      <c r="V12"/>
      <c r="W12"/>
      <c r="X12"/>
    </row>
    <row r="13" spans="1:24" s="3" customFormat="1" ht="22.5" customHeight="1" x14ac:dyDescent="0.35">
      <c r="A13" s="22"/>
      <c r="B13" s="99" t="s">
        <v>20</v>
      </c>
      <c r="C13" s="99"/>
      <c r="D13" s="99"/>
      <c r="E13" s="99"/>
      <c r="F13" s="99"/>
      <c r="G13" s="99"/>
      <c r="H13" s="99"/>
      <c r="I13" s="99"/>
      <c r="J13" s="99"/>
      <c r="K13" s="99"/>
      <c r="L13" s="99"/>
      <c r="N13" s="1"/>
      <c r="O13" s="99" t="s">
        <v>21</v>
      </c>
      <c r="P13" s="99"/>
      <c r="Q13" s="99"/>
      <c r="R13" s="24"/>
      <c r="S13"/>
      <c r="T13"/>
      <c r="U13"/>
      <c r="V13"/>
      <c r="W13"/>
      <c r="X13"/>
    </row>
    <row r="14" spans="1:24" s="3" customFormat="1" ht="15" customHeight="1" x14ac:dyDescent="0.35">
      <c r="A14" s="23"/>
      <c r="B14" s="86"/>
      <c r="C14" s="86"/>
      <c r="D14" s="87" t="s">
        <v>22</v>
      </c>
      <c r="E14" s="88"/>
      <c r="F14" s="88"/>
      <c r="G14" s="88"/>
      <c r="H14" s="88"/>
      <c r="I14" s="88"/>
      <c r="J14" s="88"/>
      <c r="K14" s="88"/>
      <c r="L14" s="89"/>
      <c r="N14" s="2"/>
      <c r="O14" s="11"/>
      <c r="P14" s="7"/>
      <c r="Q14" s="7"/>
      <c r="R14" s="23"/>
      <c r="S14"/>
      <c r="T14"/>
      <c r="U14"/>
      <c r="V14"/>
      <c r="W14"/>
      <c r="X14"/>
    </row>
    <row r="15" spans="1:24" s="3" customFormat="1" ht="15" customHeight="1" x14ac:dyDescent="0.35">
      <c r="A15" s="23"/>
      <c r="B15" s="86"/>
      <c r="C15" s="86"/>
      <c r="D15" s="90"/>
      <c r="E15" s="91"/>
      <c r="F15" s="91"/>
      <c r="G15" s="91"/>
      <c r="H15" s="91"/>
      <c r="I15" s="91"/>
      <c r="J15" s="91"/>
      <c r="K15" s="91"/>
      <c r="L15" s="92"/>
      <c r="N15" s="31"/>
      <c r="O15" s="11"/>
      <c r="P15" s="20" t="s">
        <v>23</v>
      </c>
      <c r="Q15" s="7"/>
      <c r="R15" s="23"/>
      <c r="S15"/>
      <c r="T15"/>
      <c r="U15"/>
      <c r="V15"/>
      <c r="W15"/>
      <c r="X15"/>
    </row>
    <row r="16" spans="1:24" s="3" customFormat="1" ht="15" customHeight="1" x14ac:dyDescent="0.35">
      <c r="A16" s="23"/>
      <c r="B16" s="86"/>
      <c r="C16" s="86"/>
      <c r="D16" s="93" t="s">
        <v>24</v>
      </c>
      <c r="E16" s="94"/>
      <c r="F16" s="94"/>
      <c r="G16" s="94"/>
      <c r="H16" s="94"/>
      <c r="I16" s="94"/>
      <c r="J16" s="94"/>
      <c r="K16" s="94"/>
      <c r="L16" s="95"/>
      <c r="N16" s="23"/>
      <c r="O16" s="11"/>
      <c r="P16" s="13" t="s">
        <v>25</v>
      </c>
      <c r="Q16" s="7"/>
      <c r="R16" s="23"/>
      <c r="S16"/>
      <c r="T16"/>
      <c r="U16"/>
      <c r="V16"/>
      <c r="W16"/>
      <c r="X16"/>
    </row>
    <row r="17" spans="1:24" s="3" customFormat="1" ht="15" customHeight="1" x14ac:dyDescent="0.35">
      <c r="A17" s="23"/>
      <c r="B17" s="86"/>
      <c r="C17" s="86"/>
      <c r="D17" s="96"/>
      <c r="E17" s="97"/>
      <c r="F17" s="97"/>
      <c r="G17" s="97"/>
      <c r="H17" s="97"/>
      <c r="I17" s="97"/>
      <c r="J17" s="97"/>
      <c r="K17" s="97"/>
      <c r="L17" s="98"/>
      <c r="N17" s="23"/>
      <c r="O17" s="11"/>
      <c r="P17" t="s">
        <v>26</v>
      </c>
      <c r="Q17" s="7"/>
      <c r="R17" s="23"/>
      <c r="S17"/>
      <c r="T17"/>
      <c r="U17"/>
      <c r="V17"/>
      <c r="W17"/>
      <c r="X17"/>
    </row>
    <row r="18" spans="1:24" s="3" customFormat="1" ht="15" customHeight="1" x14ac:dyDescent="0.35">
      <c r="A18" s="23"/>
      <c r="B18" s="62"/>
      <c r="C18" s="62"/>
      <c r="D18" s="62"/>
      <c r="E18" s="62"/>
      <c r="F18" s="62"/>
      <c r="G18" s="62"/>
      <c r="H18" s="62"/>
      <c r="I18" s="62"/>
      <c r="J18" s="62"/>
      <c r="K18" s="62"/>
      <c r="L18" s="62"/>
      <c r="N18" s="23"/>
      <c r="O18" s="11"/>
      <c r="P18"/>
      <c r="Q18" s="7"/>
      <c r="R18" s="23"/>
      <c r="S18"/>
      <c r="T18"/>
      <c r="U18"/>
      <c r="V18"/>
      <c r="W18"/>
      <c r="X18"/>
    </row>
    <row r="19" spans="1:24" s="3" customFormat="1" ht="15" customHeight="1" x14ac:dyDescent="0.35">
      <c r="A19" s="16"/>
      <c r="B19" s="86" t="s">
        <v>27</v>
      </c>
      <c r="C19" s="86"/>
      <c r="D19" s="86" t="s">
        <v>28</v>
      </c>
      <c r="E19" s="86"/>
      <c r="F19" s="86"/>
      <c r="G19" s="86"/>
      <c r="H19" s="86"/>
      <c r="I19" s="86"/>
      <c r="J19" s="86"/>
      <c r="K19" s="86"/>
      <c r="L19" s="86"/>
      <c r="N19" s="16"/>
      <c r="O19" s="21"/>
      <c r="P19" s="21"/>
      <c r="Q19" s="21"/>
      <c r="R19" s="16"/>
      <c r="S19"/>
      <c r="T19"/>
      <c r="U19"/>
      <c r="V19"/>
      <c r="W19"/>
      <c r="X19"/>
    </row>
    <row r="20" spans="1:24" s="3" customFormat="1" ht="15" customHeight="1" x14ac:dyDescent="0.35">
      <c r="A20" s="16"/>
      <c r="B20" s="62"/>
      <c r="C20" s="62"/>
      <c r="D20" s="62" t="s">
        <v>29</v>
      </c>
      <c r="E20" s="62"/>
      <c r="F20" s="62"/>
      <c r="G20" s="62"/>
      <c r="H20" s="62"/>
      <c r="I20" s="62"/>
      <c r="J20" s="62"/>
      <c r="K20" s="62"/>
      <c r="L20" s="62"/>
      <c r="N20" s="16"/>
      <c r="O20" s="21"/>
      <c r="P20" s="21"/>
      <c r="Q20" s="21"/>
      <c r="R20" s="16"/>
      <c r="S20"/>
      <c r="T20"/>
      <c r="U20"/>
      <c r="V20"/>
      <c r="W20"/>
      <c r="X20"/>
    </row>
    <row r="21" spans="1:24" s="3" customFormat="1" ht="15" customHeight="1" x14ac:dyDescent="0.35">
      <c r="A21" s="16"/>
      <c r="B21" s="62"/>
      <c r="C21" s="62"/>
      <c r="D21" s="86" t="s">
        <v>30</v>
      </c>
      <c r="E21" s="86"/>
      <c r="F21" s="86"/>
      <c r="G21" s="86"/>
      <c r="H21" s="86"/>
      <c r="I21" s="86"/>
      <c r="J21" s="86"/>
      <c r="K21" s="86"/>
      <c r="L21" s="86"/>
      <c r="N21" s="16"/>
      <c r="O21" s="21"/>
      <c r="P21" s="21"/>
      <c r="Q21" s="21"/>
      <c r="R21" s="16"/>
      <c r="S21"/>
      <c r="T21"/>
      <c r="U21"/>
      <c r="V21"/>
      <c r="W21"/>
      <c r="X21"/>
    </row>
    <row r="22" spans="1:24" s="3" customFormat="1" ht="15" customHeight="1" x14ac:dyDescent="0.35">
      <c r="A22" s="16"/>
      <c r="B22" s="62"/>
      <c r="C22" s="62"/>
      <c r="D22" s="62" t="s">
        <v>31</v>
      </c>
      <c r="E22" s="62"/>
      <c r="F22" s="62"/>
      <c r="G22" s="62"/>
      <c r="H22" s="62"/>
      <c r="I22" s="62"/>
      <c r="J22" s="62"/>
      <c r="K22" s="62"/>
      <c r="L22" s="62"/>
      <c r="N22" s="16"/>
      <c r="O22" s="21"/>
      <c r="P22" s="21"/>
      <c r="Q22" s="21"/>
      <c r="R22" s="16"/>
      <c r="S22"/>
      <c r="T22"/>
      <c r="U22"/>
      <c r="V22"/>
      <c r="W22"/>
      <c r="X22"/>
    </row>
    <row r="23" spans="1:24" s="3" customFormat="1" ht="15" customHeight="1" x14ac:dyDescent="0.35">
      <c r="A23" s="16"/>
      <c r="B23" s="62" t="s">
        <v>32</v>
      </c>
      <c r="C23" s="62"/>
      <c r="D23" s="62" t="s">
        <v>33</v>
      </c>
      <c r="E23" s="62"/>
      <c r="F23" s="62"/>
      <c r="G23" s="62"/>
      <c r="H23" s="62"/>
      <c r="I23" s="62"/>
      <c r="J23" s="62"/>
      <c r="K23" s="62"/>
      <c r="L23" s="62"/>
      <c r="N23" s="16"/>
      <c r="O23" s="21"/>
      <c r="P23" s="21"/>
      <c r="Q23" s="21"/>
      <c r="R23" s="16"/>
      <c r="S23"/>
      <c r="T23"/>
      <c r="U23"/>
      <c r="V23"/>
      <c r="W23"/>
      <c r="X23"/>
    </row>
    <row r="24" spans="1:24" s="3" customFormat="1" ht="15" customHeight="1" thickBot="1" x14ac:dyDescent="0.4">
      <c r="A24" s="16"/>
      <c r="B24" s="62" t="s">
        <v>34</v>
      </c>
      <c r="C24" s="62"/>
      <c r="D24" s="62" t="s">
        <v>35</v>
      </c>
      <c r="E24" s="27"/>
      <c r="F24" s="27"/>
      <c r="G24" s="27"/>
      <c r="H24" s="27"/>
      <c r="I24" s="27"/>
      <c r="J24" s="27"/>
      <c r="K24" s="27"/>
      <c r="L24" s="27"/>
      <c r="N24" s="16"/>
      <c r="O24" s="21"/>
      <c r="P24" s="21"/>
      <c r="Q24" s="21"/>
      <c r="R24" s="16"/>
      <c r="S24"/>
      <c r="T24"/>
      <c r="U24"/>
      <c r="V24"/>
      <c r="W24"/>
      <c r="X24"/>
    </row>
    <row r="25" spans="1:24" ht="15" thickBot="1" x14ac:dyDescent="0.4">
      <c r="A25" s="27"/>
      <c r="B25" s="27"/>
      <c r="C25" s="27"/>
      <c r="D25" s="27"/>
      <c r="E25" s="27"/>
      <c r="F25" s="27"/>
      <c r="G25" s="27"/>
      <c r="H25" s="27"/>
      <c r="I25" s="27"/>
      <c r="J25" s="27"/>
      <c r="K25" s="27"/>
      <c r="L25" s="27"/>
      <c r="N25" s="27"/>
      <c r="O25" s="27"/>
      <c r="P25" s="27"/>
      <c r="Q25" s="27"/>
      <c r="R25" s="27"/>
    </row>
    <row r="26" spans="1:24" x14ac:dyDescent="0.35">
      <c r="Q26" s="8"/>
    </row>
  </sheetData>
  <mergeCells count="19">
    <mergeCell ref="L4:P4"/>
    <mergeCell ref="B4:I4"/>
    <mergeCell ref="B13:L13"/>
    <mergeCell ref="B19:C19"/>
    <mergeCell ref="D19:L19"/>
    <mergeCell ref="N5:Q5"/>
    <mergeCell ref="N6:Q6"/>
    <mergeCell ref="N7:Q7"/>
    <mergeCell ref="N8:Q8"/>
    <mergeCell ref="N9:Q9"/>
    <mergeCell ref="N10:Q10"/>
    <mergeCell ref="O13:Q13"/>
    <mergeCell ref="B14:C14"/>
    <mergeCell ref="B15:C15"/>
    <mergeCell ref="B16:C16"/>
    <mergeCell ref="B17:C17"/>
    <mergeCell ref="D21:L21"/>
    <mergeCell ref="D14:L15"/>
    <mergeCell ref="D16:L17"/>
  </mergeCells>
  <pageMargins left="0.7" right="0.7" top="0.75" bottom="0.75" header="0.3" footer="0.3"/>
  <pageSetup paperSize="9" orientation="landscape" verticalDpi="1200" r:id="rId1"/>
  <headerFooter>
    <oddHeader xml:space="preserve">&amp;R&amp;10&amp;F 
&amp;A
</oddHeader>
    <oddFooter>&amp;L&amp;10© 2020&amp;C&amp;10Page &amp;P of &amp;N&amp;R&amp;G</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E072A-4448-42E3-9308-EDC448C0F37B}">
  <dimension ref="A1:AD126"/>
  <sheetViews>
    <sheetView zoomScaleNormal="100" workbookViewId="0">
      <pane xSplit="2" ySplit="8" topLeftCell="AB9" activePane="bottomRight" state="frozen"/>
      <selection pane="topRight" sqref="A1:N1"/>
      <selection pane="bottomLeft" sqref="A1:N1"/>
      <selection pane="bottomRight" activeCell="AE1" sqref="AE1:AE1048576"/>
    </sheetView>
  </sheetViews>
  <sheetFormatPr defaultColWidth="9" defaultRowHeight="15" customHeight="1" x14ac:dyDescent="0.35"/>
  <cols>
    <col min="1" max="1" width="1.6328125" style="6" customWidth="1"/>
    <col min="2" max="2" width="40.6328125" customWidth="1"/>
    <col min="3" max="29" width="11.6328125" customWidth="1"/>
    <col min="30" max="30" width="52.6328125" bestFit="1" customWidth="1"/>
  </cols>
  <sheetData>
    <row r="1" spans="1:30" ht="45" customHeight="1" x14ac:dyDescent="0.65">
      <c r="A1" s="69" t="str">
        <f>Welcome!A2</f>
        <v>13-Week Cash Flow Model</v>
      </c>
      <c r="B1" s="70"/>
      <c r="C1" s="71"/>
      <c r="D1" s="72" t="s">
        <v>22</v>
      </c>
      <c r="E1" s="73"/>
      <c r="F1" s="73"/>
      <c r="G1" s="73"/>
      <c r="H1" s="73"/>
      <c r="I1" s="73"/>
      <c r="J1" s="73"/>
      <c r="K1" s="73"/>
      <c r="L1" s="73"/>
      <c r="M1" s="74"/>
      <c r="N1" s="71"/>
      <c r="O1" s="71"/>
      <c r="P1" s="71"/>
      <c r="Q1" s="71"/>
      <c r="R1" s="71"/>
      <c r="S1" s="71"/>
      <c r="T1" s="71"/>
      <c r="U1" s="71"/>
      <c r="V1" s="71"/>
      <c r="W1" s="71"/>
      <c r="X1" s="71"/>
      <c r="Y1" s="71"/>
      <c r="Z1" s="71"/>
      <c r="AA1" s="71"/>
      <c r="AB1" s="71"/>
      <c r="AC1" s="71"/>
    </row>
    <row r="2" spans="1:30" ht="21" x14ac:dyDescent="0.5">
      <c r="A2" s="67"/>
      <c r="B2" s="68"/>
      <c r="C2" s="75"/>
      <c r="D2" s="75" t="s">
        <v>36</v>
      </c>
      <c r="E2" s="75" t="s">
        <v>36</v>
      </c>
      <c r="F2" s="75" t="s">
        <v>36</v>
      </c>
      <c r="G2" s="75" t="s">
        <v>36</v>
      </c>
      <c r="H2" s="75" t="s">
        <v>36</v>
      </c>
      <c r="I2" s="75" t="s">
        <v>36</v>
      </c>
      <c r="J2" s="75" t="s">
        <v>36</v>
      </c>
      <c r="K2" s="75" t="s">
        <v>36</v>
      </c>
      <c r="L2" s="75" t="s">
        <v>36</v>
      </c>
      <c r="M2" s="75" t="s">
        <v>36</v>
      </c>
      <c r="N2" s="75" t="s">
        <v>36</v>
      </c>
      <c r="O2" s="75" t="s">
        <v>36</v>
      </c>
      <c r="P2" s="75" t="s">
        <v>36</v>
      </c>
      <c r="Q2" s="75" t="s">
        <v>37</v>
      </c>
      <c r="R2" s="75" t="s">
        <v>37</v>
      </c>
      <c r="S2" s="75" t="s">
        <v>37</v>
      </c>
      <c r="T2" s="75" t="s">
        <v>37</v>
      </c>
      <c r="U2" s="75" t="s">
        <v>37</v>
      </c>
      <c r="V2" s="75" t="s">
        <v>37</v>
      </c>
      <c r="W2" s="75" t="s">
        <v>37</v>
      </c>
      <c r="X2" s="75" t="s">
        <v>37</v>
      </c>
      <c r="Y2" s="75" t="s">
        <v>37</v>
      </c>
      <c r="Z2" s="75" t="s">
        <v>37</v>
      </c>
      <c r="AA2" s="75" t="s">
        <v>37</v>
      </c>
      <c r="AB2" s="75" t="s">
        <v>37</v>
      </c>
      <c r="AC2" s="75" t="s">
        <v>37</v>
      </c>
    </row>
    <row r="3" spans="1:30" ht="21" x14ac:dyDescent="0.5">
      <c r="A3" s="67"/>
      <c r="B3" s="68"/>
      <c r="C3" s="75">
        <v>0</v>
      </c>
      <c r="D3" s="75">
        <v>1</v>
      </c>
      <c r="E3" s="75">
        <f>D3+1</f>
        <v>2</v>
      </c>
      <c r="F3" s="75">
        <f t="shared" ref="F3:P3" si="0">E3+1</f>
        <v>3</v>
      </c>
      <c r="G3" s="75">
        <f t="shared" si="0"/>
        <v>4</v>
      </c>
      <c r="H3" s="75">
        <f t="shared" si="0"/>
        <v>5</v>
      </c>
      <c r="I3" s="75">
        <f t="shared" si="0"/>
        <v>6</v>
      </c>
      <c r="J3" s="75">
        <f t="shared" si="0"/>
        <v>7</v>
      </c>
      <c r="K3" s="75">
        <f t="shared" si="0"/>
        <v>8</v>
      </c>
      <c r="L3" s="75">
        <f t="shared" si="0"/>
        <v>9</v>
      </c>
      <c r="M3" s="75">
        <f t="shared" si="0"/>
        <v>10</v>
      </c>
      <c r="N3" s="75">
        <f t="shared" si="0"/>
        <v>11</v>
      </c>
      <c r="O3" s="75">
        <f t="shared" si="0"/>
        <v>12</v>
      </c>
      <c r="P3" s="75">
        <f t="shared" si="0"/>
        <v>13</v>
      </c>
      <c r="Q3" s="75">
        <v>1</v>
      </c>
      <c r="R3" s="75">
        <f>Q3+1</f>
        <v>2</v>
      </c>
      <c r="S3" s="75">
        <f t="shared" ref="S3:AC3" si="1">R3+1</f>
        <v>3</v>
      </c>
      <c r="T3" s="75">
        <f t="shared" si="1"/>
        <v>4</v>
      </c>
      <c r="U3" s="75">
        <f t="shared" si="1"/>
        <v>5</v>
      </c>
      <c r="V3" s="75">
        <f t="shared" si="1"/>
        <v>6</v>
      </c>
      <c r="W3" s="75">
        <f t="shared" si="1"/>
        <v>7</v>
      </c>
      <c r="X3" s="75">
        <f t="shared" si="1"/>
        <v>8</v>
      </c>
      <c r="Y3" s="75">
        <f t="shared" si="1"/>
        <v>9</v>
      </c>
      <c r="Z3" s="75">
        <f t="shared" si="1"/>
        <v>10</v>
      </c>
      <c r="AA3" s="75">
        <f t="shared" si="1"/>
        <v>11</v>
      </c>
      <c r="AB3" s="75">
        <f t="shared" si="1"/>
        <v>12</v>
      </c>
      <c r="AC3" s="75">
        <f t="shared" si="1"/>
        <v>13</v>
      </c>
    </row>
    <row r="4" spans="1:30" ht="21" x14ac:dyDescent="0.5">
      <c r="A4" s="67"/>
      <c r="B4" s="68"/>
      <c r="C4" s="76"/>
      <c r="D4" s="76">
        <v>44050</v>
      </c>
      <c r="E4" s="76">
        <f>D4+7</f>
        <v>44057</v>
      </c>
      <c r="F4" s="76">
        <f t="shared" ref="F4:AC4" si="2">E4+7</f>
        <v>44064</v>
      </c>
      <c r="G4" s="76">
        <f t="shared" si="2"/>
        <v>44071</v>
      </c>
      <c r="H4" s="76">
        <f t="shared" si="2"/>
        <v>44078</v>
      </c>
      <c r="I4" s="76">
        <f t="shared" si="2"/>
        <v>44085</v>
      </c>
      <c r="J4" s="76">
        <f t="shared" si="2"/>
        <v>44092</v>
      </c>
      <c r="K4" s="76">
        <f t="shared" si="2"/>
        <v>44099</v>
      </c>
      <c r="L4" s="76">
        <f t="shared" si="2"/>
        <v>44106</v>
      </c>
      <c r="M4" s="76">
        <f t="shared" si="2"/>
        <v>44113</v>
      </c>
      <c r="N4" s="76">
        <f t="shared" si="2"/>
        <v>44120</v>
      </c>
      <c r="O4" s="76">
        <f t="shared" si="2"/>
        <v>44127</v>
      </c>
      <c r="P4" s="76">
        <f t="shared" si="2"/>
        <v>44134</v>
      </c>
      <c r="Q4" s="76">
        <f>P4+7</f>
        <v>44141</v>
      </c>
      <c r="R4" s="76">
        <f t="shared" si="2"/>
        <v>44148</v>
      </c>
      <c r="S4" s="76">
        <f t="shared" si="2"/>
        <v>44155</v>
      </c>
      <c r="T4" s="76">
        <f t="shared" si="2"/>
        <v>44162</v>
      </c>
      <c r="U4" s="76">
        <f t="shared" si="2"/>
        <v>44169</v>
      </c>
      <c r="V4" s="76">
        <f t="shared" si="2"/>
        <v>44176</v>
      </c>
      <c r="W4" s="76">
        <f t="shared" si="2"/>
        <v>44183</v>
      </c>
      <c r="X4" s="76">
        <f t="shared" si="2"/>
        <v>44190</v>
      </c>
      <c r="Y4" s="76">
        <f t="shared" si="2"/>
        <v>44197</v>
      </c>
      <c r="Z4" s="76">
        <f t="shared" si="2"/>
        <v>44204</v>
      </c>
      <c r="AA4" s="76">
        <f t="shared" si="2"/>
        <v>44211</v>
      </c>
      <c r="AB4" s="76">
        <f t="shared" si="2"/>
        <v>44218</v>
      </c>
      <c r="AC4" s="76">
        <f t="shared" si="2"/>
        <v>44225</v>
      </c>
      <c r="AD4" s="76" t="s">
        <v>172</v>
      </c>
    </row>
    <row r="5" spans="1:30" ht="15" customHeight="1" x14ac:dyDescent="0.35">
      <c r="A5" s="40"/>
    </row>
    <row r="6" spans="1:30" ht="15" customHeight="1" x14ac:dyDescent="0.35">
      <c r="B6" t="s">
        <v>38</v>
      </c>
      <c r="C6" s="49">
        <v>44043</v>
      </c>
      <c r="D6" s="48">
        <f>$C$6+31</f>
        <v>44074</v>
      </c>
      <c r="E6" s="48">
        <f t="shared" ref="E6:G6" si="3">$C$6+31</f>
        <v>44074</v>
      </c>
      <c r="F6" s="48">
        <f t="shared" si="3"/>
        <v>44074</v>
      </c>
      <c r="G6" s="48">
        <f t="shared" si="3"/>
        <v>44074</v>
      </c>
      <c r="H6" s="48">
        <f>$G$6+30</f>
        <v>44104</v>
      </c>
      <c r="I6" s="48">
        <f t="shared" ref="I6:K6" si="4">$G$6+30</f>
        <v>44104</v>
      </c>
      <c r="J6" s="48">
        <f t="shared" si="4"/>
        <v>44104</v>
      </c>
      <c r="K6" s="48">
        <f t="shared" si="4"/>
        <v>44104</v>
      </c>
      <c r="L6" s="48">
        <f>$K$6+31</f>
        <v>44135</v>
      </c>
      <c r="M6" s="48">
        <f t="shared" ref="M6:P6" si="5">$K$6+31</f>
        <v>44135</v>
      </c>
      <c r="N6" s="48">
        <f t="shared" si="5"/>
        <v>44135</v>
      </c>
      <c r="O6" s="48">
        <f t="shared" si="5"/>
        <v>44135</v>
      </c>
      <c r="P6" s="48">
        <f t="shared" si="5"/>
        <v>44135</v>
      </c>
      <c r="Q6" s="48">
        <f>$P$6+30</f>
        <v>44165</v>
      </c>
      <c r="R6" s="48">
        <f t="shared" ref="R6:T6" si="6">$P$6+30</f>
        <v>44165</v>
      </c>
      <c r="S6" s="48">
        <f t="shared" si="6"/>
        <v>44165</v>
      </c>
      <c r="T6" s="48">
        <f t="shared" si="6"/>
        <v>44165</v>
      </c>
      <c r="U6" s="48">
        <f>$Q$6+31</f>
        <v>44196</v>
      </c>
      <c r="V6" s="48">
        <f t="shared" ref="V6:X6" si="7">$Q$6+31</f>
        <v>44196</v>
      </c>
      <c r="W6" s="48">
        <f t="shared" si="7"/>
        <v>44196</v>
      </c>
      <c r="X6" s="48">
        <f t="shared" si="7"/>
        <v>44196</v>
      </c>
      <c r="Y6" s="48">
        <f>$U$6+31</f>
        <v>44227</v>
      </c>
      <c r="Z6" s="48">
        <f t="shared" ref="Z6:AC6" si="8">$U$6+31</f>
        <v>44227</v>
      </c>
      <c r="AA6" s="48">
        <f t="shared" si="8"/>
        <v>44227</v>
      </c>
      <c r="AB6" s="48">
        <f t="shared" si="8"/>
        <v>44227</v>
      </c>
      <c r="AC6" s="48">
        <f t="shared" si="8"/>
        <v>44227</v>
      </c>
    </row>
    <row r="7" spans="1:30" ht="15" customHeight="1" x14ac:dyDescent="0.35">
      <c r="B7" t="s">
        <v>39</v>
      </c>
      <c r="D7">
        <f>IF(D4-$C$6&gt;=7,7,D4-$C$6)</f>
        <v>7</v>
      </c>
      <c r="E7">
        <f t="shared" ref="E7:G7" si="9">IF(E4-$C$6&gt;=7,7,E4-$C$6)</f>
        <v>7</v>
      </c>
      <c r="F7">
        <f t="shared" si="9"/>
        <v>7</v>
      </c>
      <c r="G7">
        <f t="shared" si="9"/>
        <v>7</v>
      </c>
      <c r="H7">
        <f>IF(H4-$G$6&gt;=7,7,H4-$G$6)</f>
        <v>4</v>
      </c>
      <c r="I7">
        <f t="shared" ref="I7:K7" si="10">IF(I4-$G$6&gt;=7,7,I4-$G$6)</f>
        <v>7</v>
      </c>
      <c r="J7">
        <f t="shared" si="10"/>
        <v>7</v>
      </c>
      <c r="K7">
        <f t="shared" si="10"/>
        <v>7</v>
      </c>
      <c r="L7">
        <f>IF(L4-$K$6&gt;=7,7,L4-$K$6)</f>
        <v>2</v>
      </c>
      <c r="M7">
        <f t="shared" ref="M7:P7" si="11">IF(M4-$K$6&gt;=7,7,M4-$K$6)</f>
        <v>7</v>
      </c>
      <c r="N7">
        <f t="shared" si="11"/>
        <v>7</v>
      </c>
      <c r="O7">
        <f t="shared" si="11"/>
        <v>7</v>
      </c>
      <c r="P7">
        <f t="shared" si="11"/>
        <v>7</v>
      </c>
      <c r="Q7">
        <f>IF(Q4-$P$6&gt;=7,7,Q4-$P$6)</f>
        <v>6</v>
      </c>
      <c r="R7">
        <f t="shared" ref="R7:T7" si="12">IF(R4-$P$6&gt;=7,7,R4-$P$6)</f>
        <v>7</v>
      </c>
      <c r="S7">
        <f t="shared" si="12"/>
        <v>7</v>
      </c>
      <c r="T7">
        <f t="shared" si="12"/>
        <v>7</v>
      </c>
      <c r="U7">
        <f>IF(U4-$T$6&gt;=7,7,U4-$T$6)</f>
        <v>4</v>
      </c>
      <c r="V7">
        <f t="shared" ref="V7:X7" si="13">IF(V4-$T$6&gt;=7,7,V4-$T$6)</f>
        <v>7</v>
      </c>
      <c r="W7">
        <f t="shared" si="13"/>
        <v>7</v>
      </c>
      <c r="X7">
        <f t="shared" si="13"/>
        <v>7</v>
      </c>
      <c r="Y7">
        <f>IF(Y4-$X$6&gt;=7,7,Y4-$X$6)</f>
        <v>1</v>
      </c>
      <c r="Z7">
        <f t="shared" ref="Z7:AC7" si="14">IF(Z4-$X$6&gt;=7,7,Z4-$X$6)</f>
        <v>7</v>
      </c>
      <c r="AA7">
        <f t="shared" si="14"/>
        <v>7</v>
      </c>
      <c r="AB7">
        <f t="shared" si="14"/>
        <v>7</v>
      </c>
      <c r="AC7">
        <f t="shared" si="14"/>
        <v>7</v>
      </c>
      <c r="AD7" t="str">
        <f ca="1">_xlfn.FORMULATEXT(AC7)</f>
        <v>=IF(AC4-$X$6&gt;=7,7,AC4-$X$6)</v>
      </c>
    </row>
    <row r="8" spans="1:30" ht="15" customHeight="1" x14ac:dyDescent="0.35">
      <c r="B8" t="s">
        <v>40</v>
      </c>
      <c r="D8">
        <f>7-D7</f>
        <v>0</v>
      </c>
      <c r="E8">
        <f t="shared" ref="E8:P8" si="15">7-E7</f>
        <v>0</v>
      </c>
      <c r="F8">
        <f t="shared" si="15"/>
        <v>0</v>
      </c>
      <c r="G8">
        <f t="shared" si="15"/>
        <v>0</v>
      </c>
      <c r="H8">
        <f t="shared" si="15"/>
        <v>3</v>
      </c>
      <c r="I8">
        <f t="shared" si="15"/>
        <v>0</v>
      </c>
      <c r="J8">
        <f t="shared" si="15"/>
        <v>0</v>
      </c>
      <c r="K8">
        <f t="shared" si="15"/>
        <v>0</v>
      </c>
      <c r="L8">
        <f t="shared" si="15"/>
        <v>5</v>
      </c>
      <c r="M8">
        <f t="shared" si="15"/>
        <v>0</v>
      </c>
      <c r="N8">
        <f t="shared" si="15"/>
        <v>0</v>
      </c>
      <c r="O8">
        <f t="shared" si="15"/>
        <v>0</v>
      </c>
      <c r="P8">
        <f t="shared" si="15"/>
        <v>0</v>
      </c>
      <c r="Q8">
        <f t="shared" ref="Q8:AC8" si="16">7-Q7</f>
        <v>1</v>
      </c>
      <c r="R8">
        <f t="shared" si="16"/>
        <v>0</v>
      </c>
      <c r="S8">
        <f t="shared" si="16"/>
        <v>0</v>
      </c>
      <c r="T8">
        <f t="shared" si="16"/>
        <v>0</v>
      </c>
      <c r="U8">
        <f t="shared" si="16"/>
        <v>3</v>
      </c>
      <c r="V8">
        <f t="shared" si="16"/>
        <v>0</v>
      </c>
      <c r="W8">
        <f t="shared" si="16"/>
        <v>0</v>
      </c>
      <c r="X8">
        <f t="shared" si="16"/>
        <v>0</v>
      </c>
      <c r="Y8">
        <f t="shared" si="16"/>
        <v>6</v>
      </c>
      <c r="Z8">
        <f t="shared" si="16"/>
        <v>0</v>
      </c>
      <c r="AA8">
        <f t="shared" si="16"/>
        <v>0</v>
      </c>
      <c r="AB8">
        <f t="shared" si="16"/>
        <v>0</v>
      </c>
      <c r="AC8">
        <f t="shared" si="16"/>
        <v>0</v>
      </c>
      <c r="AD8" t="str">
        <f ca="1">_xlfn.FORMULATEXT(AC8)</f>
        <v>=7-AC7</v>
      </c>
    </row>
    <row r="10" spans="1:30" ht="15" customHeight="1" x14ac:dyDescent="0.35">
      <c r="B10" s="63" t="s">
        <v>41</v>
      </c>
    </row>
    <row r="11" spans="1:30" ht="15" customHeight="1" x14ac:dyDescent="0.35">
      <c r="A11" s="40"/>
      <c r="B11" t="s">
        <v>42</v>
      </c>
      <c r="D11" s="33">
        <v>5379.3667741935487</v>
      </c>
      <c r="E11" s="33">
        <v>7903.0203225806445</v>
      </c>
      <c r="F11" s="33">
        <v>7172.489032258065</v>
      </c>
      <c r="G11" s="33">
        <v>6109.8980645161291</v>
      </c>
      <c r="H11" s="33">
        <f>8367.69823655914+74.7</f>
        <v>8442.3982365591401</v>
      </c>
      <c r="I11" s="33">
        <v>8660.1876666666667</v>
      </c>
      <c r="J11" s="33">
        <v>7527.0790000000006</v>
      </c>
      <c r="K11" s="33">
        <v>7122.3973333333333</v>
      </c>
      <c r="L11" s="33">
        <v>8121.9716666666673</v>
      </c>
      <c r="M11" s="33">
        <v>9344.16</v>
      </c>
      <c r="N11" s="33">
        <v>9162.7199999999993</v>
      </c>
      <c r="O11" s="33">
        <v>8981.2800000000007</v>
      </c>
      <c r="P11" s="33">
        <v>9051.1</v>
      </c>
      <c r="Q11" s="64">
        <v>9732.9600000000009</v>
      </c>
      <c r="R11" s="64">
        <v>9843.1200000000008</v>
      </c>
      <c r="S11" s="64">
        <v>9843.1200000000008</v>
      </c>
      <c r="T11" s="64">
        <v>9843.1200000000008</v>
      </c>
      <c r="U11" s="64">
        <v>9661.68</v>
      </c>
      <c r="V11" s="64">
        <v>9525.6000000000022</v>
      </c>
      <c r="W11" s="64">
        <v>9525.6000000000022</v>
      </c>
      <c r="X11" s="64">
        <v>9525.6000000000022</v>
      </c>
      <c r="Y11" s="64">
        <v>9457.5600000000013</v>
      </c>
      <c r="Z11" s="64">
        <v>9049.32</v>
      </c>
      <c r="AA11" s="64">
        <v>9049.32</v>
      </c>
      <c r="AB11" s="64">
        <v>9049.32</v>
      </c>
      <c r="AC11" s="64">
        <v>9049.32</v>
      </c>
    </row>
    <row r="12" spans="1:30" ht="15" customHeight="1" x14ac:dyDescent="0.35">
      <c r="A12" s="40"/>
      <c r="B12" t="s">
        <v>43</v>
      </c>
      <c r="D12" s="33"/>
      <c r="E12" s="33"/>
      <c r="F12" s="33"/>
      <c r="G12" s="33"/>
      <c r="H12" s="33"/>
      <c r="I12" s="33"/>
      <c r="J12" s="33"/>
      <c r="K12" s="33"/>
      <c r="L12" s="33"/>
      <c r="M12" s="33"/>
      <c r="N12" s="33"/>
      <c r="O12" s="33"/>
      <c r="P12" s="33"/>
    </row>
    <row r="13" spans="1:30" ht="15" customHeight="1" x14ac:dyDescent="0.35">
      <c r="A13" s="40"/>
      <c r="B13" s="34" t="s">
        <v>44</v>
      </c>
      <c r="D13" s="36">
        <v>-1437.6193548387098</v>
      </c>
      <c r="E13" s="36">
        <v>-2112.058064516129</v>
      </c>
      <c r="F13" s="36">
        <v>-1916.8258064516131</v>
      </c>
      <c r="G13" s="36">
        <v>-1632.8516129032257</v>
      </c>
      <c r="H13" s="36">
        <v>-2254.1203291612906</v>
      </c>
      <c r="I13" s="36">
        <v>-2312.2701070000003</v>
      </c>
      <c r="J13" s="36">
        <v>-2009.7300930000004</v>
      </c>
      <c r="K13" s="36">
        <v>-1901.6800880000001</v>
      </c>
      <c r="L13" s="36">
        <v>-2168.5664350000002</v>
      </c>
      <c r="M13" s="36">
        <v>-2494.8907200000003</v>
      </c>
      <c r="N13" s="36">
        <v>-2446.4462399999998</v>
      </c>
      <c r="O13" s="36">
        <v>-2398.0017600000001</v>
      </c>
      <c r="P13" s="36">
        <v>-2416.6437000000001</v>
      </c>
      <c r="Q13">
        <f>Q$11*Q30*-1</f>
        <v>-2919.8880000000004</v>
      </c>
      <c r="R13">
        <f t="shared" ref="R13:AC13" si="17">R$11*R30*-1</f>
        <v>-2952.9360000000001</v>
      </c>
      <c r="S13">
        <f t="shared" si="17"/>
        <v>-2952.9360000000001</v>
      </c>
      <c r="T13">
        <f t="shared" si="17"/>
        <v>-2952.9360000000001</v>
      </c>
      <c r="U13">
        <f t="shared" si="17"/>
        <v>-2579.6685600000001</v>
      </c>
      <c r="V13">
        <f t="shared" si="17"/>
        <v>-2543.3352000000009</v>
      </c>
      <c r="W13">
        <f t="shared" si="17"/>
        <v>-2543.3352000000009</v>
      </c>
      <c r="X13">
        <f t="shared" si="17"/>
        <v>-2543.3352000000009</v>
      </c>
      <c r="Y13">
        <f t="shared" si="17"/>
        <v>-2525.1685200000006</v>
      </c>
      <c r="Z13">
        <f t="shared" si="17"/>
        <v>-2416.1684399999999</v>
      </c>
      <c r="AA13">
        <f t="shared" si="17"/>
        <v>-2416.1684399999999</v>
      </c>
      <c r="AB13">
        <f t="shared" si="17"/>
        <v>-2416.1684399999999</v>
      </c>
      <c r="AC13">
        <f t="shared" si="17"/>
        <v>-2416.1684399999999</v>
      </c>
      <c r="AD13" t="str">
        <f t="shared" ref="AD13:AD70" ca="1" si="18">_xlfn.FORMULATEXT(AC13)</f>
        <v>=AC$11*AC30*-1</v>
      </c>
    </row>
    <row r="14" spans="1:30" ht="15" customHeight="1" x14ac:dyDescent="0.35">
      <c r="A14" s="40"/>
      <c r="B14" s="34" t="s">
        <v>45</v>
      </c>
      <c r="D14" s="36">
        <v>-2006.8141935483873</v>
      </c>
      <c r="E14" s="36">
        <v>-2948.282580645161</v>
      </c>
      <c r="F14" s="36">
        <v>-2675.7522580645164</v>
      </c>
      <c r="G14" s="36">
        <v>-2279.3445161290324</v>
      </c>
      <c r="H14" s="36">
        <v>-3099.6846701061986</v>
      </c>
      <c r="I14" s="36">
        <v>-3179.6475596666664</v>
      </c>
      <c r="J14" s="36">
        <v>-2763.618907</v>
      </c>
      <c r="K14" s="36">
        <v>-2615.037245333333</v>
      </c>
      <c r="L14" s="36">
        <v>-2842.6900833333334</v>
      </c>
      <c r="M14" s="36">
        <v>-3270.4559999999997</v>
      </c>
      <c r="N14" s="36">
        <v>-3206.9519999999998</v>
      </c>
      <c r="O14" s="36">
        <v>-3143.4479999999999</v>
      </c>
      <c r="P14" s="36">
        <v>-3167.8849999999998</v>
      </c>
      <c r="Q14">
        <f t="shared" ref="Q14:AC14" si="19">-Q31*Q11</f>
        <v>-3406.5360000000001</v>
      </c>
      <c r="R14">
        <f t="shared" si="19"/>
        <v>-3494.3076000000001</v>
      </c>
      <c r="S14">
        <f t="shared" si="19"/>
        <v>-3543.5232000000001</v>
      </c>
      <c r="T14">
        <f t="shared" si="19"/>
        <v>-3543.5232000000001</v>
      </c>
      <c r="U14">
        <f t="shared" si="19"/>
        <v>-3478.2048</v>
      </c>
      <c r="V14">
        <f t="shared" si="19"/>
        <v>-3429.2160000000008</v>
      </c>
      <c r="W14">
        <f t="shared" si="19"/>
        <v>-3476.8440000000005</v>
      </c>
      <c r="X14">
        <f t="shared" si="19"/>
        <v>-3476.8440000000005</v>
      </c>
      <c r="Y14">
        <f t="shared" si="19"/>
        <v>-3452.0094000000004</v>
      </c>
      <c r="Z14">
        <f t="shared" si="19"/>
        <v>-3348.2483999999999</v>
      </c>
      <c r="AA14">
        <f t="shared" si="19"/>
        <v>-3348.2483999999999</v>
      </c>
      <c r="AB14">
        <f t="shared" si="19"/>
        <v>-3348.2483999999999</v>
      </c>
      <c r="AC14">
        <f t="shared" si="19"/>
        <v>-3348.2483999999999</v>
      </c>
      <c r="AD14" t="str">
        <f t="shared" ca="1" si="18"/>
        <v>=-AC31*AC11</v>
      </c>
    </row>
    <row r="15" spans="1:30" ht="15" customHeight="1" x14ac:dyDescent="0.35">
      <c r="A15" s="40"/>
      <c r="B15" s="34" t="s">
        <v>46</v>
      </c>
      <c r="D15" s="33">
        <v>-1345.3548387096773</v>
      </c>
      <c r="E15" s="33">
        <v>-1345.3548387096773</v>
      </c>
      <c r="F15" s="33">
        <v>-1345.3548387096773</v>
      </c>
      <c r="G15" s="33">
        <v>-1345.3548387096773</v>
      </c>
      <c r="H15" s="33">
        <v>-1443.6333333333332</v>
      </c>
      <c r="I15" s="33">
        <v>-1473.3</v>
      </c>
      <c r="J15" s="33">
        <v>-1443.6333333333332</v>
      </c>
      <c r="K15" s="33">
        <v>-1443.6333333333332</v>
      </c>
      <c r="L15" s="33">
        <v>-1347.76</v>
      </c>
      <c r="M15" s="33">
        <v>-1359.2600000000002</v>
      </c>
      <c r="N15" s="33">
        <v>-1359.2600000000002</v>
      </c>
      <c r="O15" s="33">
        <v>-1359.2600000000002</v>
      </c>
      <c r="P15" s="33">
        <v>-1359.2600000000002</v>
      </c>
      <c r="Q15" s="64">
        <v>-1383.8218800000002</v>
      </c>
      <c r="R15" s="64">
        <v>-1387.9155266666667</v>
      </c>
      <c r="S15" s="64">
        <v>-1387.9155266666667</v>
      </c>
      <c r="T15" s="64">
        <v>-1387.9155266666667</v>
      </c>
      <c r="U15" s="64">
        <v>-1353.7673583225805</v>
      </c>
      <c r="V15" s="64">
        <v>-1328.156232064516</v>
      </c>
      <c r="W15" s="64">
        <v>-1328.156232064516</v>
      </c>
      <c r="X15" s="64">
        <v>-1328.156232064516</v>
      </c>
      <c r="Y15" s="64">
        <v>-1326.1649923245161</v>
      </c>
      <c r="Z15" s="64">
        <v>-1314.2175538845161</v>
      </c>
      <c r="AA15" s="64">
        <v>-1314.2175538845161</v>
      </c>
      <c r="AB15" s="64">
        <v>-1314.2175538845161</v>
      </c>
      <c r="AC15" s="64">
        <v>-1314.2175538845161</v>
      </c>
    </row>
    <row r="16" spans="1:30" ht="15" customHeight="1" x14ac:dyDescent="0.35">
      <c r="A16" s="41"/>
      <c r="B16" s="35" t="s">
        <v>47</v>
      </c>
      <c r="C16" s="35"/>
      <c r="D16" s="46">
        <f t="shared" ref="D16:AC16" si="20">D11+SUM(D13:D15)</f>
        <v>589.57838709677435</v>
      </c>
      <c r="E16" s="46">
        <f t="shared" si="20"/>
        <v>1497.3248387096774</v>
      </c>
      <c r="F16" s="46">
        <f t="shared" si="20"/>
        <v>1234.5561290322585</v>
      </c>
      <c r="G16" s="46">
        <f t="shared" si="20"/>
        <v>852.34709677419414</v>
      </c>
      <c r="H16" s="46">
        <f t="shared" si="20"/>
        <v>1644.9599039583172</v>
      </c>
      <c r="I16" s="46">
        <f t="shared" si="20"/>
        <v>1694.9700000000003</v>
      </c>
      <c r="J16" s="46">
        <f t="shared" si="20"/>
        <v>1310.0966666666673</v>
      </c>
      <c r="K16" s="46">
        <f t="shared" si="20"/>
        <v>1162.0466666666671</v>
      </c>
      <c r="L16" s="46">
        <f t="shared" si="20"/>
        <v>1762.9551483333335</v>
      </c>
      <c r="M16" s="46">
        <f t="shared" si="20"/>
        <v>2219.5532800000001</v>
      </c>
      <c r="N16" s="46">
        <f t="shared" si="20"/>
        <v>2150.0617599999996</v>
      </c>
      <c r="O16" s="46">
        <f t="shared" si="20"/>
        <v>2080.5702400000009</v>
      </c>
      <c r="P16" s="46">
        <f t="shared" si="20"/>
        <v>2107.3113000000003</v>
      </c>
      <c r="Q16" s="46">
        <f t="shared" si="20"/>
        <v>2022.7141199999996</v>
      </c>
      <c r="R16" s="46">
        <f t="shared" si="20"/>
        <v>2007.9608733333343</v>
      </c>
      <c r="S16" s="46">
        <f t="shared" si="20"/>
        <v>1958.7452733333339</v>
      </c>
      <c r="T16" s="46">
        <f t="shared" si="20"/>
        <v>1958.7452733333339</v>
      </c>
      <c r="U16" s="46">
        <f t="shared" si="20"/>
        <v>2250.0392816774201</v>
      </c>
      <c r="V16" s="46">
        <f t="shared" si="20"/>
        <v>2224.8925679354843</v>
      </c>
      <c r="W16" s="46">
        <f t="shared" si="20"/>
        <v>2177.2645679354846</v>
      </c>
      <c r="X16" s="46">
        <f t="shared" si="20"/>
        <v>2177.2645679354846</v>
      </c>
      <c r="Y16" s="46">
        <f t="shared" si="20"/>
        <v>2154.2170876754844</v>
      </c>
      <c r="Z16" s="46">
        <f t="shared" si="20"/>
        <v>1970.685606115484</v>
      </c>
      <c r="AA16" s="46">
        <f t="shared" si="20"/>
        <v>1970.685606115484</v>
      </c>
      <c r="AB16" s="46">
        <f t="shared" si="20"/>
        <v>1970.685606115484</v>
      </c>
      <c r="AC16" s="46">
        <f t="shared" si="20"/>
        <v>1970.685606115484</v>
      </c>
      <c r="AD16" t="str">
        <f t="shared" ca="1" si="18"/>
        <v>=AC11+SUM(AC13:AC15)</v>
      </c>
    </row>
    <row r="17" spans="1:30" ht="15" customHeight="1" x14ac:dyDescent="0.35">
      <c r="A17" s="40"/>
      <c r="B17" s="38" t="s">
        <v>48</v>
      </c>
    </row>
    <row r="18" spans="1:30" ht="15" customHeight="1" x14ac:dyDescent="0.35">
      <c r="A18" s="40"/>
      <c r="B18" s="34" t="s">
        <v>44</v>
      </c>
      <c r="D18" s="36">
        <v>-359.40483870967745</v>
      </c>
      <c r="E18" s="36">
        <v>-528.01451612903224</v>
      </c>
      <c r="F18" s="36">
        <v>-479.20645161290327</v>
      </c>
      <c r="G18" s="36">
        <v>-408.21290322580643</v>
      </c>
      <c r="H18" s="36">
        <v>-565.64068184946245</v>
      </c>
      <c r="I18" s="36">
        <v>-580.23257366666667</v>
      </c>
      <c r="J18" s="36">
        <v>-504.31429300000008</v>
      </c>
      <c r="K18" s="36">
        <v>-477.20062133333334</v>
      </c>
      <c r="L18" s="36">
        <v>-544.17210166666678</v>
      </c>
      <c r="M18" s="36">
        <v>-626.05871999999999</v>
      </c>
      <c r="N18" s="36">
        <v>-613.90224000000001</v>
      </c>
      <c r="O18" s="36">
        <v>-601.74576000000013</v>
      </c>
      <c r="P18" s="36">
        <v>-606.42370000000005</v>
      </c>
      <c r="Q18">
        <f t="shared" ref="Q18:AC18" si="21">Q$11*Q32*-1</f>
        <v>-681.30720000000008</v>
      </c>
      <c r="R18">
        <f t="shared" si="21"/>
        <v>-689.01840000000016</v>
      </c>
      <c r="S18">
        <f t="shared" si="21"/>
        <v>-689.01840000000016</v>
      </c>
      <c r="T18">
        <f t="shared" si="21"/>
        <v>-689.01840000000016</v>
      </c>
      <c r="U18">
        <f t="shared" si="21"/>
        <v>-772.9344000000001</v>
      </c>
      <c r="V18">
        <f t="shared" si="21"/>
        <v>-762.04800000000023</v>
      </c>
      <c r="W18">
        <f t="shared" si="21"/>
        <v>-762.04800000000023</v>
      </c>
      <c r="X18">
        <f t="shared" si="21"/>
        <v>-762.04800000000023</v>
      </c>
      <c r="Y18">
        <f t="shared" si="21"/>
        <v>-756.60480000000007</v>
      </c>
      <c r="Z18">
        <f t="shared" si="21"/>
        <v>-588.20579999999995</v>
      </c>
      <c r="AA18">
        <f t="shared" si="21"/>
        <v>-588.20579999999995</v>
      </c>
      <c r="AB18">
        <f t="shared" si="21"/>
        <v>-588.20579999999995</v>
      </c>
      <c r="AC18">
        <f t="shared" si="21"/>
        <v>-588.20579999999995</v>
      </c>
      <c r="AD18" t="str">
        <f t="shared" ca="1" si="18"/>
        <v>=AC$11*AC32*-1</v>
      </c>
    </row>
    <row r="19" spans="1:30" ht="15" customHeight="1" x14ac:dyDescent="0.35">
      <c r="A19" s="40"/>
      <c r="B19" s="34" t="s">
        <v>49</v>
      </c>
      <c r="D19" s="36">
        <v>-341.19354838709677</v>
      </c>
      <c r="E19" s="36">
        <v>-341.19354838709677</v>
      </c>
      <c r="F19" s="36">
        <v>-341.19354838709677</v>
      </c>
      <c r="G19" s="36">
        <v>-341.19354838709677</v>
      </c>
      <c r="H19" s="36">
        <v>-650.46512925694014</v>
      </c>
      <c r="I19" s="36">
        <v>-704.65989999999999</v>
      </c>
      <c r="J19" s="36">
        <v>-704.65989999999999</v>
      </c>
      <c r="K19" s="36">
        <v>-704.65989999999999</v>
      </c>
      <c r="L19" s="36">
        <v>-704.65989999999999</v>
      </c>
      <c r="M19" s="36">
        <v>-645.74696774193501</v>
      </c>
      <c r="N19" s="36">
        <v>-737.84696774193526</v>
      </c>
      <c r="O19" s="36">
        <v>-737.84696774193526</v>
      </c>
      <c r="P19" s="36">
        <v>-737.84696774193526</v>
      </c>
      <c r="Q19">
        <f t="shared" ref="Q19:AC19" si="22">Q$11*Q33*-1</f>
        <v>-827.30160000000012</v>
      </c>
      <c r="R19">
        <f t="shared" si="22"/>
        <v>-836.66520000000014</v>
      </c>
      <c r="S19">
        <f t="shared" si="22"/>
        <v>-836.66520000000014</v>
      </c>
      <c r="T19">
        <f t="shared" si="22"/>
        <v>-836.66520000000014</v>
      </c>
      <c r="U19">
        <f t="shared" si="22"/>
        <v>-869.55119999999999</v>
      </c>
      <c r="V19">
        <f t="shared" si="22"/>
        <v>-857.3040000000002</v>
      </c>
      <c r="W19">
        <f t="shared" si="22"/>
        <v>-857.3040000000002</v>
      </c>
      <c r="X19">
        <f t="shared" si="22"/>
        <v>-857.3040000000002</v>
      </c>
      <c r="Y19">
        <f t="shared" si="22"/>
        <v>-851.18040000000008</v>
      </c>
      <c r="Z19">
        <f t="shared" si="22"/>
        <v>-769.19220000000007</v>
      </c>
      <c r="AA19">
        <f t="shared" si="22"/>
        <v>-769.19220000000007</v>
      </c>
      <c r="AB19">
        <f t="shared" si="22"/>
        <v>-769.19220000000007</v>
      </c>
      <c r="AC19">
        <f t="shared" si="22"/>
        <v>-769.19220000000007</v>
      </c>
      <c r="AD19" t="str">
        <f t="shared" ca="1" si="18"/>
        <v>=AC$11*AC33*-1</v>
      </c>
    </row>
    <row r="20" spans="1:30" ht="15" customHeight="1" x14ac:dyDescent="0.35">
      <c r="A20" s="40"/>
      <c r="B20" s="34" t="s">
        <v>50</v>
      </c>
      <c r="D20" s="33">
        <v>-15.129032258064516</v>
      </c>
      <c r="E20" s="33">
        <v>-15.129032258064516</v>
      </c>
      <c r="F20" s="33">
        <v>-15.129032258064516</v>
      </c>
      <c r="G20" s="33">
        <v>-15.129032258064516</v>
      </c>
      <c r="H20" s="33">
        <v>-15.633333333333333</v>
      </c>
      <c r="I20" s="33">
        <v>-15.633333333333333</v>
      </c>
      <c r="J20" s="33">
        <v>-15.633333333333333</v>
      </c>
      <c r="K20" s="33">
        <v>-15.633333333333333</v>
      </c>
      <c r="L20" s="33">
        <v>-15.129032258064516</v>
      </c>
      <c r="M20" s="33">
        <v>-15.129032258064516</v>
      </c>
      <c r="N20" s="33">
        <v>-15.129032258064516</v>
      </c>
      <c r="O20" s="33">
        <v>-15.129032258064516</v>
      </c>
      <c r="P20" s="33">
        <v>-15.129032258064516</v>
      </c>
      <c r="Q20" s="64">
        <v>-15.561290322580646</v>
      </c>
      <c r="R20" s="64">
        <v>-15.633333333333333</v>
      </c>
      <c r="S20" s="64">
        <v>-15.633333333333333</v>
      </c>
      <c r="T20" s="64">
        <v>-15.633333333333333</v>
      </c>
      <c r="U20" s="64">
        <v>-15.345161290322579</v>
      </c>
      <c r="V20" s="64">
        <v>-15.129032258064516</v>
      </c>
      <c r="W20" s="64">
        <v>-15.129032258064516</v>
      </c>
      <c r="X20" s="64">
        <v>-15.129032258064516</v>
      </c>
      <c r="Y20" s="64">
        <v>-15.129032258064516</v>
      </c>
      <c r="Z20" s="64">
        <v>-15.129032258064516</v>
      </c>
      <c r="AA20" s="64">
        <v>-15.129032258064516</v>
      </c>
      <c r="AB20" s="64">
        <v>-15.129032258064516</v>
      </c>
      <c r="AC20" s="64">
        <v>-15.129032258064516</v>
      </c>
    </row>
    <row r="21" spans="1:30" ht="15" customHeight="1" x14ac:dyDescent="0.35">
      <c r="A21" s="40"/>
      <c r="B21" s="38" t="s">
        <v>51</v>
      </c>
      <c r="D21" s="36">
        <v>11.741935483870968</v>
      </c>
      <c r="E21" s="36">
        <v>11.741935483870968</v>
      </c>
      <c r="F21" s="36">
        <v>11.741935483870968</v>
      </c>
      <c r="G21" s="36">
        <v>11.741935483870968</v>
      </c>
      <c r="H21" s="33">
        <v>13.832258064516129</v>
      </c>
      <c r="I21" s="33">
        <v>15.4</v>
      </c>
      <c r="J21" s="33">
        <v>15.4</v>
      </c>
      <c r="K21" s="33">
        <v>15.4</v>
      </c>
      <c r="L21" s="33">
        <v>15.838709677419356</v>
      </c>
      <c r="M21" s="33">
        <v>16.93548387096774</v>
      </c>
      <c r="N21" s="33">
        <v>16.93548387096774</v>
      </c>
      <c r="O21" s="33">
        <v>16.93548387096774</v>
      </c>
      <c r="P21" s="33">
        <v>16.93548387096774</v>
      </c>
      <c r="Q21" s="64">
        <v>17.419354838709676</v>
      </c>
      <c r="R21" s="64">
        <v>17.5</v>
      </c>
      <c r="S21" s="64">
        <v>17.5</v>
      </c>
      <c r="T21" s="64">
        <v>17.5</v>
      </c>
      <c r="U21" s="64">
        <v>17.177419354838712</v>
      </c>
      <c r="V21" s="64">
        <v>16.935483870967744</v>
      </c>
      <c r="W21" s="64">
        <v>16.935483870967744</v>
      </c>
      <c r="X21" s="64">
        <v>16.935483870967744</v>
      </c>
      <c r="Y21" s="64">
        <v>16.612903225806452</v>
      </c>
      <c r="Z21" s="64">
        <v>14.677419354838708</v>
      </c>
      <c r="AA21" s="64">
        <v>14.677419354838708</v>
      </c>
      <c r="AB21" s="64">
        <v>14.677419354838708</v>
      </c>
      <c r="AC21" s="64">
        <v>14.677419354838708</v>
      </c>
    </row>
    <row r="22" spans="1:30" ht="15" customHeight="1" x14ac:dyDescent="0.35">
      <c r="A22" s="40"/>
      <c r="B22" s="35" t="s">
        <v>52</v>
      </c>
      <c r="C22" s="35"/>
      <c r="D22" s="35">
        <f t="shared" ref="D22:AC22" si="23">D16+SUM(D18:D21)</f>
        <v>-114.40709677419341</v>
      </c>
      <c r="E22" s="35">
        <f t="shared" si="23"/>
        <v>624.72967741935474</v>
      </c>
      <c r="F22" s="35">
        <f t="shared" si="23"/>
        <v>410.76903225806484</v>
      </c>
      <c r="G22" s="35">
        <f t="shared" si="23"/>
        <v>99.553548387097408</v>
      </c>
      <c r="H22" s="35">
        <f t="shared" si="23"/>
        <v>427.05301758309724</v>
      </c>
      <c r="I22" s="35">
        <f t="shared" si="23"/>
        <v>409.84419300000013</v>
      </c>
      <c r="J22" s="35">
        <f t="shared" si="23"/>
        <v>100.8891403333339</v>
      </c>
      <c r="K22" s="35">
        <f t="shared" si="23"/>
        <v>-20.047187999999551</v>
      </c>
      <c r="L22" s="35">
        <f t="shared" si="23"/>
        <v>514.83282408602145</v>
      </c>
      <c r="M22" s="35">
        <f t="shared" si="23"/>
        <v>949.55404387096837</v>
      </c>
      <c r="N22" s="35">
        <f t="shared" si="23"/>
        <v>800.11900387096762</v>
      </c>
      <c r="O22" s="35">
        <f t="shared" si="23"/>
        <v>742.78396387096859</v>
      </c>
      <c r="P22" s="35">
        <f t="shared" si="23"/>
        <v>764.84708387096816</v>
      </c>
      <c r="Q22" s="35">
        <f t="shared" si="23"/>
        <v>515.9633845161286</v>
      </c>
      <c r="R22" s="35">
        <f t="shared" si="23"/>
        <v>484.14394000000061</v>
      </c>
      <c r="S22" s="35">
        <f t="shared" si="23"/>
        <v>434.92834000000016</v>
      </c>
      <c r="T22" s="35">
        <f t="shared" si="23"/>
        <v>434.92834000000016</v>
      </c>
      <c r="U22" s="35">
        <f t="shared" si="23"/>
        <v>609.38593974193645</v>
      </c>
      <c r="V22" s="35">
        <f t="shared" si="23"/>
        <v>607.34701954838715</v>
      </c>
      <c r="W22" s="35">
        <f t="shared" si="23"/>
        <v>559.71901954838745</v>
      </c>
      <c r="X22" s="35">
        <f t="shared" si="23"/>
        <v>559.71901954838745</v>
      </c>
      <c r="Y22" s="35">
        <f t="shared" si="23"/>
        <v>547.9157586432259</v>
      </c>
      <c r="Z22" s="35">
        <f t="shared" si="23"/>
        <v>612.83599321225802</v>
      </c>
      <c r="AA22" s="35">
        <f t="shared" si="23"/>
        <v>612.83599321225802</v>
      </c>
      <c r="AB22" s="35">
        <f t="shared" si="23"/>
        <v>612.83599321225802</v>
      </c>
      <c r="AC22" s="35">
        <f t="shared" si="23"/>
        <v>612.83599321225802</v>
      </c>
      <c r="AD22" t="str">
        <f t="shared" ca="1" si="18"/>
        <v>=AC16+SUM(AC18:AC21)</v>
      </c>
    </row>
    <row r="23" spans="1:30" ht="15" customHeight="1" x14ac:dyDescent="0.35">
      <c r="A23" s="40"/>
    </row>
    <row r="24" spans="1:30" ht="15" customHeight="1" x14ac:dyDescent="0.35">
      <c r="A24" s="40"/>
      <c r="B24" s="34" t="s">
        <v>53</v>
      </c>
      <c r="D24" s="36">
        <v>0</v>
      </c>
      <c r="E24" s="36">
        <v>0</v>
      </c>
      <c r="F24" s="36">
        <v>0</v>
      </c>
      <c r="G24" s="36">
        <v>0</v>
      </c>
      <c r="H24" s="36">
        <v>0</v>
      </c>
      <c r="I24" s="36">
        <v>0</v>
      </c>
      <c r="J24" s="36">
        <v>0</v>
      </c>
      <c r="K24" s="36">
        <v>0</v>
      </c>
      <c r="L24" s="36">
        <v>0</v>
      </c>
      <c r="M24" s="36">
        <v>0</v>
      </c>
      <c r="N24" s="36">
        <v>0</v>
      </c>
      <c r="O24" s="36">
        <v>0</v>
      </c>
      <c r="P24" s="33">
        <v>-1000</v>
      </c>
      <c r="Q24" s="36">
        <v>0</v>
      </c>
      <c r="R24" s="36">
        <v>0</v>
      </c>
      <c r="S24" s="36">
        <v>0</v>
      </c>
      <c r="T24" s="36">
        <v>0</v>
      </c>
      <c r="U24" s="36">
        <v>0</v>
      </c>
      <c r="V24" s="36">
        <v>0</v>
      </c>
      <c r="W24" s="36">
        <v>0</v>
      </c>
      <c r="X24" s="36">
        <v>0</v>
      </c>
      <c r="Y24" s="36">
        <v>0</v>
      </c>
      <c r="Z24" s="36">
        <v>0</v>
      </c>
      <c r="AA24" s="36">
        <v>0</v>
      </c>
      <c r="AB24" s="36">
        <v>0</v>
      </c>
      <c r="AC24" s="33">
        <v>-1000</v>
      </c>
    </row>
    <row r="25" spans="1:30" ht="15" customHeight="1" x14ac:dyDescent="0.35">
      <c r="A25" s="40"/>
      <c r="B25" s="35" t="s">
        <v>54</v>
      </c>
      <c r="C25" s="35"/>
      <c r="D25" s="46">
        <f t="shared" ref="D25:AC25" si="24">SUM(D24,D22)</f>
        <v>-114.40709677419341</v>
      </c>
      <c r="E25" s="46">
        <f t="shared" si="24"/>
        <v>624.72967741935474</v>
      </c>
      <c r="F25" s="46">
        <f t="shared" si="24"/>
        <v>410.76903225806484</v>
      </c>
      <c r="G25" s="46">
        <f t="shared" si="24"/>
        <v>99.553548387097408</v>
      </c>
      <c r="H25" s="46">
        <f t="shared" si="24"/>
        <v>427.05301758309724</v>
      </c>
      <c r="I25" s="46">
        <f t="shared" si="24"/>
        <v>409.84419300000013</v>
      </c>
      <c r="J25" s="46">
        <f t="shared" si="24"/>
        <v>100.8891403333339</v>
      </c>
      <c r="K25" s="46">
        <f t="shared" si="24"/>
        <v>-20.047187999999551</v>
      </c>
      <c r="L25" s="46">
        <f t="shared" si="24"/>
        <v>514.83282408602145</v>
      </c>
      <c r="M25" s="46">
        <f t="shared" si="24"/>
        <v>949.55404387096837</v>
      </c>
      <c r="N25" s="46">
        <f t="shared" si="24"/>
        <v>800.11900387096762</v>
      </c>
      <c r="O25" s="46">
        <f t="shared" si="24"/>
        <v>742.78396387096859</v>
      </c>
      <c r="P25" s="46">
        <f t="shared" si="24"/>
        <v>-235.15291612903184</v>
      </c>
      <c r="Q25" s="46">
        <f t="shared" si="24"/>
        <v>515.9633845161286</v>
      </c>
      <c r="R25" s="46">
        <f t="shared" si="24"/>
        <v>484.14394000000061</v>
      </c>
      <c r="S25" s="46">
        <f t="shared" si="24"/>
        <v>434.92834000000016</v>
      </c>
      <c r="T25" s="46">
        <f t="shared" si="24"/>
        <v>434.92834000000016</v>
      </c>
      <c r="U25" s="46">
        <f t="shared" si="24"/>
        <v>609.38593974193645</v>
      </c>
      <c r="V25" s="46">
        <f t="shared" si="24"/>
        <v>607.34701954838715</v>
      </c>
      <c r="W25" s="46">
        <f t="shared" si="24"/>
        <v>559.71901954838745</v>
      </c>
      <c r="X25" s="46">
        <f t="shared" si="24"/>
        <v>559.71901954838745</v>
      </c>
      <c r="Y25" s="46">
        <f t="shared" si="24"/>
        <v>547.9157586432259</v>
      </c>
      <c r="Z25" s="46">
        <f t="shared" si="24"/>
        <v>612.83599321225802</v>
      </c>
      <c r="AA25" s="46">
        <f t="shared" si="24"/>
        <v>612.83599321225802</v>
      </c>
      <c r="AB25" s="46">
        <f t="shared" si="24"/>
        <v>612.83599321225802</v>
      </c>
      <c r="AC25" s="46">
        <f t="shared" si="24"/>
        <v>-387.16400678774198</v>
      </c>
      <c r="AD25" t="str">
        <f t="shared" ca="1" si="18"/>
        <v>=SUM(AC24,AC22)</v>
      </c>
    </row>
    <row r="26" spans="1:30" ht="15" customHeight="1" x14ac:dyDescent="0.35">
      <c r="A26" s="4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1:30" ht="15" customHeight="1" x14ac:dyDescent="0.35">
      <c r="A27" s="40"/>
      <c r="B27" t="s">
        <v>55</v>
      </c>
      <c r="D27" s="50">
        <f t="shared" ref="D27:AC27" si="25">D25-D20-D15-D24</f>
        <v>1246.0767741935483</v>
      </c>
      <c r="E27" s="50">
        <f t="shared" si="25"/>
        <v>1985.2135483870966</v>
      </c>
      <c r="F27" s="50">
        <f t="shared" si="25"/>
        <v>1771.2529032258067</v>
      </c>
      <c r="G27" s="50">
        <f t="shared" si="25"/>
        <v>1460.0374193548391</v>
      </c>
      <c r="H27" s="50">
        <f t="shared" si="25"/>
        <v>1886.3196842497637</v>
      </c>
      <c r="I27" s="50">
        <f t="shared" si="25"/>
        <v>1898.7775263333333</v>
      </c>
      <c r="J27" s="50">
        <f t="shared" si="25"/>
        <v>1560.1558070000006</v>
      </c>
      <c r="K27" s="50">
        <f t="shared" si="25"/>
        <v>1439.2194786666671</v>
      </c>
      <c r="L27" s="50">
        <f t="shared" si="25"/>
        <v>1877.7218563440861</v>
      </c>
      <c r="M27" s="50">
        <f t="shared" si="25"/>
        <v>2323.9430761290332</v>
      </c>
      <c r="N27" s="50">
        <f t="shared" si="25"/>
        <v>2174.5080361290325</v>
      </c>
      <c r="O27" s="50">
        <f t="shared" si="25"/>
        <v>2117.1729961290334</v>
      </c>
      <c r="P27" s="50">
        <f t="shared" si="25"/>
        <v>2139.2361161290328</v>
      </c>
      <c r="Q27" s="50">
        <f t="shared" si="25"/>
        <v>1915.3465548387094</v>
      </c>
      <c r="R27" s="50">
        <f t="shared" si="25"/>
        <v>1887.6928000000007</v>
      </c>
      <c r="S27" s="50">
        <f t="shared" si="25"/>
        <v>1838.4772000000003</v>
      </c>
      <c r="T27" s="50">
        <f t="shared" si="25"/>
        <v>1838.4772000000003</v>
      </c>
      <c r="U27" s="50">
        <f t="shared" si="25"/>
        <v>1978.4984593548397</v>
      </c>
      <c r="V27" s="50">
        <f t="shared" si="25"/>
        <v>1950.6322838709675</v>
      </c>
      <c r="W27" s="50">
        <f t="shared" si="25"/>
        <v>1903.0042838709678</v>
      </c>
      <c r="X27" s="50">
        <f t="shared" si="25"/>
        <v>1903.0042838709678</v>
      </c>
      <c r="Y27" s="50">
        <f t="shared" si="25"/>
        <v>1889.2097832258064</v>
      </c>
      <c r="Z27" s="50">
        <f t="shared" si="25"/>
        <v>1942.1825793548387</v>
      </c>
      <c r="AA27" s="50">
        <f t="shared" si="25"/>
        <v>1942.1825793548387</v>
      </c>
      <c r="AB27" s="50">
        <f t="shared" si="25"/>
        <v>1942.1825793548387</v>
      </c>
      <c r="AC27" s="50">
        <f t="shared" si="25"/>
        <v>1942.1825793548387</v>
      </c>
      <c r="AD27" t="str">
        <f t="shared" ca="1" si="18"/>
        <v>=AC25-AC20-AC15-AC24</v>
      </c>
    </row>
    <row r="28" spans="1:30" ht="15" customHeight="1" x14ac:dyDescent="0.35">
      <c r="A28" s="4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row>
    <row r="29" spans="1:30" ht="15" customHeight="1" x14ac:dyDescent="0.35">
      <c r="A29" s="40"/>
      <c r="C29" s="47"/>
    </row>
    <row r="30" spans="1:30" ht="15" customHeight="1" x14ac:dyDescent="0.35">
      <c r="A30" s="40"/>
      <c r="B30" t="s">
        <v>56</v>
      </c>
      <c r="D30" s="43">
        <f t="shared" ref="D30:P30" si="26">D13/D$11*-1</f>
        <v>0.26724694842065894</v>
      </c>
      <c r="E30" s="43">
        <f t="shared" si="26"/>
        <v>0.26724694842065894</v>
      </c>
      <c r="F30" s="43">
        <f t="shared" si="26"/>
        <v>0.26724694842065894</v>
      </c>
      <c r="G30" s="43">
        <f t="shared" si="26"/>
        <v>0.26724694842065894</v>
      </c>
      <c r="H30" s="43">
        <f t="shared" si="26"/>
        <v>0.26700000000000002</v>
      </c>
      <c r="I30" s="43">
        <f t="shared" si="26"/>
        <v>0.26700000000000002</v>
      </c>
      <c r="J30" s="43">
        <f t="shared" si="26"/>
        <v>0.26700000000000002</v>
      </c>
      <c r="K30" s="43">
        <f t="shared" si="26"/>
        <v>0.26700000000000002</v>
      </c>
      <c r="L30" s="43">
        <f t="shared" si="26"/>
        <v>0.26700000000000002</v>
      </c>
      <c r="M30" s="43">
        <f t="shared" si="26"/>
        <v>0.26700000000000002</v>
      </c>
      <c r="N30" s="43">
        <f t="shared" si="26"/>
        <v>0.26700000000000002</v>
      </c>
      <c r="O30" s="43">
        <f t="shared" si="26"/>
        <v>0.26700000000000002</v>
      </c>
      <c r="P30" s="43">
        <f t="shared" si="26"/>
        <v>0.26700000000000002</v>
      </c>
      <c r="Q30" s="44">
        <v>0.3</v>
      </c>
      <c r="R30" s="44">
        <v>0.3</v>
      </c>
      <c r="S30" s="44">
        <v>0.3</v>
      </c>
      <c r="T30" s="44">
        <v>0.3</v>
      </c>
      <c r="U30" s="44">
        <v>0.26700000000000002</v>
      </c>
      <c r="V30" s="44">
        <v>0.26700000000000002</v>
      </c>
      <c r="W30" s="44">
        <v>0.26700000000000002</v>
      </c>
      <c r="X30" s="44">
        <v>0.26700000000000002</v>
      </c>
      <c r="Y30" s="44">
        <v>0.26700000000000002</v>
      </c>
      <c r="Z30" s="44">
        <v>0.26700000000000002</v>
      </c>
      <c r="AA30" s="44">
        <v>0.26700000000000002</v>
      </c>
      <c r="AB30" s="44">
        <v>0.26700000000000002</v>
      </c>
      <c r="AC30" s="44">
        <v>0.26700000000000002</v>
      </c>
    </row>
    <row r="31" spans="1:30" ht="15" customHeight="1" x14ac:dyDescent="0.35">
      <c r="A31" s="40"/>
      <c r="B31" t="s">
        <v>57</v>
      </c>
      <c r="D31" s="43">
        <f t="shared" ref="D31:P31" si="27">D14/D$11*-1</f>
        <v>0.37305769950018702</v>
      </c>
      <c r="E31" s="43">
        <f t="shared" si="27"/>
        <v>0.37305769950018702</v>
      </c>
      <c r="F31" s="43">
        <f t="shared" si="27"/>
        <v>0.37305769950018702</v>
      </c>
      <c r="G31" s="43">
        <f t="shared" si="27"/>
        <v>0.37305769950018702</v>
      </c>
      <c r="H31" s="43">
        <f t="shared" si="27"/>
        <v>0.36715688874794589</v>
      </c>
      <c r="I31" s="43">
        <f t="shared" si="27"/>
        <v>0.36715688874794589</v>
      </c>
      <c r="J31" s="43">
        <f t="shared" si="27"/>
        <v>0.36715688874794589</v>
      </c>
      <c r="K31" s="43">
        <f t="shared" si="27"/>
        <v>0.36715688874794589</v>
      </c>
      <c r="L31" s="43">
        <f t="shared" si="27"/>
        <v>0.35</v>
      </c>
      <c r="M31" s="43">
        <f t="shared" si="27"/>
        <v>0.35</v>
      </c>
      <c r="N31" s="43">
        <f t="shared" si="27"/>
        <v>0.35</v>
      </c>
      <c r="O31" s="43">
        <f t="shared" si="27"/>
        <v>0.35</v>
      </c>
      <c r="P31" s="43">
        <f t="shared" si="27"/>
        <v>0.35</v>
      </c>
      <c r="Q31" s="44">
        <v>0.35</v>
      </c>
      <c r="R31" s="44">
        <v>0.35499999999999998</v>
      </c>
      <c r="S31" s="44">
        <v>0.36</v>
      </c>
      <c r="T31" s="44">
        <v>0.36</v>
      </c>
      <c r="U31" s="44">
        <v>0.36</v>
      </c>
      <c r="V31" s="44">
        <v>0.36</v>
      </c>
      <c r="W31" s="44">
        <v>0.36499999999999999</v>
      </c>
      <c r="X31" s="44">
        <v>0.36499999999999999</v>
      </c>
      <c r="Y31" s="44">
        <v>0.36499999999999999</v>
      </c>
      <c r="Z31" s="44">
        <v>0.37</v>
      </c>
      <c r="AA31" s="44">
        <v>0.37</v>
      </c>
      <c r="AB31" s="44">
        <v>0.37</v>
      </c>
      <c r="AC31" s="44">
        <v>0.37</v>
      </c>
    </row>
    <row r="32" spans="1:30" ht="15" customHeight="1" x14ac:dyDescent="0.35">
      <c r="A32" s="40"/>
      <c r="B32" t="s">
        <v>58</v>
      </c>
      <c r="D32" s="43">
        <f t="shared" ref="D32:P32" si="28">D18/D11*-1</f>
        <v>6.6811737105164734E-2</v>
      </c>
      <c r="E32" s="43">
        <f t="shared" si="28"/>
        <v>6.6811737105164734E-2</v>
      </c>
      <c r="F32" s="43">
        <f t="shared" si="28"/>
        <v>6.6811737105164734E-2</v>
      </c>
      <c r="G32" s="43">
        <f t="shared" si="28"/>
        <v>6.6811737105164734E-2</v>
      </c>
      <c r="H32" s="43">
        <f t="shared" si="28"/>
        <v>6.7000000000000004E-2</v>
      </c>
      <c r="I32" s="43">
        <f t="shared" si="28"/>
        <v>6.7000000000000004E-2</v>
      </c>
      <c r="J32" s="43">
        <f t="shared" si="28"/>
        <v>6.7000000000000004E-2</v>
      </c>
      <c r="K32" s="43">
        <f t="shared" si="28"/>
        <v>6.7000000000000004E-2</v>
      </c>
      <c r="L32" s="43">
        <f t="shared" si="28"/>
        <v>6.7000000000000004E-2</v>
      </c>
      <c r="M32" s="43">
        <f t="shared" si="28"/>
        <v>6.7000000000000004E-2</v>
      </c>
      <c r="N32" s="43">
        <f t="shared" si="28"/>
        <v>6.7000000000000004E-2</v>
      </c>
      <c r="O32" s="43">
        <f t="shared" si="28"/>
        <v>6.7000000000000004E-2</v>
      </c>
      <c r="P32" s="43">
        <f t="shared" si="28"/>
        <v>6.7000000000000004E-2</v>
      </c>
      <c r="Q32" s="44">
        <v>7.0000000000000007E-2</v>
      </c>
      <c r="R32" s="44">
        <v>7.0000000000000007E-2</v>
      </c>
      <c r="S32" s="44">
        <v>7.0000000000000007E-2</v>
      </c>
      <c r="T32" s="44">
        <v>7.0000000000000007E-2</v>
      </c>
      <c r="U32" s="44">
        <v>0.08</v>
      </c>
      <c r="V32" s="44">
        <v>0.08</v>
      </c>
      <c r="W32" s="44">
        <v>0.08</v>
      </c>
      <c r="X32" s="44">
        <v>0.08</v>
      </c>
      <c r="Y32" s="44">
        <v>0.08</v>
      </c>
      <c r="Z32" s="44">
        <v>6.5000000000000002E-2</v>
      </c>
      <c r="AA32" s="44">
        <v>6.5000000000000002E-2</v>
      </c>
      <c r="AB32" s="44">
        <v>6.5000000000000002E-2</v>
      </c>
      <c r="AC32" s="44">
        <v>6.5000000000000002E-2</v>
      </c>
    </row>
    <row r="33" spans="1:30" ht="15" customHeight="1" x14ac:dyDescent="0.35">
      <c r="A33" s="40"/>
      <c r="B33" t="s">
        <v>59</v>
      </c>
      <c r="D33" s="43">
        <f t="shared" ref="D33:P33" si="29">D19/D11*-1</f>
        <v>6.3426340442876206E-2</v>
      </c>
      <c r="E33" s="43">
        <f t="shared" si="29"/>
        <v>4.3172551057756074E-2</v>
      </c>
      <c r="F33" s="43">
        <f t="shared" si="29"/>
        <v>4.7569755332157147E-2</v>
      </c>
      <c r="G33" s="43">
        <f t="shared" si="29"/>
        <v>5.5842756259488834E-2</v>
      </c>
      <c r="H33" s="43">
        <f t="shared" si="29"/>
        <v>7.7047434985967875E-2</v>
      </c>
      <c r="I33" s="43">
        <f t="shared" si="29"/>
        <v>8.136774018330549E-2</v>
      </c>
      <c r="J33" s="43">
        <f t="shared" si="29"/>
        <v>9.361664730767405E-2</v>
      </c>
      <c r="K33" s="43">
        <f t="shared" si="29"/>
        <v>9.8935774995610085E-2</v>
      </c>
      <c r="L33" s="43">
        <f t="shared" si="29"/>
        <v>8.675970920853987E-2</v>
      </c>
      <c r="M33" s="43">
        <f t="shared" si="29"/>
        <v>6.9107010982467659E-2</v>
      </c>
      <c r="N33" s="43">
        <f t="shared" si="29"/>
        <v>8.0527067043621905E-2</v>
      </c>
      <c r="O33" s="43">
        <f t="shared" si="29"/>
        <v>8.2153876478846574E-2</v>
      </c>
      <c r="P33" s="43">
        <f t="shared" si="29"/>
        <v>8.1520143158503963E-2</v>
      </c>
      <c r="Q33" s="44">
        <v>8.5000000000000006E-2</v>
      </c>
      <c r="R33" s="44">
        <v>8.5000000000000006E-2</v>
      </c>
      <c r="S33" s="44">
        <v>8.5000000000000006E-2</v>
      </c>
      <c r="T33" s="44">
        <v>8.5000000000000006E-2</v>
      </c>
      <c r="U33" s="44">
        <v>0.09</v>
      </c>
      <c r="V33" s="44">
        <v>0.09</v>
      </c>
      <c r="W33" s="44">
        <v>0.09</v>
      </c>
      <c r="X33" s="44">
        <v>0.09</v>
      </c>
      <c r="Y33" s="44">
        <v>0.09</v>
      </c>
      <c r="Z33" s="44">
        <v>8.5000000000000006E-2</v>
      </c>
      <c r="AA33" s="44">
        <v>8.5000000000000006E-2</v>
      </c>
      <c r="AB33" s="44">
        <v>8.5000000000000006E-2</v>
      </c>
      <c r="AC33" s="44">
        <v>8.5000000000000006E-2</v>
      </c>
    </row>
    <row r="35" spans="1:30" ht="15" customHeight="1" x14ac:dyDescent="0.35">
      <c r="B35" s="63" t="s">
        <v>60</v>
      </c>
    </row>
    <row r="36" spans="1:30" ht="15" customHeight="1" x14ac:dyDescent="0.35">
      <c r="A36" s="40" t="s">
        <v>61</v>
      </c>
    </row>
    <row r="37" spans="1:30" ht="15" customHeight="1" x14ac:dyDescent="0.35">
      <c r="A37" s="40"/>
      <c r="B37" s="38" t="s">
        <v>62</v>
      </c>
      <c r="D37" s="50">
        <f>C40</f>
        <v>53480</v>
      </c>
      <c r="E37" s="50">
        <f t="shared" ref="E37:P37" si="30">D40</f>
        <v>54860.36677419355</v>
      </c>
      <c r="F37" s="50">
        <f t="shared" si="30"/>
        <v>58607.387096774197</v>
      </c>
      <c r="G37" s="50">
        <f t="shared" si="30"/>
        <v>61214.876129032258</v>
      </c>
      <c r="H37" s="50">
        <f t="shared" si="30"/>
        <v>61478.974193548391</v>
      </c>
      <c r="I37" s="50">
        <f t="shared" si="30"/>
        <v>63820.682752688175</v>
      </c>
      <c r="J37" s="50">
        <f t="shared" si="30"/>
        <v>64919.610419354845</v>
      </c>
      <c r="K37" s="50">
        <f t="shared" si="30"/>
        <v>64514.779419354847</v>
      </c>
      <c r="L37" s="50">
        <f t="shared" si="30"/>
        <v>64766.886752688173</v>
      </c>
      <c r="M37" s="50">
        <f t="shared" si="30"/>
        <v>65858.60761290323</v>
      </c>
      <c r="N37" s="50">
        <f t="shared" si="30"/>
        <v>66350.21196774194</v>
      </c>
      <c r="O37" s="50">
        <f t="shared" si="30"/>
        <v>67277.996483870971</v>
      </c>
      <c r="P37" s="50">
        <f t="shared" si="30"/>
        <v>67859.642290322576</v>
      </c>
      <c r="Q37" s="50">
        <f>P40</f>
        <v>68840.505516129037</v>
      </c>
      <c r="R37" s="50">
        <f>Q40</f>
        <v>73692.411428571431</v>
      </c>
      <c r="S37" s="50">
        <f t="shared" ref="S37:AC37" si="31">R40</f>
        <v>74526.48000000001</v>
      </c>
      <c r="T37" s="50">
        <f t="shared" si="31"/>
        <v>80151.12000000001</v>
      </c>
      <c r="U37" s="50">
        <f t="shared" si="31"/>
        <v>84369.600000000006</v>
      </c>
      <c r="V37" s="50">
        <f t="shared" si="31"/>
        <v>82814.400000000009</v>
      </c>
      <c r="W37" s="50">
        <f t="shared" si="31"/>
        <v>81648.000000000015</v>
      </c>
      <c r="X37" s="50">
        <f t="shared" si="31"/>
        <v>81648.000000000015</v>
      </c>
      <c r="Y37" s="50">
        <f t="shared" si="31"/>
        <v>81648.000000000015</v>
      </c>
      <c r="Z37" s="50">
        <f t="shared" si="31"/>
        <v>87820.200000000026</v>
      </c>
      <c r="AA37" s="50">
        <f t="shared" si="31"/>
        <v>84029.4</v>
      </c>
      <c r="AB37" s="50">
        <f t="shared" si="31"/>
        <v>84029.4</v>
      </c>
      <c r="AC37" s="50">
        <f t="shared" si="31"/>
        <v>84029.4</v>
      </c>
      <c r="AD37" t="str">
        <f t="shared" ca="1" si="18"/>
        <v>=AB40</v>
      </c>
    </row>
    <row r="38" spans="1:30" ht="15" customHeight="1" x14ac:dyDescent="0.35">
      <c r="A38" s="40"/>
      <c r="B38" s="38" t="s">
        <v>63</v>
      </c>
      <c r="D38">
        <f>'Weekly Rollforward'!D11</f>
        <v>5379.3667741935487</v>
      </c>
      <c r="E38">
        <f>'Weekly Rollforward'!E11</f>
        <v>7903.0203225806445</v>
      </c>
      <c r="F38">
        <f>'Weekly Rollforward'!F11</f>
        <v>7172.489032258065</v>
      </c>
      <c r="G38">
        <f>'Weekly Rollforward'!G11</f>
        <v>6109.8980645161291</v>
      </c>
      <c r="H38">
        <f>'Weekly Rollforward'!H11</f>
        <v>8442.3982365591401</v>
      </c>
      <c r="I38">
        <f>'Weekly Rollforward'!I11</f>
        <v>8660.1876666666667</v>
      </c>
      <c r="J38">
        <f>'Weekly Rollforward'!J11</f>
        <v>7527.0790000000006</v>
      </c>
      <c r="K38">
        <f>'Weekly Rollforward'!K11</f>
        <v>7122.3973333333333</v>
      </c>
      <c r="L38">
        <f>'Weekly Rollforward'!L11</f>
        <v>8121.9716666666673</v>
      </c>
      <c r="M38">
        <f>'Weekly Rollforward'!M11</f>
        <v>9344.16</v>
      </c>
      <c r="N38">
        <f>'Weekly Rollforward'!N11</f>
        <v>9162.7199999999993</v>
      </c>
      <c r="O38">
        <f>'Weekly Rollforward'!O11</f>
        <v>8981.2800000000007</v>
      </c>
      <c r="P38">
        <f>'Weekly Rollforward'!P11</f>
        <v>9051.1</v>
      </c>
      <c r="Q38">
        <f>'Weekly Rollforward'!Q11</f>
        <v>9732.9600000000009</v>
      </c>
      <c r="R38">
        <f>'Weekly Rollforward'!R11</f>
        <v>9843.1200000000008</v>
      </c>
      <c r="S38">
        <f>'Weekly Rollforward'!S11</f>
        <v>9843.1200000000008</v>
      </c>
      <c r="T38">
        <f>'Weekly Rollforward'!T11</f>
        <v>9843.1200000000008</v>
      </c>
      <c r="U38">
        <f>'Weekly Rollforward'!U11</f>
        <v>9661.68</v>
      </c>
      <c r="V38">
        <f>'Weekly Rollforward'!V11</f>
        <v>9525.6000000000022</v>
      </c>
      <c r="W38">
        <f>'Weekly Rollforward'!W11</f>
        <v>9525.6000000000022</v>
      </c>
      <c r="X38">
        <f>'Weekly Rollforward'!X11</f>
        <v>9525.6000000000022</v>
      </c>
      <c r="Y38">
        <f>'Weekly Rollforward'!Y11</f>
        <v>9457.5600000000013</v>
      </c>
      <c r="Z38">
        <f>'Weekly Rollforward'!Z11</f>
        <v>9049.32</v>
      </c>
      <c r="AA38">
        <f>'Weekly Rollforward'!AA11</f>
        <v>9049.32</v>
      </c>
      <c r="AB38">
        <f>'Weekly Rollforward'!AB11</f>
        <v>9049.32</v>
      </c>
      <c r="AC38">
        <f>'Weekly Rollforward'!AC11</f>
        <v>9049.32</v>
      </c>
      <c r="AD38" t="str">
        <f t="shared" ca="1" si="18"/>
        <v>='Weekly Rollforward'!AC11</v>
      </c>
    </row>
    <row r="39" spans="1:30" ht="15" customHeight="1" x14ac:dyDescent="0.35">
      <c r="A39" s="40"/>
      <c r="B39" s="38" t="s">
        <v>64</v>
      </c>
      <c r="D39" s="36">
        <v>-3999</v>
      </c>
      <c r="E39" s="36">
        <v>-4156</v>
      </c>
      <c r="F39" s="36">
        <v>-4565</v>
      </c>
      <c r="G39" s="36">
        <v>-5845.8</v>
      </c>
      <c r="H39" s="36">
        <v>-6100.6896774193547</v>
      </c>
      <c r="I39" s="36">
        <v>-7561.26</v>
      </c>
      <c r="J39" s="36">
        <v>-7931.9100000000008</v>
      </c>
      <c r="K39" s="36">
        <v>-6870.29</v>
      </c>
      <c r="L39" s="36">
        <v>-7030.2508064516132</v>
      </c>
      <c r="M39" s="36">
        <v>-8852.5556451612902</v>
      </c>
      <c r="N39" s="36">
        <v>-8234.9354838709678</v>
      </c>
      <c r="O39" s="36">
        <v>-8399.634193548387</v>
      </c>
      <c r="P39" s="36">
        <v>-8070.2367741935486</v>
      </c>
      <c r="Q39">
        <f>Q40-(Q37+Q38)</f>
        <v>-4881.0540875576116</v>
      </c>
      <c r="R39">
        <f>R40-(R37+R38)</f>
        <v>-9009.0514285714162</v>
      </c>
      <c r="S39">
        <f t="shared" ref="S39:AC39" si="32">S40-(S37+S38)</f>
        <v>-4218.4799999999959</v>
      </c>
      <c r="T39">
        <f t="shared" si="32"/>
        <v>-5624.6399999999994</v>
      </c>
      <c r="U39">
        <f t="shared" si="32"/>
        <v>-11216.87999999999</v>
      </c>
      <c r="V39">
        <f t="shared" si="32"/>
        <v>-10692</v>
      </c>
      <c r="W39">
        <f t="shared" si="32"/>
        <v>-9525.6000000000058</v>
      </c>
      <c r="X39">
        <f t="shared" si="32"/>
        <v>-9525.6000000000058</v>
      </c>
      <c r="Y39">
        <f t="shared" si="32"/>
        <v>-3285.359999999986</v>
      </c>
      <c r="Z39">
        <f t="shared" si="32"/>
        <v>-12840.120000000024</v>
      </c>
      <c r="AA39">
        <f t="shared" si="32"/>
        <v>-9049.320000000007</v>
      </c>
      <c r="AB39">
        <f t="shared" si="32"/>
        <v>-9049.320000000007</v>
      </c>
      <c r="AC39">
        <f t="shared" si="32"/>
        <v>-9049.320000000007</v>
      </c>
      <c r="AD39" t="str">
        <f t="shared" ref="AD39" ca="1" si="33">_xlfn.FORMULATEXT(AC39)</f>
        <v>=AC40-(AC37+AC38)</v>
      </c>
    </row>
    <row r="40" spans="1:30" ht="15" customHeight="1" x14ac:dyDescent="0.35">
      <c r="A40" s="40"/>
      <c r="B40" s="38" t="s">
        <v>65</v>
      </c>
      <c r="C40">
        <v>53480</v>
      </c>
      <c r="D40" s="50">
        <f>SUM(D37:D39)</f>
        <v>54860.36677419355</v>
      </c>
      <c r="E40" s="50">
        <f t="shared" ref="E40:G40" si="34">SUM(E37:E39)</f>
        <v>58607.387096774197</v>
      </c>
      <c r="F40" s="50">
        <f t="shared" si="34"/>
        <v>61214.876129032258</v>
      </c>
      <c r="G40" s="50">
        <f t="shared" si="34"/>
        <v>61478.974193548391</v>
      </c>
      <c r="H40" s="50">
        <f t="shared" ref="H40" si="35">SUM(H37:H39)</f>
        <v>63820.682752688175</v>
      </c>
      <c r="I40" s="50">
        <f t="shared" ref="I40" si="36">SUM(I37:I39)</f>
        <v>64919.610419354845</v>
      </c>
      <c r="J40" s="50">
        <f t="shared" ref="J40" si="37">SUM(J37:J39)</f>
        <v>64514.779419354847</v>
      </c>
      <c r="K40" s="50">
        <f t="shared" ref="K40" si="38">SUM(K37:K39)</f>
        <v>64766.886752688173</v>
      </c>
      <c r="L40" s="50">
        <f t="shared" ref="L40" si="39">SUM(L37:L39)</f>
        <v>65858.60761290323</v>
      </c>
      <c r="M40" s="50">
        <f t="shared" ref="M40" si="40">SUM(M37:M39)</f>
        <v>66350.21196774194</v>
      </c>
      <c r="N40" s="50">
        <f t="shared" ref="N40" si="41">SUM(N37:N39)</f>
        <v>67277.996483870971</v>
      </c>
      <c r="O40" s="50">
        <f t="shared" ref="O40" si="42">SUM(O37:O39)</f>
        <v>67859.642290322576</v>
      </c>
      <c r="P40" s="57">
        <f>SUM(P37:P39)</f>
        <v>68840.505516129037</v>
      </c>
      <c r="Q40" s="50">
        <f>Q42*Q38/7</f>
        <v>73692.411428571431</v>
      </c>
      <c r="R40">
        <f>R42*R38/7</f>
        <v>74526.48000000001</v>
      </c>
      <c r="S40">
        <f t="shared" ref="S40:AC40" si="43">S42*S38/7</f>
        <v>80151.12000000001</v>
      </c>
      <c r="T40">
        <f t="shared" si="43"/>
        <v>84369.600000000006</v>
      </c>
      <c r="U40">
        <f t="shared" si="43"/>
        <v>82814.400000000009</v>
      </c>
      <c r="V40">
        <f t="shared" si="43"/>
        <v>81648.000000000015</v>
      </c>
      <c r="W40">
        <f t="shared" si="43"/>
        <v>81648.000000000015</v>
      </c>
      <c r="X40">
        <f t="shared" si="43"/>
        <v>81648.000000000015</v>
      </c>
      <c r="Y40">
        <f t="shared" si="43"/>
        <v>87820.200000000026</v>
      </c>
      <c r="Z40">
        <f t="shared" si="43"/>
        <v>84029.4</v>
      </c>
      <c r="AA40">
        <f t="shared" si="43"/>
        <v>84029.4</v>
      </c>
      <c r="AB40">
        <f t="shared" si="43"/>
        <v>84029.4</v>
      </c>
      <c r="AC40">
        <f t="shared" si="43"/>
        <v>84029.4</v>
      </c>
      <c r="AD40" t="str">
        <f t="shared" ca="1" si="18"/>
        <v>=AC42*AC38/7</v>
      </c>
    </row>
    <row r="41" spans="1:30" ht="15" customHeight="1" x14ac:dyDescent="0.35">
      <c r="A41" s="40"/>
      <c r="B41" s="38"/>
      <c r="D41" s="50"/>
      <c r="E41" s="50"/>
      <c r="F41" s="50"/>
      <c r="G41" s="50"/>
      <c r="H41" s="50"/>
      <c r="I41" s="50"/>
      <c r="J41" s="50"/>
      <c r="K41" s="50"/>
      <c r="L41" s="50"/>
      <c r="M41" s="50"/>
      <c r="N41" s="50"/>
      <c r="O41" s="50"/>
      <c r="P41" s="50"/>
      <c r="Q41" s="36"/>
    </row>
    <row r="42" spans="1:30" ht="15" customHeight="1" x14ac:dyDescent="0.35">
      <c r="A42" s="40"/>
      <c r="B42" s="38" t="s">
        <v>66</v>
      </c>
      <c r="D42" s="50">
        <f>D40/D38*7</f>
        <v>71.388061743926329</v>
      </c>
      <c r="E42" s="50">
        <f t="shared" ref="E42:P42" si="44">E40/E38*7</f>
        <v>51.910749679491673</v>
      </c>
      <c r="F42" s="50">
        <f t="shared" si="44"/>
        <v>59.742737977854084</v>
      </c>
      <c r="G42" s="50">
        <f t="shared" si="44"/>
        <v>70.435351753928217</v>
      </c>
      <c r="H42" s="50">
        <f t="shared" si="44"/>
        <v>52.916809507306134</v>
      </c>
      <c r="I42" s="50">
        <f t="shared" si="44"/>
        <v>52.47429852872903</v>
      </c>
      <c r="J42" s="50">
        <f t="shared" si="44"/>
        <v>59.997172334113131</v>
      </c>
      <c r="K42" s="50">
        <f t="shared" si="44"/>
        <v>63.653877486871068</v>
      </c>
      <c r="L42" s="50">
        <f t="shared" si="44"/>
        <v>56.76087928037866</v>
      </c>
      <c r="M42" s="50">
        <f t="shared" si="44"/>
        <v>49.705001174444099</v>
      </c>
      <c r="N42" s="50">
        <f t="shared" si="44"/>
        <v>51.398053786113387</v>
      </c>
      <c r="O42" s="50">
        <f t="shared" si="44"/>
        <v>52.889732424805594</v>
      </c>
      <c r="P42" s="50">
        <f t="shared" si="44"/>
        <v>53.240328646562659</v>
      </c>
      <c r="Q42" s="45">
        <v>53</v>
      </c>
      <c r="R42" s="45">
        <v>53</v>
      </c>
      <c r="S42" s="45">
        <v>57</v>
      </c>
      <c r="T42" s="45">
        <v>60</v>
      </c>
      <c r="U42" s="45">
        <v>60</v>
      </c>
      <c r="V42" s="45">
        <v>60</v>
      </c>
      <c r="W42" s="45">
        <v>60</v>
      </c>
      <c r="X42" s="45">
        <v>60</v>
      </c>
      <c r="Y42" s="45">
        <v>65</v>
      </c>
      <c r="Z42" s="45">
        <v>65</v>
      </c>
      <c r="AA42" s="45">
        <v>65</v>
      </c>
      <c r="AB42" s="45">
        <v>65</v>
      </c>
      <c r="AC42" s="45">
        <v>65</v>
      </c>
    </row>
    <row r="43" spans="1:30" ht="15" customHeight="1" x14ac:dyDescent="0.35">
      <c r="A43" s="40"/>
      <c r="B43" s="38" t="s">
        <v>67</v>
      </c>
      <c r="D43" s="50"/>
      <c r="E43" s="50"/>
      <c r="F43" s="50"/>
      <c r="G43" s="50">
        <f>G40/SUM(D38:G38)*28</f>
        <v>64.800523613613962</v>
      </c>
      <c r="H43" s="50">
        <f t="shared" ref="H43:Q43" si="45">H40/SUM(E38:H38)*28</f>
        <v>60.314258093513985</v>
      </c>
      <c r="I43" s="50">
        <f t="shared" si="45"/>
        <v>59.823949547098024</v>
      </c>
      <c r="J43" s="50">
        <f t="shared" si="45"/>
        <v>58.765110799967601</v>
      </c>
      <c r="K43" s="50">
        <f t="shared" si="45"/>
        <v>57.113544801107324</v>
      </c>
      <c r="L43" s="50">
        <f t="shared" si="45"/>
        <v>58.668312165405403</v>
      </c>
      <c r="M43" s="50">
        <f t="shared" si="45"/>
        <v>57.847447107237521</v>
      </c>
      <c r="N43" s="50">
        <f t="shared" si="45"/>
        <v>55.813753782812213</v>
      </c>
      <c r="O43" s="50">
        <f t="shared" si="45"/>
        <v>53.357566939512822</v>
      </c>
      <c r="P43" s="50">
        <f t="shared" si="45"/>
        <v>52.752413553301665</v>
      </c>
      <c r="Q43" s="50">
        <f t="shared" si="45"/>
        <v>55.875871085564746</v>
      </c>
      <c r="R43" s="50">
        <f t="shared" ref="R43" si="46">R40/SUM(O38:R38)*28</f>
        <v>55.485958212593651</v>
      </c>
      <c r="S43" s="50">
        <f t="shared" ref="S43" si="47">S40/SUM(P38:S38)*28</f>
        <v>58.336726253759394</v>
      </c>
      <c r="T43" s="50">
        <f t="shared" ref="T43" si="48">T40/SUM(Q38:T38)*28</f>
        <v>60.168344611321992</v>
      </c>
      <c r="U43" s="50">
        <f t="shared" ref="U43" si="49">U40/SUM(R38:U38)*28</f>
        <v>59.166666666666671</v>
      </c>
      <c r="V43" s="50">
        <f t="shared" ref="V43" si="50">V40/SUM(S38:V38)*28</f>
        <v>58.809801633605602</v>
      </c>
      <c r="W43" s="50">
        <f t="shared" ref="W43" si="51">W40/SUM(T38:W38)*28</f>
        <v>59.294117647058826</v>
      </c>
      <c r="X43" s="50">
        <f t="shared" ref="X43" si="52">X40/SUM(U38:X38)*28</f>
        <v>59.786476868327398</v>
      </c>
      <c r="Y43" s="50">
        <f t="shared" ref="Y43" si="53">Y40/SUM(V38:Y38)*28</f>
        <v>64.651162790697683</v>
      </c>
      <c r="Z43" s="50">
        <f t="shared" ref="Z43" si="54">Z40/SUM(W38:Z38)*28</f>
        <v>62.644927536231876</v>
      </c>
      <c r="AA43" s="50">
        <f t="shared" ref="AA43" si="55">AA40/SUM(X38:AA38)*28</f>
        <v>63.449541284403658</v>
      </c>
      <c r="AB43" s="50">
        <f t="shared" ref="AB43" si="56">AB40/SUM(Y38:AB38)*28</f>
        <v>64.275092936802963</v>
      </c>
      <c r="AC43" s="50">
        <f t="shared" ref="AC43" si="57">AC40/SUM(Z38:AC38)*28</f>
        <v>65</v>
      </c>
      <c r="AD43" t="str">
        <f t="shared" ca="1" si="18"/>
        <v>=AC40/SUM(Z38:AC38)*28</v>
      </c>
    </row>
    <row r="44" spans="1:30" ht="15" customHeight="1" x14ac:dyDescent="0.35">
      <c r="A44" s="40"/>
      <c r="B44" s="38" t="s">
        <v>68</v>
      </c>
      <c r="D44" s="50"/>
      <c r="E44" s="50"/>
      <c r="F44" s="50"/>
      <c r="G44" s="50"/>
      <c r="H44" s="50"/>
      <c r="I44" s="50"/>
      <c r="J44" s="50"/>
      <c r="K44" s="50"/>
      <c r="L44" s="50"/>
      <c r="M44" s="50"/>
      <c r="N44" s="50"/>
      <c r="O44" s="50"/>
      <c r="P44" s="50">
        <f>P40/SUM(D38:P38)*(13*7)</f>
        <v>60.833205727657052</v>
      </c>
      <c r="Q44" s="36"/>
      <c r="T44" s="50"/>
      <c r="U44" s="50"/>
      <c r="V44" s="50"/>
      <c r="W44" s="50"/>
      <c r="X44" s="50"/>
      <c r="Y44" s="50"/>
      <c r="Z44" s="50"/>
      <c r="AA44" s="50"/>
      <c r="AB44" s="50"/>
      <c r="AC44" s="50">
        <f>AC40/SUM(Q38:AC38)*(13*7)</f>
        <v>62.089526715950619</v>
      </c>
      <c r="AD44" t="str">
        <f t="shared" ca="1" si="18"/>
        <v>=AC40/SUM(Q38:AC38)*(13*7)</v>
      </c>
    </row>
    <row r="45" spans="1:30" ht="15" customHeight="1" x14ac:dyDescent="0.35">
      <c r="A45" s="40"/>
      <c r="B45" s="34"/>
      <c r="D45" s="36"/>
      <c r="E45" s="36"/>
      <c r="F45" s="36"/>
      <c r="G45" s="36"/>
    </row>
    <row r="46" spans="1:30" ht="15" customHeight="1" x14ac:dyDescent="0.35">
      <c r="A46" s="40" t="s">
        <v>69</v>
      </c>
      <c r="B46" s="34"/>
      <c r="D46" s="52"/>
      <c r="E46" s="52"/>
      <c r="F46" s="52"/>
      <c r="G46" s="52"/>
      <c r="H46" s="52"/>
      <c r="I46" s="52"/>
      <c r="J46" s="52"/>
      <c r="K46" s="52"/>
      <c r="L46" s="52"/>
      <c r="M46" s="52"/>
      <c r="N46" s="52"/>
      <c r="O46" s="52"/>
      <c r="P46" s="52"/>
    </row>
    <row r="47" spans="1:30" ht="15" customHeight="1" x14ac:dyDescent="0.35">
      <c r="A47" s="40"/>
      <c r="B47" s="38" t="s">
        <v>62</v>
      </c>
      <c r="D47" s="50">
        <f>C50</f>
        <v>88448</v>
      </c>
      <c r="E47" s="50">
        <f t="shared" ref="E47:G47" si="58">D50</f>
        <v>90357.57290322581</v>
      </c>
      <c r="F47" s="50">
        <f t="shared" si="58"/>
        <v>89367.483870967742</v>
      </c>
      <c r="G47" s="50">
        <f t="shared" si="58"/>
        <v>88405.150967741938</v>
      </c>
      <c r="H47" s="50">
        <f>G50</f>
        <v>88328.774193548394</v>
      </c>
      <c r="I47" s="50">
        <f t="shared" ref="I47:K47" si="59">H50</f>
        <v>86909.929977850799</v>
      </c>
      <c r="J47" s="50">
        <f t="shared" si="59"/>
        <v>85075.049034850788</v>
      </c>
      <c r="K47" s="50">
        <f t="shared" si="59"/>
        <v>86614.683301184123</v>
      </c>
      <c r="L47" s="50">
        <f t="shared" ref="L47:P47" si="60">K50</f>
        <v>87325.253898867464</v>
      </c>
      <c r="M47" s="50">
        <f t="shared" si="60"/>
        <v>87524.295963437355</v>
      </c>
      <c r="N47" s="50">
        <f t="shared" si="60"/>
        <v>86671.699215050248</v>
      </c>
      <c r="O47" s="50">
        <f t="shared" si="60"/>
        <v>86316.283008598635</v>
      </c>
      <c r="P47" s="50">
        <f t="shared" si="60"/>
        <v>86799.623886017987</v>
      </c>
      <c r="Q47" s="50">
        <f>P50</f>
        <v>90885.316640856705</v>
      </c>
      <c r="R47" s="50">
        <f>Q50</f>
        <v>97329.599999999991</v>
      </c>
      <c r="S47" s="50">
        <f t="shared" ref="S47:AC47" si="61">R50</f>
        <v>99837.36</v>
      </c>
      <c r="T47" s="50">
        <f t="shared" si="61"/>
        <v>101243.52</v>
      </c>
      <c r="U47" s="50">
        <f t="shared" si="61"/>
        <v>101243.52</v>
      </c>
      <c r="V47" s="50">
        <f t="shared" si="61"/>
        <v>99377.279999999999</v>
      </c>
      <c r="W47" s="50">
        <f t="shared" si="61"/>
        <v>97977.60000000002</v>
      </c>
      <c r="X47" s="50">
        <f t="shared" si="61"/>
        <v>99338.400000000009</v>
      </c>
      <c r="Y47" s="50">
        <f t="shared" si="61"/>
        <v>99338.400000000009</v>
      </c>
      <c r="Z47" s="50">
        <f t="shared" si="61"/>
        <v>98628.840000000011</v>
      </c>
      <c r="AA47" s="50">
        <f t="shared" si="61"/>
        <v>90881.028000000006</v>
      </c>
      <c r="AB47" s="50">
        <f t="shared" si="61"/>
        <v>90881.028000000006</v>
      </c>
      <c r="AC47" s="50">
        <f t="shared" si="61"/>
        <v>90881.028000000006</v>
      </c>
      <c r="AD47" t="str">
        <f t="shared" ca="1" si="18"/>
        <v>=AB50</v>
      </c>
    </row>
    <row r="48" spans="1:30" ht="15" customHeight="1" x14ac:dyDescent="0.35">
      <c r="A48" s="40"/>
      <c r="B48" s="38" t="s">
        <v>70</v>
      </c>
      <c r="D48" s="36">
        <v>3916.3870967741941</v>
      </c>
      <c r="E48" s="36">
        <v>1958.1935483870971</v>
      </c>
      <c r="F48" s="36">
        <v>1713.4193548387098</v>
      </c>
      <c r="G48" s="36">
        <v>2202.9677419354844</v>
      </c>
      <c r="H48" s="33">
        <v>1680.8404544086018</v>
      </c>
      <c r="I48" s="33">
        <v>1344.7666166666661</v>
      </c>
      <c r="J48" s="33">
        <v>4303.2531733333317</v>
      </c>
      <c r="K48" s="33">
        <v>3325.6078430166649</v>
      </c>
      <c r="L48" s="33">
        <v>3041.7321479032248</v>
      </c>
      <c r="M48" s="33">
        <v>2417.859251612902</v>
      </c>
      <c r="N48" s="33">
        <v>2851.5357935483853</v>
      </c>
      <c r="O48" s="33">
        <v>3626.7888774193534</v>
      </c>
      <c r="P48" s="33">
        <v>7253.5777548387068</v>
      </c>
      <c r="Q48">
        <f>Q50-(Q47+Q49)</f>
        <v>9850.8193591432791</v>
      </c>
      <c r="R48">
        <f>R50-(R47+R49)</f>
        <v>6002.0676000000094</v>
      </c>
      <c r="S48">
        <f t="shared" ref="S48:AC48" si="62">S50-(S47+S49)</f>
        <v>4949.6831999999995</v>
      </c>
      <c r="T48">
        <f t="shared" si="62"/>
        <v>3543.523199999996</v>
      </c>
      <c r="U48">
        <f t="shared" si="62"/>
        <v>1611.9648000000016</v>
      </c>
      <c r="V48">
        <f t="shared" si="62"/>
        <v>2029.5360000000219</v>
      </c>
      <c r="W48">
        <f t="shared" si="62"/>
        <v>4837.6439999999857</v>
      </c>
      <c r="X48">
        <f t="shared" si="62"/>
        <v>3476.8439999999973</v>
      </c>
      <c r="Y48">
        <f t="shared" si="62"/>
        <v>2742.4493999999977</v>
      </c>
      <c r="Z48">
        <f t="shared" si="62"/>
        <v>-4399.5636000000086</v>
      </c>
      <c r="AA48">
        <f t="shared" si="62"/>
        <v>3348.2483999999968</v>
      </c>
      <c r="AB48">
        <f t="shared" si="62"/>
        <v>3348.2483999999968</v>
      </c>
      <c r="AC48">
        <f t="shared" si="62"/>
        <v>3348.2483999999968</v>
      </c>
      <c r="AD48" t="str">
        <f t="shared" ca="1" si="18"/>
        <v>=AC50-(AC47+AC49)</v>
      </c>
    </row>
    <row r="49" spans="1:30" ht="15" customHeight="1" x14ac:dyDescent="0.35">
      <c r="A49" s="40"/>
      <c r="B49" s="38" t="s">
        <v>71</v>
      </c>
      <c r="D49">
        <f>'Weekly Rollforward'!D14</f>
        <v>-2006.8141935483873</v>
      </c>
      <c r="E49">
        <f>'Weekly Rollforward'!E14</f>
        <v>-2948.282580645161</v>
      </c>
      <c r="F49">
        <f>'Weekly Rollforward'!F14</f>
        <v>-2675.7522580645164</v>
      </c>
      <c r="G49">
        <f>'Weekly Rollforward'!G14</f>
        <v>-2279.3445161290324</v>
      </c>
      <c r="H49">
        <f>'Weekly Rollforward'!H14</f>
        <v>-3099.6846701061986</v>
      </c>
      <c r="I49">
        <f>'Weekly Rollforward'!I14</f>
        <v>-3179.6475596666664</v>
      </c>
      <c r="J49">
        <f>'Weekly Rollforward'!J14</f>
        <v>-2763.618907</v>
      </c>
      <c r="K49">
        <f>'Weekly Rollforward'!K14</f>
        <v>-2615.037245333333</v>
      </c>
      <c r="L49">
        <f>'Weekly Rollforward'!L14</f>
        <v>-2842.6900833333334</v>
      </c>
      <c r="M49">
        <f>'Weekly Rollforward'!M14</f>
        <v>-3270.4559999999997</v>
      </c>
      <c r="N49">
        <f>'Weekly Rollforward'!N14</f>
        <v>-3206.9519999999998</v>
      </c>
      <c r="O49">
        <f>'Weekly Rollforward'!O14</f>
        <v>-3143.4479999999999</v>
      </c>
      <c r="P49">
        <f>'Weekly Rollforward'!P14</f>
        <v>-3167.8849999999998</v>
      </c>
      <c r="Q49">
        <f>'Weekly Rollforward'!Q14</f>
        <v>-3406.5360000000001</v>
      </c>
      <c r="R49">
        <f>'Weekly Rollforward'!R14</f>
        <v>-3494.3076000000001</v>
      </c>
      <c r="S49">
        <f>'Weekly Rollforward'!S14</f>
        <v>-3543.5232000000001</v>
      </c>
      <c r="T49">
        <f>'Weekly Rollforward'!T14</f>
        <v>-3543.5232000000001</v>
      </c>
      <c r="U49">
        <f>'Weekly Rollforward'!U14</f>
        <v>-3478.2048</v>
      </c>
      <c r="V49">
        <f>'Weekly Rollforward'!V14</f>
        <v>-3429.2160000000008</v>
      </c>
      <c r="W49">
        <f>'Weekly Rollforward'!W14</f>
        <v>-3476.8440000000005</v>
      </c>
      <c r="X49">
        <f>'Weekly Rollforward'!X14</f>
        <v>-3476.8440000000005</v>
      </c>
      <c r="Y49">
        <f>'Weekly Rollforward'!Y14</f>
        <v>-3452.0094000000004</v>
      </c>
      <c r="Z49">
        <f>'Weekly Rollforward'!Z14</f>
        <v>-3348.2483999999999</v>
      </c>
      <c r="AA49">
        <f>'Weekly Rollforward'!AA14</f>
        <v>-3348.2483999999999</v>
      </c>
      <c r="AB49">
        <f>'Weekly Rollforward'!AB14</f>
        <v>-3348.2483999999999</v>
      </c>
      <c r="AC49">
        <f>'Weekly Rollforward'!AC14</f>
        <v>-3348.2483999999999</v>
      </c>
      <c r="AD49" t="str">
        <f t="shared" ca="1" si="18"/>
        <v>='Weekly Rollforward'!AC14</v>
      </c>
    </row>
    <row r="50" spans="1:30" ht="15" customHeight="1" x14ac:dyDescent="0.35">
      <c r="A50" s="40"/>
      <c r="B50" s="38" t="s">
        <v>72</v>
      </c>
      <c r="C50" s="64">
        <v>88448</v>
      </c>
      <c r="D50">
        <f>SUM(D47:D49)</f>
        <v>90357.57290322581</v>
      </c>
      <c r="E50">
        <f t="shared" ref="E50:G50" si="63">SUM(E47:E49)</f>
        <v>89367.483870967742</v>
      </c>
      <c r="F50">
        <f t="shared" si="63"/>
        <v>88405.150967741938</v>
      </c>
      <c r="G50">
        <f t="shared" si="63"/>
        <v>88328.774193548394</v>
      </c>
      <c r="H50">
        <f t="shared" ref="H50" si="64">SUM(H47:H49)</f>
        <v>86909.929977850799</v>
      </c>
      <c r="I50">
        <f t="shared" ref="I50" si="65">SUM(I47:I49)</f>
        <v>85075.049034850788</v>
      </c>
      <c r="J50">
        <f t="shared" ref="J50" si="66">SUM(J47:J49)</f>
        <v>86614.683301184123</v>
      </c>
      <c r="K50">
        <f t="shared" ref="K50" si="67">SUM(K47:K49)</f>
        <v>87325.253898867464</v>
      </c>
      <c r="L50">
        <f t="shared" ref="L50" si="68">SUM(L47:L49)</f>
        <v>87524.295963437355</v>
      </c>
      <c r="M50">
        <f t="shared" ref="M50" si="69">SUM(M47:M49)</f>
        <v>86671.699215050248</v>
      </c>
      <c r="N50">
        <f t="shared" ref="N50" si="70">SUM(N47:N49)</f>
        <v>86316.283008598635</v>
      </c>
      <c r="O50">
        <f t="shared" ref="O50" si="71">SUM(O47:O49)</f>
        <v>86799.623886017987</v>
      </c>
      <c r="P50" s="58">
        <f>SUM(P47:P49)</f>
        <v>90885.316640856705</v>
      </c>
      <c r="Q50">
        <f>Q52*-Q49/7</f>
        <v>97329.599999999991</v>
      </c>
      <c r="R50">
        <f>R52*-R49/7</f>
        <v>99837.36</v>
      </c>
      <c r="S50">
        <f t="shared" ref="S50:AC50" si="72">S52*-S49/7</f>
        <v>101243.52</v>
      </c>
      <c r="T50">
        <f t="shared" si="72"/>
        <v>101243.52</v>
      </c>
      <c r="U50">
        <f t="shared" si="72"/>
        <v>99377.279999999999</v>
      </c>
      <c r="V50">
        <f t="shared" si="72"/>
        <v>97977.60000000002</v>
      </c>
      <c r="W50">
        <f t="shared" si="72"/>
        <v>99338.400000000009</v>
      </c>
      <c r="X50">
        <f t="shared" si="72"/>
        <v>99338.400000000009</v>
      </c>
      <c r="Y50">
        <f t="shared" si="72"/>
        <v>98628.840000000011</v>
      </c>
      <c r="Z50">
        <f t="shared" si="72"/>
        <v>90881.028000000006</v>
      </c>
      <c r="AA50">
        <f t="shared" si="72"/>
        <v>90881.028000000006</v>
      </c>
      <c r="AB50">
        <f t="shared" si="72"/>
        <v>90881.028000000006</v>
      </c>
      <c r="AC50">
        <f t="shared" si="72"/>
        <v>90881.028000000006</v>
      </c>
      <c r="AD50" t="str">
        <f t="shared" ca="1" si="18"/>
        <v>=AC52*-AC49/7</v>
      </c>
    </row>
    <row r="51" spans="1:30" ht="15" customHeight="1" x14ac:dyDescent="0.35">
      <c r="A51" s="40"/>
      <c r="B51" s="38"/>
    </row>
    <row r="52" spans="1:30" ht="15" customHeight="1" x14ac:dyDescent="0.35">
      <c r="A52" s="40"/>
      <c r="B52" s="38" t="s">
        <v>73</v>
      </c>
      <c r="D52">
        <f>D50/-D49*7</f>
        <v>315.17766435775917</v>
      </c>
      <c r="E52">
        <f t="shared" ref="E52:P52" si="73">E50/-E49*7</f>
        <v>212.18196356194684</v>
      </c>
      <c r="F52">
        <f t="shared" si="73"/>
        <v>231.27554313336304</v>
      </c>
      <c r="G52">
        <f t="shared" si="73"/>
        <v>271.26281919193519</v>
      </c>
      <c r="H52">
        <f t="shared" si="73"/>
        <v>196.26819324951276</v>
      </c>
      <c r="I52">
        <f t="shared" si="73"/>
        <v>187.29287824163333</v>
      </c>
      <c r="J52">
        <f t="shared" si="73"/>
        <v>219.38726123655402</v>
      </c>
      <c r="K52">
        <f t="shared" si="73"/>
        <v>233.7545204692311</v>
      </c>
      <c r="L52">
        <f t="shared" si="73"/>
        <v>215.52475077608375</v>
      </c>
      <c r="M52">
        <f t="shared" si="73"/>
        <v>185.5098782877225</v>
      </c>
      <c r="N52">
        <f t="shared" si="73"/>
        <v>188.40755367095937</v>
      </c>
      <c r="O52">
        <f t="shared" si="73"/>
        <v>193.29009648071988</v>
      </c>
      <c r="P52">
        <f t="shared" si="73"/>
        <v>200.82711856206805</v>
      </c>
      <c r="Q52" s="45">
        <v>200</v>
      </c>
      <c r="R52" s="45">
        <v>200</v>
      </c>
      <c r="S52" s="45">
        <v>200</v>
      </c>
      <c r="T52" s="45">
        <v>200</v>
      </c>
      <c r="U52" s="45">
        <v>200</v>
      </c>
      <c r="V52" s="45">
        <v>200</v>
      </c>
      <c r="W52" s="45">
        <v>200</v>
      </c>
      <c r="X52" s="45">
        <v>200</v>
      </c>
      <c r="Y52" s="45">
        <v>200</v>
      </c>
      <c r="Z52" s="45">
        <v>190</v>
      </c>
      <c r="AA52" s="45">
        <v>190</v>
      </c>
      <c r="AB52" s="45">
        <v>190</v>
      </c>
      <c r="AC52" s="45">
        <v>190</v>
      </c>
    </row>
    <row r="53" spans="1:30" ht="15" customHeight="1" x14ac:dyDescent="0.35">
      <c r="A53" s="40"/>
      <c r="B53" s="38" t="s">
        <v>74</v>
      </c>
      <c r="G53">
        <f>G50/-SUM(D49:G49)*28</f>
        <v>249.56179365658045</v>
      </c>
      <c r="H53">
        <f t="shared" ref="H53:P53" si="74">H50/-SUM(E49:H49)*28</f>
        <v>221.16367167026522</v>
      </c>
      <c r="I53">
        <f t="shared" si="74"/>
        <v>212.03582061311707</v>
      </c>
      <c r="J53">
        <f t="shared" si="74"/>
        <v>214.19782761206869</v>
      </c>
      <c r="K53">
        <f t="shared" si="74"/>
        <v>209.73662256528533</v>
      </c>
      <c r="L53">
        <f t="shared" si="74"/>
        <v>214.95321644498756</v>
      </c>
      <c r="M53">
        <f t="shared" si="74"/>
        <v>211.17728344553453</v>
      </c>
      <c r="N53">
        <f t="shared" si="74"/>
        <v>202.49924761521419</v>
      </c>
      <c r="O53">
        <f t="shared" si="74"/>
        <v>194.99983813262432</v>
      </c>
      <c r="P53">
        <f t="shared" si="74"/>
        <v>198.98666068411174</v>
      </c>
      <c r="Q53">
        <f t="shared" ref="Q53" si="75">Q50/-SUM(N49:Q49)*28</f>
        <v>210.85234371911221</v>
      </c>
      <c r="R53">
        <f t="shared" ref="R53" si="76">R50/-SUM(O49:R49)*28</f>
        <v>211.58104108296587</v>
      </c>
      <c r="S53">
        <f t="shared" ref="S53" si="77">S50/-SUM(P49:S49)*28</f>
        <v>208.2549310467501</v>
      </c>
      <c r="T53">
        <f t="shared" ref="T53" si="78">T50/-SUM(Q49:T49)*28</f>
        <v>202.66234292663157</v>
      </c>
      <c r="U53">
        <f t="shared" ref="U53" si="79">U50/-SUM(R49:U49)*28</f>
        <v>197.91260021616043</v>
      </c>
      <c r="V53">
        <f t="shared" ref="V53" si="80">V50/-SUM(S49:V49)*28</f>
        <v>196.0326721120187</v>
      </c>
      <c r="W53">
        <f t="shared" ref="W53" si="81">W50/-SUM(T49:W49)*28</f>
        <v>199.70688812896921</v>
      </c>
      <c r="X53">
        <f t="shared" ref="X53" si="82">X50/-SUM(U49:X49)*28</f>
        <v>200.66758295699978</v>
      </c>
      <c r="Y53">
        <f t="shared" ref="Y53" si="83">Y50/-SUM(V49:Y49)*28</f>
        <v>199.61147859443773</v>
      </c>
      <c r="Z53">
        <f t="shared" ref="Z53" si="84">Z50/-SUM(W49:Z49)*28</f>
        <v>185.01372776967028</v>
      </c>
      <c r="AA53">
        <f t="shared" ref="AA53" si="85">AA50/-SUM(X49:AA49)*28</f>
        <v>186.7598811515318</v>
      </c>
      <c r="AB53">
        <f t="shared" ref="AB53" si="86">AB50/-SUM(Y49:AB49)*28</f>
        <v>188.53930884984752</v>
      </c>
      <c r="AC53">
        <f t="shared" ref="AC53" si="87">AC50/-SUM(Z49:AC49)*28</f>
        <v>190.00000000000003</v>
      </c>
      <c r="AD53" t="str">
        <f t="shared" ca="1" si="18"/>
        <v>=AC50/-SUM(Z49:AC49)*28</v>
      </c>
    </row>
    <row r="54" spans="1:30" ht="15" customHeight="1" x14ac:dyDescent="0.35">
      <c r="A54" s="40"/>
      <c r="B54" s="38" t="s">
        <v>75</v>
      </c>
      <c r="P54">
        <f>P50/-SUM(D49:P49)*(13*7)</f>
        <v>222.32929711510428</v>
      </c>
      <c r="AC54">
        <f>AC50/-SUM(Q49:AC49)*(13*7)</f>
        <v>185.03989830689099</v>
      </c>
      <c r="AD54" t="str">
        <f t="shared" ca="1" si="18"/>
        <v>=AC50/-SUM(Q49:AC49)*(13*7)</v>
      </c>
    </row>
    <row r="55" spans="1:30" ht="15" customHeight="1" x14ac:dyDescent="0.35">
      <c r="A55" s="40"/>
      <c r="B55" s="38"/>
    </row>
    <row r="56" spans="1:30" ht="15" customHeight="1" x14ac:dyDescent="0.35">
      <c r="A56" s="40" t="s">
        <v>76</v>
      </c>
      <c r="B56" s="38"/>
      <c r="D56" s="36"/>
      <c r="E56" s="36"/>
      <c r="F56" s="36"/>
      <c r="G56" s="36"/>
      <c r="H56" s="36"/>
      <c r="I56" s="36"/>
      <c r="J56" s="36"/>
      <c r="K56" s="36"/>
      <c r="L56" s="36"/>
      <c r="M56" s="36"/>
      <c r="N56" s="36"/>
      <c r="P56" s="36"/>
    </row>
    <row r="57" spans="1:30" ht="15" customHeight="1" x14ac:dyDescent="0.35">
      <c r="A57" s="40"/>
      <c r="B57" s="38" t="s">
        <v>62</v>
      </c>
      <c r="D57">
        <f>C60</f>
        <v>48883</v>
      </c>
      <c r="E57">
        <f t="shared" ref="E57:P57" si="88">D60</f>
        <v>52024.148387096779</v>
      </c>
      <c r="F57">
        <f t="shared" si="88"/>
        <v>50881.387096774197</v>
      </c>
      <c r="G57">
        <f t="shared" si="88"/>
        <v>51819.567741935491</v>
      </c>
      <c r="H57">
        <f t="shared" si="88"/>
        <v>50921.580645161295</v>
      </c>
      <c r="I57">
        <f t="shared" si="88"/>
        <v>51455.745538279574</v>
      </c>
      <c r="J57">
        <f t="shared" si="88"/>
        <v>47099.499354946238</v>
      </c>
      <c r="K57">
        <f t="shared" si="88"/>
        <v>49977.499328279569</v>
      </c>
      <c r="L57">
        <f t="shared" si="88"/>
        <v>48019.994371296234</v>
      </c>
      <c r="M57">
        <f t="shared" si="88"/>
        <v>49812.617267586553</v>
      </c>
      <c r="N57">
        <f t="shared" si="88"/>
        <v>48824.279770812354</v>
      </c>
      <c r="O57">
        <f t="shared" si="88"/>
        <v>50053.817112747834</v>
      </c>
      <c r="P57">
        <f t="shared" si="88"/>
        <v>53287.50676436074</v>
      </c>
      <c r="Q57">
        <f>P60</f>
        <v>57714.987615973638</v>
      </c>
      <c r="R57">
        <f t="shared" ref="R57:AC57" si="89">Q60</f>
        <v>58397.760000000002</v>
      </c>
      <c r="S57">
        <f t="shared" si="89"/>
        <v>59902.416000000005</v>
      </c>
      <c r="T57">
        <f t="shared" si="89"/>
        <v>60746.112000000001</v>
      </c>
      <c r="U57">
        <f t="shared" si="89"/>
        <v>60746.112000000001</v>
      </c>
      <c r="V57">
        <f t="shared" si="89"/>
        <v>59626.368000000002</v>
      </c>
      <c r="W57">
        <f t="shared" si="89"/>
        <v>58786.560000000012</v>
      </c>
      <c r="X57">
        <f t="shared" si="89"/>
        <v>59603.040000000015</v>
      </c>
      <c r="Y57">
        <f t="shared" si="89"/>
        <v>59603.040000000015</v>
      </c>
      <c r="Z57">
        <f t="shared" si="89"/>
        <v>59177.304000000004</v>
      </c>
      <c r="AA57">
        <f t="shared" si="89"/>
        <v>62181.756000000001</v>
      </c>
      <c r="AB57">
        <f t="shared" si="89"/>
        <v>62181.756000000001</v>
      </c>
      <c r="AC57">
        <f t="shared" si="89"/>
        <v>62181.756000000001</v>
      </c>
      <c r="AD57" t="str">
        <f t="shared" ca="1" si="18"/>
        <v>=AB60</v>
      </c>
    </row>
    <row r="58" spans="1:30" ht="15" customHeight="1" x14ac:dyDescent="0.35">
      <c r="A58" s="40"/>
      <c r="B58" s="38" t="s">
        <v>70</v>
      </c>
      <c r="D58">
        <f>D48</f>
        <v>3916.3870967741941</v>
      </c>
      <c r="E58">
        <f t="shared" ref="E58:P58" si="90">E48</f>
        <v>1958.1935483870971</v>
      </c>
      <c r="F58">
        <f t="shared" si="90"/>
        <v>1713.4193548387098</v>
      </c>
      <c r="G58">
        <f t="shared" si="90"/>
        <v>2202.9677419354844</v>
      </c>
      <c r="H58">
        <f t="shared" si="90"/>
        <v>1680.8404544086018</v>
      </c>
      <c r="I58">
        <f t="shared" si="90"/>
        <v>1344.7666166666661</v>
      </c>
      <c r="J58">
        <f t="shared" si="90"/>
        <v>4303.2531733333317</v>
      </c>
      <c r="K58">
        <f t="shared" si="90"/>
        <v>3325.6078430166649</v>
      </c>
      <c r="L58">
        <f t="shared" si="90"/>
        <v>3041.7321479032248</v>
      </c>
      <c r="M58">
        <f t="shared" si="90"/>
        <v>2417.859251612902</v>
      </c>
      <c r="N58">
        <f t="shared" si="90"/>
        <v>2851.5357935483853</v>
      </c>
      <c r="O58">
        <f t="shared" si="90"/>
        <v>3626.7888774193534</v>
      </c>
      <c r="P58">
        <f t="shared" si="90"/>
        <v>7253.5777548387068</v>
      </c>
      <c r="Q58">
        <f>Q48</f>
        <v>9850.8193591432791</v>
      </c>
      <c r="R58">
        <f t="shared" ref="R58:AC58" si="91">R48</f>
        <v>6002.0676000000094</v>
      </c>
      <c r="S58">
        <f t="shared" si="91"/>
        <v>4949.6831999999995</v>
      </c>
      <c r="T58">
        <f t="shared" si="91"/>
        <v>3543.523199999996</v>
      </c>
      <c r="U58">
        <f t="shared" si="91"/>
        <v>1611.9648000000016</v>
      </c>
      <c r="V58">
        <f t="shared" si="91"/>
        <v>2029.5360000000219</v>
      </c>
      <c r="W58">
        <f t="shared" si="91"/>
        <v>4837.6439999999857</v>
      </c>
      <c r="X58">
        <f t="shared" si="91"/>
        <v>3476.8439999999973</v>
      </c>
      <c r="Y58">
        <f t="shared" si="91"/>
        <v>2742.4493999999977</v>
      </c>
      <c r="Z58">
        <f t="shared" si="91"/>
        <v>-4399.5636000000086</v>
      </c>
      <c r="AA58">
        <f t="shared" si="91"/>
        <v>3348.2483999999968</v>
      </c>
      <c r="AB58">
        <f t="shared" si="91"/>
        <v>3348.2483999999968</v>
      </c>
      <c r="AC58">
        <f t="shared" si="91"/>
        <v>3348.2483999999968</v>
      </c>
      <c r="AD58" t="str">
        <f t="shared" ca="1" si="18"/>
        <v>=AC48</v>
      </c>
    </row>
    <row r="59" spans="1:30" ht="15" customHeight="1" x14ac:dyDescent="0.35">
      <c r="A59" s="40"/>
      <c r="B59" s="38" t="s">
        <v>77</v>
      </c>
      <c r="D59" s="36">
        <v>-775.23870967741937</v>
      </c>
      <c r="E59" s="36">
        <v>-3100.9548387096775</v>
      </c>
      <c r="F59" s="36">
        <v>-775.23870967741937</v>
      </c>
      <c r="G59" s="36">
        <v>-3100.9548387096775</v>
      </c>
      <c r="H59" s="36">
        <v>-1146.6755612903225</v>
      </c>
      <c r="I59" s="36">
        <v>-5701.0128000000004</v>
      </c>
      <c r="J59" s="36">
        <v>-1425.2532000000001</v>
      </c>
      <c r="K59" s="36">
        <v>-5283.1128000000008</v>
      </c>
      <c r="L59" s="36">
        <v>-1249.1092516129033</v>
      </c>
      <c r="M59" s="36">
        <v>-3406.1967483870962</v>
      </c>
      <c r="N59" s="36">
        <v>-1621.998451612903</v>
      </c>
      <c r="O59" s="36">
        <v>-393.0992258064515</v>
      </c>
      <c r="P59" s="36">
        <v>-2826.0969032258058</v>
      </c>
      <c r="Q59">
        <f>Q60-(Q57+Q58)</f>
        <v>-9168.0469751169221</v>
      </c>
      <c r="R59">
        <f t="shared" ref="R59:AC59" si="92">R60-(R57+R58)</f>
        <v>-4497.4116000000067</v>
      </c>
      <c r="S59">
        <f t="shared" si="92"/>
        <v>-4105.9872000000032</v>
      </c>
      <c r="T59">
        <f t="shared" si="92"/>
        <v>-3543.523199999996</v>
      </c>
      <c r="U59">
        <f t="shared" si="92"/>
        <v>-2731.7088000000003</v>
      </c>
      <c r="V59">
        <f t="shared" si="92"/>
        <v>-2869.3440000000119</v>
      </c>
      <c r="W59">
        <f t="shared" si="92"/>
        <v>-4021.1639999999825</v>
      </c>
      <c r="X59">
        <f t="shared" si="92"/>
        <v>-3476.8439999999973</v>
      </c>
      <c r="Y59">
        <f t="shared" si="92"/>
        <v>-3168.1854000000094</v>
      </c>
      <c r="Z59">
        <f t="shared" si="92"/>
        <v>7404.0156000000061</v>
      </c>
      <c r="AA59">
        <f t="shared" si="92"/>
        <v>-3348.2483999999968</v>
      </c>
      <c r="AB59">
        <f t="shared" si="92"/>
        <v>-3348.2483999999968</v>
      </c>
      <c r="AC59">
        <f t="shared" si="92"/>
        <v>-3348.2483999999968</v>
      </c>
      <c r="AD59" t="str">
        <f t="shared" ca="1" si="18"/>
        <v>=AC60-(AC57+AC58)</v>
      </c>
    </row>
    <row r="60" spans="1:30" ht="15" customHeight="1" x14ac:dyDescent="0.35">
      <c r="A60" s="40"/>
      <c r="B60" s="38" t="s">
        <v>78</v>
      </c>
      <c r="C60" s="64">
        <v>48883</v>
      </c>
      <c r="D60">
        <f>SUM(D57:D59)</f>
        <v>52024.148387096779</v>
      </c>
      <c r="E60">
        <f t="shared" ref="E60:P60" si="93">SUM(E57:E59)</f>
        <v>50881.387096774197</v>
      </c>
      <c r="F60">
        <f t="shared" si="93"/>
        <v>51819.567741935491</v>
      </c>
      <c r="G60">
        <f t="shared" si="93"/>
        <v>50921.580645161295</v>
      </c>
      <c r="H60">
        <f t="shared" si="93"/>
        <v>51455.745538279574</v>
      </c>
      <c r="I60">
        <f t="shared" si="93"/>
        <v>47099.499354946238</v>
      </c>
      <c r="J60">
        <f t="shared" si="93"/>
        <v>49977.499328279569</v>
      </c>
      <c r="K60">
        <f t="shared" si="93"/>
        <v>48019.994371296234</v>
      </c>
      <c r="L60">
        <f t="shared" si="93"/>
        <v>49812.617267586553</v>
      </c>
      <c r="M60">
        <f t="shared" si="93"/>
        <v>48824.279770812354</v>
      </c>
      <c r="N60">
        <f t="shared" si="93"/>
        <v>50053.817112747834</v>
      </c>
      <c r="O60">
        <f t="shared" si="93"/>
        <v>53287.50676436074</v>
      </c>
      <c r="P60" s="58">
        <f t="shared" si="93"/>
        <v>57714.987615973638</v>
      </c>
      <c r="Q60">
        <f>-Q49*Q62/7</f>
        <v>58397.760000000002</v>
      </c>
      <c r="R60">
        <f t="shared" ref="R60:AC60" si="94">-R49*R62/7</f>
        <v>59902.416000000005</v>
      </c>
      <c r="S60">
        <f t="shared" si="94"/>
        <v>60746.112000000001</v>
      </c>
      <c r="T60">
        <f t="shared" si="94"/>
        <v>60746.112000000001</v>
      </c>
      <c r="U60">
        <f t="shared" si="94"/>
        <v>59626.368000000002</v>
      </c>
      <c r="V60">
        <f t="shared" si="94"/>
        <v>58786.560000000012</v>
      </c>
      <c r="W60">
        <f t="shared" si="94"/>
        <v>59603.040000000015</v>
      </c>
      <c r="X60">
        <f t="shared" si="94"/>
        <v>59603.040000000015</v>
      </c>
      <c r="Y60">
        <f t="shared" si="94"/>
        <v>59177.304000000004</v>
      </c>
      <c r="Z60">
        <f t="shared" si="94"/>
        <v>62181.756000000001</v>
      </c>
      <c r="AA60">
        <f t="shared" si="94"/>
        <v>62181.756000000001</v>
      </c>
      <c r="AB60">
        <f t="shared" si="94"/>
        <v>62181.756000000001</v>
      </c>
      <c r="AC60">
        <f t="shared" si="94"/>
        <v>62181.756000000001</v>
      </c>
      <c r="AD60" t="str">
        <f t="shared" ca="1" si="18"/>
        <v>=-AC49*AC62/7</v>
      </c>
    </row>
    <row r="61" spans="1:30" ht="15" customHeight="1" x14ac:dyDescent="0.35">
      <c r="A61" s="40"/>
      <c r="B61" s="38"/>
    </row>
    <row r="62" spans="1:30" ht="15" customHeight="1" x14ac:dyDescent="0.35">
      <c r="A62" s="40"/>
      <c r="B62" s="38" t="s">
        <v>79</v>
      </c>
      <c r="D62">
        <f>D60/-D49*7</f>
        <v>181.4662462924706</v>
      </c>
      <c r="E62">
        <f t="shared" ref="E62:P62" si="95">E60/-E49*7</f>
        <v>120.80582506425831</v>
      </c>
      <c r="F62">
        <f t="shared" si="95"/>
        <v>135.56448400642714</v>
      </c>
      <c r="G62">
        <f t="shared" si="95"/>
        <v>156.38314523926519</v>
      </c>
      <c r="H62">
        <f t="shared" si="95"/>
        <v>116.20221316112665</v>
      </c>
      <c r="I62">
        <f t="shared" si="95"/>
        <v>103.68963518685918</v>
      </c>
      <c r="J62">
        <f t="shared" si="95"/>
        <v>126.58854461150094</v>
      </c>
      <c r="K62">
        <f t="shared" si="95"/>
        <v>128.54117515876015</v>
      </c>
      <c r="L62">
        <f t="shared" si="95"/>
        <v>122.66139137623986</v>
      </c>
      <c r="M62">
        <f t="shared" si="95"/>
        <v>104.5022340602309</v>
      </c>
      <c r="N62">
        <f t="shared" si="95"/>
        <v>109.25536764792079</v>
      </c>
      <c r="O62">
        <f t="shared" si="95"/>
        <v>118.66350178228659</v>
      </c>
      <c r="P62">
        <f t="shared" si="95"/>
        <v>127.53143289981028</v>
      </c>
      <c r="Q62" s="45">
        <v>120</v>
      </c>
      <c r="R62" s="45">
        <v>120</v>
      </c>
      <c r="S62" s="45">
        <v>120</v>
      </c>
      <c r="T62" s="45">
        <v>120</v>
      </c>
      <c r="U62" s="45">
        <v>120</v>
      </c>
      <c r="V62" s="45">
        <v>120</v>
      </c>
      <c r="W62" s="45">
        <v>120</v>
      </c>
      <c r="X62" s="45">
        <v>120</v>
      </c>
      <c r="Y62" s="45">
        <v>120</v>
      </c>
      <c r="Z62" s="45">
        <v>130</v>
      </c>
      <c r="AA62" s="45">
        <v>130</v>
      </c>
      <c r="AB62" s="45">
        <v>130</v>
      </c>
      <c r="AC62" s="45">
        <v>130</v>
      </c>
    </row>
    <row r="63" spans="1:30" ht="15" customHeight="1" x14ac:dyDescent="0.35">
      <c r="A63" s="40"/>
      <c r="B63" s="38" t="s">
        <v>80</v>
      </c>
      <c r="G63">
        <f>G60/-SUM(D49:G49)*28</f>
        <v>143.87249362012398</v>
      </c>
      <c r="H63">
        <f t="shared" ref="H63:P63" si="96">H60/-SUM(E49:H49)*28</f>
        <v>130.94178783341599</v>
      </c>
      <c r="I63">
        <f t="shared" si="96"/>
        <v>117.38789585771433</v>
      </c>
      <c r="J63">
        <f t="shared" si="96"/>
        <v>123.59419185747639</v>
      </c>
      <c r="K63">
        <f t="shared" si="96"/>
        <v>115.33377786343092</v>
      </c>
      <c r="L63">
        <f t="shared" si="96"/>
        <v>122.33611459935409</v>
      </c>
      <c r="M63">
        <f t="shared" si="96"/>
        <v>118.96130872664975</v>
      </c>
      <c r="N63">
        <f t="shared" si="96"/>
        <v>117.42697846003468</v>
      </c>
      <c r="O63">
        <f t="shared" si="96"/>
        <v>119.71313616734805</v>
      </c>
      <c r="P63">
        <f t="shared" si="96"/>
        <v>126.36268521250543</v>
      </c>
      <c r="Q63">
        <f t="shared" ref="Q63" si="97">Q60/-SUM(N49:Q49)*28</f>
        <v>126.51140623146736</v>
      </c>
      <c r="R63">
        <f t="shared" ref="R63" si="98">R60/-SUM(O49:R49)*28</f>
        <v>126.94862464977953</v>
      </c>
      <c r="S63">
        <f t="shared" ref="S63" si="99">S60/-SUM(P49:S49)*28</f>
        <v>124.95295862805007</v>
      </c>
      <c r="T63">
        <f t="shared" ref="T63" si="100">T60/-SUM(Q49:T49)*28</f>
        <v>121.59740575597894</v>
      </c>
      <c r="U63">
        <f t="shared" ref="U63" si="101">U60/-SUM(R49:U49)*28</f>
        <v>118.74756012969625</v>
      </c>
      <c r="V63">
        <f t="shared" ref="V63" si="102">V60/-SUM(S49:V49)*28</f>
        <v>117.61960326721123</v>
      </c>
      <c r="W63">
        <f t="shared" ref="W63" si="103">W60/-SUM(T49:W49)*28</f>
        <v>119.82413287738154</v>
      </c>
      <c r="X63">
        <f t="shared" ref="X63" si="104">X60/-SUM(U49:X49)*28</f>
        <v>120.4005497741999</v>
      </c>
      <c r="Y63">
        <f t="shared" ref="Y63" si="105">Y60/-SUM(V49:Y49)*28</f>
        <v>119.76688715666265</v>
      </c>
      <c r="Z63">
        <f t="shared" ref="Z63" si="106">Z60/-SUM(W49:Z49)*28</f>
        <v>126.5883400529323</v>
      </c>
      <c r="AA63">
        <f t="shared" ref="AA63" si="107">AA60/-SUM(X49:AA49)*28</f>
        <v>127.78307657736386</v>
      </c>
      <c r="AB63">
        <f t="shared" ref="AB63" si="108">AB60/-SUM(Y49:AB49)*28</f>
        <v>129.00057973936936</v>
      </c>
      <c r="AC63">
        <f t="shared" ref="AC63" si="109">AC60/-SUM(Z49:AC49)*28</f>
        <v>130</v>
      </c>
      <c r="AD63" t="str">
        <f t="shared" ca="1" si="18"/>
        <v>=AC60/-SUM(Z49:AC49)*28</v>
      </c>
    </row>
    <row r="64" spans="1:30" ht="15" customHeight="1" x14ac:dyDescent="0.35">
      <c r="A64" s="40"/>
      <c r="B64" s="38" t="s">
        <v>81</v>
      </c>
      <c r="P64">
        <f>P60/-SUM(D49:P49)*(13*7)</f>
        <v>141.18598145366389</v>
      </c>
      <c r="AC64">
        <f>AC60/-SUM(Q49:AC49)*(13*7)</f>
        <v>126.60624620997804</v>
      </c>
      <c r="AD64" t="str">
        <f t="shared" ca="1" si="18"/>
        <v>=AC60/-SUM(Q49:AC49)*(13*7)</v>
      </c>
    </row>
    <row r="65" spans="1:30" ht="15" customHeight="1" x14ac:dyDescent="0.35">
      <c r="A65" s="40"/>
      <c r="B65" s="38"/>
    </row>
    <row r="66" spans="1:30" ht="15" customHeight="1" x14ac:dyDescent="0.35">
      <c r="A66" s="40" t="s">
        <v>82</v>
      </c>
      <c r="B66" s="38"/>
    </row>
    <row r="67" spans="1:30" ht="15" customHeight="1" x14ac:dyDescent="0.35">
      <c r="A67" s="40"/>
      <c r="B67" s="38" t="s">
        <v>62</v>
      </c>
      <c r="D67">
        <f>C70</f>
        <v>9952</v>
      </c>
      <c r="E67">
        <f t="shared" ref="E67:P67" si="110">D70</f>
        <v>9138.1370967741932</v>
      </c>
      <c r="F67">
        <f t="shared" si="110"/>
        <v>10211.677419354837</v>
      </c>
      <c r="G67">
        <f t="shared" si="110"/>
        <v>9996.8225806451592</v>
      </c>
      <c r="H67">
        <f t="shared" si="110"/>
        <v>10471.354838709674</v>
      </c>
      <c r="I67">
        <f t="shared" si="110"/>
        <v>10097.421236817201</v>
      </c>
      <c r="J67">
        <f t="shared" si="110"/>
        <v>10891.243767483867</v>
      </c>
      <c r="K67">
        <f t="shared" si="110"/>
        <v>9907.4879034838668</v>
      </c>
      <c r="L67">
        <f t="shared" si="110"/>
        <v>10187.688462817201</v>
      </c>
      <c r="M67">
        <f t="shared" si="110"/>
        <v>9612.6979285161269</v>
      </c>
      <c r="N67">
        <f t="shared" si="110"/>
        <v>10918.120865290321</v>
      </c>
      <c r="O67">
        <f t="shared" si="110"/>
        <v>10866.138196903223</v>
      </c>
      <c r="P67">
        <f t="shared" si="110"/>
        <v>12050.359213677417</v>
      </c>
      <c r="Q67">
        <f>P70</f>
        <v>11990.295465290321</v>
      </c>
      <c r="R67">
        <f>Q70</f>
        <v>13433.237481538063</v>
      </c>
      <c r="S67">
        <f t="shared" ref="S67:AC67" si="111">R70</f>
        <v>13313.885386707405</v>
      </c>
      <c r="T67">
        <f t="shared" si="111"/>
        <v>14559.340417100073</v>
      </c>
      <c r="U67">
        <f t="shared" si="111"/>
        <v>14124.679500312055</v>
      </c>
      <c r="V67">
        <f t="shared" si="111"/>
        <v>14934.840150255885</v>
      </c>
      <c r="W67">
        <f t="shared" si="111"/>
        <v>14058.468108184235</v>
      </c>
      <c r="X67">
        <f t="shared" si="111"/>
        <v>14833.327048711073</v>
      </c>
      <c r="Y67">
        <f t="shared" si="111"/>
        <v>13985.378675071974</v>
      </c>
      <c r="Z67">
        <f t="shared" si="111"/>
        <v>14749.783833559019</v>
      </c>
      <c r="AA67">
        <f t="shared" si="111"/>
        <v>13624.218600162492</v>
      </c>
      <c r="AB67">
        <f t="shared" si="111"/>
        <v>14176.233492133244</v>
      </c>
      <c r="AC67">
        <f t="shared" si="111"/>
        <v>13211.262354335937</v>
      </c>
      <c r="AD67" t="str">
        <f t="shared" ca="1" si="18"/>
        <v>=AB70</v>
      </c>
    </row>
    <row r="68" spans="1:30" ht="15" customHeight="1" x14ac:dyDescent="0.35">
      <c r="A68" s="40"/>
      <c r="B68" s="38" t="s">
        <v>83</v>
      </c>
      <c r="D68">
        <f>('Weekly Rollforward'!D13+'Weekly Rollforward'!D18)*-1</f>
        <v>1797.0241935483873</v>
      </c>
      <c r="E68">
        <f>('Weekly Rollforward'!E13+'Weekly Rollforward'!E18)*-1</f>
        <v>2640.072580645161</v>
      </c>
      <c r="F68">
        <f>('Weekly Rollforward'!F13+'Weekly Rollforward'!F18)*-1</f>
        <v>2396.0322580645161</v>
      </c>
      <c r="G68">
        <f>('Weekly Rollforward'!G13+'Weekly Rollforward'!G18)*-1</f>
        <v>2041.0645161290322</v>
      </c>
      <c r="H68">
        <f>('Weekly Rollforward'!H13+'Weekly Rollforward'!H18)*-1</f>
        <v>2819.761011010753</v>
      </c>
      <c r="I68">
        <f>('Weekly Rollforward'!I13+'Weekly Rollforward'!I18)*-1</f>
        <v>2892.5026806666669</v>
      </c>
      <c r="J68">
        <f>('Weekly Rollforward'!J13+'Weekly Rollforward'!J18)*-1</f>
        <v>2514.0443860000005</v>
      </c>
      <c r="K68">
        <f>('Weekly Rollforward'!K13+'Weekly Rollforward'!K18)*-1</f>
        <v>2378.8807093333335</v>
      </c>
      <c r="L68">
        <f>('Weekly Rollforward'!L13+'Weekly Rollforward'!L18)*-1</f>
        <v>2712.7385366666667</v>
      </c>
      <c r="M68">
        <f>('Weekly Rollforward'!M13+'Weekly Rollforward'!M18)*-1</f>
        <v>3120.9494400000003</v>
      </c>
      <c r="N68">
        <f>('Weekly Rollforward'!N13+'Weekly Rollforward'!N18)*-1</f>
        <v>3060.3484799999997</v>
      </c>
      <c r="O68">
        <f>('Weekly Rollforward'!O13+'Weekly Rollforward'!O18)*-1</f>
        <v>2999.7475200000003</v>
      </c>
      <c r="P68">
        <f>('Weekly Rollforward'!P13+'Weekly Rollforward'!P18)*-1</f>
        <v>3023.0673999999999</v>
      </c>
      <c r="Q68">
        <f>('Weekly Rollforward'!Q13+'Weekly Rollforward'!Q18)*-1</f>
        <v>3601.1952000000006</v>
      </c>
      <c r="R68">
        <f>('Weekly Rollforward'!R13+'Weekly Rollforward'!R18)*-1</f>
        <v>3641.9544000000005</v>
      </c>
      <c r="S68">
        <f>('Weekly Rollforward'!S13+'Weekly Rollforward'!S18)*-1</f>
        <v>3641.9544000000005</v>
      </c>
      <c r="T68">
        <f>('Weekly Rollforward'!T13+'Weekly Rollforward'!T18)*-1</f>
        <v>3641.9544000000005</v>
      </c>
      <c r="U68">
        <f>('Weekly Rollforward'!U13+'Weekly Rollforward'!U18)*-1</f>
        <v>3352.6029600000002</v>
      </c>
      <c r="V68">
        <f>('Weekly Rollforward'!V13+'Weekly Rollforward'!V18)*-1</f>
        <v>3305.3832000000011</v>
      </c>
      <c r="W68">
        <f>('Weekly Rollforward'!W13+'Weekly Rollforward'!W18)*-1</f>
        <v>3305.3832000000011</v>
      </c>
      <c r="X68">
        <f>('Weekly Rollforward'!X13+'Weekly Rollforward'!X18)*-1</f>
        <v>3305.3832000000011</v>
      </c>
      <c r="Y68">
        <f>('Weekly Rollforward'!Y13+'Weekly Rollforward'!Y18)*-1</f>
        <v>3281.7733200000007</v>
      </c>
      <c r="Z68">
        <f>('Weekly Rollforward'!Z13+'Weekly Rollforward'!Z18)*-1</f>
        <v>3004.3742400000001</v>
      </c>
      <c r="AA68">
        <f>('Weekly Rollforward'!AA13+'Weekly Rollforward'!AA18)*-1</f>
        <v>3004.3742400000001</v>
      </c>
      <c r="AB68">
        <f>('Weekly Rollforward'!AB13+'Weekly Rollforward'!AB18)*-1</f>
        <v>3004.3742400000001</v>
      </c>
      <c r="AC68">
        <f>('Weekly Rollforward'!AC13+'Weekly Rollforward'!AC18)*-1</f>
        <v>3004.3742400000001</v>
      </c>
      <c r="AD68" t="str">
        <f t="shared" ca="1" si="18"/>
        <v>=('Weekly Rollforward'!AC13+'Weekly Rollforward'!AC18)*-1</v>
      </c>
    </row>
    <row r="69" spans="1:30" ht="15" customHeight="1" x14ac:dyDescent="0.35">
      <c r="A69" s="40"/>
      <c r="B69" s="38" t="s">
        <v>84</v>
      </c>
      <c r="D69" s="36">
        <v>-2610.8870967741932</v>
      </c>
      <c r="E69" s="36">
        <v>-1566.5322580645161</v>
      </c>
      <c r="F69" s="36">
        <v>-2610.8870967741932</v>
      </c>
      <c r="G69" s="36">
        <v>-1566.5322580645161</v>
      </c>
      <c r="H69" s="36">
        <v>-3193.6946129032258</v>
      </c>
      <c r="I69" s="36">
        <v>-2098.6801499999997</v>
      </c>
      <c r="J69" s="36">
        <v>-3497.8002499999998</v>
      </c>
      <c r="K69" s="36">
        <v>-2098.6801499999997</v>
      </c>
      <c r="L69" s="36">
        <v>-3287.7290709677413</v>
      </c>
      <c r="M69" s="36">
        <v>-1815.5265032258062</v>
      </c>
      <c r="N69" s="36">
        <v>-3112.3311483870962</v>
      </c>
      <c r="O69" s="36">
        <v>-1815.5265032258062</v>
      </c>
      <c r="P69" s="36">
        <v>-3083.1311483870963</v>
      </c>
      <c r="Q69">
        <f>-Q72*Q67</f>
        <v>-2158.2531837522579</v>
      </c>
      <c r="R69">
        <f>-R72*R67</f>
        <v>-3761.3064948306578</v>
      </c>
      <c r="S69">
        <f t="shared" ref="S69:AC69" si="112">-S72*S67</f>
        <v>-2396.4993696073329</v>
      </c>
      <c r="T69">
        <f t="shared" si="112"/>
        <v>-4076.6153167880207</v>
      </c>
      <c r="U69">
        <f t="shared" si="112"/>
        <v>-2542.4423100561698</v>
      </c>
      <c r="V69">
        <f t="shared" si="112"/>
        <v>-4181.7552420716484</v>
      </c>
      <c r="W69">
        <f t="shared" si="112"/>
        <v>-2530.5242594731621</v>
      </c>
      <c r="X69">
        <f t="shared" si="112"/>
        <v>-4153.3315736391005</v>
      </c>
      <c r="Y69">
        <f t="shared" si="112"/>
        <v>-2517.3681615129553</v>
      </c>
      <c r="Z69">
        <f t="shared" si="112"/>
        <v>-4129.9394733965255</v>
      </c>
      <c r="AA69">
        <f t="shared" si="112"/>
        <v>-2452.3593480292484</v>
      </c>
      <c r="AB69">
        <f t="shared" si="112"/>
        <v>-3969.3453777973086</v>
      </c>
      <c r="AC69">
        <f t="shared" si="112"/>
        <v>-2378.0272237804684</v>
      </c>
      <c r="AD69" t="str">
        <f t="shared" ca="1" si="18"/>
        <v>=-AC72*AC67</v>
      </c>
    </row>
    <row r="70" spans="1:30" ht="15" customHeight="1" x14ac:dyDescent="0.35">
      <c r="A70" s="40"/>
      <c r="B70" s="38" t="s">
        <v>85</v>
      </c>
      <c r="C70" s="64">
        <v>9952</v>
      </c>
      <c r="D70">
        <f>SUM(D67:D69)</f>
        <v>9138.1370967741932</v>
      </c>
      <c r="E70">
        <f t="shared" ref="E70:O70" si="113">SUM(E67:E69)</f>
        <v>10211.677419354837</v>
      </c>
      <c r="F70">
        <f t="shared" si="113"/>
        <v>9996.8225806451592</v>
      </c>
      <c r="G70">
        <f t="shared" si="113"/>
        <v>10471.354838709674</v>
      </c>
      <c r="H70">
        <f t="shared" si="113"/>
        <v>10097.421236817201</v>
      </c>
      <c r="I70">
        <f t="shared" si="113"/>
        <v>10891.243767483867</v>
      </c>
      <c r="J70">
        <f t="shared" si="113"/>
        <v>9907.4879034838668</v>
      </c>
      <c r="K70">
        <f t="shared" si="113"/>
        <v>10187.688462817201</v>
      </c>
      <c r="L70">
        <f t="shared" si="113"/>
        <v>9612.6979285161269</v>
      </c>
      <c r="M70">
        <f t="shared" si="113"/>
        <v>10918.120865290321</v>
      </c>
      <c r="N70">
        <f t="shared" si="113"/>
        <v>10866.138196903223</v>
      </c>
      <c r="O70">
        <f t="shared" si="113"/>
        <v>12050.359213677417</v>
      </c>
      <c r="P70" s="58">
        <f>SUM(P67:P69)</f>
        <v>11990.295465290321</v>
      </c>
      <c r="Q70">
        <f>SUM(Q67:Q69)</f>
        <v>13433.237481538063</v>
      </c>
      <c r="R70">
        <f>SUM(R67:R69)</f>
        <v>13313.885386707405</v>
      </c>
      <c r="S70">
        <f t="shared" ref="S70:AC70" si="114">SUM(S67:S69)</f>
        <v>14559.340417100073</v>
      </c>
      <c r="T70">
        <f t="shared" si="114"/>
        <v>14124.679500312055</v>
      </c>
      <c r="U70">
        <f t="shared" si="114"/>
        <v>14934.840150255885</v>
      </c>
      <c r="V70">
        <f t="shared" si="114"/>
        <v>14058.468108184235</v>
      </c>
      <c r="W70">
        <f t="shared" si="114"/>
        <v>14833.327048711073</v>
      </c>
      <c r="X70">
        <f t="shared" si="114"/>
        <v>13985.378675071974</v>
      </c>
      <c r="Y70">
        <f t="shared" si="114"/>
        <v>14749.783833559019</v>
      </c>
      <c r="Z70">
        <f t="shared" si="114"/>
        <v>13624.218600162492</v>
      </c>
      <c r="AA70">
        <f t="shared" si="114"/>
        <v>14176.233492133244</v>
      </c>
      <c r="AB70">
        <f t="shared" si="114"/>
        <v>13211.262354335937</v>
      </c>
      <c r="AC70">
        <f t="shared" si="114"/>
        <v>13837.60937055547</v>
      </c>
      <c r="AD70" t="str">
        <f t="shared" ca="1" si="18"/>
        <v>=SUM(AC67:AC69)</v>
      </c>
    </row>
    <row r="71" spans="1:30" ht="15" customHeight="1" x14ac:dyDescent="0.35">
      <c r="A71" s="40"/>
      <c r="B71" s="38"/>
    </row>
    <row r="72" spans="1:30" ht="15" customHeight="1" x14ac:dyDescent="0.35">
      <c r="A72" s="40"/>
      <c r="B72" s="38" t="s">
        <v>86</v>
      </c>
      <c r="D72" s="43">
        <f>D69/D67*-1</f>
        <v>0.26234797998132969</v>
      </c>
      <c r="E72" s="43">
        <f t="shared" ref="E72:P72" si="115">E69/E67*-1</f>
        <v>0.17142796627744944</v>
      </c>
      <c r="F72" s="43">
        <f t="shared" si="115"/>
        <v>0.25567661311212336</v>
      </c>
      <c r="G72" s="43">
        <f t="shared" si="115"/>
        <v>0.15670301692634597</v>
      </c>
      <c r="H72" s="43">
        <f t="shared" si="115"/>
        <v>0.30499344756201258</v>
      </c>
      <c r="I72" s="43">
        <f t="shared" si="115"/>
        <v>0.20784318102406141</v>
      </c>
      <c r="J72" s="43">
        <f t="shared" si="115"/>
        <v>0.32115709873676562</v>
      </c>
      <c r="K72" s="43">
        <f t="shared" si="115"/>
        <v>0.21182767725227505</v>
      </c>
      <c r="L72" s="43">
        <f t="shared" si="115"/>
        <v>0.32271590194058464</v>
      </c>
      <c r="M72" s="43">
        <f t="shared" si="115"/>
        <v>0.18886752883808361</v>
      </c>
      <c r="N72" s="43">
        <f t="shared" si="115"/>
        <v>0.28506106378447177</v>
      </c>
      <c r="O72" s="43">
        <f t="shared" si="115"/>
        <v>0.16708111661447664</v>
      </c>
      <c r="P72" s="43">
        <f t="shared" si="115"/>
        <v>0.25585387901861684</v>
      </c>
      <c r="Q72" s="44">
        <v>0.18</v>
      </c>
      <c r="R72" s="44">
        <v>0.28000000000000003</v>
      </c>
      <c r="S72" s="44">
        <v>0.18</v>
      </c>
      <c r="T72" s="44">
        <v>0.28000000000000003</v>
      </c>
      <c r="U72" s="44">
        <v>0.18</v>
      </c>
      <c r="V72" s="44">
        <v>0.28000000000000003</v>
      </c>
      <c r="W72" s="44">
        <v>0.18</v>
      </c>
      <c r="X72" s="44">
        <v>0.28000000000000003</v>
      </c>
      <c r="Y72" s="44">
        <v>0.18</v>
      </c>
      <c r="Z72" s="44">
        <v>0.28000000000000003</v>
      </c>
      <c r="AA72" s="44">
        <v>0.18</v>
      </c>
      <c r="AB72" s="44">
        <v>0.28000000000000003</v>
      </c>
      <c r="AC72" s="44">
        <v>0.18</v>
      </c>
    </row>
    <row r="73" spans="1:30" ht="15" customHeight="1" x14ac:dyDescent="0.35">
      <c r="A73" s="40"/>
      <c r="B73" s="38"/>
    </row>
    <row r="74" spans="1:30" ht="15" customHeight="1" x14ac:dyDescent="0.35">
      <c r="A74" s="40" t="s">
        <v>87</v>
      </c>
    </row>
    <row r="75" spans="1:30" ht="15" customHeight="1" x14ac:dyDescent="0.35">
      <c r="A75" s="40"/>
      <c r="B75" s="38" t="s">
        <v>62</v>
      </c>
      <c r="D75">
        <f>C78</f>
        <v>23332</v>
      </c>
      <c r="E75">
        <f t="shared" ref="E75:G75" si="116">D78</f>
        <v>23673.193548387098</v>
      </c>
      <c r="F75">
        <f t="shared" si="116"/>
        <v>24014.387096774197</v>
      </c>
      <c r="G75">
        <f t="shared" si="116"/>
        <v>24355.580645161295</v>
      </c>
      <c r="H75">
        <f t="shared" ref="H75:P75" si="117">G78</f>
        <v>24601.935483870973</v>
      </c>
      <c r="I75">
        <f t="shared" si="117"/>
        <v>25252.400613127913</v>
      </c>
      <c r="J75">
        <f t="shared" si="117"/>
        <v>25957.060513127912</v>
      </c>
      <c r="K75">
        <f t="shared" si="117"/>
        <v>26661.72041312791</v>
      </c>
      <c r="L75">
        <f t="shared" si="117"/>
        <v>27366.380313127909</v>
      </c>
      <c r="M75">
        <f t="shared" si="117"/>
        <v>27268.608938934358</v>
      </c>
      <c r="N75">
        <f t="shared" si="117"/>
        <v>27914.355906676294</v>
      </c>
      <c r="O75">
        <f t="shared" si="117"/>
        <v>28652.202874418228</v>
      </c>
      <c r="P75">
        <f t="shared" si="117"/>
        <v>29390.049842160162</v>
      </c>
      <c r="Q75">
        <f>P78</f>
        <v>28866.317971192417</v>
      </c>
      <c r="R75">
        <f t="shared" ref="R75:AC75" si="118">Q78</f>
        <v>29693.619571192416</v>
      </c>
      <c r="S75">
        <f t="shared" si="118"/>
        <v>30530.284771192415</v>
      </c>
      <c r="T75">
        <f t="shared" si="118"/>
        <v>31366.949971192415</v>
      </c>
      <c r="U75">
        <f t="shared" si="118"/>
        <v>32203.615171192414</v>
      </c>
      <c r="V75">
        <f t="shared" si="118"/>
        <v>31073.166371192412</v>
      </c>
      <c r="W75">
        <f t="shared" si="118"/>
        <v>31930.470371192412</v>
      </c>
      <c r="X75">
        <f t="shared" si="118"/>
        <v>32787.774371192412</v>
      </c>
      <c r="Y75">
        <f t="shared" si="118"/>
        <v>33645.078371192416</v>
      </c>
      <c r="Z75">
        <f t="shared" si="118"/>
        <v>31496.258771192413</v>
      </c>
      <c r="AA75">
        <f t="shared" si="118"/>
        <v>32265.450971192415</v>
      </c>
      <c r="AB75">
        <f t="shared" si="118"/>
        <v>33034.643171192416</v>
      </c>
      <c r="AC75">
        <f t="shared" si="118"/>
        <v>33803.835371192414</v>
      </c>
      <c r="AD75" t="str">
        <f t="shared" ref="AD75:AD109" ca="1" si="119">_xlfn.FORMULATEXT(AC75)</f>
        <v>=AB78</v>
      </c>
    </row>
    <row r="76" spans="1:30" ht="15" customHeight="1" x14ac:dyDescent="0.35">
      <c r="A76" s="40"/>
      <c r="B76" s="38" t="s">
        <v>88</v>
      </c>
      <c r="D76">
        <f>'Weekly Rollforward'!D19*-1</f>
        <v>341.19354838709677</v>
      </c>
      <c r="E76">
        <f>'Weekly Rollforward'!E19*-1</f>
        <v>341.19354838709677</v>
      </c>
      <c r="F76">
        <f>'Weekly Rollforward'!F19*-1</f>
        <v>341.19354838709677</v>
      </c>
      <c r="G76">
        <f>'Weekly Rollforward'!G19*-1</f>
        <v>341.19354838709677</v>
      </c>
      <c r="H76">
        <f>'Weekly Rollforward'!H19*-1</f>
        <v>650.46512925694014</v>
      </c>
      <c r="I76">
        <f>'Weekly Rollforward'!I19*-1</f>
        <v>704.65989999999999</v>
      </c>
      <c r="J76">
        <f>'Weekly Rollforward'!J19*-1</f>
        <v>704.65989999999999</v>
      </c>
      <c r="K76">
        <f>'Weekly Rollforward'!K19*-1</f>
        <v>704.65989999999999</v>
      </c>
      <c r="L76">
        <f>'Weekly Rollforward'!L19*-1</f>
        <v>704.65989999999999</v>
      </c>
      <c r="M76">
        <f>'Weekly Rollforward'!M19*-1</f>
        <v>645.74696774193501</v>
      </c>
      <c r="N76">
        <f>'Weekly Rollforward'!N19*-1</f>
        <v>737.84696774193526</v>
      </c>
      <c r="O76">
        <f>'Weekly Rollforward'!O19*-1</f>
        <v>737.84696774193526</v>
      </c>
      <c r="P76">
        <f>'Weekly Rollforward'!P19*-1</f>
        <v>737.84696774193526</v>
      </c>
      <c r="Q76">
        <f>-'Weekly Rollforward'!Q19</f>
        <v>827.30160000000012</v>
      </c>
      <c r="R76">
        <f>-'Weekly Rollforward'!R19</f>
        <v>836.66520000000014</v>
      </c>
      <c r="S76">
        <f>-'Weekly Rollforward'!S19</f>
        <v>836.66520000000014</v>
      </c>
      <c r="T76">
        <f>-'Weekly Rollforward'!T19</f>
        <v>836.66520000000014</v>
      </c>
      <c r="U76">
        <f>-'Weekly Rollforward'!U19</f>
        <v>869.55119999999999</v>
      </c>
      <c r="V76">
        <f>-'Weekly Rollforward'!V19</f>
        <v>857.3040000000002</v>
      </c>
      <c r="W76">
        <f>-'Weekly Rollforward'!W19</f>
        <v>857.3040000000002</v>
      </c>
      <c r="X76">
        <f>-'Weekly Rollforward'!X19</f>
        <v>857.3040000000002</v>
      </c>
      <c r="Y76">
        <f>-'Weekly Rollforward'!Y19</f>
        <v>851.18040000000008</v>
      </c>
      <c r="Z76">
        <f>-'Weekly Rollforward'!Z19</f>
        <v>769.19220000000007</v>
      </c>
      <c r="AA76">
        <f>-'Weekly Rollforward'!AA19</f>
        <v>769.19220000000007</v>
      </c>
      <c r="AB76">
        <f>-'Weekly Rollforward'!AB19</f>
        <v>769.19220000000007</v>
      </c>
      <c r="AC76">
        <f>-'Weekly Rollforward'!AC19</f>
        <v>769.19220000000007</v>
      </c>
      <c r="AD76" t="str">
        <f t="shared" ca="1" si="119"/>
        <v>=-'Weekly Rollforward'!AC19</v>
      </c>
    </row>
    <row r="77" spans="1:30" ht="15" customHeight="1" x14ac:dyDescent="0.35">
      <c r="A77" s="40"/>
      <c r="B77" s="38" t="s">
        <v>89</v>
      </c>
      <c r="C77" s="61" t="s">
        <v>90</v>
      </c>
      <c r="D77" s="36">
        <v>0</v>
      </c>
      <c r="E77" s="36">
        <v>0</v>
      </c>
      <c r="F77" s="36">
        <v>0</v>
      </c>
      <c r="G77" s="36">
        <v>-94.838709677419359</v>
      </c>
      <c r="H77" s="36">
        <v>0</v>
      </c>
      <c r="I77" s="36">
        <v>0</v>
      </c>
      <c r="J77" s="36">
        <v>0</v>
      </c>
      <c r="K77" s="36">
        <v>0</v>
      </c>
      <c r="L77" s="36">
        <v>-802.43127419354869</v>
      </c>
      <c r="M77" s="36">
        <v>0</v>
      </c>
      <c r="N77" s="36">
        <v>0</v>
      </c>
      <c r="O77" s="36">
        <v>0</v>
      </c>
      <c r="P77" s="36">
        <v>-1261.5788387096802</v>
      </c>
      <c r="Q77" s="36">
        <v>0</v>
      </c>
      <c r="R77" s="36">
        <v>0</v>
      </c>
      <c r="S77" s="36">
        <v>0</v>
      </c>
      <c r="T77" s="36">
        <v>0</v>
      </c>
      <c r="U77" s="36">
        <v>-2000</v>
      </c>
      <c r="V77" s="36">
        <v>0</v>
      </c>
      <c r="W77" s="36">
        <v>0</v>
      </c>
      <c r="X77" s="36">
        <v>0</v>
      </c>
      <c r="Y77" s="36">
        <v>-3000</v>
      </c>
      <c r="Z77" s="36">
        <v>0</v>
      </c>
      <c r="AA77" s="36">
        <v>0</v>
      </c>
      <c r="AB77" s="36">
        <v>0</v>
      </c>
      <c r="AC77" s="36">
        <v>-2000</v>
      </c>
    </row>
    <row r="78" spans="1:30" ht="15" customHeight="1" x14ac:dyDescent="0.35">
      <c r="A78" s="40"/>
      <c r="B78" s="38" t="s">
        <v>91</v>
      </c>
      <c r="C78" s="64">
        <v>23332</v>
      </c>
      <c r="D78">
        <f>SUM(D75:D77)</f>
        <v>23673.193548387098</v>
      </c>
      <c r="E78">
        <f t="shared" ref="E78:G78" si="120">SUM(E75:E77)</f>
        <v>24014.387096774197</v>
      </c>
      <c r="F78">
        <f t="shared" si="120"/>
        <v>24355.580645161295</v>
      </c>
      <c r="G78">
        <f t="shared" si="120"/>
        <v>24601.935483870973</v>
      </c>
      <c r="H78">
        <f t="shared" ref="H78" si="121">SUM(H75:H77)</f>
        <v>25252.400613127913</v>
      </c>
      <c r="I78">
        <f t="shared" ref="I78" si="122">SUM(I75:I77)</f>
        <v>25957.060513127912</v>
      </c>
      <c r="J78">
        <f t="shared" ref="J78" si="123">SUM(J75:J77)</f>
        <v>26661.72041312791</v>
      </c>
      <c r="K78">
        <f t="shared" ref="K78" si="124">SUM(K75:K77)</f>
        <v>27366.380313127909</v>
      </c>
      <c r="L78">
        <f t="shared" ref="L78" si="125">SUM(L75:L77)</f>
        <v>27268.608938934358</v>
      </c>
      <c r="M78">
        <f t="shared" ref="M78" si="126">SUM(M75:M77)</f>
        <v>27914.355906676294</v>
      </c>
      <c r="N78">
        <f t="shared" ref="N78" si="127">SUM(N75:N77)</f>
        <v>28652.202874418228</v>
      </c>
      <c r="O78">
        <f t="shared" ref="O78" si="128">SUM(O75:O77)</f>
        <v>29390.049842160162</v>
      </c>
      <c r="P78" s="58">
        <f>SUM(P75:P77)</f>
        <v>28866.317971192417</v>
      </c>
      <c r="Q78">
        <f>SUM(Q75:Q77)</f>
        <v>29693.619571192416</v>
      </c>
      <c r="R78">
        <f t="shared" ref="R78:AC78" si="129">SUM(R75:R77)</f>
        <v>30530.284771192415</v>
      </c>
      <c r="S78">
        <f t="shared" si="129"/>
        <v>31366.949971192415</v>
      </c>
      <c r="T78">
        <f t="shared" si="129"/>
        <v>32203.615171192414</v>
      </c>
      <c r="U78">
        <f t="shared" si="129"/>
        <v>31073.166371192412</v>
      </c>
      <c r="V78">
        <f t="shared" si="129"/>
        <v>31930.470371192412</v>
      </c>
      <c r="W78">
        <f t="shared" si="129"/>
        <v>32787.774371192412</v>
      </c>
      <c r="X78">
        <f t="shared" si="129"/>
        <v>33645.078371192416</v>
      </c>
      <c r="Y78">
        <f t="shared" si="129"/>
        <v>31496.258771192413</v>
      </c>
      <c r="Z78">
        <f t="shared" si="129"/>
        <v>32265.450971192415</v>
      </c>
      <c r="AA78">
        <f t="shared" si="129"/>
        <v>33034.643171192416</v>
      </c>
      <c r="AB78">
        <f t="shared" si="129"/>
        <v>33803.835371192414</v>
      </c>
      <c r="AC78">
        <f t="shared" si="129"/>
        <v>32573.027571192411</v>
      </c>
      <c r="AD78" t="str">
        <f t="shared" ca="1" si="119"/>
        <v>=SUM(AC75:AC77)</v>
      </c>
    </row>
    <row r="79" spans="1:30" ht="15" customHeight="1" x14ac:dyDescent="0.35">
      <c r="A79" s="40"/>
      <c r="B79" s="38"/>
    </row>
    <row r="81" spans="1:30" ht="15" customHeight="1" x14ac:dyDescent="0.35">
      <c r="A81" s="6" t="s">
        <v>92</v>
      </c>
    </row>
    <row r="82" spans="1:30" ht="15" customHeight="1" x14ac:dyDescent="0.35">
      <c r="B82" t="s">
        <v>93</v>
      </c>
      <c r="D82">
        <f>C85</f>
        <v>89139</v>
      </c>
      <c r="E82">
        <f t="shared" ref="E82:P82" si="130">D85</f>
        <v>88922.677419354834</v>
      </c>
      <c r="F82">
        <f t="shared" si="130"/>
        <v>88706.354838709667</v>
      </c>
      <c r="G82">
        <f t="shared" si="130"/>
        <v>88490.032258064501</v>
      </c>
      <c r="H82">
        <f t="shared" si="130"/>
        <v>88273.709677419334</v>
      </c>
      <c r="I82">
        <f t="shared" si="130"/>
        <v>87847.280645161271</v>
      </c>
      <c r="J82">
        <f t="shared" si="130"/>
        <v>87307.313978494596</v>
      </c>
      <c r="K82">
        <f t="shared" si="130"/>
        <v>86797.013978494593</v>
      </c>
      <c r="L82">
        <f t="shared" si="130"/>
        <v>86286.71397849459</v>
      </c>
      <c r="M82">
        <f t="shared" si="130"/>
        <v>85928.201290322555</v>
      </c>
      <c r="N82">
        <f t="shared" si="130"/>
        <v>85697.973548387075</v>
      </c>
      <c r="O82">
        <f t="shared" si="130"/>
        <v>85467.745806451596</v>
      </c>
      <c r="P82">
        <f t="shared" si="130"/>
        <v>85237.518064516116</v>
      </c>
      <c r="Q82">
        <f>P85</f>
        <v>85007.290322580637</v>
      </c>
      <c r="R82">
        <f t="shared" ref="R82:T82" si="131">Q85</f>
        <v>84784.758765161285</v>
      </c>
      <c r="S82">
        <f t="shared" si="131"/>
        <v>84563.509905161292</v>
      </c>
      <c r="T82">
        <f t="shared" si="131"/>
        <v>84342.2610451613</v>
      </c>
      <c r="U82">
        <f t="shared" ref="U82:X82" si="132">T85</f>
        <v>84121.012185161308</v>
      </c>
      <c r="V82">
        <f t="shared" si="132"/>
        <v>83912.406117161299</v>
      </c>
      <c r="W82">
        <f t="shared" si="132"/>
        <v>83713.282143161297</v>
      </c>
      <c r="X82">
        <f t="shared" si="132"/>
        <v>83514.158169161296</v>
      </c>
      <c r="Y82">
        <f t="shared" ref="Y82:AC82" si="133">X85</f>
        <v>83315.034195161294</v>
      </c>
      <c r="Z82">
        <f t="shared" si="133"/>
        <v>83117.901460901296</v>
      </c>
      <c r="AA82">
        <f t="shared" si="133"/>
        <v>82932.716165081292</v>
      </c>
      <c r="AB82">
        <f t="shared" si="133"/>
        <v>82747.530869261289</v>
      </c>
      <c r="AC82">
        <f t="shared" si="133"/>
        <v>82562.345573441286</v>
      </c>
      <c r="AD82" t="str">
        <f t="shared" ca="1" si="119"/>
        <v>=AB85</v>
      </c>
    </row>
    <row r="83" spans="1:30" ht="15" customHeight="1" x14ac:dyDescent="0.35">
      <c r="B83" t="s">
        <v>94</v>
      </c>
      <c r="D83" s="36">
        <v>1129.0322580645161</v>
      </c>
      <c r="E83" s="36">
        <v>1129.0322580645161</v>
      </c>
      <c r="F83" s="36">
        <v>1129.0322580645161</v>
      </c>
      <c r="G83" s="36">
        <v>1129.0322580645161</v>
      </c>
      <c r="H83" s="64">
        <v>1017.2043010752689</v>
      </c>
      <c r="I83" s="64">
        <v>933.33333333333337</v>
      </c>
      <c r="J83" s="64">
        <v>933.33333333333337</v>
      </c>
      <c r="K83" s="64">
        <v>933.33333333333337</v>
      </c>
      <c r="L83" s="64">
        <v>989.24731182795699</v>
      </c>
      <c r="M83" s="64">
        <v>1129.0322580645161</v>
      </c>
      <c r="N83" s="64">
        <v>1129.0322580645161</v>
      </c>
      <c r="O83" s="64">
        <v>1129.0322580645161</v>
      </c>
      <c r="P83" s="64">
        <v>1129.0322580645161</v>
      </c>
      <c r="Q83" s="64">
        <v>1161.2903225806451</v>
      </c>
      <c r="R83" s="64">
        <v>1166.6666666666665</v>
      </c>
      <c r="S83" s="64">
        <v>1166.6666666666665</v>
      </c>
      <c r="T83" s="64">
        <v>1166.6666666666665</v>
      </c>
      <c r="U83" s="64">
        <v>1145.1612903225805</v>
      </c>
      <c r="V83" s="64">
        <v>1129.0322580645161</v>
      </c>
      <c r="W83" s="64">
        <v>1129.0322580645161</v>
      </c>
      <c r="X83" s="64">
        <v>1129.0322580645161</v>
      </c>
      <c r="Y83" s="64">
        <v>1129.0322580645161</v>
      </c>
      <c r="Z83" s="64">
        <v>1129.0322580645161</v>
      </c>
      <c r="AA83" s="64">
        <v>1129.0322580645161</v>
      </c>
      <c r="AB83" s="64">
        <v>1129.0322580645161</v>
      </c>
      <c r="AC83" s="64">
        <v>1129.0322580645161</v>
      </c>
    </row>
    <row r="84" spans="1:30" ht="15" customHeight="1" x14ac:dyDescent="0.35">
      <c r="B84" t="s">
        <v>95</v>
      </c>
      <c r="D84">
        <f>'Weekly Rollforward'!D15</f>
        <v>-1345.3548387096773</v>
      </c>
      <c r="E84">
        <f>'Weekly Rollforward'!E15</f>
        <v>-1345.3548387096773</v>
      </c>
      <c r="F84">
        <f>'Weekly Rollforward'!F15</f>
        <v>-1345.3548387096773</v>
      </c>
      <c r="G84">
        <f>'Weekly Rollforward'!G15</f>
        <v>-1345.3548387096773</v>
      </c>
      <c r="H84">
        <f>'Weekly Rollforward'!H15</f>
        <v>-1443.6333333333332</v>
      </c>
      <c r="I84">
        <f>'Weekly Rollforward'!I15</f>
        <v>-1473.3</v>
      </c>
      <c r="J84">
        <f>'Weekly Rollforward'!J15</f>
        <v>-1443.6333333333332</v>
      </c>
      <c r="K84">
        <f>'Weekly Rollforward'!K15</f>
        <v>-1443.6333333333332</v>
      </c>
      <c r="L84">
        <f>'Weekly Rollforward'!L15</f>
        <v>-1347.76</v>
      </c>
      <c r="M84">
        <f>'Weekly Rollforward'!M15</f>
        <v>-1359.2600000000002</v>
      </c>
      <c r="N84">
        <f>'Weekly Rollforward'!N15</f>
        <v>-1359.2600000000002</v>
      </c>
      <c r="O84">
        <f>'Weekly Rollforward'!O15</f>
        <v>-1359.2600000000002</v>
      </c>
      <c r="P84">
        <f>'Weekly Rollforward'!P15</f>
        <v>-1359.2600000000002</v>
      </c>
      <c r="Q84">
        <f>'Weekly Rollforward'!Q15</f>
        <v>-1383.8218800000002</v>
      </c>
      <c r="R84">
        <f>'Weekly Rollforward'!R15</f>
        <v>-1387.9155266666667</v>
      </c>
      <c r="S84">
        <f>'Weekly Rollforward'!S15</f>
        <v>-1387.9155266666667</v>
      </c>
      <c r="T84">
        <f>'Weekly Rollforward'!T15</f>
        <v>-1387.9155266666667</v>
      </c>
      <c r="U84">
        <f>'Weekly Rollforward'!U15</f>
        <v>-1353.7673583225805</v>
      </c>
      <c r="V84">
        <f>'Weekly Rollforward'!V15</f>
        <v>-1328.156232064516</v>
      </c>
      <c r="W84">
        <f>'Weekly Rollforward'!W15</f>
        <v>-1328.156232064516</v>
      </c>
      <c r="X84">
        <f>'Weekly Rollforward'!X15</f>
        <v>-1328.156232064516</v>
      </c>
      <c r="Y84">
        <f>'Weekly Rollforward'!Y15</f>
        <v>-1326.1649923245161</v>
      </c>
      <c r="Z84">
        <f>'Weekly Rollforward'!Z15</f>
        <v>-1314.2175538845161</v>
      </c>
      <c r="AA84">
        <f>'Weekly Rollforward'!AA15</f>
        <v>-1314.2175538845161</v>
      </c>
      <c r="AB84">
        <f>'Weekly Rollforward'!AB15</f>
        <v>-1314.2175538845161</v>
      </c>
      <c r="AC84">
        <f>'Weekly Rollforward'!AC15</f>
        <v>-1314.2175538845161</v>
      </c>
      <c r="AD84" t="str">
        <f t="shared" ca="1" si="119"/>
        <v>='Weekly Rollforward'!AC15</v>
      </c>
    </row>
    <row r="85" spans="1:30" ht="15" customHeight="1" x14ac:dyDescent="0.35">
      <c r="B85" t="s">
        <v>96</v>
      </c>
      <c r="C85" s="64">
        <v>89139</v>
      </c>
      <c r="D85">
        <f>SUM(D82:D84)</f>
        <v>88922.677419354834</v>
      </c>
      <c r="E85">
        <f t="shared" ref="E85:O85" si="134">SUM(E82:E84)</f>
        <v>88706.354838709667</v>
      </c>
      <c r="F85">
        <f t="shared" si="134"/>
        <v>88490.032258064501</v>
      </c>
      <c r="G85">
        <f t="shared" si="134"/>
        <v>88273.709677419334</v>
      </c>
      <c r="H85">
        <f t="shared" si="134"/>
        <v>87847.280645161271</v>
      </c>
      <c r="I85">
        <f t="shared" si="134"/>
        <v>87307.313978494596</v>
      </c>
      <c r="J85">
        <f t="shared" si="134"/>
        <v>86797.013978494593</v>
      </c>
      <c r="K85">
        <f t="shared" si="134"/>
        <v>86286.71397849459</v>
      </c>
      <c r="L85">
        <f t="shared" si="134"/>
        <v>85928.201290322555</v>
      </c>
      <c r="M85">
        <f t="shared" si="134"/>
        <v>85697.973548387075</v>
      </c>
      <c r="N85">
        <f t="shared" si="134"/>
        <v>85467.745806451596</v>
      </c>
      <c r="O85">
        <f t="shared" si="134"/>
        <v>85237.518064516116</v>
      </c>
      <c r="P85" s="58">
        <f>SUM(P82:P84)</f>
        <v>85007.290322580637</v>
      </c>
      <c r="Q85">
        <f>SUM(Q82:Q84)</f>
        <v>84784.758765161285</v>
      </c>
      <c r="R85">
        <f t="shared" ref="R85:U85" si="135">SUM(R82:R84)</f>
        <v>84563.509905161292</v>
      </c>
      <c r="S85">
        <f t="shared" si="135"/>
        <v>84342.2610451613</v>
      </c>
      <c r="T85">
        <f t="shared" si="135"/>
        <v>84121.012185161308</v>
      </c>
      <c r="U85">
        <f t="shared" si="135"/>
        <v>83912.406117161299</v>
      </c>
      <c r="V85">
        <f t="shared" ref="V85" si="136">SUM(V82:V84)</f>
        <v>83713.282143161297</v>
      </c>
      <c r="W85">
        <f t="shared" ref="W85" si="137">SUM(W82:W84)</f>
        <v>83514.158169161296</v>
      </c>
      <c r="X85">
        <f t="shared" ref="X85:Y85" si="138">SUM(X82:X84)</f>
        <v>83315.034195161294</v>
      </c>
      <c r="Y85">
        <f t="shared" si="138"/>
        <v>83117.901460901296</v>
      </c>
      <c r="Z85">
        <f t="shared" ref="Z85" si="139">SUM(Z82:Z84)</f>
        <v>82932.716165081292</v>
      </c>
      <c r="AA85">
        <f t="shared" ref="AA85" si="140">SUM(AA82:AA84)</f>
        <v>82747.530869261289</v>
      </c>
      <c r="AB85">
        <f t="shared" ref="AB85" si="141">SUM(AB82:AB84)</f>
        <v>82562.345573441286</v>
      </c>
      <c r="AC85">
        <f t="shared" ref="AC85" si="142">SUM(AC82:AC84)</f>
        <v>82377.160277621282</v>
      </c>
      <c r="AD85" t="str">
        <f t="shared" ca="1" si="119"/>
        <v>=SUM(AC82:AC84)</v>
      </c>
    </row>
    <row r="88" spans="1:30" ht="15" customHeight="1" x14ac:dyDescent="0.35">
      <c r="B88" s="63" t="s">
        <v>97</v>
      </c>
    </row>
    <row r="89" spans="1:30" ht="15" customHeight="1" x14ac:dyDescent="0.35">
      <c r="A89" s="6" t="s">
        <v>61</v>
      </c>
    </row>
    <row r="90" spans="1:30" ht="15" customHeight="1" x14ac:dyDescent="0.35">
      <c r="B90" t="s">
        <v>98</v>
      </c>
      <c r="D90" s="33">
        <v>53480</v>
      </c>
      <c r="E90">
        <f t="shared" ref="E90:AC90" si="143">D95</f>
        <v>54860.36677419355</v>
      </c>
      <c r="F90">
        <f t="shared" si="143"/>
        <v>58607.387096774197</v>
      </c>
      <c r="G90">
        <f t="shared" si="143"/>
        <v>61214.876129032258</v>
      </c>
      <c r="H90">
        <f t="shared" si="143"/>
        <v>61478.974193548391</v>
      </c>
      <c r="I90">
        <f t="shared" si="143"/>
        <v>63820.682752688175</v>
      </c>
      <c r="J90">
        <f t="shared" si="143"/>
        <v>64919.610419354845</v>
      </c>
      <c r="K90">
        <f t="shared" si="143"/>
        <v>64514.779419354847</v>
      </c>
      <c r="L90">
        <f t="shared" si="143"/>
        <v>64766.886752688173</v>
      </c>
      <c r="M90">
        <f t="shared" si="143"/>
        <v>65858.60761290323</v>
      </c>
      <c r="N90">
        <f t="shared" si="143"/>
        <v>66350.21196774194</v>
      </c>
      <c r="O90">
        <f t="shared" si="143"/>
        <v>67277.996483870971</v>
      </c>
      <c r="P90">
        <f t="shared" si="143"/>
        <v>67859.642290322576</v>
      </c>
      <c r="Q90">
        <f t="shared" si="143"/>
        <v>68840.505516129037</v>
      </c>
      <c r="R90">
        <f t="shared" si="143"/>
        <v>73692.411428571431</v>
      </c>
      <c r="S90">
        <f t="shared" si="143"/>
        <v>74526.48000000001</v>
      </c>
      <c r="T90">
        <f t="shared" si="143"/>
        <v>80151.12000000001</v>
      </c>
      <c r="U90">
        <f t="shared" si="143"/>
        <v>84369.600000000006</v>
      </c>
      <c r="V90">
        <f t="shared" si="143"/>
        <v>82814.400000000009</v>
      </c>
      <c r="W90">
        <f t="shared" si="143"/>
        <v>81648.000000000015</v>
      </c>
      <c r="X90">
        <f t="shared" si="143"/>
        <v>81648.000000000015</v>
      </c>
      <c r="Y90">
        <f t="shared" si="143"/>
        <v>81648.000000000015</v>
      </c>
      <c r="Z90">
        <f t="shared" si="143"/>
        <v>87820.200000000026</v>
      </c>
      <c r="AA90">
        <f t="shared" si="143"/>
        <v>84029.4</v>
      </c>
      <c r="AB90">
        <f t="shared" si="143"/>
        <v>84029.4</v>
      </c>
      <c r="AC90">
        <f t="shared" si="143"/>
        <v>84029.4</v>
      </c>
      <c r="AD90" t="str">
        <f t="shared" ca="1" si="119"/>
        <v>=AB95</v>
      </c>
    </row>
    <row r="91" spans="1:30" ht="15" customHeight="1" x14ac:dyDescent="0.35">
      <c r="B91" t="s">
        <v>99</v>
      </c>
      <c r="D91" s="33">
        <v>-20001.52</v>
      </c>
      <c r="E91" s="33">
        <v>-20517.777173548388</v>
      </c>
      <c r="F91" s="33">
        <v>-21919.162774193548</v>
      </c>
      <c r="G91" s="33">
        <v>-22894.363672258063</v>
      </c>
      <c r="H91" s="33">
        <v>-23484.968141935486</v>
      </c>
      <c r="I91" s="33">
        <v>-24379.500811526883</v>
      </c>
      <c r="J91" s="33">
        <v>-24799.291180193552</v>
      </c>
      <c r="K91" s="33">
        <v>-24644.645738193551</v>
      </c>
      <c r="L91" s="33">
        <v>-20142.501780086022</v>
      </c>
      <c r="M91" s="33">
        <v>-20482.026967612903</v>
      </c>
      <c r="N91" s="33">
        <v>-20634.915921967742</v>
      </c>
      <c r="O91" s="33">
        <v>-20923.456906483872</v>
      </c>
      <c r="P91" s="33">
        <v>-21104.34875229032</v>
      </c>
      <c r="Q91" s="51">
        <f t="shared" ref="Q91:AC91" si="144">Q97*Q90*-1</f>
        <v>-24094.176930645161</v>
      </c>
      <c r="R91" s="51">
        <f t="shared" si="144"/>
        <v>-25792.344000000001</v>
      </c>
      <c r="S91" s="51">
        <f t="shared" si="144"/>
        <v>-26084.268000000004</v>
      </c>
      <c r="T91" s="51">
        <f t="shared" si="144"/>
        <v>-28052.892000000003</v>
      </c>
      <c r="U91" s="51">
        <f t="shared" si="144"/>
        <v>-29529.360000000001</v>
      </c>
      <c r="V91" s="51">
        <f t="shared" si="144"/>
        <v>-28985.040000000001</v>
      </c>
      <c r="W91" s="51">
        <f t="shared" si="144"/>
        <v>-28576.800000000003</v>
      </c>
      <c r="X91" s="51">
        <f t="shared" si="144"/>
        <v>-28576.800000000003</v>
      </c>
      <c r="Y91" s="51">
        <f t="shared" si="144"/>
        <v>-28576.800000000003</v>
      </c>
      <c r="Z91" s="51">
        <f t="shared" si="144"/>
        <v>-30737.070000000007</v>
      </c>
      <c r="AA91" s="51">
        <f t="shared" si="144"/>
        <v>-29410.289999999997</v>
      </c>
      <c r="AB91" s="51">
        <f t="shared" si="144"/>
        <v>-29410.289999999997</v>
      </c>
      <c r="AC91" s="51">
        <f t="shared" si="144"/>
        <v>-29410.289999999997</v>
      </c>
      <c r="AD91" t="str">
        <f t="shared" ca="1" si="119"/>
        <v>=AC97*AC90*-1</v>
      </c>
    </row>
    <row r="92" spans="1:30" ht="15" customHeight="1" x14ac:dyDescent="0.35">
      <c r="B92" t="s">
        <v>100</v>
      </c>
      <c r="D92">
        <f t="shared" ref="D92:AC92" si="145">SUM(D90:D91)</f>
        <v>33478.479999999996</v>
      </c>
      <c r="E92">
        <f t="shared" si="145"/>
        <v>34342.589600645166</v>
      </c>
      <c r="F92">
        <f t="shared" si="145"/>
        <v>36688.224322580645</v>
      </c>
      <c r="G92">
        <f t="shared" si="145"/>
        <v>38320.512456774195</v>
      </c>
      <c r="H92">
        <f t="shared" si="145"/>
        <v>37994.006051612902</v>
      </c>
      <c r="I92">
        <f t="shared" si="145"/>
        <v>39441.181941161296</v>
      </c>
      <c r="J92">
        <f t="shared" si="145"/>
        <v>40120.319239161297</v>
      </c>
      <c r="K92">
        <f t="shared" si="145"/>
        <v>39870.1336811613</v>
      </c>
      <c r="L92">
        <f t="shared" si="145"/>
        <v>44624.384972602151</v>
      </c>
      <c r="M92">
        <f t="shared" si="145"/>
        <v>45376.580645290327</v>
      </c>
      <c r="N92">
        <f t="shared" si="145"/>
        <v>45715.296045774201</v>
      </c>
      <c r="O92">
        <f t="shared" si="145"/>
        <v>46354.539577387099</v>
      </c>
      <c r="P92">
        <f t="shared" si="145"/>
        <v>46755.29353803226</v>
      </c>
      <c r="Q92">
        <f t="shared" si="145"/>
        <v>44746.328585483876</v>
      </c>
      <c r="R92">
        <f t="shared" si="145"/>
        <v>47900.067428571434</v>
      </c>
      <c r="S92">
        <f t="shared" si="145"/>
        <v>48442.212000000007</v>
      </c>
      <c r="T92">
        <f t="shared" si="145"/>
        <v>52098.228000000003</v>
      </c>
      <c r="U92">
        <f t="shared" si="145"/>
        <v>54840.240000000005</v>
      </c>
      <c r="V92">
        <f t="shared" si="145"/>
        <v>53829.360000000008</v>
      </c>
      <c r="W92">
        <f t="shared" si="145"/>
        <v>53071.200000000012</v>
      </c>
      <c r="X92">
        <f t="shared" si="145"/>
        <v>53071.200000000012</v>
      </c>
      <c r="Y92">
        <f t="shared" si="145"/>
        <v>53071.200000000012</v>
      </c>
      <c r="Z92">
        <f t="shared" si="145"/>
        <v>57083.130000000019</v>
      </c>
      <c r="AA92">
        <f t="shared" si="145"/>
        <v>54619.11</v>
      </c>
      <c r="AB92">
        <f t="shared" si="145"/>
        <v>54619.11</v>
      </c>
      <c r="AC92">
        <f t="shared" si="145"/>
        <v>54619.11</v>
      </c>
      <c r="AD92" t="str">
        <f t="shared" ca="1" si="119"/>
        <v>=SUM(AC90:AC91)</v>
      </c>
    </row>
    <row r="93" spans="1:30" ht="15" customHeight="1" x14ac:dyDescent="0.35">
      <c r="B93" t="s">
        <v>101</v>
      </c>
      <c r="C93" s="53">
        <v>0.75</v>
      </c>
      <c r="D93">
        <f t="shared" ref="D93:AC93" si="146">$C$93*D92</f>
        <v>25108.859999999997</v>
      </c>
      <c r="E93">
        <f t="shared" si="146"/>
        <v>25756.942200483874</v>
      </c>
      <c r="F93">
        <f t="shared" si="146"/>
        <v>27516.168241935484</v>
      </c>
      <c r="G93">
        <f t="shared" si="146"/>
        <v>28740.384342580648</v>
      </c>
      <c r="H93">
        <f t="shared" si="146"/>
        <v>28495.504538709676</v>
      </c>
      <c r="I93">
        <f t="shared" si="146"/>
        <v>29580.886455870972</v>
      </c>
      <c r="J93">
        <f t="shared" si="146"/>
        <v>30090.239429370973</v>
      </c>
      <c r="K93">
        <f t="shared" si="146"/>
        <v>29902.600260870975</v>
      </c>
      <c r="L93">
        <f t="shared" si="146"/>
        <v>33468.288729451611</v>
      </c>
      <c r="M93">
        <f t="shared" si="146"/>
        <v>34032.435483967747</v>
      </c>
      <c r="N93">
        <f t="shared" si="146"/>
        <v>34286.472034330654</v>
      </c>
      <c r="O93">
        <f t="shared" si="146"/>
        <v>34765.904683040324</v>
      </c>
      <c r="P93">
        <f t="shared" si="146"/>
        <v>35066.470153524191</v>
      </c>
      <c r="Q93">
        <f t="shared" si="146"/>
        <v>33559.746439112903</v>
      </c>
      <c r="R93">
        <f t="shared" si="146"/>
        <v>35925.050571428575</v>
      </c>
      <c r="S93">
        <f t="shared" si="146"/>
        <v>36331.659000000007</v>
      </c>
      <c r="T93">
        <f t="shared" si="146"/>
        <v>39073.671000000002</v>
      </c>
      <c r="U93">
        <f t="shared" si="146"/>
        <v>41130.180000000008</v>
      </c>
      <c r="V93">
        <f t="shared" si="146"/>
        <v>40372.020000000004</v>
      </c>
      <c r="W93">
        <f t="shared" si="146"/>
        <v>39803.400000000009</v>
      </c>
      <c r="X93">
        <f t="shared" si="146"/>
        <v>39803.400000000009</v>
      </c>
      <c r="Y93">
        <f t="shared" si="146"/>
        <v>39803.400000000009</v>
      </c>
      <c r="Z93">
        <f t="shared" si="146"/>
        <v>42812.347500000018</v>
      </c>
      <c r="AA93">
        <f t="shared" si="146"/>
        <v>40964.332500000004</v>
      </c>
      <c r="AB93">
        <f t="shared" si="146"/>
        <v>40964.332500000004</v>
      </c>
      <c r="AC93">
        <f t="shared" si="146"/>
        <v>40964.332500000004</v>
      </c>
      <c r="AD93" t="str">
        <f t="shared" ca="1" si="119"/>
        <v>=$C$93*AC92</v>
      </c>
    </row>
    <row r="95" spans="1:30" ht="15" customHeight="1" x14ac:dyDescent="0.35">
      <c r="B95" t="s">
        <v>102</v>
      </c>
      <c r="D95">
        <f>'Weekly Rollforward'!D40</f>
        <v>54860.36677419355</v>
      </c>
      <c r="E95">
        <f>'Weekly Rollforward'!E40</f>
        <v>58607.387096774197</v>
      </c>
      <c r="F95">
        <f>'Weekly Rollforward'!F40</f>
        <v>61214.876129032258</v>
      </c>
      <c r="G95">
        <f>'Weekly Rollforward'!G40</f>
        <v>61478.974193548391</v>
      </c>
      <c r="H95">
        <f>'Weekly Rollforward'!H40</f>
        <v>63820.682752688175</v>
      </c>
      <c r="I95">
        <f>'Weekly Rollforward'!I40</f>
        <v>64919.610419354845</v>
      </c>
      <c r="J95">
        <f>'Weekly Rollforward'!J40</f>
        <v>64514.779419354847</v>
      </c>
      <c r="K95">
        <f>'Weekly Rollforward'!K40</f>
        <v>64766.886752688173</v>
      </c>
      <c r="L95">
        <f>'Weekly Rollforward'!L40</f>
        <v>65858.60761290323</v>
      </c>
      <c r="M95">
        <f>'Weekly Rollforward'!M40</f>
        <v>66350.21196774194</v>
      </c>
      <c r="N95">
        <f>'Weekly Rollforward'!N40</f>
        <v>67277.996483870971</v>
      </c>
      <c r="O95">
        <f>'Weekly Rollforward'!O40</f>
        <v>67859.642290322576</v>
      </c>
      <c r="P95">
        <f>'Weekly Rollforward'!P40</f>
        <v>68840.505516129037</v>
      </c>
      <c r="Q95">
        <f>'Weekly Rollforward'!Q40</f>
        <v>73692.411428571431</v>
      </c>
      <c r="R95">
        <f>'Weekly Rollforward'!R40</f>
        <v>74526.48000000001</v>
      </c>
      <c r="S95">
        <f>'Weekly Rollforward'!S40</f>
        <v>80151.12000000001</v>
      </c>
      <c r="T95">
        <f>'Weekly Rollforward'!T40</f>
        <v>84369.600000000006</v>
      </c>
      <c r="U95">
        <f>'Weekly Rollforward'!U40</f>
        <v>82814.400000000009</v>
      </c>
      <c r="V95">
        <f>'Weekly Rollforward'!V40</f>
        <v>81648.000000000015</v>
      </c>
      <c r="W95">
        <f>'Weekly Rollforward'!W40</f>
        <v>81648.000000000015</v>
      </c>
      <c r="X95">
        <f>'Weekly Rollforward'!X40</f>
        <v>81648.000000000015</v>
      </c>
      <c r="Y95">
        <f>'Weekly Rollforward'!Y40</f>
        <v>87820.200000000026</v>
      </c>
      <c r="Z95">
        <f>'Weekly Rollforward'!Z40</f>
        <v>84029.4</v>
      </c>
      <c r="AA95">
        <f>'Weekly Rollforward'!AA40</f>
        <v>84029.4</v>
      </c>
      <c r="AB95">
        <f>'Weekly Rollforward'!AB40</f>
        <v>84029.4</v>
      </c>
      <c r="AC95">
        <f>'Weekly Rollforward'!AC40</f>
        <v>84029.4</v>
      </c>
      <c r="AD95" t="str">
        <f t="shared" ca="1" si="119"/>
        <v>='Weekly Rollforward'!AC40</v>
      </c>
    </row>
    <row r="97" spans="1:30" ht="15" customHeight="1" x14ac:dyDescent="0.35">
      <c r="B97" t="s">
        <v>103</v>
      </c>
      <c r="D97" s="43">
        <v>0.374</v>
      </c>
      <c r="E97" s="43">
        <v>0.374</v>
      </c>
      <c r="F97" s="43">
        <v>0.374</v>
      </c>
      <c r="G97" s="43">
        <v>0.374</v>
      </c>
      <c r="H97" s="43">
        <v>0.374</v>
      </c>
      <c r="I97" s="43">
        <v>0.374</v>
      </c>
      <c r="J97" s="43">
        <v>0.374</v>
      </c>
      <c r="K97" s="43">
        <v>0.374</v>
      </c>
      <c r="L97" s="43">
        <v>0.374</v>
      </c>
      <c r="M97" s="43">
        <v>0.374</v>
      </c>
      <c r="N97" s="43">
        <v>0.374</v>
      </c>
      <c r="O97" s="43">
        <v>0.374</v>
      </c>
      <c r="P97" s="43">
        <v>0.374</v>
      </c>
      <c r="Q97" s="44">
        <v>0.35</v>
      </c>
      <c r="R97" s="44">
        <v>0.35</v>
      </c>
      <c r="S97" s="44">
        <v>0.35</v>
      </c>
      <c r="T97" s="44">
        <v>0.35</v>
      </c>
      <c r="U97" s="44">
        <v>0.35</v>
      </c>
      <c r="V97" s="44">
        <v>0.35</v>
      </c>
      <c r="W97" s="44">
        <v>0.35</v>
      </c>
      <c r="X97" s="44">
        <v>0.35</v>
      </c>
      <c r="Y97" s="44">
        <v>0.35</v>
      </c>
      <c r="Z97" s="44">
        <v>0.35</v>
      </c>
      <c r="AA97" s="44">
        <v>0.35</v>
      </c>
      <c r="AB97" s="44">
        <v>0.35</v>
      </c>
      <c r="AC97" s="44">
        <v>0.35</v>
      </c>
    </row>
    <row r="99" spans="1:30" ht="15" customHeight="1" x14ac:dyDescent="0.35">
      <c r="A99" s="6" t="s">
        <v>69</v>
      </c>
    </row>
    <row r="100" spans="1:30" ht="15" customHeight="1" x14ac:dyDescent="0.35">
      <c r="B100" t="s">
        <v>104</v>
      </c>
      <c r="D100" s="33">
        <v>88448.000000000029</v>
      </c>
      <c r="E100">
        <f t="shared" ref="E100:AC100" si="147">D107</f>
        <v>90357.57290322581</v>
      </c>
      <c r="F100">
        <f t="shared" si="147"/>
        <v>89367.483870967742</v>
      </c>
      <c r="G100">
        <f t="shared" si="147"/>
        <v>88405.150967741938</v>
      </c>
      <c r="H100">
        <f t="shared" si="147"/>
        <v>88328.774193548394</v>
      </c>
      <c r="I100">
        <f t="shared" si="147"/>
        <v>86909.929977850799</v>
      </c>
      <c r="J100">
        <f t="shared" si="147"/>
        <v>85075.049034850788</v>
      </c>
      <c r="K100">
        <f t="shared" si="147"/>
        <v>86614.683301184123</v>
      </c>
      <c r="L100">
        <f t="shared" si="147"/>
        <v>87325.253898867464</v>
      </c>
      <c r="M100">
        <f t="shared" si="147"/>
        <v>87524.295963437355</v>
      </c>
      <c r="N100">
        <f t="shared" si="147"/>
        <v>86671.699215050248</v>
      </c>
      <c r="O100">
        <f t="shared" si="147"/>
        <v>86316.283008598635</v>
      </c>
      <c r="P100">
        <f t="shared" si="147"/>
        <v>86799.623886017987</v>
      </c>
      <c r="Q100">
        <f t="shared" si="147"/>
        <v>90885.316640856705</v>
      </c>
      <c r="R100">
        <f t="shared" si="147"/>
        <v>97329.599999999991</v>
      </c>
      <c r="S100">
        <f t="shared" si="147"/>
        <v>99837.36</v>
      </c>
      <c r="T100">
        <f t="shared" si="147"/>
        <v>101243.52</v>
      </c>
      <c r="U100">
        <f t="shared" si="147"/>
        <v>101243.52</v>
      </c>
      <c r="V100">
        <f t="shared" si="147"/>
        <v>99377.279999999999</v>
      </c>
      <c r="W100">
        <f t="shared" si="147"/>
        <v>97977.60000000002</v>
      </c>
      <c r="X100">
        <f t="shared" si="147"/>
        <v>99338.400000000009</v>
      </c>
      <c r="Y100">
        <f t="shared" si="147"/>
        <v>99338.400000000009</v>
      </c>
      <c r="Z100">
        <f t="shared" si="147"/>
        <v>98628.840000000011</v>
      </c>
      <c r="AA100">
        <f t="shared" si="147"/>
        <v>90881.028000000006</v>
      </c>
      <c r="AB100">
        <f t="shared" si="147"/>
        <v>90881.028000000006</v>
      </c>
      <c r="AC100">
        <f t="shared" si="147"/>
        <v>90881.028000000006</v>
      </c>
      <c r="AD100" t="str">
        <f t="shared" ca="1" si="119"/>
        <v>=AB107</v>
      </c>
    </row>
    <row r="101" spans="1:30" ht="15" customHeight="1" x14ac:dyDescent="0.35">
      <c r="B101" t="s">
        <v>105</v>
      </c>
      <c r="C101" s="53">
        <v>0.05</v>
      </c>
      <c r="D101">
        <f t="shared" ref="D101:AC101" si="148">$C101*D100*-1</f>
        <v>-4422.4000000000015</v>
      </c>
      <c r="E101">
        <f t="shared" si="148"/>
        <v>-4517.8786451612905</v>
      </c>
      <c r="F101">
        <f t="shared" si="148"/>
        <v>-4468.3741935483877</v>
      </c>
      <c r="G101">
        <f t="shared" si="148"/>
        <v>-4420.2575483870969</v>
      </c>
      <c r="H101">
        <f t="shared" si="148"/>
        <v>-4416.4387096774199</v>
      </c>
      <c r="I101">
        <f t="shared" si="148"/>
        <v>-4345.4964988925403</v>
      </c>
      <c r="J101">
        <f t="shared" si="148"/>
        <v>-4253.75245174254</v>
      </c>
      <c r="K101">
        <f t="shared" si="148"/>
        <v>-4330.7341650592061</v>
      </c>
      <c r="L101">
        <f t="shared" si="148"/>
        <v>-4366.2626949433734</v>
      </c>
      <c r="M101">
        <f t="shared" si="148"/>
        <v>-4376.2147981718681</v>
      </c>
      <c r="N101">
        <f t="shared" si="148"/>
        <v>-4333.5849607525124</v>
      </c>
      <c r="O101">
        <f t="shared" si="148"/>
        <v>-4315.8141504299319</v>
      </c>
      <c r="P101">
        <f t="shared" si="148"/>
        <v>-4339.9811943008999</v>
      </c>
      <c r="Q101">
        <f t="shared" si="148"/>
        <v>-4544.2658320428354</v>
      </c>
      <c r="R101">
        <f t="shared" si="148"/>
        <v>-4866.4799999999996</v>
      </c>
      <c r="S101">
        <f t="shared" si="148"/>
        <v>-4991.8680000000004</v>
      </c>
      <c r="T101">
        <f t="shared" si="148"/>
        <v>-5062.1760000000004</v>
      </c>
      <c r="U101">
        <f t="shared" si="148"/>
        <v>-5062.1760000000004</v>
      </c>
      <c r="V101">
        <f t="shared" si="148"/>
        <v>-4968.8640000000005</v>
      </c>
      <c r="W101">
        <f t="shared" si="148"/>
        <v>-4898.880000000001</v>
      </c>
      <c r="X101">
        <f t="shared" si="148"/>
        <v>-4966.920000000001</v>
      </c>
      <c r="Y101">
        <f t="shared" si="148"/>
        <v>-4966.920000000001</v>
      </c>
      <c r="Z101">
        <f t="shared" si="148"/>
        <v>-4931.4420000000009</v>
      </c>
      <c r="AA101">
        <f t="shared" si="148"/>
        <v>-4544.0514000000003</v>
      </c>
      <c r="AB101">
        <f t="shared" si="148"/>
        <v>-4544.0514000000003</v>
      </c>
      <c r="AC101">
        <f t="shared" si="148"/>
        <v>-4544.0514000000003</v>
      </c>
      <c r="AD101" t="str">
        <f t="shared" ca="1" si="119"/>
        <v>=$C101*AC100*-1</v>
      </c>
    </row>
    <row r="102" spans="1:30" ht="15" customHeight="1" x14ac:dyDescent="0.35">
      <c r="B102" t="s">
        <v>106</v>
      </c>
      <c r="C102" s="53">
        <v>0.05</v>
      </c>
      <c r="D102">
        <f t="shared" ref="D102:AC102" si="149">$C$102*D100*-1</f>
        <v>-4422.4000000000015</v>
      </c>
      <c r="E102">
        <f t="shared" si="149"/>
        <v>-4517.8786451612905</v>
      </c>
      <c r="F102">
        <f t="shared" si="149"/>
        <v>-4468.3741935483877</v>
      </c>
      <c r="G102">
        <f t="shared" si="149"/>
        <v>-4420.2575483870969</v>
      </c>
      <c r="H102">
        <f t="shared" si="149"/>
        <v>-4416.4387096774199</v>
      </c>
      <c r="I102">
        <f t="shared" si="149"/>
        <v>-4345.4964988925403</v>
      </c>
      <c r="J102">
        <f t="shared" si="149"/>
        <v>-4253.75245174254</v>
      </c>
      <c r="K102">
        <f t="shared" si="149"/>
        <v>-4330.7341650592061</v>
      </c>
      <c r="L102">
        <f t="shared" si="149"/>
        <v>-4366.2626949433734</v>
      </c>
      <c r="M102">
        <f t="shared" si="149"/>
        <v>-4376.2147981718681</v>
      </c>
      <c r="N102">
        <f t="shared" si="149"/>
        <v>-4333.5849607525124</v>
      </c>
      <c r="O102">
        <f t="shared" si="149"/>
        <v>-4315.8141504299319</v>
      </c>
      <c r="P102">
        <f t="shared" si="149"/>
        <v>-4339.9811943008999</v>
      </c>
      <c r="Q102">
        <f t="shared" si="149"/>
        <v>-4544.2658320428354</v>
      </c>
      <c r="R102">
        <f t="shared" si="149"/>
        <v>-4866.4799999999996</v>
      </c>
      <c r="S102">
        <f t="shared" si="149"/>
        <v>-4991.8680000000004</v>
      </c>
      <c r="T102">
        <f t="shared" si="149"/>
        <v>-5062.1760000000004</v>
      </c>
      <c r="U102">
        <f t="shared" si="149"/>
        <v>-5062.1760000000004</v>
      </c>
      <c r="V102">
        <f t="shared" si="149"/>
        <v>-4968.8640000000005</v>
      </c>
      <c r="W102">
        <f t="shared" si="149"/>
        <v>-4898.880000000001</v>
      </c>
      <c r="X102">
        <f t="shared" si="149"/>
        <v>-4966.920000000001</v>
      </c>
      <c r="Y102">
        <f t="shared" si="149"/>
        <v>-4966.920000000001</v>
      </c>
      <c r="Z102">
        <f t="shared" si="149"/>
        <v>-4931.4420000000009</v>
      </c>
      <c r="AA102">
        <f t="shared" si="149"/>
        <v>-4544.0514000000003</v>
      </c>
      <c r="AB102">
        <f t="shared" si="149"/>
        <v>-4544.0514000000003</v>
      </c>
      <c r="AC102">
        <f t="shared" si="149"/>
        <v>-4544.0514000000003</v>
      </c>
      <c r="AD102" t="str">
        <f t="shared" ca="1" si="119"/>
        <v>=$C$102*AC100*-1</v>
      </c>
    </row>
    <row r="103" spans="1:30" ht="15" customHeight="1" x14ac:dyDescent="0.35">
      <c r="B103" t="s">
        <v>107</v>
      </c>
      <c r="C103" s="53">
        <v>0.2</v>
      </c>
      <c r="D103">
        <f t="shared" ref="D103:AC103" si="150">$C$103*D100*-1</f>
        <v>-17689.600000000006</v>
      </c>
      <c r="E103">
        <f t="shared" si="150"/>
        <v>-18071.514580645162</v>
      </c>
      <c r="F103">
        <f t="shared" si="150"/>
        <v>-17873.496774193551</v>
      </c>
      <c r="G103">
        <f t="shared" si="150"/>
        <v>-17681.030193548388</v>
      </c>
      <c r="H103">
        <f t="shared" si="150"/>
        <v>-17665.754838709679</v>
      </c>
      <c r="I103">
        <f t="shared" si="150"/>
        <v>-17381.985995570161</v>
      </c>
      <c r="J103">
        <f t="shared" si="150"/>
        <v>-17015.00980697016</v>
      </c>
      <c r="K103">
        <f t="shared" si="150"/>
        <v>-17322.936660236825</v>
      </c>
      <c r="L103">
        <f t="shared" si="150"/>
        <v>-17465.050779773494</v>
      </c>
      <c r="M103">
        <f t="shared" si="150"/>
        <v>-17504.859192687472</v>
      </c>
      <c r="N103">
        <f t="shared" si="150"/>
        <v>-17334.33984301005</v>
      </c>
      <c r="O103">
        <f t="shared" si="150"/>
        <v>-17263.256601719728</v>
      </c>
      <c r="P103">
        <f t="shared" si="150"/>
        <v>-17359.9247772036</v>
      </c>
      <c r="Q103">
        <f t="shared" si="150"/>
        <v>-18177.063328171342</v>
      </c>
      <c r="R103">
        <f t="shared" si="150"/>
        <v>-19465.919999999998</v>
      </c>
      <c r="S103">
        <f t="shared" si="150"/>
        <v>-19967.472000000002</v>
      </c>
      <c r="T103">
        <f t="shared" si="150"/>
        <v>-20248.704000000002</v>
      </c>
      <c r="U103">
        <f t="shared" si="150"/>
        <v>-20248.704000000002</v>
      </c>
      <c r="V103">
        <f t="shared" si="150"/>
        <v>-19875.456000000002</v>
      </c>
      <c r="W103">
        <f t="shared" si="150"/>
        <v>-19595.520000000004</v>
      </c>
      <c r="X103">
        <f t="shared" si="150"/>
        <v>-19867.680000000004</v>
      </c>
      <c r="Y103">
        <f t="shared" si="150"/>
        <v>-19867.680000000004</v>
      </c>
      <c r="Z103">
        <f t="shared" si="150"/>
        <v>-19725.768000000004</v>
      </c>
      <c r="AA103">
        <f t="shared" si="150"/>
        <v>-18176.205600000001</v>
      </c>
      <c r="AB103">
        <f t="shared" si="150"/>
        <v>-18176.205600000001</v>
      </c>
      <c r="AC103">
        <f t="shared" si="150"/>
        <v>-18176.205600000001</v>
      </c>
      <c r="AD103" t="str">
        <f t="shared" ca="1" si="119"/>
        <v>=$C$103*AC100*-1</v>
      </c>
    </row>
    <row r="104" spans="1:30" ht="15" customHeight="1" x14ac:dyDescent="0.35">
      <c r="B104" t="s">
        <v>108</v>
      </c>
      <c r="D104">
        <f t="shared" ref="D104:AC104" si="151">SUM(D100:D103)</f>
        <v>61913.600000000035</v>
      </c>
      <c r="E104">
        <f t="shared" si="151"/>
        <v>63250.301032258081</v>
      </c>
      <c r="F104">
        <f t="shared" si="151"/>
        <v>62557.238709677418</v>
      </c>
      <c r="G104">
        <f t="shared" si="151"/>
        <v>61883.605677419342</v>
      </c>
      <c r="H104">
        <f t="shared" si="151"/>
        <v>61830.141935483887</v>
      </c>
      <c r="I104">
        <f t="shared" si="151"/>
        <v>60836.950984495568</v>
      </c>
      <c r="J104">
        <f t="shared" si="151"/>
        <v>59552.534324395558</v>
      </c>
      <c r="K104">
        <f t="shared" si="151"/>
        <v>60630.2783108289</v>
      </c>
      <c r="L104">
        <f t="shared" si="151"/>
        <v>61127.677729207222</v>
      </c>
      <c r="M104">
        <f t="shared" si="151"/>
        <v>61267.007174406135</v>
      </c>
      <c r="N104">
        <f t="shared" si="151"/>
        <v>60670.189450535167</v>
      </c>
      <c r="O104">
        <f t="shared" si="151"/>
        <v>60421.398106019056</v>
      </c>
      <c r="P104">
        <f t="shared" si="151"/>
        <v>60759.73672021259</v>
      </c>
      <c r="Q104">
        <f t="shared" si="151"/>
        <v>63619.721648599705</v>
      </c>
      <c r="R104">
        <f t="shared" si="151"/>
        <v>68130.720000000001</v>
      </c>
      <c r="S104">
        <f t="shared" si="151"/>
        <v>69886.152000000002</v>
      </c>
      <c r="T104">
        <f t="shared" si="151"/>
        <v>70870.463999999993</v>
      </c>
      <c r="U104">
        <f t="shared" si="151"/>
        <v>70870.463999999993</v>
      </c>
      <c r="V104">
        <f t="shared" si="151"/>
        <v>69564.09599999999</v>
      </c>
      <c r="W104">
        <f t="shared" si="151"/>
        <v>68584.320000000007</v>
      </c>
      <c r="X104">
        <f t="shared" si="151"/>
        <v>69536.88</v>
      </c>
      <c r="Y104">
        <f t="shared" si="151"/>
        <v>69536.88</v>
      </c>
      <c r="Z104">
        <f t="shared" si="151"/>
        <v>69040.188000000024</v>
      </c>
      <c r="AA104">
        <f t="shared" si="151"/>
        <v>63616.719600000011</v>
      </c>
      <c r="AB104">
        <f t="shared" si="151"/>
        <v>63616.719600000011</v>
      </c>
      <c r="AC104">
        <f t="shared" si="151"/>
        <v>63616.719600000011</v>
      </c>
      <c r="AD104" t="str">
        <f t="shared" ca="1" si="119"/>
        <v>=SUM(AC100:AC103)</v>
      </c>
    </row>
    <row r="105" spans="1:30" ht="15" customHeight="1" x14ac:dyDescent="0.35">
      <c r="B105" t="s">
        <v>101</v>
      </c>
      <c r="C105" s="54">
        <v>0.75</v>
      </c>
      <c r="D105">
        <f t="shared" ref="D105:AC105" si="152">$C$105*D104</f>
        <v>46435.200000000026</v>
      </c>
      <c r="E105">
        <f t="shared" si="152"/>
        <v>47437.725774193561</v>
      </c>
      <c r="F105">
        <f t="shared" si="152"/>
        <v>46917.929032258064</v>
      </c>
      <c r="G105">
        <f t="shared" si="152"/>
        <v>46412.704258064507</v>
      </c>
      <c r="H105">
        <f t="shared" si="152"/>
        <v>46372.606451612912</v>
      </c>
      <c r="I105">
        <f t="shared" si="152"/>
        <v>45627.713238371674</v>
      </c>
      <c r="J105">
        <f t="shared" si="152"/>
        <v>44664.400743296668</v>
      </c>
      <c r="K105">
        <f t="shared" si="152"/>
        <v>45472.708733121675</v>
      </c>
      <c r="L105">
        <f t="shared" si="152"/>
        <v>45845.75829690542</v>
      </c>
      <c r="M105">
        <f t="shared" si="152"/>
        <v>45950.2553808046</v>
      </c>
      <c r="N105">
        <f t="shared" si="152"/>
        <v>45502.642087901375</v>
      </c>
      <c r="O105">
        <f t="shared" si="152"/>
        <v>45316.048579514289</v>
      </c>
      <c r="P105">
        <f t="shared" si="152"/>
        <v>45569.802540159442</v>
      </c>
      <c r="Q105">
        <f t="shared" si="152"/>
        <v>47714.791236449775</v>
      </c>
      <c r="R105">
        <f t="shared" si="152"/>
        <v>51098.04</v>
      </c>
      <c r="S105">
        <f t="shared" si="152"/>
        <v>52414.614000000001</v>
      </c>
      <c r="T105">
        <f t="shared" si="152"/>
        <v>53152.847999999998</v>
      </c>
      <c r="U105">
        <f t="shared" si="152"/>
        <v>53152.847999999998</v>
      </c>
      <c r="V105">
        <f t="shared" si="152"/>
        <v>52173.071999999993</v>
      </c>
      <c r="W105">
        <f t="shared" si="152"/>
        <v>51438.240000000005</v>
      </c>
      <c r="X105">
        <f t="shared" si="152"/>
        <v>52152.66</v>
      </c>
      <c r="Y105">
        <f t="shared" si="152"/>
        <v>52152.66</v>
      </c>
      <c r="Z105">
        <f t="shared" si="152"/>
        <v>51780.141000000018</v>
      </c>
      <c r="AA105">
        <f t="shared" si="152"/>
        <v>47712.539700000008</v>
      </c>
      <c r="AB105">
        <f t="shared" si="152"/>
        <v>47712.539700000008</v>
      </c>
      <c r="AC105">
        <f t="shared" si="152"/>
        <v>47712.539700000008</v>
      </c>
      <c r="AD105" t="str">
        <f t="shared" ca="1" si="119"/>
        <v>=$C$105*AC104</v>
      </c>
    </row>
    <row r="107" spans="1:30" ht="15" customHeight="1" x14ac:dyDescent="0.35">
      <c r="B107" t="s">
        <v>109</v>
      </c>
      <c r="D107">
        <f>'Weekly Rollforward'!D50</f>
        <v>90357.57290322581</v>
      </c>
      <c r="E107">
        <f>'Weekly Rollforward'!E50</f>
        <v>89367.483870967742</v>
      </c>
      <c r="F107">
        <f>'Weekly Rollforward'!F50</f>
        <v>88405.150967741938</v>
      </c>
      <c r="G107">
        <f>'Weekly Rollforward'!G50</f>
        <v>88328.774193548394</v>
      </c>
      <c r="H107">
        <f>'Weekly Rollforward'!H50</f>
        <v>86909.929977850799</v>
      </c>
      <c r="I107">
        <f>'Weekly Rollforward'!I50</f>
        <v>85075.049034850788</v>
      </c>
      <c r="J107">
        <f>'Weekly Rollforward'!J50</f>
        <v>86614.683301184123</v>
      </c>
      <c r="K107">
        <f>'Weekly Rollforward'!K50</f>
        <v>87325.253898867464</v>
      </c>
      <c r="L107">
        <f>'Weekly Rollforward'!L50</f>
        <v>87524.295963437355</v>
      </c>
      <c r="M107">
        <f>'Weekly Rollforward'!M50</f>
        <v>86671.699215050248</v>
      </c>
      <c r="N107">
        <f>'Weekly Rollforward'!N50</f>
        <v>86316.283008598635</v>
      </c>
      <c r="O107">
        <f>'Weekly Rollforward'!O50</f>
        <v>86799.623886017987</v>
      </c>
      <c r="P107">
        <f>'Weekly Rollforward'!P50</f>
        <v>90885.316640856705</v>
      </c>
      <c r="Q107">
        <f>'Weekly Rollforward'!Q50</f>
        <v>97329.599999999991</v>
      </c>
      <c r="R107">
        <f>'Weekly Rollforward'!R50</f>
        <v>99837.36</v>
      </c>
      <c r="S107">
        <f>'Weekly Rollforward'!S50</f>
        <v>101243.52</v>
      </c>
      <c r="T107">
        <f>'Weekly Rollforward'!T50</f>
        <v>101243.52</v>
      </c>
      <c r="U107">
        <f>'Weekly Rollforward'!U50</f>
        <v>99377.279999999999</v>
      </c>
      <c r="V107">
        <f>'Weekly Rollforward'!V50</f>
        <v>97977.60000000002</v>
      </c>
      <c r="W107">
        <f>'Weekly Rollforward'!W50</f>
        <v>99338.400000000009</v>
      </c>
      <c r="X107">
        <f>'Weekly Rollforward'!X50</f>
        <v>99338.400000000009</v>
      </c>
      <c r="Y107">
        <f>'Weekly Rollforward'!Y50</f>
        <v>98628.840000000011</v>
      </c>
      <c r="Z107">
        <f>'Weekly Rollforward'!Z50</f>
        <v>90881.028000000006</v>
      </c>
      <c r="AA107">
        <f>'Weekly Rollforward'!AA50</f>
        <v>90881.028000000006</v>
      </c>
      <c r="AB107">
        <f>'Weekly Rollforward'!AB50</f>
        <v>90881.028000000006</v>
      </c>
      <c r="AC107">
        <f>'Weekly Rollforward'!AC50</f>
        <v>90881.028000000006</v>
      </c>
      <c r="AD107" t="str">
        <f t="shared" ca="1" si="119"/>
        <v>='Weekly Rollforward'!AC50</v>
      </c>
    </row>
    <row r="109" spans="1:30" ht="15" customHeight="1" x14ac:dyDescent="0.35">
      <c r="B109" t="s">
        <v>110</v>
      </c>
      <c r="D109">
        <f t="shared" ref="D109:AC109" si="153">D93+D105</f>
        <v>71544.060000000027</v>
      </c>
      <c r="E109">
        <f t="shared" si="153"/>
        <v>73194.667974677432</v>
      </c>
      <c r="F109">
        <f t="shared" si="153"/>
        <v>74434.09727419354</v>
      </c>
      <c r="G109">
        <f t="shared" si="153"/>
        <v>75153.088600645162</v>
      </c>
      <c r="H109">
        <f t="shared" si="153"/>
        <v>74868.110990322588</v>
      </c>
      <c r="I109">
        <f t="shared" si="153"/>
        <v>75208.599694242643</v>
      </c>
      <c r="J109">
        <f t="shared" si="153"/>
        <v>74754.640172667641</v>
      </c>
      <c r="K109">
        <f t="shared" si="153"/>
        <v>75375.308993992658</v>
      </c>
      <c r="L109">
        <f t="shared" si="153"/>
        <v>79314.047026357031</v>
      </c>
      <c r="M109">
        <f t="shared" si="153"/>
        <v>79982.690864772347</v>
      </c>
      <c r="N109">
        <f t="shared" si="153"/>
        <v>79789.114122232029</v>
      </c>
      <c r="O109">
        <f t="shared" si="153"/>
        <v>80081.953262554613</v>
      </c>
      <c r="P109">
        <f t="shared" si="153"/>
        <v>80636.272693683626</v>
      </c>
      <c r="Q109">
        <f t="shared" si="153"/>
        <v>81274.537675562678</v>
      </c>
      <c r="R109">
        <f t="shared" si="153"/>
        <v>87023.090571428576</v>
      </c>
      <c r="S109">
        <f t="shared" si="153"/>
        <v>88746.273000000016</v>
      </c>
      <c r="T109">
        <f t="shared" si="153"/>
        <v>92226.519</v>
      </c>
      <c r="U109">
        <f t="shared" si="153"/>
        <v>94283.028000000006</v>
      </c>
      <c r="V109">
        <f t="shared" si="153"/>
        <v>92545.092000000004</v>
      </c>
      <c r="W109">
        <f t="shared" si="153"/>
        <v>91241.640000000014</v>
      </c>
      <c r="X109">
        <f t="shared" si="153"/>
        <v>91956.060000000012</v>
      </c>
      <c r="Y109">
        <f t="shared" si="153"/>
        <v>91956.060000000012</v>
      </c>
      <c r="Z109">
        <f t="shared" si="153"/>
        <v>94592.488500000036</v>
      </c>
      <c r="AA109">
        <f t="shared" si="153"/>
        <v>88676.872200000013</v>
      </c>
      <c r="AB109">
        <f t="shared" si="153"/>
        <v>88676.872200000013</v>
      </c>
      <c r="AC109">
        <f t="shared" si="153"/>
        <v>88676.872200000013</v>
      </c>
      <c r="AD109" t="str">
        <f t="shared" ca="1" si="119"/>
        <v>=AC93+AC105</v>
      </c>
    </row>
    <row r="112" spans="1:30" ht="15" customHeight="1" x14ac:dyDescent="0.35">
      <c r="B112" s="63" t="s">
        <v>111</v>
      </c>
    </row>
    <row r="113" spans="1:30" ht="15" customHeight="1" x14ac:dyDescent="0.35">
      <c r="A113" s="40" t="s">
        <v>112</v>
      </c>
      <c r="B113" s="38"/>
    </row>
    <row r="114" spans="1:30" ht="15" customHeight="1" x14ac:dyDescent="0.35">
      <c r="A114" s="40"/>
      <c r="B114" s="38" t="s">
        <v>113</v>
      </c>
      <c r="P114" s="33">
        <v>21989</v>
      </c>
      <c r="Q114">
        <f>'13 Week Cash Flow'!Q31</f>
        <v>20000</v>
      </c>
      <c r="R114">
        <f>'13 Week Cash Flow'!R31</f>
        <v>20000</v>
      </c>
      <c r="S114">
        <f>'13 Week Cash Flow'!S31</f>
        <v>20000</v>
      </c>
      <c r="T114">
        <f>'13 Week Cash Flow'!T31</f>
        <v>20000</v>
      </c>
      <c r="U114">
        <f>'13 Week Cash Flow'!U31</f>
        <v>20000</v>
      </c>
      <c r="V114">
        <f>'13 Week Cash Flow'!V31</f>
        <v>20000</v>
      </c>
      <c r="W114">
        <f>'13 Week Cash Flow'!W31</f>
        <v>20000</v>
      </c>
      <c r="X114">
        <f>'13 Week Cash Flow'!X31</f>
        <v>20000</v>
      </c>
      <c r="Y114">
        <f>'13 Week Cash Flow'!Y31</f>
        <v>20000</v>
      </c>
      <c r="Z114">
        <f>'13 Week Cash Flow'!Z31</f>
        <v>23899.131201045573</v>
      </c>
      <c r="AA114">
        <f>'13 Week Cash Flow'!AA31</f>
        <v>26033.488614306658</v>
      </c>
      <c r="AB114">
        <f>'13 Week Cash Flow'!AB31</f>
        <v>26650.859997799686</v>
      </c>
      <c r="AC114">
        <f>'13 Week Cash Flow'!AC31</f>
        <v>21580.593661393857</v>
      </c>
      <c r="AD114" t="str">
        <f t="shared" ref="AD114:AD124" ca="1" si="154">_xlfn.FORMULATEXT(AC114)</f>
        <v>='13 Week Cash Flow'!AC31</v>
      </c>
    </row>
    <row r="115" spans="1:30" ht="15" customHeight="1" x14ac:dyDescent="0.35">
      <c r="A115" s="40"/>
      <c r="B115" s="38" t="s">
        <v>61</v>
      </c>
      <c r="P115" s="33">
        <v>68840.509999999995</v>
      </c>
      <c r="Q115">
        <f>'Weekly Rollforward'!Q40</f>
        <v>73692.411428571431</v>
      </c>
      <c r="R115">
        <f>'Weekly Rollforward'!R40</f>
        <v>74526.48000000001</v>
      </c>
      <c r="S115">
        <f>'Weekly Rollforward'!S40</f>
        <v>80151.12000000001</v>
      </c>
      <c r="T115">
        <f>'Weekly Rollforward'!T40</f>
        <v>84369.600000000006</v>
      </c>
      <c r="U115">
        <f>'Weekly Rollforward'!U40</f>
        <v>82814.400000000009</v>
      </c>
      <c r="V115">
        <f>'Weekly Rollforward'!V40</f>
        <v>81648.000000000015</v>
      </c>
      <c r="W115">
        <f>'Weekly Rollforward'!W40</f>
        <v>81648.000000000015</v>
      </c>
      <c r="X115">
        <f>'Weekly Rollforward'!X40</f>
        <v>81648.000000000015</v>
      </c>
      <c r="Y115">
        <f>'Weekly Rollforward'!Y40</f>
        <v>87820.200000000026</v>
      </c>
      <c r="Z115">
        <f>'Weekly Rollforward'!Z40</f>
        <v>84029.4</v>
      </c>
      <c r="AA115">
        <f>'Weekly Rollforward'!AA40</f>
        <v>84029.4</v>
      </c>
      <c r="AB115">
        <f>'Weekly Rollforward'!AB40</f>
        <v>84029.4</v>
      </c>
      <c r="AC115">
        <f>'Weekly Rollforward'!AC40</f>
        <v>84029.4</v>
      </c>
      <c r="AD115" t="str">
        <f t="shared" ca="1" si="154"/>
        <v>='Weekly Rollforward'!AC40</v>
      </c>
    </row>
    <row r="116" spans="1:30" ht="15" customHeight="1" x14ac:dyDescent="0.35">
      <c r="A116" s="40"/>
      <c r="B116" t="s">
        <v>69</v>
      </c>
      <c r="P116" s="33">
        <v>90885.32</v>
      </c>
      <c r="Q116">
        <f>'Weekly Rollforward'!Q50</f>
        <v>97329.599999999991</v>
      </c>
      <c r="R116">
        <f>'Weekly Rollforward'!R50</f>
        <v>99837.36</v>
      </c>
      <c r="S116">
        <f>'Weekly Rollforward'!S50</f>
        <v>101243.52</v>
      </c>
      <c r="T116">
        <f>'Weekly Rollforward'!T50</f>
        <v>101243.52</v>
      </c>
      <c r="U116">
        <f>'Weekly Rollforward'!U50</f>
        <v>99377.279999999999</v>
      </c>
      <c r="V116">
        <f>'Weekly Rollforward'!V50</f>
        <v>97977.60000000002</v>
      </c>
      <c r="W116">
        <f>'Weekly Rollforward'!W50</f>
        <v>99338.400000000009</v>
      </c>
      <c r="X116">
        <f>'Weekly Rollforward'!X50</f>
        <v>99338.400000000009</v>
      </c>
      <c r="Y116">
        <f>'Weekly Rollforward'!Y50</f>
        <v>98628.840000000011</v>
      </c>
      <c r="Z116">
        <f>'Weekly Rollforward'!Z50</f>
        <v>90881.028000000006</v>
      </c>
      <c r="AA116">
        <f>'Weekly Rollforward'!AA50</f>
        <v>90881.028000000006</v>
      </c>
      <c r="AB116">
        <f>'Weekly Rollforward'!AB50</f>
        <v>90881.028000000006</v>
      </c>
      <c r="AC116">
        <f>'Weekly Rollforward'!AC50</f>
        <v>90881.028000000006</v>
      </c>
      <c r="AD116" t="str">
        <f t="shared" ca="1" si="154"/>
        <v>='Weekly Rollforward'!AC50</v>
      </c>
    </row>
    <row r="117" spans="1:30" ht="15" customHeight="1" x14ac:dyDescent="0.35">
      <c r="B117" s="38" t="s">
        <v>92</v>
      </c>
      <c r="P117" s="33">
        <v>85007.29</v>
      </c>
      <c r="Q117">
        <f>'Weekly Rollforward'!Q85</f>
        <v>84784.758765161285</v>
      </c>
      <c r="R117">
        <f>'Weekly Rollforward'!R85</f>
        <v>84563.509905161292</v>
      </c>
      <c r="S117">
        <f>'Weekly Rollforward'!S85</f>
        <v>84342.2610451613</v>
      </c>
      <c r="T117">
        <f>'Weekly Rollforward'!T85</f>
        <v>84121.012185161308</v>
      </c>
      <c r="U117">
        <f>'Weekly Rollforward'!U85</f>
        <v>83912.406117161299</v>
      </c>
      <c r="V117">
        <f>'Weekly Rollforward'!V85</f>
        <v>83713.282143161297</v>
      </c>
      <c r="W117">
        <f>'Weekly Rollforward'!W85</f>
        <v>83514.158169161296</v>
      </c>
      <c r="X117">
        <f>'Weekly Rollforward'!X85</f>
        <v>83315.034195161294</v>
      </c>
      <c r="Y117">
        <f>'Weekly Rollforward'!Y85</f>
        <v>83117.901460901296</v>
      </c>
      <c r="Z117">
        <f>'Weekly Rollforward'!Z85</f>
        <v>82932.716165081292</v>
      </c>
      <c r="AA117">
        <f>'Weekly Rollforward'!AA85</f>
        <v>82747.530869261289</v>
      </c>
      <c r="AB117">
        <f>'Weekly Rollforward'!AB85</f>
        <v>82562.345573441286</v>
      </c>
      <c r="AC117">
        <f>'Weekly Rollforward'!AC85</f>
        <v>82377.160277621282</v>
      </c>
      <c r="AD117" t="str">
        <f t="shared" ca="1" si="154"/>
        <v>='Weekly Rollforward'!AC85</v>
      </c>
    </row>
    <row r="119" spans="1:30" ht="15" customHeight="1" x14ac:dyDescent="0.35">
      <c r="A119" s="6" t="s">
        <v>114</v>
      </c>
    </row>
    <row r="120" spans="1:30" ht="15" customHeight="1" x14ac:dyDescent="0.35">
      <c r="B120" t="s">
        <v>115</v>
      </c>
      <c r="P120" s="33">
        <v>64111.959499999997</v>
      </c>
      <c r="Q120">
        <f>'13 Week Cash Flow'!Q52</f>
        <v>69712.076539053494</v>
      </c>
      <c r="R120">
        <f>'13 Week Cash Flow'!R52</f>
        <v>75711.02691103291</v>
      </c>
      <c r="S120">
        <f>'13 Week Cash Flow'!S52</f>
        <v>78746.273000000016</v>
      </c>
      <c r="T120">
        <f>'13 Week Cash Flow'!T52</f>
        <v>82226.519</v>
      </c>
      <c r="U120">
        <f>'13 Week Cash Flow'!U52</f>
        <v>84283.028000000006</v>
      </c>
      <c r="V120">
        <f>'13 Week Cash Flow'!V52</f>
        <v>84283.028000000006</v>
      </c>
      <c r="W120">
        <f>'13 Week Cash Flow'!W52</f>
        <v>84283.028000000006</v>
      </c>
      <c r="X120">
        <f>'13 Week Cash Flow'!X52</f>
        <v>84283.028000000006</v>
      </c>
      <c r="Y120">
        <f>'13 Week Cash Flow'!Y52</f>
        <v>84283.028000000006</v>
      </c>
      <c r="Z120">
        <f>'13 Week Cash Flow'!Z52</f>
        <v>80383.896798954433</v>
      </c>
      <c r="AA120">
        <f>'13 Week Cash Flow'!AA52</f>
        <v>74350.408184647778</v>
      </c>
      <c r="AB120">
        <f>'13 Week Cash Flow'!AB52</f>
        <v>67699.548186848086</v>
      </c>
      <c r="AC120">
        <f>'13 Week Cash Flow'!AC52</f>
        <v>66118.954525454232</v>
      </c>
      <c r="AD120" t="str">
        <f t="shared" ca="1" si="154"/>
        <v>='13 Week Cash Flow'!AC52</v>
      </c>
    </row>
    <row r="121" spans="1:30" ht="15" customHeight="1" x14ac:dyDescent="0.35">
      <c r="B121" t="s">
        <v>76</v>
      </c>
      <c r="P121" s="33">
        <v>66714.989000000001</v>
      </c>
      <c r="Q121">
        <f>'Weekly Rollforward'!Q60</f>
        <v>58397.760000000002</v>
      </c>
      <c r="R121">
        <f>'Weekly Rollforward'!R60</f>
        <v>59902.416000000005</v>
      </c>
      <c r="S121">
        <f>'Weekly Rollforward'!S60</f>
        <v>60746.112000000001</v>
      </c>
      <c r="T121">
        <f>'Weekly Rollforward'!T60</f>
        <v>60746.112000000001</v>
      </c>
      <c r="U121">
        <f>'Weekly Rollforward'!U60</f>
        <v>59626.368000000002</v>
      </c>
      <c r="V121">
        <f>'Weekly Rollforward'!V60</f>
        <v>58786.560000000012</v>
      </c>
      <c r="W121">
        <f>'Weekly Rollforward'!W60</f>
        <v>59603.040000000015</v>
      </c>
      <c r="X121">
        <f>'Weekly Rollforward'!X60</f>
        <v>59603.040000000015</v>
      </c>
      <c r="Y121">
        <f>'Weekly Rollforward'!Y60</f>
        <v>59177.304000000004</v>
      </c>
      <c r="Z121">
        <f>'Weekly Rollforward'!Z60</f>
        <v>62181.756000000001</v>
      </c>
      <c r="AA121">
        <f>'Weekly Rollforward'!AA60</f>
        <v>62181.756000000001</v>
      </c>
      <c r="AB121">
        <f>'Weekly Rollforward'!AB60</f>
        <v>62181.756000000001</v>
      </c>
      <c r="AC121">
        <f>'Weekly Rollforward'!AC60</f>
        <v>62181.756000000001</v>
      </c>
      <c r="AD121" t="str">
        <f t="shared" ca="1" si="154"/>
        <v>='Weekly Rollforward'!AC60</v>
      </c>
    </row>
    <row r="122" spans="1:30" ht="15" customHeight="1" x14ac:dyDescent="0.35">
      <c r="B122" t="s">
        <v>116</v>
      </c>
      <c r="P122" s="33">
        <v>11990.3</v>
      </c>
      <c r="Q122">
        <f>'Weekly Rollforward'!Q70</f>
        <v>13433.237481538063</v>
      </c>
      <c r="R122">
        <f>'Weekly Rollforward'!R70</f>
        <v>13313.885386707405</v>
      </c>
      <c r="S122">
        <f>'Weekly Rollforward'!S70</f>
        <v>14559.340417100073</v>
      </c>
      <c r="T122">
        <f>'Weekly Rollforward'!T70</f>
        <v>14124.679500312055</v>
      </c>
      <c r="U122">
        <f>'Weekly Rollforward'!U70</f>
        <v>14934.840150255885</v>
      </c>
      <c r="V122">
        <f>'Weekly Rollforward'!V70</f>
        <v>14058.468108184235</v>
      </c>
      <c r="W122">
        <f>'Weekly Rollforward'!W70</f>
        <v>14833.327048711073</v>
      </c>
      <c r="X122">
        <f>'Weekly Rollforward'!X70</f>
        <v>13985.378675071974</v>
      </c>
      <c r="Y122">
        <f>'Weekly Rollforward'!Y70</f>
        <v>14749.783833559019</v>
      </c>
      <c r="Z122">
        <f>'Weekly Rollforward'!Z70</f>
        <v>13624.218600162492</v>
      </c>
      <c r="AA122">
        <f>'Weekly Rollforward'!AA70</f>
        <v>14176.233492133244</v>
      </c>
      <c r="AB122">
        <f>'Weekly Rollforward'!AB70</f>
        <v>13211.262354335937</v>
      </c>
      <c r="AC122">
        <f>'Weekly Rollforward'!AC70</f>
        <v>13837.60937055547</v>
      </c>
      <c r="AD122" t="str">
        <f t="shared" ca="1" si="154"/>
        <v>='Weekly Rollforward'!AC70</v>
      </c>
    </row>
    <row r="123" spans="1:30" ht="15" customHeight="1" x14ac:dyDescent="0.35">
      <c r="B123" t="s">
        <v>117</v>
      </c>
      <c r="P123" s="33">
        <v>28866.3</v>
      </c>
      <c r="Q123">
        <f>'Weekly Rollforward'!Q78</f>
        <v>29693.619571192416</v>
      </c>
      <c r="R123">
        <f>'Weekly Rollforward'!R78</f>
        <v>30530.284771192415</v>
      </c>
      <c r="S123">
        <f>'Weekly Rollforward'!S78</f>
        <v>31366.949971192415</v>
      </c>
      <c r="T123">
        <f>'Weekly Rollforward'!T78</f>
        <v>32203.615171192414</v>
      </c>
      <c r="U123">
        <f>'Weekly Rollforward'!U78</f>
        <v>31073.166371192412</v>
      </c>
      <c r="V123">
        <f>'Weekly Rollforward'!V78</f>
        <v>31930.470371192412</v>
      </c>
      <c r="W123">
        <f>'Weekly Rollforward'!W78</f>
        <v>32787.774371192412</v>
      </c>
      <c r="X123">
        <f>'Weekly Rollforward'!X78</f>
        <v>33645.078371192416</v>
      </c>
      <c r="Y123">
        <f>'Weekly Rollforward'!Y78</f>
        <v>31496.258771192413</v>
      </c>
      <c r="Z123">
        <f>'Weekly Rollforward'!Z78</f>
        <v>32265.450971192415</v>
      </c>
      <c r="AA123">
        <f>'Weekly Rollforward'!AA78</f>
        <v>33034.643171192416</v>
      </c>
      <c r="AB123">
        <f>'Weekly Rollforward'!AB78</f>
        <v>33803.835371192414</v>
      </c>
      <c r="AC123">
        <f>'Weekly Rollforward'!AC78</f>
        <v>32573.027571192411</v>
      </c>
      <c r="AD123" t="str">
        <f t="shared" ca="1" si="154"/>
        <v>='Weekly Rollforward'!AC78</v>
      </c>
    </row>
    <row r="124" spans="1:30" ht="15" customHeight="1" x14ac:dyDescent="0.35">
      <c r="B124" t="s">
        <v>118</v>
      </c>
      <c r="P124" s="33">
        <v>394000</v>
      </c>
      <c r="Q124">
        <f>'13 Week Cash Flow'!Q53</f>
        <v>394000</v>
      </c>
      <c r="R124">
        <f>'13 Week Cash Flow'!R53</f>
        <v>394000</v>
      </c>
      <c r="S124">
        <f>'13 Week Cash Flow'!S53</f>
        <v>394000</v>
      </c>
      <c r="T124">
        <f>'13 Week Cash Flow'!T53</f>
        <v>394000</v>
      </c>
      <c r="U124">
        <f>'13 Week Cash Flow'!U53</f>
        <v>394000</v>
      </c>
      <c r="V124">
        <f>'13 Week Cash Flow'!V53</f>
        <v>394000</v>
      </c>
      <c r="W124">
        <f>'13 Week Cash Flow'!W53</f>
        <v>394000</v>
      </c>
      <c r="X124">
        <f>'13 Week Cash Flow'!X53</f>
        <v>394000</v>
      </c>
      <c r="Y124">
        <f>'13 Week Cash Flow'!Y53</f>
        <v>394000</v>
      </c>
      <c r="Z124">
        <f>'13 Week Cash Flow'!Z53</f>
        <v>394000</v>
      </c>
      <c r="AA124">
        <f>'13 Week Cash Flow'!AA53</f>
        <v>394000</v>
      </c>
      <c r="AB124">
        <f>'13 Week Cash Flow'!AB53</f>
        <v>394000</v>
      </c>
      <c r="AC124">
        <f>'13 Week Cash Flow'!AC53</f>
        <v>394000</v>
      </c>
      <c r="AD124" t="str">
        <f t="shared" ca="1" si="154"/>
        <v>='13 Week Cash Flow'!AC53</v>
      </c>
    </row>
    <row r="126" spans="1:30" ht="15" customHeight="1" x14ac:dyDescent="0.35">
      <c r="A126" s="6" t="s">
        <v>119</v>
      </c>
    </row>
  </sheetData>
  <pageMargins left="0.7" right="0.7" top="0.75" bottom="0.75" header="0.3" footer="0.3"/>
  <pageSetup paperSize="9" orientation="landscape" verticalDpi="1200" r:id="rId1"/>
  <headerFooter>
    <oddHeader xml:space="preserve">&amp;R&amp;10&amp;F 
&amp;A
</oddHeader>
    <oddFooter>&amp;L&amp;10© 2020&amp;C&amp;10Page &amp;P of &amp;N&amp;R&amp;G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5FDD6-4637-451E-8974-53540169D6FE}">
  <dimension ref="A1:AD61"/>
  <sheetViews>
    <sheetView zoomScale="50" zoomScaleNormal="50" workbookViewId="0">
      <selection activeCell="AD4" sqref="AD4"/>
    </sheetView>
  </sheetViews>
  <sheetFormatPr defaultColWidth="9" defaultRowHeight="15" customHeight="1" x14ac:dyDescent="0.35"/>
  <cols>
    <col min="1" max="1" width="1.6328125" style="6" customWidth="1"/>
    <col min="2" max="2" width="40.6328125" customWidth="1"/>
    <col min="3" max="3" width="11.6328125" customWidth="1"/>
    <col min="4" max="15" width="11.6328125" hidden="1" customWidth="1"/>
    <col min="16" max="29" width="11.6328125" customWidth="1"/>
    <col min="30" max="30" width="33.1796875" bestFit="1" customWidth="1"/>
  </cols>
  <sheetData>
    <row r="1" spans="1:30" ht="45" customHeight="1" x14ac:dyDescent="0.65">
      <c r="A1" s="69" t="str">
        <f>Welcome!A2</f>
        <v>13-Week Cash Flow Model</v>
      </c>
      <c r="B1" s="70"/>
      <c r="C1" s="71"/>
      <c r="D1" s="71"/>
      <c r="E1" s="71"/>
      <c r="F1" s="71"/>
      <c r="G1" s="71"/>
      <c r="H1" s="71"/>
      <c r="I1" s="71"/>
      <c r="J1" s="71"/>
      <c r="K1" s="71"/>
      <c r="L1" s="71"/>
      <c r="M1" s="71"/>
      <c r="N1" s="71"/>
      <c r="O1" s="71"/>
      <c r="P1" s="72"/>
      <c r="Q1" s="77"/>
      <c r="R1" s="77"/>
      <c r="S1" s="77"/>
      <c r="T1" s="77"/>
      <c r="U1" s="77"/>
      <c r="V1" s="77"/>
      <c r="W1" s="77"/>
      <c r="X1" s="77"/>
      <c r="Y1" s="77"/>
      <c r="Z1" s="78"/>
      <c r="AA1" s="71"/>
      <c r="AB1" s="72" t="s">
        <v>22</v>
      </c>
      <c r="AC1" s="71"/>
    </row>
    <row r="2" spans="1:30" ht="21" hidden="1" x14ac:dyDescent="0.5">
      <c r="A2" s="5"/>
      <c r="B2" s="4"/>
      <c r="C2" s="37"/>
      <c r="D2" s="37" t="s">
        <v>36</v>
      </c>
      <c r="E2" s="37" t="s">
        <v>36</v>
      </c>
      <c r="F2" s="37" t="s">
        <v>36</v>
      </c>
      <c r="G2" s="37" t="s">
        <v>36</v>
      </c>
      <c r="H2" s="37" t="s">
        <v>36</v>
      </c>
      <c r="I2" s="37" t="s">
        <v>36</v>
      </c>
      <c r="J2" s="37" t="s">
        <v>36</v>
      </c>
      <c r="K2" s="37" t="s">
        <v>36</v>
      </c>
      <c r="L2" s="37" t="s">
        <v>36</v>
      </c>
      <c r="M2" s="37" t="s">
        <v>36</v>
      </c>
      <c r="N2" s="37" t="s">
        <v>36</v>
      </c>
      <c r="O2" s="37" t="s">
        <v>36</v>
      </c>
      <c r="P2" s="37" t="s">
        <v>36</v>
      </c>
      <c r="Q2" s="37" t="s">
        <v>37</v>
      </c>
      <c r="R2" s="37" t="s">
        <v>37</v>
      </c>
      <c r="S2" s="37" t="s">
        <v>37</v>
      </c>
      <c r="T2" s="37" t="s">
        <v>37</v>
      </c>
      <c r="U2" s="37" t="s">
        <v>37</v>
      </c>
      <c r="V2" s="37" t="s">
        <v>37</v>
      </c>
      <c r="W2" s="37" t="s">
        <v>37</v>
      </c>
      <c r="X2" s="37" t="s">
        <v>37</v>
      </c>
      <c r="Y2" s="37" t="s">
        <v>37</v>
      </c>
      <c r="Z2" s="37" t="s">
        <v>37</v>
      </c>
      <c r="AA2" s="37" t="s">
        <v>37</v>
      </c>
      <c r="AB2" s="37" t="s">
        <v>37</v>
      </c>
      <c r="AC2" s="37" t="s">
        <v>37</v>
      </c>
    </row>
    <row r="3" spans="1:30" ht="21" hidden="1" x14ac:dyDescent="0.5">
      <c r="A3" s="5"/>
      <c r="B3" s="4"/>
      <c r="C3" s="37"/>
      <c r="D3" s="37">
        <v>1</v>
      </c>
      <c r="E3" s="37">
        <f>D3+1</f>
        <v>2</v>
      </c>
      <c r="F3" s="37">
        <f t="shared" ref="F3:P3" si="0">E3+1</f>
        <v>3</v>
      </c>
      <c r="G3" s="37">
        <f t="shared" si="0"/>
        <v>4</v>
      </c>
      <c r="H3" s="37">
        <f t="shared" si="0"/>
        <v>5</v>
      </c>
      <c r="I3" s="37">
        <f t="shared" si="0"/>
        <v>6</v>
      </c>
      <c r="J3" s="37">
        <f t="shared" si="0"/>
        <v>7</v>
      </c>
      <c r="K3" s="37">
        <f t="shared" si="0"/>
        <v>8</v>
      </c>
      <c r="L3" s="37">
        <f t="shared" si="0"/>
        <v>9</v>
      </c>
      <c r="M3" s="37">
        <f t="shared" si="0"/>
        <v>10</v>
      </c>
      <c r="N3" s="37">
        <f t="shared" si="0"/>
        <v>11</v>
      </c>
      <c r="O3" s="37">
        <f t="shared" si="0"/>
        <v>12</v>
      </c>
      <c r="P3" s="37">
        <f t="shared" si="0"/>
        <v>13</v>
      </c>
      <c r="Q3" s="37">
        <v>1</v>
      </c>
      <c r="R3" s="37">
        <f>Q3+1</f>
        <v>2</v>
      </c>
      <c r="S3" s="37">
        <f t="shared" ref="S3:AC3" si="1">R3+1</f>
        <v>3</v>
      </c>
      <c r="T3" s="37">
        <f t="shared" si="1"/>
        <v>4</v>
      </c>
      <c r="U3" s="37">
        <f t="shared" si="1"/>
        <v>5</v>
      </c>
      <c r="V3" s="37">
        <f t="shared" si="1"/>
        <v>6</v>
      </c>
      <c r="W3" s="37">
        <f t="shared" si="1"/>
        <v>7</v>
      </c>
      <c r="X3" s="37">
        <f t="shared" si="1"/>
        <v>8</v>
      </c>
      <c r="Y3" s="37">
        <f t="shared" si="1"/>
        <v>9</v>
      </c>
      <c r="Z3" s="37">
        <f t="shared" si="1"/>
        <v>10</v>
      </c>
      <c r="AA3" s="37">
        <f t="shared" si="1"/>
        <v>11</v>
      </c>
      <c r="AB3" s="37">
        <f t="shared" si="1"/>
        <v>12</v>
      </c>
      <c r="AC3" s="37">
        <f t="shared" si="1"/>
        <v>13</v>
      </c>
    </row>
    <row r="4" spans="1:30" ht="21" x14ac:dyDescent="0.5">
      <c r="A4" s="67"/>
      <c r="B4" s="68"/>
      <c r="C4" s="76"/>
      <c r="D4" s="76">
        <v>44050</v>
      </c>
      <c r="E4" s="76">
        <f>D4+7</f>
        <v>44057</v>
      </c>
      <c r="F4" s="76">
        <f t="shared" ref="F4:AC4" si="2">E4+7</f>
        <v>44064</v>
      </c>
      <c r="G4" s="76">
        <f t="shared" si="2"/>
        <v>44071</v>
      </c>
      <c r="H4" s="76">
        <f t="shared" si="2"/>
        <v>44078</v>
      </c>
      <c r="I4" s="76">
        <f t="shared" si="2"/>
        <v>44085</v>
      </c>
      <c r="J4" s="76">
        <f t="shared" si="2"/>
        <v>44092</v>
      </c>
      <c r="K4" s="76">
        <f t="shared" si="2"/>
        <v>44099</v>
      </c>
      <c r="L4" s="76">
        <f t="shared" si="2"/>
        <v>44106</v>
      </c>
      <c r="M4" s="76">
        <f t="shared" si="2"/>
        <v>44113</v>
      </c>
      <c r="N4" s="76">
        <f t="shared" si="2"/>
        <v>44120</v>
      </c>
      <c r="O4" s="76">
        <f t="shared" si="2"/>
        <v>44127</v>
      </c>
      <c r="P4" s="76">
        <f t="shared" si="2"/>
        <v>44134</v>
      </c>
      <c r="Q4" s="76">
        <f>P4+7</f>
        <v>44141</v>
      </c>
      <c r="R4" s="76">
        <f t="shared" si="2"/>
        <v>44148</v>
      </c>
      <c r="S4" s="76">
        <f t="shared" si="2"/>
        <v>44155</v>
      </c>
      <c r="T4" s="76">
        <f t="shared" si="2"/>
        <v>44162</v>
      </c>
      <c r="U4" s="76">
        <f t="shared" si="2"/>
        <v>44169</v>
      </c>
      <c r="V4" s="76">
        <f t="shared" si="2"/>
        <v>44176</v>
      </c>
      <c r="W4" s="76">
        <f t="shared" si="2"/>
        <v>44183</v>
      </c>
      <c r="X4" s="76">
        <f t="shared" si="2"/>
        <v>44190</v>
      </c>
      <c r="Y4" s="76">
        <f t="shared" si="2"/>
        <v>44197</v>
      </c>
      <c r="Z4" s="76">
        <f t="shared" si="2"/>
        <v>44204</v>
      </c>
      <c r="AA4" s="76">
        <f t="shared" si="2"/>
        <v>44211</v>
      </c>
      <c r="AB4" s="76">
        <f t="shared" si="2"/>
        <v>44218</v>
      </c>
      <c r="AC4" s="76">
        <f t="shared" si="2"/>
        <v>44225</v>
      </c>
      <c r="AD4" s="76" t="s">
        <v>172</v>
      </c>
    </row>
    <row r="5" spans="1:30" ht="15" customHeight="1" x14ac:dyDescent="0.35">
      <c r="A5" s="6" t="s">
        <v>120</v>
      </c>
    </row>
    <row r="6" spans="1:30" ht="15" customHeight="1" x14ac:dyDescent="0.35">
      <c r="B6" t="s">
        <v>121</v>
      </c>
      <c r="D6">
        <f>-'Weekly Rollforward'!D39</f>
        <v>3999</v>
      </c>
      <c r="E6">
        <f>-'Weekly Rollforward'!E39</f>
        <v>4156</v>
      </c>
      <c r="F6">
        <f>-'Weekly Rollforward'!F39</f>
        <v>4565</v>
      </c>
      <c r="G6">
        <f>-'Weekly Rollforward'!G39</f>
        <v>5845.8</v>
      </c>
      <c r="H6">
        <f>-'Weekly Rollforward'!H39</f>
        <v>6100.6896774193547</v>
      </c>
      <c r="I6">
        <f>-'Weekly Rollforward'!I39</f>
        <v>7561.26</v>
      </c>
      <c r="J6">
        <f>-'Weekly Rollforward'!J39</f>
        <v>7931.9100000000008</v>
      </c>
      <c r="K6">
        <f>-'Weekly Rollforward'!K39</f>
        <v>6870.29</v>
      </c>
      <c r="L6">
        <f>-'Weekly Rollforward'!L39</f>
        <v>7030.2508064516132</v>
      </c>
      <c r="M6">
        <f>-'Weekly Rollforward'!M39</f>
        <v>8852.5556451612902</v>
      </c>
      <c r="N6">
        <f>-'Weekly Rollforward'!N39</f>
        <v>8234.9354838709678</v>
      </c>
      <c r="O6">
        <f>-'Weekly Rollforward'!O39</f>
        <v>8399.634193548387</v>
      </c>
      <c r="P6">
        <f>-'Weekly Rollforward'!P39</f>
        <v>8070.2367741935486</v>
      </c>
      <c r="Q6">
        <f>-'Weekly Rollforward'!Q39</f>
        <v>4881.0540875576116</v>
      </c>
      <c r="R6">
        <f>-'Weekly Rollforward'!R39</f>
        <v>9009.0514285714162</v>
      </c>
      <c r="S6">
        <f>-'Weekly Rollforward'!S39</f>
        <v>4218.4799999999959</v>
      </c>
      <c r="T6">
        <f>-'Weekly Rollforward'!T39</f>
        <v>5624.6399999999994</v>
      </c>
      <c r="U6">
        <f>-'Weekly Rollforward'!U39</f>
        <v>11216.87999999999</v>
      </c>
      <c r="V6">
        <f>-'Weekly Rollforward'!V39</f>
        <v>10692</v>
      </c>
      <c r="W6">
        <f>-'Weekly Rollforward'!W39</f>
        <v>9525.6000000000058</v>
      </c>
      <c r="X6">
        <f>-'Weekly Rollforward'!X39</f>
        <v>9525.6000000000058</v>
      </c>
      <c r="Y6">
        <f>-'Weekly Rollforward'!Y39</f>
        <v>3285.359999999986</v>
      </c>
      <c r="Z6">
        <f>-'Weekly Rollforward'!Z39</f>
        <v>12840.120000000024</v>
      </c>
      <c r="AA6">
        <f>-'Weekly Rollforward'!AA39</f>
        <v>9049.320000000007</v>
      </c>
      <c r="AB6">
        <f>-'Weekly Rollforward'!AB39</f>
        <v>9049.320000000007</v>
      </c>
      <c r="AC6">
        <f>-'Weekly Rollforward'!AC39</f>
        <v>9049.320000000007</v>
      </c>
      <c r="AD6" t="str">
        <f ca="1">_xlfn.FORMULATEXT(AC6)</f>
        <v>=-'Weekly Rollforward'!AC39</v>
      </c>
    </row>
    <row r="7" spans="1:30" ht="15" customHeight="1" x14ac:dyDescent="0.35">
      <c r="B7" t="s">
        <v>51</v>
      </c>
      <c r="D7">
        <f>'Weekly Rollforward'!D21</f>
        <v>11.741935483870968</v>
      </c>
      <c r="E7">
        <f>'Weekly Rollforward'!E21</f>
        <v>11.741935483870968</v>
      </c>
      <c r="F7">
        <f>'Weekly Rollforward'!F21</f>
        <v>11.741935483870968</v>
      </c>
      <c r="G7">
        <f>'Weekly Rollforward'!G21</f>
        <v>11.741935483870968</v>
      </c>
      <c r="H7">
        <f>'Weekly Rollforward'!H21</f>
        <v>13.832258064516129</v>
      </c>
      <c r="I7">
        <f>'Weekly Rollforward'!I21</f>
        <v>15.4</v>
      </c>
      <c r="J7">
        <f>'Weekly Rollforward'!J21</f>
        <v>15.4</v>
      </c>
      <c r="K7">
        <f>'Weekly Rollforward'!K21</f>
        <v>15.4</v>
      </c>
      <c r="L7">
        <f>'Weekly Rollforward'!L21</f>
        <v>15.838709677419356</v>
      </c>
      <c r="M7">
        <f>'Weekly Rollforward'!M21</f>
        <v>16.93548387096774</v>
      </c>
      <c r="N7">
        <f>'Weekly Rollforward'!N21</f>
        <v>16.93548387096774</v>
      </c>
      <c r="O7">
        <f>'Weekly Rollforward'!O21</f>
        <v>16.93548387096774</v>
      </c>
      <c r="P7" s="33">
        <v>16.93548387096774</v>
      </c>
      <c r="Q7" s="33">
        <v>17.419354838709676</v>
      </c>
      <c r="R7" s="33">
        <v>17.5</v>
      </c>
      <c r="S7" s="33">
        <v>17.5</v>
      </c>
      <c r="T7" s="33">
        <v>17.5</v>
      </c>
      <c r="U7" s="33">
        <v>17.177419354838712</v>
      </c>
      <c r="V7" s="33">
        <v>16.935483870967744</v>
      </c>
      <c r="W7" s="33">
        <v>16.935483870967744</v>
      </c>
      <c r="X7" s="33">
        <v>16.935483870967744</v>
      </c>
      <c r="Y7" s="33">
        <v>16.612903225806452</v>
      </c>
      <c r="Z7" s="33">
        <v>14.677419354838708</v>
      </c>
      <c r="AA7" s="33">
        <v>14.677419354838708</v>
      </c>
      <c r="AB7" s="33">
        <v>14.677419354838708</v>
      </c>
      <c r="AC7" s="33">
        <v>14.677419354838708</v>
      </c>
      <c r="AD7" t="e">
        <f t="shared" ref="AD7:AD16" ca="1" si="3">_xlfn.FORMULATEXT(AC7)</f>
        <v>#N/A</v>
      </c>
    </row>
    <row r="8" spans="1:30" ht="15" customHeight="1" x14ac:dyDescent="0.35">
      <c r="B8" s="35" t="s">
        <v>122</v>
      </c>
      <c r="C8" s="35"/>
      <c r="D8" s="35">
        <f>SUM(D6:D7)</f>
        <v>4010.7419354838707</v>
      </c>
      <c r="E8" s="35">
        <f t="shared" ref="E8:AC8" si="4">SUM(E6:E7)</f>
        <v>4167.7419354838712</v>
      </c>
      <c r="F8" s="35">
        <f t="shared" si="4"/>
        <v>4576.7419354838712</v>
      </c>
      <c r="G8" s="35">
        <f t="shared" si="4"/>
        <v>5857.5419354838714</v>
      </c>
      <c r="H8" s="35">
        <f t="shared" si="4"/>
        <v>6114.5219354838709</v>
      </c>
      <c r="I8" s="35">
        <f t="shared" si="4"/>
        <v>7576.66</v>
      </c>
      <c r="J8" s="35">
        <f t="shared" si="4"/>
        <v>7947.31</v>
      </c>
      <c r="K8" s="35">
        <f t="shared" si="4"/>
        <v>6885.69</v>
      </c>
      <c r="L8" s="35">
        <f t="shared" si="4"/>
        <v>7046.0895161290327</v>
      </c>
      <c r="M8" s="35">
        <f t="shared" si="4"/>
        <v>8869.491129032258</v>
      </c>
      <c r="N8" s="35">
        <f t="shared" si="4"/>
        <v>8251.8709677419356</v>
      </c>
      <c r="O8" s="35">
        <f t="shared" si="4"/>
        <v>8416.5696774193548</v>
      </c>
      <c r="P8" s="35">
        <f t="shared" si="4"/>
        <v>8087.1722580645164</v>
      </c>
      <c r="Q8" s="35">
        <f t="shared" si="4"/>
        <v>4898.4734423963209</v>
      </c>
      <c r="R8" s="35">
        <f t="shared" si="4"/>
        <v>9026.5514285714162</v>
      </c>
      <c r="S8" s="35">
        <f t="shared" si="4"/>
        <v>4235.9799999999959</v>
      </c>
      <c r="T8" s="35">
        <f t="shared" si="4"/>
        <v>5642.1399999999994</v>
      </c>
      <c r="U8" s="35">
        <f t="shared" si="4"/>
        <v>11234.057419354829</v>
      </c>
      <c r="V8" s="35">
        <f t="shared" si="4"/>
        <v>10708.935483870968</v>
      </c>
      <c r="W8" s="35">
        <f t="shared" si="4"/>
        <v>9542.5354838709736</v>
      </c>
      <c r="X8" s="35">
        <f t="shared" si="4"/>
        <v>9542.5354838709736</v>
      </c>
      <c r="Y8" s="35">
        <f t="shared" si="4"/>
        <v>3301.9729032257924</v>
      </c>
      <c r="Z8" s="35">
        <f t="shared" si="4"/>
        <v>12854.797419354863</v>
      </c>
      <c r="AA8" s="35">
        <f t="shared" si="4"/>
        <v>9063.997419354846</v>
      </c>
      <c r="AB8" s="35">
        <f t="shared" si="4"/>
        <v>9063.997419354846</v>
      </c>
      <c r="AC8" s="35">
        <f t="shared" si="4"/>
        <v>9063.997419354846</v>
      </c>
      <c r="AD8" t="str">
        <f t="shared" ca="1" si="3"/>
        <v>=SUM(AC6:AC7)</v>
      </c>
    </row>
    <row r="9" spans="1:30" ht="15" customHeight="1" x14ac:dyDescent="0.35">
      <c r="B9" s="38"/>
      <c r="D9" s="36"/>
      <c r="E9" s="36"/>
      <c r="F9" s="36"/>
      <c r="G9" s="36"/>
    </row>
    <row r="10" spans="1:30" ht="15" customHeight="1" x14ac:dyDescent="0.35">
      <c r="B10" s="38" t="s">
        <v>123</v>
      </c>
      <c r="D10" s="50">
        <f>'Weekly Rollforward'!D69</f>
        <v>-2610.8870967741932</v>
      </c>
      <c r="E10" s="50">
        <f>'Weekly Rollforward'!E69</f>
        <v>-1566.5322580645161</v>
      </c>
      <c r="F10" s="50">
        <f>'Weekly Rollforward'!F69</f>
        <v>-2610.8870967741932</v>
      </c>
      <c r="G10" s="50">
        <f>'Weekly Rollforward'!G69</f>
        <v>-1566.5322580645161</v>
      </c>
      <c r="H10" s="50">
        <f>'Weekly Rollforward'!H69</f>
        <v>-3193.6946129032258</v>
      </c>
      <c r="I10" s="50">
        <f>'Weekly Rollforward'!I69</f>
        <v>-2098.6801499999997</v>
      </c>
      <c r="J10" s="50">
        <f>'Weekly Rollforward'!J69</f>
        <v>-3497.8002499999998</v>
      </c>
      <c r="K10" s="50">
        <f>'Weekly Rollforward'!K69</f>
        <v>-2098.6801499999997</v>
      </c>
      <c r="L10" s="50">
        <f>'Weekly Rollforward'!L69</f>
        <v>-3287.7290709677413</v>
      </c>
      <c r="M10" s="50">
        <f>'Weekly Rollforward'!M69</f>
        <v>-1815.5265032258062</v>
      </c>
      <c r="N10" s="50">
        <f>'Weekly Rollforward'!N69</f>
        <v>-3112.3311483870962</v>
      </c>
      <c r="O10" s="50">
        <f>'Weekly Rollforward'!O69</f>
        <v>-1815.5265032258062</v>
      </c>
      <c r="P10" s="50">
        <f>'Weekly Rollforward'!P69</f>
        <v>-3083.1311483870963</v>
      </c>
      <c r="Q10" s="50">
        <f>'Weekly Rollforward'!Q69</f>
        <v>-2158.2531837522579</v>
      </c>
      <c r="R10" s="50">
        <f>'Weekly Rollforward'!R69</f>
        <v>-3761.3064948306578</v>
      </c>
      <c r="S10" s="50">
        <f>'Weekly Rollforward'!S69</f>
        <v>-2396.4993696073329</v>
      </c>
      <c r="T10" s="50">
        <f>'Weekly Rollforward'!T69</f>
        <v>-4076.6153167880207</v>
      </c>
      <c r="U10" s="50">
        <f>'Weekly Rollforward'!U69</f>
        <v>-2542.4423100561698</v>
      </c>
      <c r="V10" s="50">
        <f>'Weekly Rollforward'!V69</f>
        <v>-4181.7552420716484</v>
      </c>
      <c r="W10" s="50">
        <f>'Weekly Rollforward'!W69</f>
        <v>-2530.5242594731621</v>
      </c>
      <c r="X10" s="50">
        <f>'Weekly Rollforward'!X69</f>
        <v>-4153.3315736391005</v>
      </c>
      <c r="Y10" s="50">
        <f>'Weekly Rollforward'!Y69</f>
        <v>-2517.3681615129553</v>
      </c>
      <c r="Z10" s="50">
        <f>'Weekly Rollforward'!Z69</f>
        <v>-4129.9394733965255</v>
      </c>
      <c r="AA10" s="50">
        <f>'Weekly Rollforward'!AA69</f>
        <v>-2452.3593480292484</v>
      </c>
      <c r="AB10" s="50">
        <f>'Weekly Rollforward'!AB69</f>
        <v>-3969.3453777973086</v>
      </c>
      <c r="AC10" s="50">
        <f>'Weekly Rollforward'!AC69</f>
        <v>-2378.0272237804684</v>
      </c>
      <c r="AD10" t="str">
        <f t="shared" ca="1" si="3"/>
        <v>='Weekly Rollforward'!AC69</v>
      </c>
    </row>
    <row r="11" spans="1:30" ht="15" customHeight="1" x14ac:dyDescent="0.35">
      <c r="B11" s="38" t="s">
        <v>124</v>
      </c>
      <c r="D11">
        <f>'Weekly Rollforward'!D59</f>
        <v>-775.23870967741937</v>
      </c>
      <c r="E11">
        <f>'Weekly Rollforward'!E59</f>
        <v>-3100.9548387096775</v>
      </c>
      <c r="F11">
        <f>'Weekly Rollforward'!F59</f>
        <v>-775.23870967741937</v>
      </c>
      <c r="G11">
        <f>'Weekly Rollforward'!G59</f>
        <v>-3100.9548387096775</v>
      </c>
      <c r="H11">
        <f>'Weekly Rollforward'!H59</f>
        <v>-1146.6755612903225</v>
      </c>
      <c r="I11">
        <f>'Weekly Rollforward'!I59</f>
        <v>-5701.0128000000004</v>
      </c>
      <c r="J11">
        <f>'Weekly Rollforward'!J59</f>
        <v>-1425.2532000000001</v>
      </c>
      <c r="K11">
        <f>'Weekly Rollforward'!K59</f>
        <v>-5283.1128000000008</v>
      </c>
      <c r="L11">
        <f>'Weekly Rollforward'!L59</f>
        <v>-1249.1092516129033</v>
      </c>
      <c r="M11">
        <f>'Weekly Rollforward'!M59</f>
        <v>-3406.1967483870962</v>
      </c>
      <c r="N11">
        <f>'Weekly Rollforward'!N59</f>
        <v>-1621.998451612903</v>
      </c>
      <c r="O11">
        <f>'Weekly Rollforward'!O59</f>
        <v>-393.0992258064515</v>
      </c>
      <c r="P11" s="50">
        <f>'Weekly Rollforward'!P59</f>
        <v>-2826.0969032258058</v>
      </c>
      <c r="Q11" s="50">
        <f>'Weekly Rollforward'!Q59</f>
        <v>-9168.0469751169221</v>
      </c>
      <c r="R11" s="50">
        <f>'Weekly Rollforward'!R59</f>
        <v>-4497.4116000000067</v>
      </c>
      <c r="S11" s="50">
        <f>'Weekly Rollforward'!S59</f>
        <v>-4105.9872000000032</v>
      </c>
      <c r="T11" s="50">
        <f>'Weekly Rollforward'!T59</f>
        <v>-3543.523199999996</v>
      </c>
      <c r="U11" s="50">
        <f>'Weekly Rollforward'!U59</f>
        <v>-2731.7088000000003</v>
      </c>
      <c r="V11" s="50">
        <f>'Weekly Rollforward'!V59</f>
        <v>-2869.3440000000119</v>
      </c>
      <c r="W11" s="50">
        <f>'Weekly Rollforward'!W59</f>
        <v>-4021.1639999999825</v>
      </c>
      <c r="X11" s="50">
        <f>'Weekly Rollforward'!X59</f>
        <v>-3476.8439999999973</v>
      </c>
      <c r="Y11" s="50">
        <f>'Weekly Rollforward'!Y59</f>
        <v>-3168.1854000000094</v>
      </c>
      <c r="Z11" s="50">
        <f>'Weekly Rollforward'!Z59</f>
        <v>7404.0156000000061</v>
      </c>
      <c r="AA11" s="50">
        <f>'Weekly Rollforward'!AA59</f>
        <v>-3348.2483999999968</v>
      </c>
      <c r="AB11" s="50">
        <f>'Weekly Rollforward'!AB59</f>
        <v>-3348.2483999999968</v>
      </c>
      <c r="AC11" s="50">
        <f>'Weekly Rollforward'!AC59</f>
        <v>-3348.2483999999968</v>
      </c>
      <c r="AD11" t="str">
        <f t="shared" ca="1" si="3"/>
        <v>='Weekly Rollforward'!AC59</v>
      </c>
    </row>
    <row r="12" spans="1:30" ht="15" customHeight="1" x14ac:dyDescent="0.35">
      <c r="A12" s="25"/>
      <c r="B12" s="38" t="s">
        <v>125</v>
      </c>
      <c r="D12" s="50">
        <f>'Weekly Rollforward'!D83*-1</f>
        <v>-1129.0322580645161</v>
      </c>
      <c r="E12" s="50">
        <f>'Weekly Rollforward'!E83*-1</f>
        <v>-1129.0322580645161</v>
      </c>
      <c r="F12" s="50">
        <f>'Weekly Rollforward'!F83*-1</f>
        <v>-1129.0322580645161</v>
      </c>
      <c r="G12" s="50">
        <f>'Weekly Rollforward'!G83*-1</f>
        <v>-1129.0322580645161</v>
      </c>
      <c r="H12" s="50">
        <f>'Weekly Rollforward'!H83*-1</f>
        <v>-1017.2043010752689</v>
      </c>
      <c r="I12" s="50">
        <f>'Weekly Rollforward'!I83*-1</f>
        <v>-933.33333333333337</v>
      </c>
      <c r="J12" s="50">
        <f>'Weekly Rollforward'!J83*-1</f>
        <v>-933.33333333333337</v>
      </c>
      <c r="K12" s="50">
        <f>'Weekly Rollforward'!K83*-1</f>
        <v>-933.33333333333337</v>
      </c>
      <c r="L12" s="50">
        <f>'Weekly Rollforward'!L83*-1</f>
        <v>-989.24731182795699</v>
      </c>
      <c r="M12" s="50">
        <f>'Weekly Rollforward'!M83*-1</f>
        <v>-1129.0322580645161</v>
      </c>
      <c r="N12" s="50">
        <f>'Weekly Rollforward'!N83*-1</f>
        <v>-1129.0322580645161</v>
      </c>
      <c r="O12" s="50">
        <f>'Weekly Rollforward'!O83*-1</f>
        <v>-1129.0322580645161</v>
      </c>
      <c r="P12" s="50">
        <f>-'Weekly Rollforward'!P83</f>
        <v>-1129.0322580645161</v>
      </c>
      <c r="Q12" s="50">
        <f>-'Weekly Rollforward'!Q83</f>
        <v>-1161.2903225806451</v>
      </c>
      <c r="R12" s="50">
        <f>-'Weekly Rollforward'!R83</f>
        <v>-1166.6666666666665</v>
      </c>
      <c r="S12" s="50">
        <f>-'Weekly Rollforward'!S83</f>
        <v>-1166.6666666666665</v>
      </c>
      <c r="T12" s="50">
        <f>-'Weekly Rollforward'!T83</f>
        <v>-1166.6666666666665</v>
      </c>
      <c r="U12" s="50">
        <f>-'Weekly Rollforward'!U83</f>
        <v>-1145.1612903225805</v>
      </c>
      <c r="V12" s="50">
        <f>-'Weekly Rollforward'!V83</f>
        <v>-1129.0322580645161</v>
      </c>
      <c r="W12" s="50">
        <f>-'Weekly Rollforward'!W83</f>
        <v>-1129.0322580645161</v>
      </c>
      <c r="X12" s="50">
        <f>-'Weekly Rollforward'!X83</f>
        <v>-1129.0322580645161</v>
      </c>
      <c r="Y12" s="50">
        <f>-'Weekly Rollforward'!Y83</f>
        <v>-1129.0322580645161</v>
      </c>
      <c r="Z12" s="50">
        <f>-'Weekly Rollforward'!Z83</f>
        <v>-1129.0322580645161</v>
      </c>
      <c r="AA12" s="50">
        <f>-'Weekly Rollforward'!AA83</f>
        <v>-1129.0322580645161</v>
      </c>
      <c r="AB12" s="50">
        <f>-'Weekly Rollforward'!AB83</f>
        <v>-1129.0322580645161</v>
      </c>
      <c r="AC12" s="50">
        <f>-'Weekly Rollforward'!AC83</f>
        <v>-1129.0322580645161</v>
      </c>
      <c r="AD12" t="str">
        <f t="shared" ca="1" si="3"/>
        <v>=-'Weekly Rollforward'!AC83</v>
      </c>
    </row>
    <row r="13" spans="1:30" ht="15" customHeight="1" x14ac:dyDescent="0.35">
      <c r="B13" s="38" t="s">
        <v>126</v>
      </c>
      <c r="D13">
        <f>'Weekly Rollforward'!D77</f>
        <v>0</v>
      </c>
      <c r="E13">
        <f>'Weekly Rollforward'!E77</f>
        <v>0</v>
      </c>
      <c r="F13">
        <f>'Weekly Rollforward'!F77</f>
        <v>0</v>
      </c>
      <c r="G13">
        <f>'Weekly Rollforward'!G77</f>
        <v>-94.838709677419359</v>
      </c>
      <c r="H13">
        <f>'Weekly Rollforward'!H77</f>
        <v>0</v>
      </c>
      <c r="I13">
        <f>'Weekly Rollforward'!I77</f>
        <v>0</v>
      </c>
      <c r="J13">
        <f>'Weekly Rollforward'!J77</f>
        <v>0</v>
      </c>
      <c r="K13">
        <f>'Weekly Rollforward'!K77</f>
        <v>0</v>
      </c>
      <c r="L13">
        <f>'Weekly Rollforward'!L77</f>
        <v>-802.43127419354869</v>
      </c>
      <c r="M13">
        <f>'Weekly Rollforward'!M77</f>
        <v>0</v>
      </c>
      <c r="N13">
        <f>'Weekly Rollforward'!N77</f>
        <v>0</v>
      </c>
      <c r="O13">
        <f>'Weekly Rollforward'!O77</f>
        <v>0</v>
      </c>
      <c r="P13" s="50">
        <f>'Weekly Rollforward'!P77</f>
        <v>-1261.5788387096802</v>
      </c>
      <c r="Q13" s="50">
        <f>'Weekly Rollforward'!Q77</f>
        <v>0</v>
      </c>
      <c r="R13" s="50">
        <f>'Weekly Rollforward'!R77</f>
        <v>0</v>
      </c>
      <c r="S13" s="50">
        <f>'Weekly Rollforward'!S77</f>
        <v>0</v>
      </c>
      <c r="T13" s="50">
        <f>'Weekly Rollforward'!T77</f>
        <v>0</v>
      </c>
      <c r="U13" s="50">
        <f>'Weekly Rollforward'!U77</f>
        <v>-2000</v>
      </c>
      <c r="V13" s="50">
        <f>'Weekly Rollforward'!V77</f>
        <v>0</v>
      </c>
      <c r="W13" s="50">
        <f>'Weekly Rollforward'!W77</f>
        <v>0</v>
      </c>
      <c r="X13" s="50">
        <f>'Weekly Rollforward'!X77</f>
        <v>0</v>
      </c>
      <c r="Y13" s="50">
        <f>'Weekly Rollforward'!Y77</f>
        <v>-3000</v>
      </c>
      <c r="Z13" s="50">
        <f>'Weekly Rollforward'!Z77</f>
        <v>0</v>
      </c>
      <c r="AA13" s="50">
        <f>'Weekly Rollforward'!AA77</f>
        <v>0</v>
      </c>
      <c r="AB13" s="50">
        <f>'Weekly Rollforward'!AB77</f>
        <v>0</v>
      </c>
      <c r="AC13" s="50">
        <f>'Weekly Rollforward'!AC77</f>
        <v>-2000</v>
      </c>
      <c r="AD13" t="str">
        <f t="shared" ca="1" si="3"/>
        <v>='Weekly Rollforward'!AC77</v>
      </c>
    </row>
    <row r="14" spans="1:30" ht="15" customHeight="1" x14ac:dyDescent="0.35">
      <c r="B14" s="34" t="s">
        <v>127</v>
      </c>
      <c r="D14" s="50">
        <f>SUM(D10:D13)</f>
        <v>-4515.1580645161284</v>
      </c>
      <c r="E14" s="50">
        <f t="shared" ref="E14:O14" si="5">SUM(E10:E13)</f>
        <v>-5796.5193548387097</v>
      </c>
      <c r="F14" s="50">
        <f t="shared" si="5"/>
        <v>-4515.1580645161284</v>
      </c>
      <c r="G14" s="50">
        <f t="shared" si="5"/>
        <v>-5891.3580645161292</v>
      </c>
      <c r="H14" s="50">
        <f t="shared" si="5"/>
        <v>-5357.574475268817</v>
      </c>
      <c r="I14" s="50">
        <f t="shared" si="5"/>
        <v>-8733.0262833333345</v>
      </c>
      <c r="J14" s="50">
        <f t="shared" si="5"/>
        <v>-5856.3867833333325</v>
      </c>
      <c r="K14" s="50">
        <f t="shared" si="5"/>
        <v>-8315.1262833333349</v>
      </c>
      <c r="L14" s="50">
        <f t="shared" si="5"/>
        <v>-6328.5169086021506</v>
      </c>
      <c r="M14" s="50">
        <f t="shared" si="5"/>
        <v>-6350.7555096774186</v>
      </c>
      <c r="N14" s="50">
        <f t="shared" si="5"/>
        <v>-5863.3618580645152</v>
      </c>
      <c r="O14" s="50">
        <f t="shared" si="5"/>
        <v>-3337.6579870967739</v>
      </c>
      <c r="P14" s="50">
        <f>SUM(P10:P13)</f>
        <v>-8299.8391483870982</v>
      </c>
      <c r="Q14" s="50">
        <f>SUM(Q10:Q13)</f>
        <v>-12487.590481449826</v>
      </c>
      <c r="R14" s="50">
        <f t="shared" ref="R14:AC14" si="6">SUM(R10:R13)</f>
        <v>-9425.3847614973311</v>
      </c>
      <c r="S14" s="50">
        <f t="shared" si="6"/>
        <v>-7669.1532362740018</v>
      </c>
      <c r="T14" s="50">
        <f t="shared" si="6"/>
        <v>-8786.8051834546823</v>
      </c>
      <c r="U14" s="50">
        <f t="shared" si="6"/>
        <v>-8419.3124003787507</v>
      </c>
      <c r="V14" s="50">
        <f t="shared" si="6"/>
        <v>-8180.1315001361763</v>
      </c>
      <c r="W14" s="50">
        <f t="shared" si="6"/>
        <v>-7680.7205175376612</v>
      </c>
      <c r="X14" s="50">
        <f t="shared" si="6"/>
        <v>-8759.2078317036139</v>
      </c>
      <c r="Y14" s="50">
        <f t="shared" si="6"/>
        <v>-9814.5858195774817</v>
      </c>
      <c r="Z14" s="50">
        <f t="shared" si="6"/>
        <v>2145.0438685389645</v>
      </c>
      <c r="AA14" s="50">
        <f t="shared" si="6"/>
        <v>-6929.6400060937613</v>
      </c>
      <c r="AB14" s="50">
        <f t="shared" si="6"/>
        <v>-8446.6260358618201</v>
      </c>
      <c r="AC14" s="50">
        <f t="shared" si="6"/>
        <v>-8855.3078818449812</v>
      </c>
      <c r="AD14" t="str">
        <f t="shared" ca="1" si="3"/>
        <v>=SUM(AC10:AC13)</v>
      </c>
    </row>
    <row r="15" spans="1:30" ht="15" customHeight="1" x14ac:dyDescent="0.35">
      <c r="B15" s="38"/>
    </row>
    <row r="16" spans="1:30" ht="15" customHeight="1" x14ac:dyDescent="0.35">
      <c r="B16" s="38" t="s">
        <v>128</v>
      </c>
      <c r="D16" s="50">
        <f>D8+D14</f>
        <v>-504.41612903225769</v>
      </c>
      <c r="E16" s="50">
        <f t="shared" ref="E16:AC16" si="7">E8+E14</f>
        <v>-1628.7774193548385</v>
      </c>
      <c r="F16" s="50">
        <f t="shared" si="7"/>
        <v>61.583870967742769</v>
      </c>
      <c r="G16" s="50">
        <f t="shared" si="7"/>
        <v>-33.816129032257777</v>
      </c>
      <c r="H16" s="50">
        <f t="shared" si="7"/>
        <v>756.94746021505398</v>
      </c>
      <c r="I16" s="50">
        <f t="shared" si="7"/>
        <v>-1156.3662833333346</v>
      </c>
      <c r="J16" s="50">
        <f t="shared" si="7"/>
        <v>2090.9232166666679</v>
      </c>
      <c r="K16" s="50">
        <f t="shared" si="7"/>
        <v>-1429.4362833333353</v>
      </c>
      <c r="L16" s="50">
        <f t="shared" si="7"/>
        <v>717.57260752688217</v>
      </c>
      <c r="M16" s="50">
        <f t="shared" si="7"/>
        <v>2518.7356193548394</v>
      </c>
      <c r="N16" s="50">
        <f t="shared" si="7"/>
        <v>2388.5091096774204</v>
      </c>
      <c r="O16" s="50">
        <f t="shared" si="7"/>
        <v>5078.9116903225804</v>
      </c>
      <c r="P16" s="50">
        <f t="shared" si="7"/>
        <v>-212.66689032258182</v>
      </c>
      <c r="Q16" s="50">
        <f t="shared" si="7"/>
        <v>-7589.1170390535053</v>
      </c>
      <c r="R16" s="50">
        <f t="shared" si="7"/>
        <v>-398.83333292591487</v>
      </c>
      <c r="S16" s="50">
        <f t="shared" si="7"/>
        <v>-3433.1732362740058</v>
      </c>
      <c r="T16" s="50">
        <f t="shared" si="7"/>
        <v>-3144.6651834546828</v>
      </c>
      <c r="U16" s="50">
        <f t="shared" si="7"/>
        <v>2814.7450189760784</v>
      </c>
      <c r="V16" s="50">
        <f t="shared" si="7"/>
        <v>2528.8039837347915</v>
      </c>
      <c r="W16" s="50">
        <f t="shared" si="7"/>
        <v>1861.8149663333124</v>
      </c>
      <c r="X16" s="50">
        <f t="shared" si="7"/>
        <v>783.3276521673597</v>
      </c>
      <c r="Y16" s="50">
        <f t="shared" si="7"/>
        <v>-6512.6129163516889</v>
      </c>
      <c r="Z16" s="50">
        <f t="shared" si="7"/>
        <v>14999.841287893829</v>
      </c>
      <c r="AA16" s="50">
        <f t="shared" si="7"/>
        <v>2134.3574132610847</v>
      </c>
      <c r="AB16" s="50">
        <f t="shared" si="7"/>
        <v>617.37138349302586</v>
      </c>
      <c r="AC16" s="50">
        <f t="shared" si="7"/>
        <v>208.68953750986475</v>
      </c>
      <c r="AD16" t="str">
        <f t="shared" ca="1" si="3"/>
        <v>=AC8+AC14</v>
      </c>
    </row>
    <row r="17" spans="1:30" ht="15" customHeight="1" x14ac:dyDescent="0.35">
      <c r="B17" s="34"/>
      <c r="D17" s="36"/>
      <c r="E17" s="36"/>
      <c r="F17" s="36"/>
      <c r="G17" s="36"/>
    </row>
    <row r="18" spans="1:30" ht="15" customHeight="1" x14ac:dyDescent="0.35">
      <c r="B18" s="38" t="s">
        <v>129</v>
      </c>
      <c r="D18" s="36">
        <v>0</v>
      </c>
      <c r="E18" s="36">
        <v>0</v>
      </c>
      <c r="F18" s="36">
        <v>0</v>
      </c>
      <c r="G18" s="36">
        <v>0</v>
      </c>
      <c r="H18" s="36">
        <v>0</v>
      </c>
      <c r="I18" s="36">
        <v>0</v>
      </c>
      <c r="J18" s="36">
        <v>0</v>
      </c>
      <c r="K18" s="36">
        <v>0</v>
      </c>
      <c r="L18" s="36">
        <v>0</v>
      </c>
      <c r="M18" s="33">
        <v>0</v>
      </c>
      <c r="N18" s="33">
        <v>0</v>
      </c>
      <c r="O18" s="33">
        <v>0</v>
      </c>
      <c r="P18" s="33">
        <v>-486.13917749999962</v>
      </c>
      <c r="Q18" s="33">
        <v>0</v>
      </c>
      <c r="R18" s="33">
        <v>0</v>
      </c>
      <c r="S18" s="33">
        <v>0</v>
      </c>
      <c r="T18" s="33">
        <v>0</v>
      </c>
      <c r="U18" s="33">
        <v>0</v>
      </c>
      <c r="V18" s="33">
        <v>0</v>
      </c>
      <c r="W18" s="33">
        <v>0</v>
      </c>
      <c r="X18" s="33">
        <v>0</v>
      </c>
      <c r="Y18" s="33">
        <v>0</v>
      </c>
      <c r="Z18" s="33">
        <v>0</v>
      </c>
      <c r="AA18" s="33">
        <v>0</v>
      </c>
      <c r="AB18" s="33">
        <v>0</v>
      </c>
      <c r="AC18" s="51">
        <f>-SUM(Q55:AC55)</f>
        <v>-585.20587391569427</v>
      </c>
      <c r="AD18" s="60" t="str">
        <f ca="1">_xlfn.FORMULATEXT(AC18)</f>
        <v>=-SUM(Q55:AC55)</v>
      </c>
    </row>
    <row r="19" spans="1:30" ht="15" customHeight="1" x14ac:dyDescent="0.35">
      <c r="B19" s="38" t="s">
        <v>130</v>
      </c>
      <c r="D19" s="36">
        <v>0</v>
      </c>
      <c r="E19" s="36">
        <v>0</v>
      </c>
      <c r="F19" s="36">
        <v>0</v>
      </c>
      <c r="G19" s="36">
        <v>0</v>
      </c>
      <c r="H19" s="36">
        <v>0</v>
      </c>
      <c r="I19" s="36">
        <v>0</v>
      </c>
      <c r="J19" s="36">
        <v>0</v>
      </c>
      <c r="K19" s="36">
        <v>0</v>
      </c>
      <c r="L19" s="36">
        <v>0</v>
      </c>
      <c r="M19" s="33">
        <v>0</v>
      </c>
      <c r="N19" s="33">
        <v>0</v>
      </c>
      <c r="O19" s="33">
        <v>0</v>
      </c>
      <c r="P19" s="33">
        <v>-3515.6250000000005</v>
      </c>
      <c r="Q19" s="33">
        <v>0</v>
      </c>
      <c r="R19" s="33">
        <v>0</v>
      </c>
      <c r="S19" s="33">
        <v>0</v>
      </c>
      <c r="T19" s="33">
        <v>0</v>
      </c>
      <c r="U19" s="33">
        <v>0</v>
      </c>
      <c r="V19" s="33">
        <v>0</v>
      </c>
      <c r="W19" s="33">
        <v>0</v>
      </c>
      <c r="X19" s="33">
        <v>0</v>
      </c>
      <c r="Y19" s="33">
        <v>0</v>
      </c>
      <c r="Z19" s="33">
        <v>0</v>
      </c>
      <c r="AA19" s="33">
        <v>0</v>
      </c>
      <c r="AB19" s="33">
        <v>0</v>
      </c>
      <c r="AC19" s="51">
        <f>-SUM(Q56:AC56)</f>
        <v>-3693.7499999999986</v>
      </c>
      <c r="AD19" s="60" t="str">
        <f ca="1">_xlfn.FORMULATEXT(AC19)</f>
        <v>=-SUM(Q56:AC56)</v>
      </c>
    </row>
    <row r="20" spans="1:30" ht="15" customHeight="1" x14ac:dyDescent="0.35">
      <c r="B20" s="38" t="s">
        <v>53</v>
      </c>
      <c r="D20" s="33">
        <v>0</v>
      </c>
      <c r="E20" s="33">
        <v>0</v>
      </c>
      <c r="F20" s="33">
        <v>0</v>
      </c>
      <c r="G20" s="33">
        <v>0</v>
      </c>
      <c r="H20" s="33">
        <v>0</v>
      </c>
      <c r="I20" s="33">
        <v>0</v>
      </c>
      <c r="J20" s="33">
        <v>0</v>
      </c>
      <c r="K20" s="33">
        <v>0</v>
      </c>
      <c r="L20" s="33">
        <v>0</v>
      </c>
      <c r="M20" s="33">
        <v>0</v>
      </c>
      <c r="N20" s="33">
        <v>0</v>
      </c>
      <c r="O20" s="33">
        <v>0</v>
      </c>
      <c r="P20" s="33">
        <v>-1000</v>
      </c>
      <c r="Q20" s="33">
        <v>0</v>
      </c>
      <c r="R20" s="33">
        <v>0</v>
      </c>
      <c r="S20" s="33">
        <v>0</v>
      </c>
      <c r="T20" s="33">
        <v>0</v>
      </c>
      <c r="U20" s="33">
        <v>0</v>
      </c>
      <c r="V20" s="33">
        <v>0</v>
      </c>
      <c r="W20" s="33">
        <v>0</v>
      </c>
      <c r="X20" s="33">
        <v>0</v>
      </c>
      <c r="Y20" s="33">
        <v>0</v>
      </c>
      <c r="Z20" s="33">
        <v>0</v>
      </c>
      <c r="AA20" s="33">
        <v>0</v>
      </c>
      <c r="AB20" s="33">
        <v>0</v>
      </c>
      <c r="AC20" s="33">
        <v>-1000</v>
      </c>
      <c r="AD20" t="e">
        <f ca="1">_xlfn.FORMULATEXT(AC20)</f>
        <v>#N/A</v>
      </c>
    </row>
    <row r="21" spans="1:30" ht="15" customHeight="1" x14ac:dyDescent="0.35">
      <c r="B21" s="42" t="s">
        <v>131</v>
      </c>
      <c r="C21" s="35"/>
      <c r="D21" s="35">
        <f>SUM(D18:D20)</f>
        <v>0</v>
      </c>
      <c r="E21" s="35">
        <f>SUM(E18:E20)</f>
        <v>0</v>
      </c>
      <c r="F21" s="35">
        <f>SUM(F18:F20)</f>
        <v>0</v>
      </c>
      <c r="G21" s="35">
        <f>SUM(G18:G20)</f>
        <v>0</v>
      </c>
      <c r="H21" s="35">
        <f t="shared" ref="H21:L21" si="8">SUM(H18:H20)</f>
        <v>0</v>
      </c>
      <c r="I21" s="35">
        <f t="shared" si="8"/>
        <v>0</v>
      </c>
      <c r="J21" s="35">
        <f t="shared" si="8"/>
        <v>0</v>
      </c>
      <c r="K21" s="35">
        <f t="shared" si="8"/>
        <v>0</v>
      </c>
      <c r="L21" s="35">
        <f t="shared" si="8"/>
        <v>0</v>
      </c>
      <c r="M21" s="35">
        <f t="shared" ref="M21" si="9">SUM(M18:M20)</f>
        <v>0</v>
      </c>
      <c r="N21" s="35">
        <f t="shared" ref="N21" si="10">SUM(N18:N20)</f>
        <v>0</v>
      </c>
      <c r="O21" s="35">
        <f t="shared" ref="O21" si="11">SUM(O18:O20)</f>
        <v>0</v>
      </c>
      <c r="P21" s="35">
        <f>SUM(P18:P20)</f>
        <v>-5001.7641775000002</v>
      </c>
      <c r="Q21" s="35">
        <f>SUM(Q18:Q20)</f>
        <v>0</v>
      </c>
      <c r="R21" s="35">
        <f t="shared" ref="R21:AC21" si="12">SUM(R18:R20)</f>
        <v>0</v>
      </c>
      <c r="S21" s="35">
        <f t="shared" si="12"/>
        <v>0</v>
      </c>
      <c r="T21" s="35">
        <f t="shared" si="12"/>
        <v>0</v>
      </c>
      <c r="U21" s="35">
        <f t="shared" si="12"/>
        <v>0</v>
      </c>
      <c r="V21" s="35">
        <f t="shared" si="12"/>
        <v>0</v>
      </c>
      <c r="W21" s="35">
        <f t="shared" si="12"/>
        <v>0</v>
      </c>
      <c r="X21" s="35">
        <f t="shared" si="12"/>
        <v>0</v>
      </c>
      <c r="Y21" s="35">
        <f t="shared" si="12"/>
        <v>0</v>
      </c>
      <c r="Z21" s="35">
        <f t="shared" si="12"/>
        <v>0</v>
      </c>
      <c r="AA21" s="35">
        <f t="shared" si="12"/>
        <v>0</v>
      </c>
      <c r="AB21" s="35">
        <f t="shared" si="12"/>
        <v>0</v>
      </c>
      <c r="AC21" s="35">
        <f t="shared" si="12"/>
        <v>-5278.9558739156928</v>
      </c>
      <c r="AD21" t="str">
        <f ca="1">_xlfn.FORMULATEXT(AC21)</f>
        <v>=SUM(AC18:AC20)</v>
      </c>
    </row>
    <row r="22" spans="1:30" ht="15" customHeight="1" x14ac:dyDescent="0.35">
      <c r="B22" s="38"/>
    </row>
    <row r="23" spans="1:30" ht="15" customHeight="1" x14ac:dyDescent="0.35">
      <c r="B23" s="38" t="s">
        <v>132</v>
      </c>
      <c r="D23">
        <f>D16+D21</f>
        <v>-504.41612903225769</v>
      </c>
      <c r="E23">
        <f t="shared" ref="E23:O23" si="13">E16+E21</f>
        <v>-1628.7774193548385</v>
      </c>
      <c r="F23">
        <f t="shared" si="13"/>
        <v>61.583870967742769</v>
      </c>
      <c r="G23">
        <f t="shared" si="13"/>
        <v>-33.816129032257777</v>
      </c>
      <c r="H23">
        <f t="shared" si="13"/>
        <v>756.94746021505398</v>
      </c>
      <c r="I23">
        <f t="shared" si="13"/>
        <v>-1156.3662833333346</v>
      </c>
      <c r="J23">
        <f t="shared" si="13"/>
        <v>2090.9232166666679</v>
      </c>
      <c r="K23">
        <f t="shared" si="13"/>
        <v>-1429.4362833333353</v>
      </c>
      <c r="L23">
        <f t="shared" si="13"/>
        <v>717.57260752688217</v>
      </c>
      <c r="M23">
        <f t="shared" si="13"/>
        <v>2518.7356193548394</v>
      </c>
      <c r="N23">
        <f t="shared" si="13"/>
        <v>2388.5091096774204</v>
      </c>
      <c r="O23">
        <f t="shared" si="13"/>
        <v>5078.9116903225804</v>
      </c>
      <c r="P23">
        <f>P16+P21</f>
        <v>-5214.431067822582</v>
      </c>
      <c r="Q23">
        <f>Q16+Q21</f>
        <v>-7589.1170390535053</v>
      </c>
      <c r="R23">
        <f t="shared" ref="R23:AC23" si="14">R16+R21</f>
        <v>-398.83333292591487</v>
      </c>
      <c r="S23">
        <f t="shared" si="14"/>
        <v>-3433.1732362740058</v>
      </c>
      <c r="T23">
        <f t="shared" si="14"/>
        <v>-3144.6651834546828</v>
      </c>
      <c r="U23">
        <f t="shared" si="14"/>
        <v>2814.7450189760784</v>
      </c>
      <c r="V23">
        <f t="shared" si="14"/>
        <v>2528.8039837347915</v>
      </c>
      <c r="W23">
        <f t="shared" si="14"/>
        <v>1861.8149663333124</v>
      </c>
      <c r="X23">
        <f t="shared" si="14"/>
        <v>783.3276521673597</v>
      </c>
      <c r="Y23">
        <f t="shared" si="14"/>
        <v>-6512.6129163516889</v>
      </c>
      <c r="Z23">
        <f t="shared" si="14"/>
        <v>14999.841287893829</v>
      </c>
      <c r="AA23">
        <f t="shared" si="14"/>
        <v>2134.3574132610847</v>
      </c>
      <c r="AB23">
        <f t="shared" si="14"/>
        <v>617.37138349302586</v>
      </c>
      <c r="AC23">
        <f t="shared" si="14"/>
        <v>-5070.266336405828</v>
      </c>
      <c r="AD23" t="str">
        <f ca="1">_xlfn.FORMULATEXT(AC23)</f>
        <v>=AC16+AC21</v>
      </c>
    </row>
    <row r="24" spans="1:30" ht="15" customHeight="1" x14ac:dyDescent="0.35">
      <c r="B24" s="38"/>
    </row>
    <row r="25" spans="1:30" ht="15" customHeight="1" x14ac:dyDescent="0.35">
      <c r="A25" s="6" t="s">
        <v>133</v>
      </c>
    </row>
    <row r="26" spans="1:30" ht="15" customHeight="1" x14ac:dyDescent="0.35">
      <c r="B26" s="38" t="s">
        <v>134</v>
      </c>
      <c r="Q26">
        <f>P28</f>
        <v>21989</v>
      </c>
      <c r="R26">
        <f t="shared" ref="R26:AC26" si="15">Q28</f>
        <v>14399.882960946496</v>
      </c>
      <c r="S26">
        <f t="shared" si="15"/>
        <v>14001.049628020581</v>
      </c>
      <c r="T26">
        <f t="shared" si="15"/>
        <v>10567.876391746575</v>
      </c>
      <c r="U26">
        <f t="shared" si="15"/>
        <v>7423.211208291892</v>
      </c>
      <c r="V26">
        <f t="shared" si="15"/>
        <v>10237.95622726797</v>
      </c>
      <c r="W26">
        <f t="shared" si="15"/>
        <v>12766.760211002762</v>
      </c>
      <c r="X26">
        <f t="shared" si="15"/>
        <v>14628.575177336075</v>
      </c>
      <c r="Y26">
        <f t="shared" si="15"/>
        <v>15411.902829503435</v>
      </c>
      <c r="Z26">
        <f t="shared" si="15"/>
        <v>8899.2899131517461</v>
      </c>
      <c r="AA26">
        <f t="shared" si="15"/>
        <v>23899.131201045573</v>
      </c>
      <c r="AB26">
        <f t="shared" si="15"/>
        <v>26033.488614306658</v>
      </c>
      <c r="AC26">
        <f t="shared" si="15"/>
        <v>26650.859997799686</v>
      </c>
      <c r="AD26" t="str">
        <f t="shared" ref="AD26:AD31" ca="1" si="16">_xlfn.FORMULATEXT(AC26)</f>
        <v>=AB28</v>
      </c>
    </row>
    <row r="27" spans="1:30" ht="15" customHeight="1" x14ac:dyDescent="0.35">
      <c r="B27" s="38" t="s">
        <v>132</v>
      </c>
      <c r="Q27">
        <f t="shared" ref="Q27:AC27" si="17">Q23</f>
        <v>-7589.1170390535053</v>
      </c>
      <c r="R27">
        <f t="shared" si="17"/>
        <v>-398.83333292591487</v>
      </c>
      <c r="S27">
        <f t="shared" si="17"/>
        <v>-3433.1732362740058</v>
      </c>
      <c r="T27">
        <f t="shared" si="17"/>
        <v>-3144.6651834546828</v>
      </c>
      <c r="U27">
        <f t="shared" si="17"/>
        <v>2814.7450189760784</v>
      </c>
      <c r="V27">
        <f t="shared" si="17"/>
        <v>2528.8039837347915</v>
      </c>
      <c r="W27">
        <f t="shared" si="17"/>
        <v>1861.8149663333124</v>
      </c>
      <c r="X27">
        <f t="shared" si="17"/>
        <v>783.3276521673597</v>
      </c>
      <c r="Y27">
        <f t="shared" si="17"/>
        <v>-6512.6129163516889</v>
      </c>
      <c r="Z27">
        <f t="shared" si="17"/>
        <v>14999.841287893829</v>
      </c>
      <c r="AA27">
        <f t="shared" si="17"/>
        <v>2134.3574132610847</v>
      </c>
      <c r="AB27">
        <f t="shared" si="17"/>
        <v>617.37138349302586</v>
      </c>
      <c r="AC27">
        <f t="shared" si="17"/>
        <v>-5070.266336405828</v>
      </c>
      <c r="AD27" t="str">
        <f t="shared" ca="1" si="16"/>
        <v>=AC23</v>
      </c>
    </row>
    <row r="28" spans="1:30" ht="15" customHeight="1" x14ac:dyDescent="0.35">
      <c r="B28" s="38" t="s">
        <v>135</v>
      </c>
      <c r="P28">
        <f>'Weekly Rollforward'!P114</f>
        <v>21989</v>
      </c>
      <c r="Q28">
        <f>SUM(Q26:Q27)</f>
        <v>14399.882960946496</v>
      </c>
      <c r="R28">
        <f t="shared" ref="R28:AC28" si="18">SUM(R26:R27)</f>
        <v>14001.049628020581</v>
      </c>
      <c r="S28">
        <f t="shared" si="18"/>
        <v>10567.876391746575</v>
      </c>
      <c r="T28">
        <f t="shared" si="18"/>
        <v>7423.211208291892</v>
      </c>
      <c r="U28">
        <f t="shared" si="18"/>
        <v>10237.95622726797</v>
      </c>
      <c r="V28">
        <f t="shared" si="18"/>
        <v>12766.760211002762</v>
      </c>
      <c r="W28">
        <f t="shared" si="18"/>
        <v>14628.575177336075</v>
      </c>
      <c r="X28">
        <f t="shared" si="18"/>
        <v>15411.902829503435</v>
      </c>
      <c r="Y28">
        <f t="shared" si="18"/>
        <v>8899.2899131517461</v>
      </c>
      <c r="Z28">
        <f t="shared" si="18"/>
        <v>23899.131201045573</v>
      </c>
      <c r="AA28">
        <f t="shared" si="18"/>
        <v>26033.488614306658</v>
      </c>
      <c r="AB28">
        <f t="shared" si="18"/>
        <v>26650.859997799686</v>
      </c>
      <c r="AC28">
        <f t="shared" si="18"/>
        <v>21580.593661393857</v>
      </c>
      <c r="AD28" t="str">
        <f t="shared" ca="1" si="16"/>
        <v>=SUM(AC26:AC27)</v>
      </c>
    </row>
    <row r="29" spans="1:30" ht="15" customHeight="1" x14ac:dyDescent="0.35">
      <c r="B29" s="38" t="s">
        <v>136</v>
      </c>
      <c r="C29" s="33"/>
      <c r="P29" s="33">
        <v>20000</v>
      </c>
      <c r="Q29">
        <f>P29</f>
        <v>20000</v>
      </c>
      <c r="R29">
        <f t="shared" ref="R29:AC29" si="19">Q29</f>
        <v>20000</v>
      </c>
      <c r="S29">
        <f t="shared" si="19"/>
        <v>20000</v>
      </c>
      <c r="T29">
        <f t="shared" si="19"/>
        <v>20000</v>
      </c>
      <c r="U29">
        <f t="shared" si="19"/>
        <v>20000</v>
      </c>
      <c r="V29">
        <f t="shared" si="19"/>
        <v>20000</v>
      </c>
      <c r="W29">
        <f t="shared" si="19"/>
        <v>20000</v>
      </c>
      <c r="X29">
        <f t="shared" si="19"/>
        <v>20000</v>
      </c>
      <c r="Y29">
        <f t="shared" si="19"/>
        <v>20000</v>
      </c>
      <c r="Z29">
        <f t="shared" si="19"/>
        <v>20000</v>
      </c>
      <c r="AA29">
        <f t="shared" si="19"/>
        <v>20000</v>
      </c>
      <c r="AB29">
        <f t="shared" si="19"/>
        <v>20000</v>
      </c>
      <c r="AC29">
        <f t="shared" si="19"/>
        <v>20000</v>
      </c>
      <c r="AD29" t="str">
        <f t="shared" ca="1" si="16"/>
        <v>=AB29</v>
      </c>
    </row>
    <row r="30" spans="1:30" ht="15" customHeight="1" x14ac:dyDescent="0.35">
      <c r="B30" s="38" t="s">
        <v>137</v>
      </c>
      <c r="Q30">
        <f>Q28-Q29</f>
        <v>-5600.1170390535044</v>
      </c>
      <c r="R30">
        <f t="shared" ref="R30:AC30" si="20">R28-R29</f>
        <v>-5998.9503719794193</v>
      </c>
      <c r="S30">
        <f t="shared" si="20"/>
        <v>-9432.1236082534251</v>
      </c>
      <c r="T30">
        <f t="shared" si="20"/>
        <v>-12576.788791708108</v>
      </c>
      <c r="U30">
        <f t="shared" si="20"/>
        <v>-9762.0437727320295</v>
      </c>
      <c r="V30">
        <f t="shared" si="20"/>
        <v>-7233.2397889972381</v>
      </c>
      <c r="W30">
        <f t="shared" si="20"/>
        <v>-5371.4248226639247</v>
      </c>
      <c r="X30">
        <f t="shared" si="20"/>
        <v>-4588.097170496565</v>
      </c>
      <c r="Y30">
        <f t="shared" si="20"/>
        <v>-11100.710086848254</v>
      </c>
      <c r="Z30">
        <f t="shared" si="20"/>
        <v>3899.1312010455731</v>
      </c>
      <c r="AA30">
        <f t="shared" si="20"/>
        <v>6033.4886143066578</v>
      </c>
      <c r="AB30">
        <f t="shared" si="20"/>
        <v>6650.8599977996855</v>
      </c>
      <c r="AC30">
        <f t="shared" si="20"/>
        <v>1580.5936613938575</v>
      </c>
      <c r="AD30" t="str">
        <f t="shared" ca="1" si="16"/>
        <v>=AC28-AC29</v>
      </c>
    </row>
    <row r="31" spans="1:30" ht="15" customHeight="1" x14ac:dyDescent="0.35">
      <c r="B31" s="38" t="s">
        <v>138</v>
      </c>
      <c r="Q31">
        <f>MAX(Q29,Q29+Q30)</f>
        <v>20000</v>
      </c>
      <c r="R31">
        <f t="shared" ref="R31:AC31" si="21">MAX(R29,R29+R30)</f>
        <v>20000</v>
      </c>
      <c r="S31">
        <f t="shared" si="21"/>
        <v>20000</v>
      </c>
      <c r="T31">
        <f t="shared" si="21"/>
        <v>20000</v>
      </c>
      <c r="U31">
        <f t="shared" si="21"/>
        <v>20000</v>
      </c>
      <c r="V31">
        <f t="shared" si="21"/>
        <v>20000</v>
      </c>
      <c r="W31">
        <f t="shared" si="21"/>
        <v>20000</v>
      </c>
      <c r="X31">
        <f t="shared" si="21"/>
        <v>20000</v>
      </c>
      <c r="Y31">
        <f t="shared" si="21"/>
        <v>20000</v>
      </c>
      <c r="Z31">
        <f t="shared" si="21"/>
        <v>23899.131201045573</v>
      </c>
      <c r="AA31">
        <f t="shared" si="21"/>
        <v>26033.488614306658</v>
      </c>
      <c r="AB31">
        <f t="shared" si="21"/>
        <v>26650.859997799686</v>
      </c>
      <c r="AC31">
        <f t="shared" si="21"/>
        <v>21580.593661393857</v>
      </c>
      <c r="AD31" t="str">
        <f t="shared" ca="1" si="16"/>
        <v>=MAX(AC29,AC29+AC30)</v>
      </c>
    </row>
    <row r="32" spans="1:30" ht="15" customHeight="1" x14ac:dyDescent="0.35">
      <c r="B32" s="38"/>
    </row>
    <row r="33" spans="1:30" ht="15" customHeight="1" x14ac:dyDescent="0.35">
      <c r="A33" s="6" t="s">
        <v>139</v>
      </c>
    </row>
    <row r="34" spans="1:30" ht="15" customHeight="1" x14ac:dyDescent="0.35">
      <c r="B34" s="38" t="s">
        <v>140</v>
      </c>
    </row>
    <row r="35" spans="1:30" ht="15" customHeight="1" x14ac:dyDescent="0.35">
      <c r="B35" s="34" t="s">
        <v>141</v>
      </c>
      <c r="Q35">
        <f>'Weekly Rollforward'!Q93</f>
        <v>33559.746439112903</v>
      </c>
      <c r="R35">
        <f>'Weekly Rollforward'!R93</f>
        <v>35925.050571428575</v>
      </c>
      <c r="S35">
        <f>'Weekly Rollforward'!S93</f>
        <v>36331.659000000007</v>
      </c>
      <c r="T35">
        <f>'Weekly Rollforward'!T93</f>
        <v>39073.671000000002</v>
      </c>
      <c r="U35">
        <f>'Weekly Rollforward'!U93</f>
        <v>41130.180000000008</v>
      </c>
      <c r="V35">
        <f>'Weekly Rollforward'!V93</f>
        <v>40372.020000000004</v>
      </c>
      <c r="W35">
        <f>'Weekly Rollforward'!W93</f>
        <v>39803.400000000009</v>
      </c>
      <c r="X35">
        <f>'Weekly Rollforward'!X93</f>
        <v>39803.400000000009</v>
      </c>
      <c r="Y35">
        <f>'Weekly Rollforward'!Y93</f>
        <v>39803.400000000009</v>
      </c>
      <c r="Z35">
        <f>'Weekly Rollforward'!Z93</f>
        <v>42812.347500000018</v>
      </c>
      <c r="AA35">
        <f>'Weekly Rollforward'!AA93</f>
        <v>40964.332500000004</v>
      </c>
      <c r="AB35">
        <f>'Weekly Rollforward'!AB93</f>
        <v>40964.332500000004</v>
      </c>
      <c r="AC35">
        <f>'Weekly Rollforward'!AC93</f>
        <v>40964.332500000004</v>
      </c>
      <c r="AD35" t="str">
        <f t="shared" ref="AD35:AD41" ca="1" si="22">_xlfn.FORMULATEXT(AC35)</f>
        <v>='Weekly Rollforward'!AC93</v>
      </c>
    </row>
    <row r="36" spans="1:30" ht="15" customHeight="1" x14ac:dyDescent="0.35">
      <c r="B36" s="34" t="s">
        <v>142</v>
      </c>
      <c r="Q36">
        <f>'Weekly Rollforward'!Q105</f>
        <v>47714.791236449775</v>
      </c>
      <c r="R36">
        <f>'Weekly Rollforward'!R105</f>
        <v>51098.04</v>
      </c>
      <c r="S36">
        <f>'Weekly Rollforward'!S105</f>
        <v>52414.614000000001</v>
      </c>
      <c r="T36">
        <f>'Weekly Rollforward'!T105</f>
        <v>53152.847999999998</v>
      </c>
      <c r="U36">
        <f>'Weekly Rollforward'!U105</f>
        <v>53152.847999999998</v>
      </c>
      <c r="V36">
        <f>'Weekly Rollforward'!V105</f>
        <v>52173.071999999993</v>
      </c>
      <c r="W36">
        <f>'Weekly Rollforward'!W105</f>
        <v>51438.240000000005</v>
      </c>
      <c r="X36">
        <f>'Weekly Rollforward'!X105</f>
        <v>52152.66</v>
      </c>
      <c r="Y36">
        <f>'Weekly Rollforward'!Y105</f>
        <v>52152.66</v>
      </c>
      <c r="Z36">
        <f>'Weekly Rollforward'!Z105</f>
        <v>51780.141000000018</v>
      </c>
      <c r="AA36">
        <f>'Weekly Rollforward'!AA105</f>
        <v>47712.539700000008</v>
      </c>
      <c r="AB36">
        <f>'Weekly Rollforward'!AB105</f>
        <v>47712.539700000008</v>
      </c>
      <c r="AC36">
        <f>'Weekly Rollforward'!AC105</f>
        <v>47712.539700000008</v>
      </c>
      <c r="AD36" t="str">
        <f t="shared" ca="1" si="22"/>
        <v>='Weekly Rollforward'!AC105</v>
      </c>
    </row>
    <row r="37" spans="1:30" ht="15" customHeight="1" x14ac:dyDescent="0.35">
      <c r="B37" s="39" t="s">
        <v>143</v>
      </c>
      <c r="C37" s="35"/>
      <c r="D37" s="35"/>
      <c r="E37" s="35"/>
      <c r="F37" s="35"/>
      <c r="G37" s="35"/>
      <c r="H37" s="35"/>
      <c r="I37" s="35"/>
      <c r="J37" s="35"/>
      <c r="K37" s="35"/>
      <c r="L37" s="35"/>
      <c r="M37" s="35"/>
      <c r="N37" s="35"/>
      <c r="O37" s="35"/>
      <c r="P37" s="35"/>
      <c r="Q37" s="35">
        <f>SUM(Q35:Q36)</f>
        <v>81274.537675562678</v>
      </c>
      <c r="R37" s="35">
        <f t="shared" ref="R37:AC37" si="23">SUM(R35:R36)</f>
        <v>87023.090571428576</v>
      </c>
      <c r="S37" s="35">
        <f t="shared" si="23"/>
        <v>88746.273000000016</v>
      </c>
      <c r="T37" s="35">
        <f t="shared" si="23"/>
        <v>92226.519</v>
      </c>
      <c r="U37" s="35">
        <f t="shared" si="23"/>
        <v>94283.028000000006</v>
      </c>
      <c r="V37" s="35">
        <f t="shared" si="23"/>
        <v>92545.092000000004</v>
      </c>
      <c r="W37" s="35">
        <f t="shared" si="23"/>
        <v>91241.640000000014</v>
      </c>
      <c r="X37" s="35">
        <f t="shared" si="23"/>
        <v>91956.060000000012</v>
      </c>
      <c r="Y37" s="35">
        <f t="shared" si="23"/>
        <v>91956.060000000012</v>
      </c>
      <c r="Z37" s="35">
        <f t="shared" si="23"/>
        <v>94592.488500000036</v>
      </c>
      <c r="AA37" s="35">
        <f t="shared" si="23"/>
        <v>88676.872200000013</v>
      </c>
      <c r="AB37" s="35">
        <f t="shared" si="23"/>
        <v>88676.872200000013</v>
      </c>
      <c r="AC37" s="35">
        <f t="shared" si="23"/>
        <v>88676.872200000013</v>
      </c>
      <c r="AD37" t="str">
        <f t="shared" ca="1" si="22"/>
        <v>=SUM(AC35:AC36)</v>
      </c>
    </row>
    <row r="38" spans="1:30" ht="15" customHeight="1" x14ac:dyDescent="0.35">
      <c r="B38" s="38" t="s">
        <v>144</v>
      </c>
      <c r="D38" s="36"/>
      <c r="E38" s="36"/>
      <c r="F38" s="36"/>
      <c r="G38" s="36"/>
      <c r="H38" s="36"/>
      <c r="I38" s="36"/>
      <c r="J38" s="36"/>
      <c r="K38" s="36"/>
      <c r="L38" s="36"/>
      <c r="M38" s="36"/>
      <c r="N38" s="36"/>
      <c r="O38" s="36"/>
      <c r="P38" s="36"/>
      <c r="Q38" s="36">
        <v>100000</v>
      </c>
      <c r="R38" s="36">
        <v>100000</v>
      </c>
      <c r="S38" s="36">
        <v>100000</v>
      </c>
      <c r="T38" s="36">
        <v>100000</v>
      </c>
      <c r="U38" s="36">
        <v>100000</v>
      </c>
      <c r="V38" s="36">
        <v>100000</v>
      </c>
      <c r="W38" s="36">
        <v>100000</v>
      </c>
      <c r="X38" s="36">
        <v>100000</v>
      </c>
      <c r="Y38" s="36">
        <v>100000</v>
      </c>
      <c r="Z38" s="36">
        <v>100000</v>
      </c>
      <c r="AA38" s="36">
        <v>100000</v>
      </c>
      <c r="AB38" s="36">
        <v>100000</v>
      </c>
      <c r="AC38" s="36">
        <v>100000</v>
      </c>
    </row>
    <row r="39" spans="1:30" ht="15" customHeight="1" x14ac:dyDescent="0.35">
      <c r="B39" s="39" t="s">
        <v>145</v>
      </c>
      <c r="C39" s="35"/>
      <c r="D39" s="35"/>
      <c r="E39" s="35"/>
      <c r="F39" s="35"/>
      <c r="G39" s="35"/>
      <c r="H39" s="35"/>
      <c r="I39" s="35"/>
      <c r="J39" s="35"/>
      <c r="K39" s="35"/>
      <c r="L39" s="35"/>
      <c r="M39" s="35"/>
      <c r="N39" s="35"/>
      <c r="O39" s="35"/>
      <c r="P39" s="35"/>
      <c r="Q39" s="35">
        <f>MIN(Q38,Q37)</f>
        <v>81274.537675562678</v>
      </c>
      <c r="R39" s="35">
        <f t="shared" ref="R39:AC39" si="24">MIN(R38,R37)</f>
        <v>87023.090571428576</v>
      </c>
      <c r="S39" s="35">
        <f t="shared" si="24"/>
        <v>88746.273000000016</v>
      </c>
      <c r="T39" s="35">
        <f t="shared" si="24"/>
        <v>92226.519</v>
      </c>
      <c r="U39" s="35">
        <f t="shared" si="24"/>
        <v>94283.028000000006</v>
      </c>
      <c r="V39" s="35">
        <f t="shared" si="24"/>
        <v>92545.092000000004</v>
      </c>
      <c r="W39" s="35">
        <f t="shared" si="24"/>
        <v>91241.640000000014</v>
      </c>
      <c r="X39" s="35">
        <f t="shared" si="24"/>
        <v>91956.060000000012</v>
      </c>
      <c r="Y39" s="35">
        <f t="shared" si="24"/>
        <v>91956.060000000012</v>
      </c>
      <c r="Z39" s="35">
        <f t="shared" si="24"/>
        <v>94592.488500000036</v>
      </c>
      <c r="AA39" s="35">
        <f t="shared" si="24"/>
        <v>88676.872200000013</v>
      </c>
      <c r="AB39" s="35">
        <f t="shared" si="24"/>
        <v>88676.872200000013</v>
      </c>
      <c r="AC39" s="35">
        <f t="shared" si="24"/>
        <v>88676.872200000013</v>
      </c>
      <c r="AD39" t="str">
        <f t="shared" ca="1" si="22"/>
        <v>=MIN(AC38,AC37)</v>
      </c>
    </row>
    <row r="40" spans="1:30" ht="15" customHeight="1" x14ac:dyDescent="0.35">
      <c r="B40" s="38" t="s">
        <v>146</v>
      </c>
      <c r="Q40" s="33">
        <v>-10000</v>
      </c>
      <c r="R40" s="33">
        <v>-10000</v>
      </c>
      <c r="S40" s="33">
        <v>-10000</v>
      </c>
      <c r="T40" s="33">
        <v>-10000</v>
      </c>
      <c r="U40" s="33">
        <v>-10000</v>
      </c>
      <c r="V40" s="33">
        <v>-10000</v>
      </c>
      <c r="W40" s="33">
        <v>-10000</v>
      </c>
      <c r="X40" s="33">
        <v>-10000</v>
      </c>
      <c r="Y40" s="33">
        <v>-10000</v>
      </c>
      <c r="Z40" s="33">
        <v>-10000</v>
      </c>
      <c r="AA40" s="33">
        <v>-10000</v>
      </c>
      <c r="AB40" s="33">
        <v>-10000</v>
      </c>
      <c r="AC40" s="33">
        <v>-10000</v>
      </c>
    </row>
    <row r="41" spans="1:30" ht="15" customHeight="1" x14ac:dyDescent="0.35">
      <c r="B41" s="39" t="s">
        <v>147</v>
      </c>
      <c r="C41" s="35"/>
      <c r="D41" s="35"/>
      <c r="E41" s="35"/>
      <c r="F41" s="35"/>
      <c r="G41" s="35"/>
      <c r="H41" s="35"/>
      <c r="I41" s="35"/>
      <c r="J41" s="35"/>
      <c r="K41" s="35"/>
      <c r="L41" s="35"/>
      <c r="M41" s="35"/>
      <c r="N41" s="35"/>
      <c r="O41" s="35"/>
      <c r="P41" s="35"/>
      <c r="Q41" s="35">
        <f>SUM(Q39:Q40)</f>
        <v>71274.537675562678</v>
      </c>
      <c r="R41" s="35">
        <f t="shared" ref="R41:AC41" si="25">SUM(R39:R40)</f>
        <v>77023.090571428576</v>
      </c>
      <c r="S41" s="35">
        <f t="shared" si="25"/>
        <v>78746.273000000016</v>
      </c>
      <c r="T41" s="35">
        <f t="shared" si="25"/>
        <v>82226.519</v>
      </c>
      <c r="U41" s="35">
        <f t="shared" si="25"/>
        <v>84283.028000000006</v>
      </c>
      <c r="V41" s="35">
        <f t="shared" si="25"/>
        <v>82545.092000000004</v>
      </c>
      <c r="W41" s="35">
        <f t="shared" si="25"/>
        <v>81241.640000000014</v>
      </c>
      <c r="X41" s="35">
        <f t="shared" si="25"/>
        <v>81956.060000000012</v>
      </c>
      <c r="Y41" s="35">
        <f t="shared" si="25"/>
        <v>81956.060000000012</v>
      </c>
      <c r="Z41" s="35">
        <f t="shared" si="25"/>
        <v>84592.488500000036</v>
      </c>
      <c r="AA41" s="35">
        <f t="shared" si="25"/>
        <v>78676.872200000013</v>
      </c>
      <c r="AB41" s="35">
        <f t="shared" si="25"/>
        <v>78676.872200000013</v>
      </c>
      <c r="AC41" s="35">
        <f t="shared" si="25"/>
        <v>78676.872200000013</v>
      </c>
      <c r="AD41" t="str">
        <f t="shared" ca="1" si="22"/>
        <v>=SUM(AC39:AC40)</v>
      </c>
    </row>
    <row r="42" spans="1:30" ht="15" customHeight="1" x14ac:dyDescent="0.35">
      <c r="B42" s="38"/>
    </row>
    <row r="43" spans="1:30" ht="15" customHeight="1" x14ac:dyDescent="0.35">
      <c r="B43" s="38" t="s">
        <v>148</v>
      </c>
      <c r="Q43">
        <f>MAX((Q41-Q45),0)</f>
        <v>7162.5781755626813</v>
      </c>
      <c r="R43">
        <f t="shared" ref="R43:AC43" si="26">MAX((R41-R45),0)</f>
        <v>7311.014032375082</v>
      </c>
      <c r="S43">
        <f t="shared" si="26"/>
        <v>3035.2460889671056</v>
      </c>
      <c r="T43">
        <f t="shared" si="26"/>
        <v>3480.2459999999846</v>
      </c>
      <c r="U43">
        <f t="shared" si="26"/>
        <v>2056.5090000000055</v>
      </c>
      <c r="V43">
        <f t="shared" si="26"/>
        <v>0</v>
      </c>
      <c r="W43">
        <f t="shared" si="26"/>
        <v>0</v>
      </c>
      <c r="X43">
        <f t="shared" si="26"/>
        <v>0</v>
      </c>
      <c r="Y43">
        <f t="shared" si="26"/>
        <v>0</v>
      </c>
      <c r="Z43">
        <f t="shared" si="26"/>
        <v>309.46050000003015</v>
      </c>
      <c r="AA43">
        <f t="shared" si="26"/>
        <v>0</v>
      </c>
      <c r="AB43">
        <f t="shared" si="26"/>
        <v>4326.4640153522341</v>
      </c>
      <c r="AC43">
        <f t="shared" si="26"/>
        <v>10977.324013151927</v>
      </c>
      <c r="AD43" t="str">
        <f t="shared" ref="AD43:AD49" ca="1" si="27">_xlfn.FORMULATEXT(AC43)</f>
        <v>=MAX((AC41-AC45),0)</v>
      </c>
    </row>
    <row r="44" spans="1:30" ht="15" customHeight="1" x14ac:dyDescent="0.35">
      <c r="B44" s="38"/>
    </row>
    <row r="45" spans="1:30" ht="15" customHeight="1" x14ac:dyDescent="0.35">
      <c r="B45" s="38" t="s">
        <v>149</v>
      </c>
      <c r="Q45">
        <f>P48</f>
        <v>64111.959499999997</v>
      </c>
      <c r="R45">
        <f t="shared" ref="R45:AC45" si="28">Q48</f>
        <v>69712.076539053494</v>
      </c>
      <c r="S45">
        <f t="shared" si="28"/>
        <v>75711.02691103291</v>
      </c>
      <c r="T45">
        <f t="shared" si="28"/>
        <v>78746.273000000016</v>
      </c>
      <c r="U45">
        <f t="shared" si="28"/>
        <v>82226.519</v>
      </c>
      <c r="V45">
        <f t="shared" si="28"/>
        <v>84283.028000000006</v>
      </c>
      <c r="W45">
        <f t="shared" si="28"/>
        <v>84283.028000000006</v>
      </c>
      <c r="X45">
        <f t="shared" si="28"/>
        <v>84283.028000000006</v>
      </c>
      <c r="Y45">
        <f t="shared" si="28"/>
        <v>84283.028000000006</v>
      </c>
      <c r="Z45">
        <f t="shared" si="28"/>
        <v>84283.028000000006</v>
      </c>
      <c r="AA45">
        <f t="shared" si="28"/>
        <v>80383.896798954433</v>
      </c>
      <c r="AB45">
        <f t="shared" si="28"/>
        <v>74350.408184647778</v>
      </c>
      <c r="AC45">
        <f t="shared" si="28"/>
        <v>67699.548186848086</v>
      </c>
      <c r="AD45" t="str">
        <f t="shared" ca="1" si="27"/>
        <v>=AB48</v>
      </c>
    </row>
    <row r="46" spans="1:30" ht="15" customHeight="1" x14ac:dyDescent="0.35">
      <c r="B46" s="38" t="s">
        <v>150</v>
      </c>
      <c r="Q46">
        <f>MAX(0,MIN(-Q30,Q43))</f>
        <v>5600.1170390535044</v>
      </c>
      <c r="R46">
        <f t="shared" ref="R46:AC46" si="29">MAX(0,MIN(-R30,R43))</f>
        <v>5998.9503719794193</v>
      </c>
      <c r="S46">
        <f t="shared" si="29"/>
        <v>3035.2460889671056</v>
      </c>
      <c r="T46">
        <f t="shared" si="29"/>
        <v>3480.2459999999846</v>
      </c>
      <c r="U46">
        <f t="shared" si="29"/>
        <v>2056.5090000000055</v>
      </c>
      <c r="V46">
        <f t="shared" si="29"/>
        <v>0</v>
      </c>
      <c r="W46">
        <f t="shared" si="29"/>
        <v>0</v>
      </c>
      <c r="X46">
        <f t="shared" si="29"/>
        <v>0</v>
      </c>
      <c r="Y46">
        <f t="shared" si="29"/>
        <v>0</v>
      </c>
      <c r="Z46">
        <f t="shared" si="29"/>
        <v>0</v>
      </c>
      <c r="AA46">
        <f t="shared" si="29"/>
        <v>0</v>
      </c>
      <c r="AB46">
        <f t="shared" si="29"/>
        <v>0</v>
      </c>
      <c r="AC46">
        <f t="shared" si="29"/>
        <v>0</v>
      </c>
      <c r="AD46" t="str">
        <f t="shared" ca="1" si="27"/>
        <v>=MAX(0,MIN(-AC30,AC43))</v>
      </c>
    </row>
    <row r="47" spans="1:30" ht="15" customHeight="1" x14ac:dyDescent="0.35">
      <c r="B47" s="38" t="s">
        <v>151</v>
      </c>
      <c r="Q47">
        <f>MIN(0,(-MIN(Q45,Q30)))</f>
        <v>0</v>
      </c>
      <c r="R47">
        <f t="shared" ref="R47:AC47" si="30">MIN(0,(-MIN(R45,R30)))</f>
        <v>0</v>
      </c>
      <c r="S47">
        <f t="shared" si="30"/>
        <v>0</v>
      </c>
      <c r="T47">
        <f t="shared" si="30"/>
        <v>0</v>
      </c>
      <c r="U47">
        <f t="shared" si="30"/>
        <v>0</v>
      </c>
      <c r="V47">
        <f t="shared" si="30"/>
        <v>0</v>
      </c>
      <c r="W47">
        <f t="shared" si="30"/>
        <v>0</v>
      </c>
      <c r="X47">
        <f t="shared" si="30"/>
        <v>0</v>
      </c>
      <c r="Y47">
        <f t="shared" si="30"/>
        <v>0</v>
      </c>
      <c r="Z47">
        <f t="shared" si="30"/>
        <v>-3899.1312010455731</v>
      </c>
      <c r="AA47">
        <f t="shared" si="30"/>
        <v>-6033.4886143066578</v>
      </c>
      <c r="AB47">
        <f t="shared" si="30"/>
        <v>-6650.8599977996855</v>
      </c>
      <c r="AC47">
        <f t="shared" si="30"/>
        <v>-1580.5936613938575</v>
      </c>
      <c r="AD47" t="str">
        <f t="shared" ca="1" si="27"/>
        <v>=MIN(0,(-MIN(AC45,AC30)))</v>
      </c>
    </row>
    <row r="48" spans="1:30" ht="15" customHeight="1" x14ac:dyDescent="0.35">
      <c r="B48" s="38" t="s">
        <v>152</v>
      </c>
      <c r="P48" s="51">
        <f>'Weekly Rollforward'!P120</f>
        <v>64111.959499999997</v>
      </c>
      <c r="Q48">
        <f>SUM(Q45:Q47)</f>
        <v>69712.076539053494</v>
      </c>
      <c r="R48">
        <f t="shared" ref="R48:AC48" si="31">SUM(R45:R47)</f>
        <v>75711.02691103291</v>
      </c>
      <c r="S48">
        <f t="shared" si="31"/>
        <v>78746.273000000016</v>
      </c>
      <c r="T48">
        <f t="shared" si="31"/>
        <v>82226.519</v>
      </c>
      <c r="U48">
        <f t="shared" si="31"/>
        <v>84283.028000000006</v>
      </c>
      <c r="V48">
        <f t="shared" si="31"/>
        <v>84283.028000000006</v>
      </c>
      <c r="W48">
        <f t="shared" si="31"/>
        <v>84283.028000000006</v>
      </c>
      <c r="X48">
        <f t="shared" si="31"/>
        <v>84283.028000000006</v>
      </c>
      <c r="Y48">
        <f t="shared" si="31"/>
        <v>84283.028000000006</v>
      </c>
      <c r="Z48">
        <f t="shared" si="31"/>
        <v>80383.896798954433</v>
      </c>
      <c r="AA48">
        <f t="shared" si="31"/>
        <v>74350.408184647778</v>
      </c>
      <c r="AB48">
        <f t="shared" si="31"/>
        <v>67699.548186848086</v>
      </c>
      <c r="AC48">
        <f t="shared" si="31"/>
        <v>66118.954525454232</v>
      </c>
      <c r="AD48" t="str">
        <f t="shared" ca="1" si="27"/>
        <v>=SUM(AC45:AC47)</v>
      </c>
    </row>
    <row r="49" spans="1:30" ht="15" customHeight="1" x14ac:dyDescent="0.35">
      <c r="B49" s="38" t="s">
        <v>153</v>
      </c>
      <c r="Q49">
        <f>MIN(Q48,Q48-(Q45-Q30))</f>
        <v>0</v>
      </c>
      <c r="R49">
        <f t="shared" ref="R49:AC49" si="32">MIN(R48,R48-(R45-R30))</f>
        <v>0</v>
      </c>
      <c r="S49">
        <f t="shared" si="32"/>
        <v>-6396.877519286325</v>
      </c>
      <c r="T49">
        <f t="shared" si="32"/>
        <v>-9096.5427917081252</v>
      </c>
      <c r="U49">
        <f t="shared" si="32"/>
        <v>-7705.5347727320186</v>
      </c>
      <c r="V49">
        <f t="shared" si="32"/>
        <v>-7233.2397889972344</v>
      </c>
      <c r="W49">
        <f t="shared" si="32"/>
        <v>-5371.424822663932</v>
      </c>
      <c r="X49">
        <f t="shared" si="32"/>
        <v>-4588.0971704965632</v>
      </c>
      <c r="Y49">
        <f t="shared" si="32"/>
        <v>-11100.710086848252</v>
      </c>
      <c r="Z49">
        <f t="shared" si="32"/>
        <v>0</v>
      </c>
      <c r="AA49">
        <f t="shared" si="32"/>
        <v>0</v>
      </c>
      <c r="AB49">
        <f t="shared" si="32"/>
        <v>0</v>
      </c>
      <c r="AC49">
        <f t="shared" si="32"/>
        <v>0</v>
      </c>
      <c r="AD49" t="str">
        <f t="shared" ca="1" si="27"/>
        <v>=MIN(AC48,AC48-(AC45-AC30))</v>
      </c>
    </row>
    <row r="51" spans="1:30" ht="15" customHeight="1" x14ac:dyDescent="0.35">
      <c r="A51" s="6" t="s">
        <v>154</v>
      </c>
    </row>
    <row r="52" spans="1:30" ht="15" customHeight="1" x14ac:dyDescent="0.35">
      <c r="B52" s="38" t="s">
        <v>155</v>
      </c>
      <c r="P52">
        <f>P48</f>
        <v>64111.959499999997</v>
      </c>
      <c r="Q52">
        <f>Q48</f>
        <v>69712.076539053494</v>
      </c>
      <c r="R52">
        <f t="shared" ref="R52:AC52" si="33">R48</f>
        <v>75711.02691103291</v>
      </c>
      <c r="S52">
        <f t="shared" si="33"/>
        <v>78746.273000000016</v>
      </c>
      <c r="T52">
        <f t="shared" si="33"/>
        <v>82226.519</v>
      </c>
      <c r="U52">
        <f t="shared" si="33"/>
        <v>84283.028000000006</v>
      </c>
      <c r="V52">
        <f t="shared" si="33"/>
        <v>84283.028000000006</v>
      </c>
      <c r="W52">
        <f t="shared" si="33"/>
        <v>84283.028000000006</v>
      </c>
      <c r="X52">
        <f t="shared" si="33"/>
        <v>84283.028000000006</v>
      </c>
      <c r="Y52">
        <f t="shared" si="33"/>
        <v>84283.028000000006</v>
      </c>
      <c r="Z52">
        <f t="shared" si="33"/>
        <v>80383.896798954433</v>
      </c>
      <c r="AA52">
        <f t="shared" si="33"/>
        <v>74350.408184647778</v>
      </c>
      <c r="AB52">
        <f t="shared" si="33"/>
        <v>67699.548186848086</v>
      </c>
      <c r="AC52">
        <f t="shared" si="33"/>
        <v>66118.954525454232</v>
      </c>
      <c r="AD52" t="str">
        <f t="shared" ref="AD52:AD56" ca="1" si="34">_xlfn.FORMULATEXT(AC52)</f>
        <v>=AC48</v>
      </c>
    </row>
    <row r="53" spans="1:30" ht="15" customHeight="1" x14ac:dyDescent="0.35">
      <c r="B53" s="38" t="s">
        <v>156</v>
      </c>
      <c r="P53" s="51">
        <f>'Weekly Rollforward'!P124</f>
        <v>394000</v>
      </c>
      <c r="Q53">
        <f>P53</f>
        <v>394000</v>
      </c>
      <c r="R53">
        <f t="shared" ref="R53:AC53" si="35">Q53</f>
        <v>394000</v>
      </c>
      <c r="S53">
        <f t="shared" si="35"/>
        <v>394000</v>
      </c>
      <c r="T53">
        <f t="shared" si="35"/>
        <v>394000</v>
      </c>
      <c r="U53">
        <f t="shared" si="35"/>
        <v>394000</v>
      </c>
      <c r="V53">
        <f t="shared" si="35"/>
        <v>394000</v>
      </c>
      <c r="W53">
        <f t="shared" si="35"/>
        <v>394000</v>
      </c>
      <c r="X53">
        <f t="shared" si="35"/>
        <v>394000</v>
      </c>
      <c r="Y53">
        <f t="shared" si="35"/>
        <v>394000</v>
      </c>
      <c r="Z53">
        <f t="shared" si="35"/>
        <v>394000</v>
      </c>
      <c r="AA53">
        <f t="shared" si="35"/>
        <v>394000</v>
      </c>
      <c r="AB53">
        <f t="shared" si="35"/>
        <v>394000</v>
      </c>
      <c r="AC53">
        <f t="shared" si="35"/>
        <v>394000</v>
      </c>
      <c r="AD53" t="str">
        <f t="shared" ca="1" si="34"/>
        <v>=AB53</v>
      </c>
    </row>
    <row r="55" spans="1:30" ht="15" customHeight="1" x14ac:dyDescent="0.35">
      <c r="B55" t="s">
        <v>157</v>
      </c>
      <c r="C55" s="56">
        <v>0.03</v>
      </c>
      <c r="D55">
        <v>37.395321346153807</v>
      </c>
      <c r="E55">
        <v>37.395321346153807</v>
      </c>
      <c r="F55">
        <v>37.395321346153807</v>
      </c>
      <c r="G55">
        <v>37.395321346153807</v>
      </c>
      <c r="H55">
        <v>37.395321346153807</v>
      </c>
      <c r="I55">
        <v>37.395321346153807</v>
      </c>
      <c r="J55">
        <v>37.395321346153807</v>
      </c>
      <c r="K55">
        <v>37.395321346153807</v>
      </c>
      <c r="L55">
        <v>37.395321346153807</v>
      </c>
      <c r="M55">
        <v>37.395321346153807</v>
      </c>
      <c r="N55">
        <v>37.395321346153807</v>
      </c>
      <c r="O55">
        <v>37.395321346153807</v>
      </c>
      <c r="P55" s="33">
        <v>37.395321346153807</v>
      </c>
      <c r="Q55">
        <f>$C$55*P48/52</f>
        <v>36.987668942307693</v>
      </c>
      <c r="R55">
        <f t="shared" ref="R55:AC55" si="36">$C$55*Q48/52</f>
        <v>40.218505695607782</v>
      </c>
      <c r="S55">
        <f t="shared" si="36"/>
        <v>43.679438602518985</v>
      </c>
      <c r="T55">
        <f t="shared" si="36"/>
        <v>45.430542115384625</v>
      </c>
      <c r="U55">
        <f t="shared" si="36"/>
        <v>47.438376346153845</v>
      </c>
      <c r="V55">
        <f t="shared" si="36"/>
        <v>48.624823846153845</v>
      </c>
      <c r="W55">
        <f t="shared" si="36"/>
        <v>48.624823846153845</v>
      </c>
      <c r="X55">
        <f t="shared" si="36"/>
        <v>48.624823846153845</v>
      </c>
      <c r="Y55">
        <f t="shared" si="36"/>
        <v>48.624823846153845</v>
      </c>
      <c r="Z55">
        <f t="shared" si="36"/>
        <v>48.624823846153845</v>
      </c>
      <c r="AA55">
        <f t="shared" si="36"/>
        <v>46.375325076319868</v>
      </c>
      <c r="AB55">
        <f t="shared" si="36"/>
        <v>42.894466260373719</v>
      </c>
      <c r="AC55">
        <f t="shared" si="36"/>
        <v>39.057431646258507</v>
      </c>
      <c r="AD55" t="str">
        <f t="shared" ca="1" si="34"/>
        <v>=$C$55*AB48/52</v>
      </c>
    </row>
    <row r="56" spans="1:30" ht="15" customHeight="1" x14ac:dyDescent="0.35">
      <c r="B56" t="s">
        <v>158</v>
      </c>
      <c r="C56" s="56">
        <v>3.7499999999999999E-2</v>
      </c>
      <c r="D56">
        <v>270.43269230769226</v>
      </c>
      <c r="E56">
        <v>270.43269230769226</v>
      </c>
      <c r="F56">
        <v>270.43269230769226</v>
      </c>
      <c r="G56">
        <v>270.43269230769226</v>
      </c>
      <c r="H56">
        <v>270.43269230769226</v>
      </c>
      <c r="I56">
        <v>270.43269230769226</v>
      </c>
      <c r="J56">
        <v>270.43269230769226</v>
      </c>
      <c r="K56">
        <v>270.43269230769226</v>
      </c>
      <c r="L56">
        <v>270.43269230769226</v>
      </c>
      <c r="M56">
        <v>270.43269230769226</v>
      </c>
      <c r="N56">
        <v>270.43269230769226</v>
      </c>
      <c r="O56">
        <v>270.43269230769226</v>
      </c>
      <c r="P56" s="33">
        <v>270.43269230769226</v>
      </c>
      <c r="Q56">
        <f>$C$56*P53/52</f>
        <v>284.13461538461536</v>
      </c>
      <c r="R56">
        <f t="shared" ref="R56:AC56" si="37">$C$56*Q53/52</f>
        <v>284.13461538461536</v>
      </c>
      <c r="S56">
        <f t="shared" si="37"/>
        <v>284.13461538461536</v>
      </c>
      <c r="T56">
        <f t="shared" si="37"/>
        <v>284.13461538461536</v>
      </c>
      <c r="U56">
        <f t="shared" si="37"/>
        <v>284.13461538461536</v>
      </c>
      <c r="V56">
        <f t="shared" si="37"/>
        <v>284.13461538461536</v>
      </c>
      <c r="W56">
        <f t="shared" si="37"/>
        <v>284.13461538461536</v>
      </c>
      <c r="X56">
        <f t="shared" si="37"/>
        <v>284.13461538461536</v>
      </c>
      <c r="Y56">
        <f t="shared" si="37"/>
        <v>284.13461538461536</v>
      </c>
      <c r="Z56">
        <f t="shared" si="37"/>
        <v>284.13461538461536</v>
      </c>
      <c r="AA56">
        <f t="shared" si="37"/>
        <v>284.13461538461536</v>
      </c>
      <c r="AB56">
        <f t="shared" si="37"/>
        <v>284.13461538461536</v>
      </c>
      <c r="AC56">
        <f t="shared" si="37"/>
        <v>284.13461538461536</v>
      </c>
      <c r="AD56" t="str">
        <f t="shared" ca="1" si="34"/>
        <v>=$C$56*AB53/52</v>
      </c>
    </row>
    <row r="57" spans="1:30" ht="15" customHeight="1" x14ac:dyDescent="0.35">
      <c r="D57" s="55"/>
    </row>
    <row r="59" spans="1:30" ht="15" customHeight="1" x14ac:dyDescent="0.35">
      <c r="B59" t="s">
        <v>159</v>
      </c>
    </row>
    <row r="61" spans="1:30" ht="15" customHeight="1" x14ac:dyDescent="0.35">
      <c r="A61" s="6" t="s">
        <v>119</v>
      </c>
    </row>
  </sheetData>
  <conditionalFormatting sqref="Q49:AC49">
    <cfRule type="cellIs" dxfId="0" priority="1" operator="lessThan">
      <formula>0</formula>
    </cfRule>
  </conditionalFormatting>
  <pageMargins left="0.7" right="0.7" top="0.75" bottom="0.75" header="0.3" footer="0.3"/>
  <pageSetup paperSize="9" orientation="landscape" verticalDpi="1200" r:id="rId1"/>
  <headerFooter>
    <oddHeader xml:space="preserve">&amp;R&amp;10&amp;F 
&amp;A
</oddHeader>
    <oddFooter>&amp;L&amp;10© 2020&amp;C&amp;10Page &amp;P of &amp;N&amp;R&amp;G</oddFoot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34061-A628-4971-9925-38F244097D63}">
  <dimension ref="A1:AD58"/>
  <sheetViews>
    <sheetView zoomScaleNormal="100" workbookViewId="0">
      <pane xSplit="2" ySplit="4" topLeftCell="AB5" activePane="bottomRight" state="frozen"/>
      <selection pane="topRight" sqref="A1:N1"/>
      <selection pane="bottomLeft" sqref="A1:N1"/>
      <selection pane="bottomRight" activeCell="AD4" sqref="AD4"/>
    </sheetView>
  </sheetViews>
  <sheetFormatPr defaultColWidth="9" defaultRowHeight="15" customHeight="1" x14ac:dyDescent="0.35"/>
  <cols>
    <col min="1" max="1" width="1.6328125" style="6" customWidth="1"/>
    <col min="2" max="2" width="42.36328125" customWidth="1"/>
    <col min="3" max="3" width="13.08984375" customWidth="1"/>
    <col min="4" max="15" width="11.6328125" hidden="1" customWidth="1"/>
    <col min="16" max="29" width="11.6328125" customWidth="1"/>
    <col min="30" max="30" width="15" customWidth="1"/>
  </cols>
  <sheetData>
    <row r="1" spans="1:30" ht="45" customHeight="1" x14ac:dyDescent="0.65">
      <c r="A1" s="69" t="str">
        <f>Welcome!A2</f>
        <v>13-Week Cash Flow Model</v>
      </c>
      <c r="B1" s="70"/>
      <c r="C1" s="71"/>
      <c r="D1" s="71"/>
      <c r="E1" s="71"/>
      <c r="F1" s="71"/>
      <c r="G1" s="71"/>
      <c r="H1" s="71"/>
      <c r="I1" s="71"/>
      <c r="J1" s="71"/>
      <c r="K1" s="71"/>
      <c r="L1" s="71"/>
      <c r="M1" s="71"/>
      <c r="N1" s="71"/>
      <c r="O1" s="71"/>
      <c r="P1" s="71"/>
      <c r="Q1" s="71"/>
      <c r="R1" s="71"/>
      <c r="S1" s="71"/>
      <c r="T1" s="71"/>
      <c r="U1" s="71"/>
      <c r="V1" s="71"/>
      <c r="W1" s="71"/>
      <c r="X1" s="71"/>
      <c r="Y1" s="71"/>
      <c r="Z1" s="71"/>
      <c r="AA1" s="71"/>
      <c r="AB1" s="71"/>
      <c r="AC1" s="71"/>
    </row>
    <row r="2" spans="1:30" ht="21" x14ac:dyDescent="0.5">
      <c r="A2" s="67"/>
      <c r="B2" s="68"/>
      <c r="C2" s="75"/>
      <c r="D2" s="75" t="s">
        <v>36</v>
      </c>
      <c r="E2" s="75" t="s">
        <v>36</v>
      </c>
      <c r="F2" s="75" t="s">
        <v>36</v>
      </c>
      <c r="G2" s="75" t="s">
        <v>36</v>
      </c>
      <c r="H2" s="75" t="s">
        <v>36</v>
      </c>
      <c r="I2" s="75" t="s">
        <v>36</v>
      </c>
      <c r="J2" s="75" t="s">
        <v>36</v>
      </c>
      <c r="K2" s="75" t="s">
        <v>36</v>
      </c>
      <c r="L2" s="75" t="s">
        <v>36</v>
      </c>
      <c r="M2" s="75" t="s">
        <v>36</v>
      </c>
      <c r="N2" s="75" t="s">
        <v>36</v>
      </c>
      <c r="O2" s="75" t="s">
        <v>36</v>
      </c>
      <c r="P2" s="75" t="s">
        <v>36</v>
      </c>
      <c r="Q2" s="75" t="s">
        <v>37</v>
      </c>
      <c r="R2" s="75" t="s">
        <v>37</v>
      </c>
      <c r="S2" s="75" t="s">
        <v>37</v>
      </c>
      <c r="T2" s="75" t="s">
        <v>37</v>
      </c>
      <c r="U2" s="75" t="s">
        <v>37</v>
      </c>
      <c r="V2" s="75" t="s">
        <v>37</v>
      </c>
      <c r="W2" s="75" t="s">
        <v>37</v>
      </c>
      <c r="X2" s="75" t="s">
        <v>37</v>
      </c>
      <c r="Y2" s="75" t="s">
        <v>37</v>
      </c>
      <c r="Z2" s="75" t="s">
        <v>37</v>
      </c>
      <c r="AA2" s="75" t="s">
        <v>37</v>
      </c>
      <c r="AB2" s="75" t="s">
        <v>37</v>
      </c>
      <c r="AC2" s="75" t="s">
        <v>37</v>
      </c>
    </row>
    <row r="3" spans="1:30" ht="21" x14ac:dyDescent="0.5">
      <c r="A3" s="67"/>
      <c r="B3" s="68"/>
      <c r="C3" s="75"/>
      <c r="D3" s="75">
        <v>1</v>
      </c>
      <c r="E3" s="75">
        <f>D3+1</f>
        <v>2</v>
      </c>
      <c r="F3" s="75">
        <f t="shared" ref="F3:P3" si="0">E3+1</f>
        <v>3</v>
      </c>
      <c r="G3" s="75">
        <f t="shared" si="0"/>
        <v>4</v>
      </c>
      <c r="H3" s="75">
        <f t="shared" si="0"/>
        <v>5</v>
      </c>
      <c r="I3" s="75">
        <f t="shared" si="0"/>
        <v>6</v>
      </c>
      <c r="J3" s="75">
        <f t="shared" si="0"/>
        <v>7</v>
      </c>
      <c r="K3" s="75">
        <f t="shared" si="0"/>
        <v>8</v>
      </c>
      <c r="L3" s="75">
        <f t="shared" si="0"/>
        <v>9</v>
      </c>
      <c r="M3" s="75">
        <f t="shared" si="0"/>
        <v>10</v>
      </c>
      <c r="N3" s="75">
        <f t="shared" si="0"/>
        <v>11</v>
      </c>
      <c r="O3" s="75">
        <f t="shared" si="0"/>
        <v>12</v>
      </c>
      <c r="P3" s="75">
        <f t="shared" si="0"/>
        <v>13</v>
      </c>
      <c r="Q3" s="75">
        <v>1</v>
      </c>
      <c r="R3" s="75">
        <f>Q3+1</f>
        <v>2</v>
      </c>
      <c r="S3" s="75">
        <f t="shared" ref="S3:AC3" si="1">R3+1</f>
        <v>3</v>
      </c>
      <c r="T3" s="75">
        <f t="shared" si="1"/>
        <v>4</v>
      </c>
      <c r="U3" s="75">
        <f t="shared" si="1"/>
        <v>5</v>
      </c>
      <c r="V3" s="75">
        <f t="shared" si="1"/>
        <v>6</v>
      </c>
      <c r="W3" s="75">
        <f t="shared" si="1"/>
        <v>7</v>
      </c>
      <c r="X3" s="75">
        <f t="shared" si="1"/>
        <v>8</v>
      </c>
      <c r="Y3" s="75">
        <f t="shared" si="1"/>
        <v>9</v>
      </c>
      <c r="Z3" s="75">
        <f t="shared" si="1"/>
        <v>10</v>
      </c>
      <c r="AA3" s="75">
        <f t="shared" si="1"/>
        <v>11</v>
      </c>
      <c r="AB3" s="75">
        <f t="shared" si="1"/>
        <v>12</v>
      </c>
      <c r="AC3" s="75">
        <f t="shared" si="1"/>
        <v>13</v>
      </c>
    </row>
    <row r="4" spans="1:30" ht="21" x14ac:dyDescent="0.5">
      <c r="A4" s="67"/>
      <c r="B4" s="68"/>
      <c r="C4" s="76"/>
      <c r="D4" s="76">
        <v>44050</v>
      </c>
      <c r="E4" s="76">
        <f>D4+7</f>
        <v>44057</v>
      </c>
      <c r="F4" s="76">
        <f t="shared" ref="F4:AD4" si="2">E4+7</f>
        <v>44064</v>
      </c>
      <c r="G4" s="76">
        <f t="shared" si="2"/>
        <v>44071</v>
      </c>
      <c r="H4" s="76">
        <f t="shared" si="2"/>
        <v>44078</v>
      </c>
      <c r="I4" s="76">
        <f t="shared" si="2"/>
        <v>44085</v>
      </c>
      <c r="J4" s="76">
        <f t="shared" si="2"/>
        <v>44092</v>
      </c>
      <c r="K4" s="76">
        <f t="shared" si="2"/>
        <v>44099</v>
      </c>
      <c r="L4" s="76">
        <f t="shared" si="2"/>
        <v>44106</v>
      </c>
      <c r="M4" s="76">
        <f t="shared" si="2"/>
        <v>44113</v>
      </c>
      <c r="N4" s="76">
        <f t="shared" si="2"/>
        <v>44120</v>
      </c>
      <c r="O4" s="76">
        <f t="shared" si="2"/>
        <v>44127</v>
      </c>
      <c r="P4" s="76">
        <f t="shared" si="2"/>
        <v>44134</v>
      </c>
      <c r="Q4" s="76">
        <f>P4+7</f>
        <v>44141</v>
      </c>
      <c r="R4" s="76">
        <f t="shared" si="2"/>
        <v>44148</v>
      </c>
      <c r="S4" s="76">
        <f t="shared" si="2"/>
        <v>44155</v>
      </c>
      <c r="T4" s="76">
        <f t="shared" si="2"/>
        <v>44162</v>
      </c>
      <c r="U4" s="76">
        <f t="shared" si="2"/>
        <v>44169</v>
      </c>
      <c r="V4" s="76">
        <f t="shared" si="2"/>
        <v>44176</v>
      </c>
      <c r="W4" s="76">
        <f t="shared" si="2"/>
        <v>44183</v>
      </c>
      <c r="X4" s="76">
        <f t="shared" si="2"/>
        <v>44190</v>
      </c>
      <c r="Y4" s="76">
        <f t="shared" si="2"/>
        <v>44197</v>
      </c>
      <c r="Z4" s="76">
        <f t="shared" si="2"/>
        <v>44204</v>
      </c>
      <c r="AA4" s="76">
        <f t="shared" si="2"/>
        <v>44211</v>
      </c>
      <c r="AB4" s="76">
        <f t="shared" si="2"/>
        <v>44218</v>
      </c>
      <c r="AC4" s="76">
        <f t="shared" si="2"/>
        <v>44225</v>
      </c>
      <c r="AD4" s="76" t="s">
        <v>172</v>
      </c>
    </row>
    <row r="5" spans="1:30" ht="15" customHeight="1" x14ac:dyDescent="0.35">
      <c r="A5"/>
    </row>
    <row r="6" spans="1:30" ht="15" customHeight="1" x14ac:dyDescent="0.35">
      <c r="A6"/>
      <c r="B6" t="s">
        <v>55</v>
      </c>
      <c r="D6">
        <f>'Weekly Rollforward'!D27</f>
        <v>1246.0767741935483</v>
      </c>
      <c r="E6">
        <f>'Weekly Rollforward'!E27</f>
        <v>1985.2135483870966</v>
      </c>
      <c r="F6">
        <f>'Weekly Rollforward'!F27</f>
        <v>1771.2529032258067</v>
      </c>
      <c r="G6">
        <f>'Weekly Rollforward'!G27</f>
        <v>1460.0374193548391</v>
      </c>
      <c r="H6">
        <f>'Weekly Rollforward'!H27</f>
        <v>1886.3196842497637</v>
      </c>
      <c r="I6">
        <f>'Weekly Rollforward'!I27</f>
        <v>1898.7775263333333</v>
      </c>
      <c r="J6">
        <f>'Weekly Rollforward'!J27</f>
        <v>1560.1558070000006</v>
      </c>
      <c r="K6">
        <f>'Weekly Rollforward'!K27</f>
        <v>1439.2194786666671</v>
      </c>
      <c r="L6">
        <f>'Weekly Rollforward'!L27</f>
        <v>1877.7218563440861</v>
      </c>
      <c r="M6">
        <f>'Weekly Rollforward'!M27</f>
        <v>2323.9430761290332</v>
      </c>
      <c r="N6">
        <f>'Weekly Rollforward'!N27</f>
        <v>2174.5080361290325</v>
      </c>
      <c r="O6">
        <f>'Weekly Rollforward'!O27</f>
        <v>2117.1729961290334</v>
      </c>
      <c r="P6">
        <f>'Weekly Rollforward'!P27</f>
        <v>2139.2361161290328</v>
      </c>
      <c r="Q6">
        <f>'Weekly Rollforward'!Q27</f>
        <v>1915.3465548387094</v>
      </c>
      <c r="R6">
        <f>'Weekly Rollforward'!R27</f>
        <v>1887.6928000000007</v>
      </c>
      <c r="S6">
        <f>'Weekly Rollforward'!S27</f>
        <v>1838.4772000000003</v>
      </c>
      <c r="T6">
        <f>'Weekly Rollforward'!T27</f>
        <v>1838.4772000000003</v>
      </c>
      <c r="U6">
        <f>'Weekly Rollforward'!U27</f>
        <v>1978.4984593548397</v>
      </c>
      <c r="V6">
        <f>'Weekly Rollforward'!V27</f>
        <v>1950.6322838709675</v>
      </c>
      <c r="W6">
        <f>'Weekly Rollforward'!W27</f>
        <v>1903.0042838709678</v>
      </c>
      <c r="X6">
        <f>'Weekly Rollforward'!X27</f>
        <v>1903.0042838709678</v>
      </c>
      <c r="Y6">
        <f>'Weekly Rollforward'!Y27</f>
        <v>1889.2097832258064</v>
      </c>
      <c r="Z6">
        <f>'Weekly Rollforward'!Z27</f>
        <v>1942.1825793548387</v>
      </c>
      <c r="AA6">
        <f>'Weekly Rollforward'!AA27</f>
        <v>1942.1825793548387</v>
      </c>
      <c r="AB6">
        <f>'Weekly Rollforward'!AB27</f>
        <v>1942.1825793548387</v>
      </c>
      <c r="AC6">
        <f>'Weekly Rollforward'!AC27</f>
        <v>1942.1825793548387</v>
      </c>
      <c r="AD6" t="str">
        <f ca="1">_xlfn.FORMULATEXT(AC6)</f>
        <v>='Weekly Rollforward'!AC27</v>
      </c>
    </row>
    <row r="7" spans="1:30" ht="15" customHeight="1" x14ac:dyDescent="0.35">
      <c r="A7"/>
    </row>
    <row r="8" spans="1:30" ht="15" customHeight="1" x14ac:dyDescent="0.35">
      <c r="A8"/>
      <c r="B8" t="s">
        <v>160</v>
      </c>
      <c r="D8">
        <f>'Weekly Rollforward'!C40-'Weekly Rollforward'!D40</f>
        <v>-1380.3667741935496</v>
      </c>
      <c r="E8">
        <f>'Weekly Rollforward'!D40-'Weekly Rollforward'!E40</f>
        <v>-3747.0203225806472</v>
      </c>
      <c r="F8">
        <f>'Weekly Rollforward'!E40-'Weekly Rollforward'!F40</f>
        <v>-2607.4890322580613</v>
      </c>
      <c r="G8">
        <f>'Weekly Rollforward'!F40-'Weekly Rollforward'!G40</f>
        <v>-264.09806451613258</v>
      </c>
      <c r="H8">
        <f>'Weekly Rollforward'!G40-'Weekly Rollforward'!H40</f>
        <v>-2341.7085591397845</v>
      </c>
      <c r="I8">
        <f>'Weekly Rollforward'!H40-'Weekly Rollforward'!I40</f>
        <v>-1098.9276666666701</v>
      </c>
      <c r="J8">
        <f>'Weekly Rollforward'!I40-'Weekly Rollforward'!J40</f>
        <v>404.83099999999831</v>
      </c>
      <c r="K8">
        <f>'Weekly Rollforward'!J40-'Weekly Rollforward'!K40</f>
        <v>-252.1073333333261</v>
      </c>
      <c r="L8">
        <f>'Weekly Rollforward'!K40-'Weekly Rollforward'!L40</f>
        <v>-1091.7208602150567</v>
      </c>
      <c r="M8">
        <f>'Weekly Rollforward'!L40-'Weekly Rollforward'!M40</f>
        <v>-491.6043548387097</v>
      </c>
      <c r="N8">
        <f>'Weekly Rollforward'!M40-'Weekly Rollforward'!N40</f>
        <v>-927.78451612903154</v>
      </c>
      <c r="O8">
        <f>'Weekly Rollforward'!N40-'Weekly Rollforward'!O40</f>
        <v>-581.64580645160459</v>
      </c>
      <c r="P8">
        <f>'Weekly Rollforward'!O40-'Weekly Rollforward'!P40</f>
        <v>-980.86322580646083</v>
      </c>
      <c r="Q8">
        <f>'Weekly Rollforward'!P40-'Weekly Rollforward'!Q40</f>
        <v>-4851.9059124423948</v>
      </c>
      <c r="R8">
        <f>'Weekly Rollforward'!Q40-'Weekly Rollforward'!R40</f>
        <v>-834.06857142857916</v>
      </c>
      <c r="S8">
        <f>'Weekly Rollforward'!R40-'Weekly Rollforward'!S40</f>
        <v>-5624.6399999999994</v>
      </c>
      <c r="T8">
        <f>'Weekly Rollforward'!S40-'Weekly Rollforward'!T40</f>
        <v>-4218.4799999999959</v>
      </c>
      <c r="U8">
        <f>'Weekly Rollforward'!T40-'Weekly Rollforward'!U40</f>
        <v>1555.1999999999971</v>
      </c>
      <c r="V8">
        <f>'Weekly Rollforward'!U40-'Weekly Rollforward'!V40</f>
        <v>1166.3999999999942</v>
      </c>
      <c r="W8">
        <f>'Weekly Rollforward'!V40-'Weekly Rollforward'!W40</f>
        <v>0</v>
      </c>
      <c r="X8">
        <f>'Weekly Rollforward'!W40-'Weekly Rollforward'!X40</f>
        <v>0</v>
      </c>
      <c r="Y8">
        <f>'Weekly Rollforward'!X40-'Weekly Rollforward'!Y40</f>
        <v>-6172.2000000000116</v>
      </c>
      <c r="Z8">
        <f>'Weekly Rollforward'!Y40-'Weekly Rollforward'!Z40</f>
        <v>3790.800000000032</v>
      </c>
      <c r="AA8">
        <f>'Weekly Rollforward'!Z40-'Weekly Rollforward'!AA40</f>
        <v>0</v>
      </c>
      <c r="AB8">
        <f>'Weekly Rollforward'!AA40-'Weekly Rollforward'!AB40</f>
        <v>0</v>
      </c>
      <c r="AC8">
        <f>'Weekly Rollforward'!AB40-'Weekly Rollforward'!AC40</f>
        <v>0</v>
      </c>
      <c r="AD8" t="str">
        <f t="shared" ref="AD8:AD18" ca="1" si="3">_xlfn.FORMULATEXT(AC8)</f>
        <v>='Weekly Rollforward'!AB40-'Weekly Rollforward'!AC40</v>
      </c>
    </row>
    <row r="9" spans="1:30" ht="15" customHeight="1" x14ac:dyDescent="0.35">
      <c r="A9"/>
      <c r="B9" t="s">
        <v>161</v>
      </c>
      <c r="D9">
        <f>'Weekly Rollforward'!C50-'Weekly Rollforward'!D50</f>
        <v>-1909.5729032258096</v>
      </c>
      <c r="E9">
        <f>'Weekly Rollforward'!D50-'Weekly Rollforward'!E50</f>
        <v>990.08903225806716</v>
      </c>
      <c r="F9">
        <f>'Weekly Rollforward'!E50-'Weekly Rollforward'!F50</f>
        <v>962.33290322580433</v>
      </c>
      <c r="G9">
        <f>'Weekly Rollforward'!F50-'Weekly Rollforward'!G50</f>
        <v>76.376774193544406</v>
      </c>
      <c r="H9">
        <f>'Weekly Rollforward'!G50-'Weekly Rollforward'!H50</f>
        <v>1418.8442156975943</v>
      </c>
      <c r="I9">
        <f>'Weekly Rollforward'!H50-'Weekly Rollforward'!I50</f>
        <v>1834.880943000011</v>
      </c>
      <c r="J9">
        <f>'Weekly Rollforward'!I50-'Weekly Rollforward'!J50</f>
        <v>-1539.6342663333344</v>
      </c>
      <c r="K9">
        <f>'Weekly Rollforward'!J50-'Weekly Rollforward'!K50</f>
        <v>-710.57059768334148</v>
      </c>
      <c r="L9">
        <f>'Weekly Rollforward'!K50-'Weekly Rollforward'!L50</f>
        <v>-199.0420645698905</v>
      </c>
      <c r="M9">
        <f>'Weekly Rollforward'!L50-'Weekly Rollforward'!M50</f>
        <v>852.59674838710635</v>
      </c>
      <c r="N9">
        <f>'Weekly Rollforward'!M50-'Weekly Rollforward'!N50</f>
        <v>355.41620645161311</v>
      </c>
      <c r="O9">
        <f>'Weekly Rollforward'!N50-'Weekly Rollforward'!O50</f>
        <v>-483.34087741935218</v>
      </c>
      <c r="P9">
        <f>'Weekly Rollforward'!O50-'Weekly Rollforward'!P50</f>
        <v>-4085.6927548387175</v>
      </c>
      <c r="Q9">
        <f>'Weekly Rollforward'!P50-'Weekly Rollforward'!Q50</f>
        <v>-6444.2833591432864</v>
      </c>
      <c r="R9">
        <f>'Weekly Rollforward'!Q50-'Weekly Rollforward'!R50</f>
        <v>-2507.7600000000093</v>
      </c>
      <c r="S9">
        <f>'Weekly Rollforward'!R50-'Weekly Rollforward'!S50</f>
        <v>-1406.1600000000035</v>
      </c>
      <c r="T9">
        <f>'Weekly Rollforward'!S50-'Weekly Rollforward'!T50</f>
        <v>0</v>
      </c>
      <c r="U9">
        <f>'Weekly Rollforward'!T50-'Weekly Rollforward'!U50</f>
        <v>1866.2400000000052</v>
      </c>
      <c r="V9">
        <f>'Weekly Rollforward'!U50-'Weekly Rollforward'!V50</f>
        <v>1399.6799999999785</v>
      </c>
      <c r="W9">
        <f>'Weekly Rollforward'!V50-'Weekly Rollforward'!W50</f>
        <v>-1360.7999999999884</v>
      </c>
      <c r="X9">
        <f>'Weekly Rollforward'!W50-'Weekly Rollforward'!X50</f>
        <v>0</v>
      </c>
      <c r="Y9">
        <f>'Weekly Rollforward'!X50-'Weekly Rollforward'!Y50</f>
        <v>709.55999999999767</v>
      </c>
      <c r="Z9">
        <f>'Weekly Rollforward'!Y50-'Weekly Rollforward'!Z50</f>
        <v>7747.8120000000054</v>
      </c>
      <c r="AA9">
        <f>'Weekly Rollforward'!Z50-'Weekly Rollforward'!AA50</f>
        <v>0</v>
      </c>
      <c r="AB9">
        <f>'Weekly Rollforward'!AA50-'Weekly Rollforward'!AB50</f>
        <v>0</v>
      </c>
      <c r="AC9">
        <f>'Weekly Rollforward'!AB50-'Weekly Rollforward'!AC50</f>
        <v>0</v>
      </c>
      <c r="AD9" t="str">
        <f t="shared" ca="1" si="3"/>
        <v>='Weekly Rollforward'!AB50-'Weekly Rollforward'!AC50</v>
      </c>
    </row>
    <row r="10" spans="1:30" ht="15" customHeight="1" x14ac:dyDescent="0.35">
      <c r="A10"/>
      <c r="B10" t="s">
        <v>162</v>
      </c>
      <c r="D10">
        <f>'Weekly Rollforward'!D60-'Weekly Rollforward'!C60</f>
        <v>3141.1483870967786</v>
      </c>
      <c r="E10">
        <f>'Weekly Rollforward'!E60-'Weekly Rollforward'!D60</f>
        <v>-1142.7612903225818</v>
      </c>
      <c r="F10">
        <f>'Weekly Rollforward'!F60-'Weekly Rollforward'!E60</f>
        <v>938.1806451612938</v>
      </c>
      <c r="G10">
        <f>'Weekly Rollforward'!G60-'Weekly Rollforward'!F60</f>
        <v>-897.98709677419538</v>
      </c>
      <c r="H10">
        <f>'Weekly Rollforward'!H60-'Weekly Rollforward'!G60</f>
        <v>534.164893118279</v>
      </c>
      <c r="I10">
        <f>'Weekly Rollforward'!I60-'Weekly Rollforward'!H60</f>
        <v>-4356.2461833333364</v>
      </c>
      <c r="J10">
        <f>'Weekly Rollforward'!J60-'Weekly Rollforward'!I60</f>
        <v>2877.9999733333316</v>
      </c>
      <c r="K10">
        <f>'Weekly Rollforward'!K60-'Weekly Rollforward'!J60</f>
        <v>-1957.5049569833354</v>
      </c>
      <c r="L10">
        <f>'Weekly Rollforward'!L60-'Weekly Rollforward'!K60</f>
        <v>1792.6228962903187</v>
      </c>
      <c r="M10">
        <f>'Weekly Rollforward'!M60-'Weekly Rollforward'!L60</f>
        <v>-988.33749677419837</v>
      </c>
      <c r="N10">
        <f>'Weekly Rollforward'!N60-'Weekly Rollforward'!M60</f>
        <v>1229.5373419354801</v>
      </c>
      <c r="O10">
        <f>'Weekly Rollforward'!O60-'Weekly Rollforward'!N60</f>
        <v>3233.6896516129054</v>
      </c>
      <c r="P10">
        <f>'Weekly Rollforward'!P60-'Weekly Rollforward'!O60</f>
        <v>4427.4808516128978</v>
      </c>
      <c r="Q10">
        <f>'Weekly Rollforward'!Q60-'Weekly Rollforward'!P60</f>
        <v>682.77238402636431</v>
      </c>
      <c r="R10">
        <f>'Weekly Rollforward'!R60-'Weekly Rollforward'!Q60</f>
        <v>1504.6560000000027</v>
      </c>
      <c r="S10">
        <f>'Weekly Rollforward'!S60-'Weekly Rollforward'!R60</f>
        <v>843.69599999999627</v>
      </c>
      <c r="T10">
        <f>'Weekly Rollforward'!T60-'Weekly Rollforward'!S60</f>
        <v>0</v>
      </c>
      <c r="U10">
        <f>'Weekly Rollforward'!U60-'Weekly Rollforward'!T60</f>
        <v>-1119.7439999999988</v>
      </c>
      <c r="V10">
        <f>'Weekly Rollforward'!V60-'Weekly Rollforward'!U60</f>
        <v>-839.80799999998999</v>
      </c>
      <c r="W10">
        <f>'Weekly Rollforward'!W60-'Weekly Rollforward'!V60</f>
        <v>816.4800000000032</v>
      </c>
      <c r="X10">
        <f>'Weekly Rollforward'!X60-'Weekly Rollforward'!W60</f>
        <v>0</v>
      </c>
      <c r="Y10">
        <f>'Weekly Rollforward'!Y60-'Weekly Rollforward'!X60</f>
        <v>-425.7360000000117</v>
      </c>
      <c r="Z10">
        <f>'Weekly Rollforward'!Z60-'Weekly Rollforward'!Y60</f>
        <v>3004.4519999999975</v>
      </c>
      <c r="AA10">
        <f>'Weekly Rollforward'!AA60-'Weekly Rollforward'!Z60</f>
        <v>0</v>
      </c>
      <c r="AB10">
        <f>'Weekly Rollforward'!AB60-'Weekly Rollforward'!AA60</f>
        <v>0</v>
      </c>
      <c r="AC10">
        <f>'Weekly Rollforward'!AC60-'Weekly Rollforward'!AB60</f>
        <v>0</v>
      </c>
      <c r="AD10" t="str">
        <f t="shared" ca="1" si="3"/>
        <v>='Weekly Rollforward'!AC60-'Weekly Rollforward'!AB60</v>
      </c>
    </row>
    <row r="11" spans="1:30" ht="15" customHeight="1" x14ac:dyDescent="0.35">
      <c r="A11"/>
      <c r="B11" t="s">
        <v>163</v>
      </c>
      <c r="D11">
        <f>'Weekly Rollforward'!D70-'Weekly Rollforward'!C70</f>
        <v>-813.8629032258068</v>
      </c>
      <c r="E11">
        <f>'Weekly Rollforward'!E70-'Weekly Rollforward'!D70</f>
        <v>1073.540322580644</v>
      </c>
      <c r="F11">
        <f>'Weekly Rollforward'!F70-'Weekly Rollforward'!E70</f>
        <v>-214.85483870967801</v>
      </c>
      <c r="G11">
        <f>'Weekly Rollforward'!G70-'Weekly Rollforward'!F70</f>
        <v>474.53225806451519</v>
      </c>
      <c r="H11">
        <f>'Weekly Rollforward'!H70-'Weekly Rollforward'!G70</f>
        <v>-373.93360189247323</v>
      </c>
      <c r="I11">
        <f>'Weekly Rollforward'!I70-'Weekly Rollforward'!H70</f>
        <v>793.82253066666635</v>
      </c>
      <c r="J11">
        <f>'Weekly Rollforward'!J70-'Weekly Rollforward'!I70</f>
        <v>-983.75586400000066</v>
      </c>
      <c r="K11">
        <f>'Weekly Rollforward'!K70-'Weekly Rollforward'!J70</f>
        <v>280.20055933333424</v>
      </c>
      <c r="L11">
        <f>'Weekly Rollforward'!L70-'Weekly Rollforward'!K70</f>
        <v>-574.99053430107415</v>
      </c>
      <c r="M11">
        <f>'Weekly Rollforward'!M70-'Weekly Rollforward'!L70</f>
        <v>1305.4229367741937</v>
      </c>
      <c r="N11">
        <f>'Weekly Rollforward'!N70-'Weekly Rollforward'!M70</f>
        <v>-51.982668387097874</v>
      </c>
      <c r="O11">
        <f>'Weekly Rollforward'!O70-'Weekly Rollforward'!N70</f>
        <v>1184.2210167741941</v>
      </c>
      <c r="P11">
        <f>'Weekly Rollforward'!P70-'Weekly Rollforward'!O70</f>
        <v>-60.063748387095984</v>
      </c>
      <c r="Q11">
        <f>'Weekly Rollforward'!Q70-'Weekly Rollforward'!P70</f>
        <v>1442.9420162477418</v>
      </c>
      <c r="R11">
        <f>'Weekly Rollforward'!R70-'Weekly Rollforward'!Q70</f>
        <v>-119.35209483065773</v>
      </c>
      <c r="S11">
        <f>'Weekly Rollforward'!S70-'Weekly Rollforward'!R70</f>
        <v>1245.455030392668</v>
      </c>
      <c r="T11">
        <f>'Weekly Rollforward'!T70-'Weekly Rollforward'!S70</f>
        <v>-434.66091678801786</v>
      </c>
      <c r="U11">
        <f>'Weekly Rollforward'!U70-'Weekly Rollforward'!T70</f>
        <v>810.16064994382941</v>
      </c>
      <c r="V11">
        <f>'Weekly Rollforward'!V70-'Weekly Rollforward'!U70</f>
        <v>-876.37204207164905</v>
      </c>
      <c r="W11">
        <f>'Weekly Rollforward'!W70-'Weekly Rollforward'!V70</f>
        <v>774.85894052683761</v>
      </c>
      <c r="X11">
        <f>'Weekly Rollforward'!X70-'Weekly Rollforward'!W70</f>
        <v>-847.94837363909937</v>
      </c>
      <c r="Y11">
        <f>'Weekly Rollforward'!Y70-'Weekly Rollforward'!X70</f>
        <v>764.4051584870449</v>
      </c>
      <c r="Z11">
        <f>'Weekly Rollforward'!Z70-'Weekly Rollforward'!Y70</f>
        <v>-1125.5652333965263</v>
      </c>
      <c r="AA11">
        <f>'Weekly Rollforward'!AA70-'Weekly Rollforward'!Z70</f>
        <v>552.01489197075171</v>
      </c>
      <c r="AB11">
        <f>'Weekly Rollforward'!AB70-'Weekly Rollforward'!AA70</f>
        <v>-964.97113779730716</v>
      </c>
      <c r="AC11">
        <f>'Weekly Rollforward'!AC70-'Weekly Rollforward'!AB70</f>
        <v>626.34701621953354</v>
      </c>
      <c r="AD11" t="str">
        <f t="shared" ca="1" si="3"/>
        <v>='Weekly Rollforward'!AC70-'Weekly Rollforward'!AB70</v>
      </c>
    </row>
    <row r="12" spans="1:30" ht="15" customHeight="1" x14ac:dyDescent="0.35">
      <c r="A12"/>
      <c r="B12" t="s">
        <v>164</v>
      </c>
      <c r="D12">
        <f>'Weekly Rollforward'!D78-'Weekly Rollforward'!C78</f>
        <v>341.19354838709842</v>
      </c>
      <c r="E12">
        <f>'Weekly Rollforward'!E78-'Weekly Rollforward'!D78</f>
        <v>341.19354838709842</v>
      </c>
      <c r="F12">
        <f>'Weekly Rollforward'!F78-'Weekly Rollforward'!E78</f>
        <v>341.19354838709842</v>
      </c>
      <c r="G12">
        <f>'Weekly Rollforward'!G78-'Weekly Rollforward'!F78</f>
        <v>246.35483870967801</v>
      </c>
      <c r="H12">
        <f>'Weekly Rollforward'!H78-'Weekly Rollforward'!G78</f>
        <v>650.46512925693969</v>
      </c>
      <c r="I12">
        <f>'Weekly Rollforward'!I78-'Weekly Rollforward'!H78</f>
        <v>704.65989999999874</v>
      </c>
      <c r="J12">
        <f>'Weekly Rollforward'!J78-'Weekly Rollforward'!I78</f>
        <v>704.65989999999874</v>
      </c>
      <c r="K12">
        <f>'Weekly Rollforward'!K78-'Weekly Rollforward'!J78</f>
        <v>704.65989999999874</v>
      </c>
      <c r="L12">
        <f>'Weekly Rollforward'!L78-'Weekly Rollforward'!K78</f>
        <v>-97.77137419355131</v>
      </c>
      <c r="M12">
        <f>'Weekly Rollforward'!M78-'Weekly Rollforward'!L78</f>
        <v>645.7469677419358</v>
      </c>
      <c r="N12">
        <f>'Weekly Rollforward'!N78-'Weekly Rollforward'!M78</f>
        <v>737.84696774193435</v>
      </c>
      <c r="O12">
        <f>'Weekly Rollforward'!O78-'Weekly Rollforward'!N78</f>
        <v>737.84696774193435</v>
      </c>
      <c r="P12">
        <f>'Weekly Rollforward'!P78-'Weekly Rollforward'!O78</f>
        <v>-523.73187096774564</v>
      </c>
      <c r="Q12">
        <f>'Weekly Rollforward'!Q78-'Weekly Rollforward'!P78</f>
        <v>827.30159999999887</v>
      </c>
      <c r="R12">
        <f>'Weekly Rollforward'!R78-'Weekly Rollforward'!Q78</f>
        <v>836.66519999999946</v>
      </c>
      <c r="S12">
        <f>'Weekly Rollforward'!S78-'Weekly Rollforward'!R78</f>
        <v>836.66519999999946</v>
      </c>
      <c r="T12">
        <f>'Weekly Rollforward'!T78-'Weekly Rollforward'!S78</f>
        <v>836.66519999999946</v>
      </c>
      <c r="U12">
        <f>'Weekly Rollforward'!U78-'Weekly Rollforward'!T78</f>
        <v>-1130.4488000000019</v>
      </c>
      <c r="V12">
        <f>'Weekly Rollforward'!V78-'Weekly Rollforward'!U78</f>
        <v>857.30400000000009</v>
      </c>
      <c r="W12">
        <f>'Weekly Rollforward'!W78-'Weekly Rollforward'!V78</f>
        <v>857.30400000000009</v>
      </c>
      <c r="X12">
        <f>'Weekly Rollforward'!X78-'Weekly Rollforward'!W78</f>
        <v>857.30400000000373</v>
      </c>
      <c r="Y12">
        <f>'Weekly Rollforward'!Y78-'Weekly Rollforward'!X78</f>
        <v>-2148.8196000000025</v>
      </c>
      <c r="Z12">
        <f>'Weekly Rollforward'!Z78-'Weekly Rollforward'!Y78</f>
        <v>769.19220000000132</v>
      </c>
      <c r="AA12">
        <f>'Weekly Rollforward'!AA78-'Weekly Rollforward'!Z78</f>
        <v>769.19220000000132</v>
      </c>
      <c r="AB12">
        <f>'Weekly Rollforward'!AB78-'Weekly Rollforward'!AA78</f>
        <v>769.19219999999768</v>
      </c>
      <c r="AC12">
        <f>'Weekly Rollforward'!AC78-'Weekly Rollforward'!AB78</f>
        <v>-1230.8078000000023</v>
      </c>
      <c r="AD12" t="str">
        <f t="shared" ca="1" si="3"/>
        <v>='Weekly Rollforward'!AC78-'Weekly Rollforward'!AB78</v>
      </c>
    </row>
    <row r="13" spans="1:30" ht="15" customHeight="1" x14ac:dyDescent="0.35">
      <c r="A13"/>
      <c r="B13" t="s">
        <v>165</v>
      </c>
      <c r="D13">
        <f t="shared" ref="D13:N13" si="4">SUM(D6,D8:D12)</f>
        <v>624.61612903225932</v>
      </c>
      <c r="E13">
        <f t="shared" si="4"/>
        <v>-499.74516129032281</v>
      </c>
      <c r="F13">
        <f t="shared" si="4"/>
        <v>1190.6161290322639</v>
      </c>
      <c r="G13">
        <f t="shared" si="4"/>
        <v>1095.2161290322488</v>
      </c>
      <c r="H13">
        <f t="shared" si="4"/>
        <v>1774.151761290319</v>
      </c>
      <c r="I13">
        <f t="shared" si="4"/>
        <v>-223.03294999999707</v>
      </c>
      <c r="J13">
        <f t="shared" si="4"/>
        <v>3024.2565499999941</v>
      </c>
      <c r="K13">
        <f t="shared" si="4"/>
        <v>-496.10295000000292</v>
      </c>
      <c r="L13">
        <f t="shared" si="4"/>
        <v>1706.8199193548321</v>
      </c>
      <c r="M13">
        <f t="shared" si="4"/>
        <v>3647.767877419361</v>
      </c>
      <c r="N13">
        <f t="shared" si="4"/>
        <v>3517.5413677419306</v>
      </c>
      <c r="O13">
        <f>SUM(O6,O8:O12)</f>
        <v>6207.9439483871101</v>
      </c>
      <c r="P13">
        <f>SUM(P6,P8:P12)</f>
        <v>916.36536774191063</v>
      </c>
      <c r="Q13">
        <f t="shared" ref="Q13:AC13" si="5">SUM(Q6,Q8:Q12)</f>
        <v>-6427.8267164728659</v>
      </c>
      <c r="R13">
        <f t="shared" si="5"/>
        <v>767.83333374075664</v>
      </c>
      <c r="S13">
        <f t="shared" si="5"/>
        <v>-2266.5065696073389</v>
      </c>
      <c r="T13">
        <f t="shared" si="5"/>
        <v>-1977.9985167880141</v>
      </c>
      <c r="U13">
        <f t="shared" si="5"/>
        <v>3959.9063092986707</v>
      </c>
      <c r="V13">
        <f t="shared" si="5"/>
        <v>3657.8362417993012</v>
      </c>
      <c r="W13">
        <f t="shared" si="5"/>
        <v>2990.8472243978204</v>
      </c>
      <c r="X13">
        <f t="shared" si="5"/>
        <v>1912.3599102318722</v>
      </c>
      <c r="Y13">
        <f t="shared" si="5"/>
        <v>-5383.5806582871774</v>
      </c>
      <c r="Z13">
        <f t="shared" si="5"/>
        <v>16128.873545958348</v>
      </c>
      <c r="AA13">
        <f t="shared" si="5"/>
        <v>3263.3896713255917</v>
      </c>
      <c r="AB13">
        <f t="shared" si="5"/>
        <v>1746.4036415575292</v>
      </c>
      <c r="AC13">
        <f t="shared" si="5"/>
        <v>1337.7217955743699</v>
      </c>
      <c r="AD13" t="str">
        <f t="shared" ca="1" si="3"/>
        <v>=SUM(AC6,AC8:AC12)</v>
      </c>
    </row>
    <row r="14" spans="1:30" ht="15" customHeight="1" x14ac:dyDescent="0.35">
      <c r="A14"/>
    </row>
    <row r="15" spans="1:30" ht="15" customHeight="1" x14ac:dyDescent="0.35">
      <c r="A15"/>
      <c r="B15" t="s">
        <v>166</v>
      </c>
      <c r="D15">
        <f>-'Weekly Rollforward'!D83</f>
        <v>-1129.0322580645161</v>
      </c>
      <c r="E15">
        <f>-'Weekly Rollforward'!E83</f>
        <v>-1129.0322580645161</v>
      </c>
      <c r="F15">
        <f>-'Weekly Rollforward'!F83</f>
        <v>-1129.0322580645161</v>
      </c>
      <c r="G15">
        <f>-'Weekly Rollforward'!G83</f>
        <v>-1129.0322580645161</v>
      </c>
      <c r="H15">
        <f>-'Weekly Rollforward'!H83</f>
        <v>-1017.2043010752689</v>
      </c>
      <c r="I15">
        <f>-'Weekly Rollforward'!I83</f>
        <v>-933.33333333333337</v>
      </c>
      <c r="J15">
        <f>-'Weekly Rollforward'!J83</f>
        <v>-933.33333333333337</v>
      </c>
      <c r="K15">
        <f>-'Weekly Rollforward'!K83</f>
        <v>-933.33333333333337</v>
      </c>
      <c r="L15">
        <f>-'Weekly Rollforward'!L83</f>
        <v>-989.24731182795699</v>
      </c>
      <c r="M15">
        <f>-'Weekly Rollforward'!M83</f>
        <v>-1129.0322580645161</v>
      </c>
      <c r="N15">
        <f>-'Weekly Rollforward'!N83</f>
        <v>-1129.0322580645161</v>
      </c>
      <c r="O15">
        <f>-'Weekly Rollforward'!O83</f>
        <v>-1129.0322580645161</v>
      </c>
      <c r="P15">
        <f>-'Weekly Rollforward'!P83</f>
        <v>-1129.0322580645161</v>
      </c>
      <c r="Q15">
        <f>-'Weekly Rollforward'!Q83</f>
        <v>-1161.2903225806451</v>
      </c>
      <c r="R15">
        <f>-'Weekly Rollforward'!R83</f>
        <v>-1166.6666666666665</v>
      </c>
      <c r="S15">
        <f>-'Weekly Rollforward'!S83</f>
        <v>-1166.6666666666665</v>
      </c>
      <c r="T15">
        <f>-'Weekly Rollforward'!T83</f>
        <v>-1166.6666666666665</v>
      </c>
      <c r="U15">
        <f>-'Weekly Rollforward'!U83</f>
        <v>-1145.1612903225805</v>
      </c>
      <c r="V15">
        <f>-'Weekly Rollforward'!V83</f>
        <v>-1129.0322580645161</v>
      </c>
      <c r="W15">
        <f>-'Weekly Rollforward'!W83</f>
        <v>-1129.0322580645161</v>
      </c>
      <c r="X15">
        <f>-'Weekly Rollforward'!X83</f>
        <v>-1129.0322580645161</v>
      </c>
      <c r="Y15">
        <f>-'Weekly Rollforward'!Y83</f>
        <v>-1129.0322580645161</v>
      </c>
      <c r="Z15">
        <f>-'Weekly Rollforward'!Z83</f>
        <v>-1129.0322580645161</v>
      </c>
      <c r="AA15">
        <f>-'Weekly Rollforward'!AA83</f>
        <v>-1129.0322580645161</v>
      </c>
      <c r="AB15">
        <f>-'Weekly Rollforward'!AB83</f>
        <v>-1129.0322580645161</v>
      </c>
      <c r="AC15">
        <f>-'Weekly Rollforward'!AC83</f>
        <v>-1129.0322580645161</v>
      </c>
      <c r="AD15" t="str">
        <f t="shared" ca="1" si="3"/>
        <v>=-'Weekly Rollforward'!AC83</v>
      </c>
    </row>
    <row r="16" spans="1:30" ht="15" customHeight="1" x14ac:dyDescent="0.35">
      <c r="A16"/>
      <c r="B16" s="35" t="s">
        <v>167</v>
      </c>
      <c r="C16" s="35"/>
      <c r="D16" s="35">
        <f t="shared" ref="D16:P16" si="6">SUM(D13,D15:D15)</f>
        <v>-504.41612903225678</v>
      </c>
      <c r="E16" s="35">
        <f t="shared" si="6"/>
        <v>-1628.7774193548389</v>
      </c>
      <c r="F16" s="35">
        <f t="shared" si="6"/>
        <v>61.583870967747771</v>
      </c>
      <c r="G16" s="35">
        <f t="shared" si="6"/>
        <v>-33.816129032267327</v>
      </c>
      <c r="H16" s="35">
        <f t="shared" si="6"/>
        <v>756.94746021505011</v>
      </c>
      <c r="I16" s="35">
        <f t="shared" si="6"/>
        <v>-1156.3662833333306</v>
      </c>
      <c r="J16" s="35">
        <f t="shared" si="6"/>
        <v>2090.9232166666607</v>
      </c>
      <c r="K16" s="35">
        <f t="shared" si="6"/>
        <v>-1429.4362833333362</v>
      </c>
      <c r="L16" s="35">
        <f t="shared" si="6"/>
        <v>717.57260752687512</v>
      </c>
      <c r="M16" s="35">
        <f t="shared" si="6"/>
        <v>2518.7356193548449</v>
      </c>
      <c r="N16" s="35">
        <f t="shared" si="6"/>
        <v>2388.5091096774145</v>
      </c>
      <c r="O16" s="35">
        <f t="shared" si="6"/>
        <v>5078.911690322594</v>
      </c>
      <c r="P16" s="35">
        <f t="shared" si="6"/>
        <v>-212.66689032260547</v>
      </c>
      <c r="Q16" s="35">
        <f t="shared" ref="Q16:AC16" si="7">SUM(Q13:Q15)</f>
        <v>-7589.1170390535108</v>
      </c>
      <c r="R16" s="35">
        <f t="shared" si="7"/>
        <v>-398.83333292590987</v>
      </c>
      <c r="S16" s="35">
        <f t="shared" si="7"/>
        <v>-3433.1732362740054</v>
      </c>
      <c r="T16" s="35">
        <f t="shared" si="7"/>
        <v>-3144.6651834546806</v>
      </c>
      <c r="U16" s="35">
        <f t="shared" si="7"/>
        <v>2814.7450189760903</v>
      </c>
      <c r="V16" s="35">
        <f t="shared" si="7"/>
        <v>2528.8039837347851</v>
      </c>
      <c r="W16" s="35">
        <f t="shared" si="7"/>
        <v>1861.8149663333043</v>
      </c>
      <c r="X16" s="35">
        <f t="shared" si="7"/>
        <v>783.32765216735606</v>
      </c>
      <c r="Y16" s="35">
        <f t="shared" si="7"/>
        <v>-6512.6129163516935</v>
      </c>
      <c r="Z16" s="35">
        <f t="shared" si="7"/>
        <v>14999.841287893832</v>
      </c>
      <c r="AA16" s="35">
        <f t="shared" si="7"/>
        <v>2134.3574132610756</v>
      </c>
      <c r="AB16" s="35">
        <f t="shared" si="7"/>
        <v>617.37138349301313</v>
      </c>
      <c r="AC16" s="35">
        <f t="shared" si="7"/>
        <v>208.68953750985384</v>
      </c>
      <c r="AD16" t="str">
        <f t="shared" ca="1" si="3"/>
        <v>=SUM(AC13:AC15)</v>
      </c>
    </row>
    <row r="17" spans="1:30" ht="15" customHeight="1" x14ac:dyDescent="0.35">
      <c r="A17"/>
    </row>
    <row r="18" spans="1:30" ht="15" customHeight="1" x14ac:dyDescent="0.35">
      <c r="A18"/>
      <c r="B18" s="59" t="s">
        <v>168</v>
      </c>
      <c r="D18" s="59">
        <f>D16-'13 Week Cash Flow'!D16</f>
        <v>9.0949470177292824E-13</v>
      </c>
      <c r="E18" s="59">
        <f>E16-'13 Week Cash Flow'!E16</f>
        <v>0</v>
      </c>
      <c r="F18" s="59">
        <f>F16-'13 Week Cash Flow'!F16</f>
        <v>5.0022208597511053E-12</v>
      </c>
      <c r="G18" s="59">
        <f>G16-'13 Week Cash Flow'!G16</f>
        <v>-9.5496943686157465E-12</v>
      </c>
      <c r="H18" s="59">
        <f>H16-'13 Week Cash Flow'!H16</f>
        <v>-3.865352482534945E-12</v>
      </c>
      <c r="I18" s="59">
        <f>I16-'13 Week Cash Flow'!I16</f>
        <v>4.0927261579781771E-12</v>
      </c>
      <c r="J18" s="59">
        <f>J16-'13 Week Cash Flow'!J16</f>
        <v>-7.2759576141834259E-12</v>
      </c>
      <c r="K18" s="59">
        <f>K16-'13 Week Cash Flow'!K16</f>
        <v>0</v>
      </c>
      <c r="L18" s="59">
        <f>L16-'13 Week Cash Flow'!L16</f>
        <v>-7.0485839387401938E-12</v>
      </c>
      <c r="M18" s="59">
        <f>M16-'13 Week Cash Flow'!M16</f>
        <v>5.4569682106375694E-12</v>
      </c>
      <c r="N18" s="59">
        <f>N16-'13 Week Cash Flow'!N16</f>
        <v>-5.9117155615240335E-12</v>
      </c>
      <c r="O18" s="59">
        <f>O16-'13 Week Cash Flow'!O16</f>
        <v>1.3642420526593924E-11</v>
      </c>
      <c r="P18" s="59">
        <f>P16-'13 Week Cash Flow'!P16</f>
        <v>-2.3646862246096134E-11</v>
      </c>
      <c r="Q18" s="59">
        <f>Q16-'13 Week Cash Flow'!Q16</f>
        <v>0</v>
      </c>
      <c r="R18" s="59">
        <f>R16-'13 Week Cash Flow'!R16</f>
        <v>5.0022208597511053E-12</v>
      </c>
      <c r="S18" s="59">
        <f>S16-'13 Week Cash Flow'!S16</f>
        <v>0</v>
      </c>
      <c r="T18" s="59">
        <f>T16-'13 Week Cash Flow'!T16</f>
        <v>0</v>
      </c>
      <c r="U18" s="59">
        <f>U16-'13 Week Cash Flow'!U16</f>
        <v>1.1823431123048067E-11</v>
      </c>
      <c r="V18" s="59">
        <f>V16-'13 Week Cash Flow'!V16</f>
        <v>-6.3664629124104977E-12</v>
      </c>
      <c r="W18" s="59">
        <f>W16-'13 Week Cash Flow'!W16</f>
        <v>-8.1854523159563541E-12</v>
      </c>
      <c r="X18" s="59">
        <f>X16-'13 Week Cash Flow'!X16</f>
        <v>-3.637978807091713E-12</v>
      </c>
      <c r="Y18" s="59">
        <f>Y16-'13 Week Cash Flow'!Y16</f>
        <v>0</v>
      </c>
      <c r="Z18" s="59">
        <f>Z16-'13 Week Cash Flow'!Z16</f>
        <v>0</v>
      </c>
      <c r="AA18" s="59">
        <f>AA16-'13 Week Cash Flow'!AA16</f>
        <v>-9.0949470177292824E-12</v>
      </c>
      <c r="AB18" s="59">
        <f>AB16-'13 Week Cash Flow'!AB16</f>
        <v>-1.2732925824820995E-11</v>
      </c>
      <c r="AC18" s="59">
        <f>AC16-'13 Week Cash Flow'!AC16</f>
        <v>-1.0913936421275139E-11</v>
      </c>
      <c r="AD18" t="str">
        <f t="shared" ca="1" si="3"/>
        <v>=AC16-'13 Week Cash Flow'!AC16</v>
      </c>
    </row>
    <row r="19" spans="1:30" ht="15" customHeight="1" x14ac:dyDescent="0.35">
      <c r="A19"/>
    </row>
    <row r="20" spans="1:30" ht="15" customHeight="1" x14ac:dyDescent="0.35">
      <c r="A20" s="6" t="s">
        <v>119</v>
      </c>
    </row>
    <row r="21" spans="1:30" ht="15" customHeight="1" x14ac:dyDescent="0.35">
      <c r="A21"/>
    </row>
    <row r="22" spans="1:30" ht="15" customHeight="1" x14ac:dyDescent="0.35">
      <c r="A22"/>
    </row>
    <row r="23" spans="1:30" ht="15" customHeight="1" x14ac:dyDescent="0.35">
      <c r="A23"/>
    </row>
    <row r="24" spans="1:30" ht="15" customHeight="1" x14ac:dyDescent="0.35">
      <c r="A24"/>
    </row>
    <row r="25" spans="1:30" ht="15" customHeight="1" x14ac:dyDescent="0.35">
      <c r="A25"/>
    </row>
    <row r="26" spans="1:30" ht="15" customHeight="1" x14ac:dyDescent="0.35">
      <c r="A26"/>
    </row>
    <row r="27" spans="1:30" ht="15" customHeight="1" x14ac:dyDescent="0.35">
      <c r="A27"/>
    </row>
    <row r="28" spans="1:30" ht="15" customHeight="1" x14ac:dyDescent="0.35">
      <c r="A28"/>
    </row>
    <row r="29" spans="1:30" ht="15" customHeight="1" x14ac:dyDescent="0.35">
      <c r="A29"/>
    </row>
    <row r="30" spans="1:30" ht="15" customHeight="1" x14ac:dyDescent="0.35">
      <c r="A30"/>
    </row>
    <row r="31" spans="1:30" ht="15" customHeight="1" x14ac:dyDescent="0.35">
      <c r="A31"/>
    </row>
    <row r="32" spans="1:30" ht="15" customHeight="1" x14ac:dyDescent="0.35">
      <c r="A32"/>
    </row>
    <row r="33" spans="1:1" ht="15" customHeight="1" x14ac:dyDescent="0.35">
      <c r="A33"/>
    </row>
    <row r="34" spans="1:1" ht="15" customHeight="1" x14ac:dyDescent="0.35">
      <c r="A34"/>
    </row>
    <row r="35" spans="1:1" ht="15" customHeight="1" x14ac:dyDescent="0.35">
      <c r="A35"/>
    </row>
    <row r="36" spans="1:1" ht="15" customHeight="1" x14ac:dyDescent="0.35">
      <c r="A36"/>
    </row>
    <row r="37" spans="1:1" ht="15" customHeight="1" x14ac:dyDescent="0.35">
      <c r="A37"/>
    </row>
    <row r="38" spans="1:1" ht="15" customHeight="1" x14ac:dyDescent="0.35">
      <c r="A38"/>
    </row>
    <row r="39" spans="1:1" ht="15" customHeight="1" x14ac:dyDescent="0.35">
      <c r="A39"/>
    </row>
    <row r="40" spans="1:1" ht="15" customHeight="1" x14ac:dyDescent="0.35">
      <c r="A40"/>
    </row>
    <row r="41" spans="1:1" ht="15" customHeight="1" x14ac:dyDescent="0.35">
      <c r="A41"/>
    </row>
    <row r="42" spans="1:1" ht="15" customHeight="1" x14ac:dyDescent="0.35">
      <c r="A42"/>
    </row>
    <row r="43" spans="1:1" ht="15" customHeight="1" x14ac:dyDescent="0.35">
      <c r="A43"/>
    </row>
    <row r="44" spans="1:1" ht="15" customHeight="1" x14ac:dyDescent="0.35">
      <c r="A44"/>
    </row>
    <row r="45" spans="1:1" ht="15" customHeight="1" x14ac:dyDescent="0.35">
      <c r="A45"/>
    </row>
    <row r="46" spans="1:1" ht="15" customHeight="1" x14ac:dyDescent="0.35">
      <c r="A46"/>
    </row>
    <row r="47" spans="1:1" ht="15" customHeight="1" x14ac:dyDescent="0.35">
      <c r="A47"/>
    </row>
    <row r="48" spans="1:1" ht="15" customHeight="1" x14ac:dyDescent="0.35">
      <c r="A48"/>
    </row>
    <row r="49" spans="1:1" ht="15" customHeight="1" x14ac:dyDescent="0.35">
      <c r="A49"/>
    </row>
    <row r="50" spans="1:1" ht="15" customHeight="1" x14ac:dyDescent="0.35">
      <c r="A50"/>
    </row>
    <row r="51" spans="1:1" ht="15" customHeight="1" x14ac:dyDescent="0.35">
      <c r="A51"/>
    </row>
    <row r="52" spans="1:1" ht="15" customHeight="1" x14ac:dyDescent="0.35">
      <c r="A52"/>
    </row>
    <row r="53" spans="1:1" ht="15" customHeight="1" x14ac:dyDescent="0.35">
      <c r="A53"/>
    </row>
    <row r="54" spans="1:1" ht="15" customHeight="1" x14ac:dyDescent="0.35">
      <c r="A54"/>
    </row>
    <row r="55" spans="1:1" ht="15" customHeight="1" x14ac:dyDescent="0.35">
      <c r="A55"/>
    </row>
    <row r="56" spans="1:1" ht="15" customHeight="1" x14ac:dyDescent="0.35">
      <c r="A56"/>
    </row>
    <row r="57" spans="1:1" ht="15" customHeight="1" x14ac:dyDescent="0.35">
      <c r="A57"/>
    </row>
    <row r="58" spans="1:1" ht="15" customHeight="1" x14ac:dyDescent="0.35">
      <c r="A58"/>
    </row>
  </sheetData>
  <pageMargins left="0.7" right="0.7" top="0.75" bottom="0.75" header="0.3" footer="0.3"/>
  <pageSetup paperSize="9" orientation="landscape" verticalDpi="1200" r:id="rId1"/>
  <headerFooter>
    <oddHeader xml:space="preserve">&amp;R&amp;10&amp;F 
&amp;A
</oddHeader>
    <oddFooter>&amp;L&amp;10© 2020&amp;C&amp;10Page &amp;P of &amp;N&amp;R&amp;G</oddFoot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7AFE00D069A449A5EBFD278F5926C5" ma:contentTypeVersion="15" ma:contentTypeDescription="Create a new document." ma:contentTypeScope="" ma:versionID="bbd1fcc9843d85ecd333f8bdfb557cbc">
  <xsd:schema xmlns:xsd="http://www.w3.org/2001/XMLSchema" xmlns:xs="http://www.w3.org/2001/XMLSchema" xmlns:p="http://schemas.microsoft.com/office/2006/metadata/properties" xmlns:ns2="6ea4884f-dd23-4a9e-9674-e0962577458b" xmlns:ns3="b85bf0d7-e851-44f1-8cde-e77cc589a787" targetNamespace="http://schemas.microsoft.com/office/2006/metadata/properties" ma:root="true" ma:fieldsID="2074104a2fb71d18f965c5c192c21345" ns2:_="" ns3:_="">
    <xsd:import namespace="6ea4884f-dd23-4a9e-9674-e0962577458b"/>
    <xsd:import namespace="b85bf0d7-e851-44f1-8cde-e77cc589a7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5bf0d7-e851-44f1-8cde-e77cc589a7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ea4884f-dd23-4a9e-9674-e0962577458b" xsi:nil="true"/>
    <lcf76f155ced4ddcb4097134ff3c332f xmlns="b85bf0d7-e851-44f1-8cde-e77cc589a7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1DB146-6803-4A48-B507-C0B25BD2A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a4884f-dd23-4a9e-9674-e0962577458b"/>
    <ds:schemaRef ds:uri="b85bf0d7-e851-44f1-8cde-e77cc589a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0D2B6D-7D3E-4C01-8921-E82DD85B2A83}">
  <ds:schemaRefs>
    <ds:schemaRef ds:uri="http://schemas.microsoft.com/sharepoint/v3/contenttype/forms"/>
  </ds:schemaRefs>
</ds:datastoreItem>
</file>

<file path=customXml/itemProps3.xml><?xml version="1.0" encoding="utf-8"?>
<ds:datastoreItem xmlns:ds="http://schemas.openxmlformats.org/officeDocument/2006/customXml" ds:itemID="{21848EE4-F889-467A-9425-2C5CB23D49E3}">
  <ds:schemaRefs>
    <ds:schemaRef ds:uri="http://schemas.microsoft.com/office/2006/metadata/properties"/>
    <ds:schemaRef ds:uri="http://schemas.microsoft.com/office/infopath/2007/PartnerControls"/>
    <ds:schemaRef ds:uri="6ea4884f-dd23-4a9e-9674-e0962577458b"/>
    <ds:schemaRef ds:uri="b85bf0d7-e851-44f1-8cde-e77cc589a7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Welcome</vt:lpstr>
      <vt:lpstr>Info</vt:lpstr>
      <vt:lpstr>Weekly Rollforward</vt:lpstr>
      <vt:lpstr>13 Week Cash Flow</vt:lpstr>
      <vt:lpstr>EBITDA Rec</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dc:creator>
  <cp:keywords/>
  <dc:description/>
  <cp:lastModifiedBy>Eric Strawbridge</cp:lastModifiedBy>
  <cp:revision/>
  <dcterms:created xsi:type="dcterms:W3CDTF">2016-02-03T14:06:14Z</dcterms:created>
  <dcterms:modified xsi:type="dcterms:W3CDTF">2025-06-17T15:40:51Z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0x010100F87AFE00D069A449A5EBFD278F5926C5</vt:lpwstr>
  </property>
  <property fmtid="{D5CDD505-2E9C-101B-9397-08002B2CF9AE}" pid="3" name="MediaServiceImageTags">
    <vt:lpwstr/>
  </property>
</Properties>
</file>