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nordst\Downloads\"/>
    </mc:Choice>
  </mc:AlternateContent>
  <xr:revisionPtr revIDLastSave="0" documentId="13_ncr:1_{4E697B37-BBBB-4A12-8773-027ED24EB3F7}" xr6:coauthVersionLast="41" xr6:coauthVersionMax="41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Old IS" sheetId="1" state="hidden" r:id="rId1"/>
    <sheet name="Budget to Actual" sheetId="2" r:id="rId2"/>
    <sheet name="Sheet1" sheetId="4" r:id="rId3"/>
    <sheet name="Income Statement with Budget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" i="2" l="1"/>
  <c r="H12" i="2"/>
  <c r="F12" i="2"/>
  <c r="D12" i="2"/>
  <c r="G143" i="2"/>
  <c r="G142" i="2"/>
  <c r="G141" i="2"/>
  <c r="G140" i="2"/>
  <c r="G139" i="2"/>
  <c r="G136" i="2"/>
  <c r="G135" i="2"/>
  <c r="G134" i="2"/>
  <c r="G133" i="2"/>
  <c r="G130" i="2"/>
  <c r="G129" i="2"/>
  <c r="G126" i="2"/>
  <c r="G125" i="2"/>
  <c r="G124" i="2"/>
  <c r="G121" i="2"/>
  <c r="G118" i="2"/>
  <c r="G117" i="2"/>
  <c r="G116" i="2"/>
  <c r="G115" i="2"/>
  <c r="G114" i="2"/>
  <c r="G113" i="2"/>
  <c r="G112" i="2"/>
  <c r="G111" i="2"/>
  <c r="G108" i="2"/>
  <c r="G107" i="2"/>
  <c r="G106" i="2"/>
  <c r="G105" i="2"/>
  <c r="G104" i="2"/>
  <c r="G102" i="2"/>
  <c r="G95" i="2"/>
  <c r="G99" i="2"/>
  <c r="G98" i="2"/>
  <c r="G97" i="2"/>
  <c r="G96" i="2"/>
  <c r="G94" i="2"/>
  <c r="G91" i="2"/>
  <c r="G90" i="2"/>
  <c r="G89" i="2"/>
  <c r="G88" i="2"/>
  <c r="G87" i="2"/>
  <c r="G84" i="2"/>
  <c r="G83" i="2"/>
  <c r="G82" i="2"/>
  <c r="G81" i="2"/>
  <c r="G79" i="2"/>
  <c r="G78" i="2"/>
  <c r="G77" i="2"/>
  <c r="G76" i="2"/>
  <c r="G75" i="2"/>
  <c r="G74" i="2"/>
  <c r="G72" i="2"/>
  <c r="G69" i="2"/>
  <c r="G68" i="2"/>
  <c r="G67" i="2"/>
  <c r="G66" i="2"/>
  <c r="G65" i="2"/>
  <c r="G64" i="2"/>
  <c r="G63" i="2"/>
  <c r="G62" i="2"/>
  <c r="G61" i="2"/>
  <c r="G59" i="2"/>
  <c r="G58" i="2"/>
  <c r="G57" i="2"/>
  <c r="G56" i="2"/>
  <c r="G55" i="2"/>
  <c r="G54" i="2"/>
  <c r="G43" i="2"/>
  <c r="G51" i="2"/>
  <c r="G50" i="2"/>
  <c r="G44" i="2"/>
  <c r="G42" i="2"/>
  <c r="G41" i="2"/>
  <c r="G40" i="2"/>
  <c r="G34" i="2"/>
  <c r="G33" i="2"/>
  <c r="G30" i="2"/>
  <c r="G29" i="2"/>
  <c r="G28" i="2"/>
  <c r="G27" i="2"/>
  <c r="G25" i="2"/>
  <c r="G24" i="2"/>
  <c r="G23" i="2"/>
  <c r="G20" i="2"/>
  <c r="G19" i="2"/>
  <c r="G18" i="2"/>
  <c r="G17" i="2"/>
  <c r="G14" i="2"/>
  <c r="G10" i="2"/>
  <c r="G9" i="2"/>
  <c r="G8" i="2"/>
  <c r="G7" i="2"/>
  <c r="G4" i="2"/>
  <c r="G3" i="2"/>
  <c r="G122" i="2" l="1"/>
  <c r="C52" i="4" l="1"/>
  <c r="C50" i="4"/>
  <c r="C49" i="4"/>
  <c r="C72" i="4"/>
  <c r="D64" i="4"/>
  <c r="E64" i="4"/>
  <c r="N33" i="4" l="1"/>
  <c r="N19" i="4"/>
  <c r="N14" i="4"/>
  <c r="F23" i="4"/>
  <c r="F10" i="4"/>
  <c r="F27" i="4"/>
  <c r="F28" i="4"/>
  <c r="F30" i="4"/>
  <c r="F32" i="4"/>
  <c r="F29" i="4"/>
  <c r="F31" i="4"/>
  <c r="F21" i="4"/>
  <c r="F19" i="4" l="1"/>
  <c r="F17" i="4"/>
  <c r="F13" i="4"/>
  <c r="F9" i="4"/>
  <c r="F22" i="4"/>
  <c r="F12" i="4"/>
  <c r="F33" i="4"/>
  <c r="F25" i="4"/>
  <c r="F6" i="4"/>
  <c r="F20" i="4"/>
  <c r="F8" i="4"/>
  <c r="F7" i="4"/>
  <c r="F18" i="4"/>
  <c r="F14" i="4"/>
  <c r="F11" i="4"/>
  <c r="F16" i="4"/>
  <c r="F15" i="4"/>
  <c r="F26" i="4"/>
  <c r="F24" i="4"/>
  <c r="D42" i="2"/>
  <c r="J19" i="4" l="1"/>
  <c r="J10" i="4"/>
  <c r="J23" i="4"/>
  <c r="J33" i="4"/>
  <c r="J14" i="4"/>
  <c r="G10" i="4"/>
  <c r="G23" i="4"/>
  <c r="G32" i="4"/>
  <c r="G28" i="4"/>
  <c r="G30" i="4"/>
  <c r="G27" i="4"/>
  <c r="G31" i="4"/>
  <c r="G29" i="4"/>
  <c r="G21" i="4"/>
  <c r="F34" i="4"/>
  <c r="G19" i="4"/>
  <c r="G22" i="4"/>
  <c r="G7" i="4"/>
  <c r="G24" i="4"/>
  <c r="G13" i="4"/>
  <c r="G20" i="4"/>
  <c r="G25" i="4"/>
  <c r="G18" i="4"/>
  <c r="G17" i="4"/>
  <c r="G12" i="4"/>
  <c r="G9" i="4"/>
  <c r="G8" i="4"/>
  <c r="G33" i="4"/>
  <c r="G6" i="4"/>
  <c r="G16" i="4"/>
  <c r="G14" i="4"/>
  <c r="G15" i="4"/>
  <c r="G11" i="4"/>
  <c r="G26" i="4"/>
  <c r="D43" i="2"/>
  <c r="K14" i="4" l="1"/>
  <c r="K19" i="4"/>
  <c r="K33" i="4"/>
  <c r="K23" i="4"/>
  <c r="K10" i="4"/>
  <c r="M4" i="2" l="1"/>
  <c r="N4" i="2" s="1"/>
  <c r="M3" i="2"/>
  <c r="N3" i="2" s="1"/>
  <c r="D127" i="2"/>
  <c r="D130" i="2"/>
  <c r="D134" i="2"/>
  <c r="D133" i="2"/>
  <c r="N10" i="4" s="1"/>
  <c r="D85" i="2"/>
  <c r="C69" i="4" s="1"/>
  <c r="L37" i="4"/>
  <c r="L19" i="4" s="1"/>
  <c r="O19" i="4" s="1"/>
  <c r="C62" i="4" s="1"/>
  <c r="D143" i="2"/>
  <c r="D119" i="2"/>
  <c r="D109" i="2"/>
  <c r="D92" i="2"/>
  <c r="C71" i="4" s="1"/>
  <c r="D25" i="2"/>
  <c r="D31" i="2"/>
  <c r="D21" i="2"/>
  <c r="D15" i="2"/>
  <c r="C51" i="4"/>
  <c r="D35" i="2"/>
  <c r="D5" i="2"/>
  <c r="C53" i="4" l="1"/>
  <c r="C55" i="4"/>
  <c r="D51" i="4" s="1"/>
  <c r="D137" i="2"/>
  <c r="D131" i="2"/>
  <c r="N23" i="4"/>
  <c r="L23" i="4"/>
  <c r="L10" i="4"/>
  <c r="O10" i="4" s="1"/>
  <c r="L14" i="4"/>
  <c r="O14" i="4" s="1"/>
  <c r="C61" i="4" s="1"/>
  <c r="L33" i="4"/>
  <c r="O33" i="4" s="1"/>
  <c r="C59" i="4" s="1"/>
  <c r="D100" i="2"/>
  <c r="D70" i="2"/>
  <c r="C70" i="4" s="1"/>
  <c r="D37" i="2"/>
  <c r="H40" i="2"/>
  <c r="D50" i="4" l="1"/>
  <c r="D49" i="4"/>
  <c r="D52" i="4"/>
  <c r="D54" i="4"/>
  <c r="D53" i="4"/>
  <c r="C60" i="4"/>
  <c r="O23" i="4"/>
  <c r="G103" i="2"/>
  <c r="F103" i="2"/>
  <c r="G60" i="2"/>
  <c r="G123" i="2"/>
  <c r="G80" i="2"/>
  <c r="D55" i="4" l="1"/>
  <c r="C63" i="4"/>
  <c r="C64" i="4" s="1"/>
  <c r="O37" i="4"/>
  <c r="E139" i="2"/>
  <c r="E136" i="2"/>
  <c r="E126" i="2"/>
  <c r="E117" i="2"/>
  <c r="E99" i="2"/>
  <c r="E73" i="2"/>
  <c r="E44" i="2"/>
  <c r="E43" i="2"/>
  <c r="E42" i="2"/>
  <c r="E41" i="2"/>
  <c r="E40" i="2"/>
  <c r="E34" i="2"/>
  <c r="E33" i="2"/>
  <c r="E20" i="2"/>
  <c r="E19" i="2"/>
  <c r="E18" i="2"/>
  <c r="E17" i="2"/>
  <c r="E14" i="2"/>
  <c r="E4" i="2"/>
  <c r="E3" i="2"/>
  <c r="H127" i="2"/>
  <c r="F127" i="2"/>
  <c r="E141" i="2"/>
  <c r="E140" i="2"/>
  <c r="K142" i="2"/>
  <c r="J142" i="2"/>
  <c r="I142" i="2"/>
  <c r="K141" i="2"/>
  <c r="J141" i="2"/>
  <c r="I141" i="2"/>
  <c r="K140" i="2"/>
  <c r="J140" i="2"/>
  <c r="I140" i="2"/>
  <c r="K139" i="2"/>
  <c r="J139" i="2"/>
  <c r="I139" i="2"/>
  <c r="H143" i="2"/>
  <c r="E143" i="2" s="1"/>
  <c r="F143" i="2"/>
  <c r="F137" i="2"/>
  <c r="K136" i="2"/>
  <c r="J136" i="2"/>
  <c r="I136" i="2"/>
  <c r="E125" i="2"/>
  <c r="E124" i="2"/>
  <c r="K125" i="2"/>
  <c r="J125" i="2"/>
  <c r="I125" i="2"/>
  <c r="K124" i="2"/>
  <c r="J124" i="2"/>
  <c r="I124" i="2"/>
  <c r="H119" i="2"/>
  <c r="F119" i="2"/>
  <c r="E118" i="2"/>
  <c r="E116" i="2"/>
  <c r="E115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H100" i="2"/>
  <c r="F100" i="2"/>
  <c r="E98" i="2"/>
  <c r="K99" i="2"/>
  <c r="J99" i="2"/>
  <c r="I99" i="2"/>
  <c r="K98" i="2"/>
  <c r="J98" i="2"/>
  <c r="I98" i="2"/>
  <c r="R10" i="4" l="1"/>
  <c r="S10" i="4" s="1"/>
  <c r="R19" i="4"/>
  <c r="S19" i="4" s="1"/>
  <c r="R33" i="4"/>
  <c r="S33" i="4" s="1"/>
  <c r="R23" i="4"/>
  <c r="S23" i="4" s="1"/>
  <c r="P10" i="4"/>
  <c r="U10" i="4" s="1"/>
  <c r="R14" i="4"/>
  <c r="S14" i="4" s="1"/>
  <c r="P19" i="4"/>
  <c r="U19" i="4" s="1"/>
  <c r="P33" i="4"/>
  <c r="U33" i="4" s="1"/>
  <c r="P14" i="4"/>
  <c r="U14" i="4" s="1"/>
  <c r="P23" i="4"/>
  <c r="U23" i="4" s="1"/>
  <c r="E142" i="2"/>
  <c r="J143" i="2"/>
  <c r="I143" i="2"/>
  <c r="K143" i="2"/>
  <c r="H109" i="2"/>
  <c r="F109" i="2"/>
  <c r="E102" i="2"/>
  <c r="I102" i="2"/>
  <c r="J102" i="2"/>
  <c r="K102" i="2"/>
  <c r="E108" i="2"/>
  <c r="E107" i="2"/>
  <c r="E106" i="2"/>
  <c r="E105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F52" i="2"/>
  <c r="K44" i="2"/>
  <c r="J44" i="2"/>
  <c r="I44" i="2"/>
  <c r="H70" i="2"/>
  <c r="F70" i="2"/>
  <c r="E69" i="2"/>
  <c r="E68" i="2"/>
  <c r="E67" i="2"/>
  <c r="E66" i="2"/>
  <c r="K69" i="2"/>
  <c r="J69" i="2"/>
  <c r="I69" i="2"/>
  <c r="K68" i="2"/>
  <c r="J68" i="2"/>
  <c r="I68" i="2"/>
  <c r="K67" i="2"/>
  <c r="J67" i="2"/>
  <c r="I67" i="2"/>
  <c r="K66" i="2"/>
  <c r="J66" i="2"/>
  <c r="I66" i="2"/>
  <c r="H85" i="2"/>
  <c r="F85" i="2"/>
  <c r="E84" i="2"/>
  <c r="E83" i="2"/>
  <c r="E82" i="2"/>
  <c r="K84" i="2"/>
  <c r="J84" i="2"/>
  <c r="I84" i="2"/>
  <c r="K83" i="2"/>
  <c r="J83" i="2"/>
  <c r="I83" i="2"/>
  <c r="K82" i="2"/>
  <c r="J82" i="2"/>
  <c r="I82" i="2"/>
  <c r="K139" i="1"/>
  <c r="K138" i="1"/>
  <c r="K137" i="1"/>
  <c r="K136" i="1"/>
  <c r="K133" i="1"/>
  <c r="K132" i="1"/>
  <c r="K131" i="1"/>
  <c r="K130" i="1"/>
  <c r="K127" i="1"/>
  <c r="K126" i="1"/>
  <c r="K123" i="1"/>
  <c r="K122" i="1"/>
  <c r="K121" i="1"/>
  <c r="K120" i="1"/>
  <c r="K119" i="1"/>
  <c r="K116" i="1"/>
  <c r="K115" i="1"/>
  <c r="K114" i="1"/>
  <c r="K113" i="1"/>
  <c r="K112" i="1"/>
  <c r="K111" i="1"/>
  <c r="K110" i="1"/>
  <c r="K109" i="1"/>
  <c r="K106" i="1"/>
  <c r="K105" i="1"/>
  <c r="K104" i="1"/>
  <c r="K103" i="1"/>
  <c r="K102" i="1"/>
  <c r="K101" i="1"/>
  <c r="K98" i="1"/>
  <c r="K97" i="1"/>
  <c r="K96" i="1"/>
  <c r="K95" i="1"/>
  <c r="K94" i="1"/>
  <c r="K93" i="1"/>
  <c r="K92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7" i="1"/>
  <c r="K56" i="1"/>
  <c r="K55" i="1"/>
  <c r="K54" i="1"/>
  <c r="K53" i="1"/>
  <c r="K52" i="1"/>
  <c r="K51" i="1"/>
  <c r="K50" i="1"/>
  <c r="K49" i="1"/>
  <c r="K48" i="1"/>
  <c r="K47" i="1"/>
  <c r="K46" i="1"/>
  <c r="K43" i="1"/>
  <c r="K42" i="1"/>
  <c r="K41" i="1"/>
  <c r="K40" i="1"/>
  <c r="K39" i="1"/>
  <c r="K33" i="1"/>
  <c r="K32" i="1"/>
  <c r="K29" i="1"/>
  <c r="K28" i="1"/>
  <c r="K27" i="1"/>
  <c r="K26" i="1"/>
  <c r="K25" i="1"/>
  <c r="K24" i="1"/>
  <c r="K23" i="1"/>
  <c r="K20" i="1"/>
  <c r="K19" i="1"/>
  <c r="K18" i="1"/>
  <c r="K17" i="1"/>
  <c r="K14" i="1"/>
  <c r="K11" i="1"/>
  <c r="K10" i="1"/>
  <c r="K9" i="1"/>
  <c r="K8" i="1"/>
  <c r="K5" i="1"/>
  <c r="K4" i="1"/>
  <c r="F35" i="2"/>
  <c r="H35" i="2"/>
  <c r="K34" i="2"/>
  <c r="J34" i="2"/>
  <c r="I34" i="2"/>
  <c r="F31" i="2"/>
  <c r="H31" i="2"/>
  <c r="K30" i="2"/>
  <c r="J30" i="2"/>
  <c r="I30" i="2"/>
  <c r="E30" i="2"/>
  <c r="K29" i="2"/>
  <c r="J29" i="2"/>
  <c r="I29" i="2"/>
  <c r="E29" i="2"/>
  <c r="K28" i="2"/>
  <c r="J28" i="2"/>
  <c r="I28" i="2"/>
  <c r="E28" i="2"/>
  <c r="K27" i="2"/>
  <c r="J27" i="2"/>
  <c r="I27" i="2"/>
  <c r="E27" i="2"/>
  <c r="F21" i="2"/>
  <c r="H21" i="2"/>
  <c r="K20" i="2"/>
  <c r="J20" i="2"/>
  <c r="I20" i="2"/>
  <c r="K17" i="2"/>
  <c r="J17" i="2"/>
  <c r="I17" i="2"/>
  <c r="K18" i="2"/>
  <c r="J18" i="2"/>
  <c r="I18" i="2"/>
  <c r="K10" i="2"/>
  <c r="J10" i="2"/>
  <c r="I10" i="2"/>
  <c r="K7" i="2"/>
  <c r="J7" i="2"/>
  <c r="I7" i="2"/>
  <c r="M12" i="2"/>
  <c r="N12" i="2" s="1"/>
  <c r="E10" i="2"/>
  <c r="E7" i="2"/>
  <c r="H5" i="2"/>
  <c r="K135" i="2"/>
  <c r="J135" i="2"/>
  <c r="I135" i="2"/>
  <c r="K134" i="2"/>
  <c r="J134" i="2"/>
  <c r="I134" i="2"/>
  <c r="K133" i="2"/>
  <c r="J133" i="2"/>
  <c r="I133" i="2"/>
  <c r="K130" i="2"/>
  <c r="J130" i="2"/>
  <c r="I130" i="2"/>
  <c r="K129" i="2"/>
  <c r="J129" i="2"/>
  <c r="I129" i="2"/>
  <c r="K123" i="2"/>
  <c r="J123" i="2"/>
  <c r="I123" i="2"/>
  <c r="K122" i="2"/>
  <c r="J122" i="2"/>
  <c r="I122" i="2"/>
  <c r="J121" i="2"/>
  <c r="I121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J104" i="2"/>
  <c r="I104" i="2"/>
  <c r="K103" i="2"/>
  <c r="K97" i="2"/>
  <c r="J97" i="2"/>
  <c r="I97" i="2"/>
  <c r="I96" i="2"/>
  <c r="K95" i="2"/>
  <c r="J95" i="2"/>
  <c r="I95" i="2"/>
  <c r="J94" i="2"/>
  <c r="I94" i="2"/>
  <c r="K91" i="2"/>
  <c r="J91" i="2"/>
  <c r="I91" i="2"/>
  <c r="K90" i="2"/>
  <c r="J90" i="2"/>
  <c r="K89" i="2"/>
  <c r="J89" i="2"/>
  <c r="I89" i="2"/>
  <c r="K88" i="2"/>
  <c r="J88" i="2"/>
  <c r="I88" i="2"/>
  <c r="K87" i="2"/>
  <c r="J87" i="2"/>
  <c r="I87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2" i="2"/>
  <c r="J72" i="2"/>
  <c r="I72" i="2"/>
  <c r="K65" i="2"/>
  <c r="J65" i="2"/>
  <c r="I65" i="2"/>
  <c r="K64" i="2"/>
  <c r="J64" i="2"/>
  <c r="I64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1" i="2"/>
  <c r="J51" i="2"/>
  <c r="I51" i="2"/>
  <c r="K50" i="2"/>
  <c r="J50" i="2"/>
  <c r="I50" i="2"/>
  <c r="K63" i="2"/>
  <c r="J63" i="2"/>
  <c r="I63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3" i="2"/>
  <c r="J43" i="2"/>
  <c r="I43" i="2"/>
  <c r="K42" i="2"/>
  <c r="J42" i="2"/>
  <c r="I42" i="2"/>
  <c r="K41" i="2"/>
  <c r="J41" i="2"/>
  <c r="I41" i="2"/>
  <c r="K40" i="2"/>
  <c r="J40" i="2"/>
  <c r="I40" i="2"/>
  <c r="K33" i="2"/>
  <c r="J33" i="2"/>
  <c r="I33" i="2"/>
  <c r="K25" i="2"/>
  <c r="J25" i="2"/>
  <c r="I25" i="2"/>
  <c r="K24" i="2"/>
  <c r="J24" i="2"/>
  <c r="I24" i="2"/>
  <c r="K23" i="2"/>
  <c r="J23" i="2"/>
  <c r="I23" i="2"/>
  <c r="K19" i="2"/>
  <c r="J19" i="2"/>
  <c r="I19" i="2"/>
  <c r="K14" i="2"/>
  <c r="K15" i="2" s="1"/>
  <c r="J14" i="2"/>
  <c r="J15" i="2" s="1"/>
  <c r="I14" i="2"/>
  <c r="I15" i="2" s="1"/>
  <c r="K9" i="2"/>
  <c r="J9" i="2"/>
  <c r="I9" i="2"/>
  <c r="K8" i="2"/>
  <c r="J8" i="2"/>
  <c r="K4" i="2"/>
  <c r="J4" i="2"/>
  <c r="I4" i="2"/>
  <c r="K3" i="2"/>
  <c r="J3" i="2"/>
  <c r="I3" i="2"/>
  <c r="E130" i="2"/>
  <c r="E129" i="2"/>
  <c r="E123" i="2"/>
  <c r="E122" i="2"/>
  <c r="E114" i="2"/>
  <c r="E113" i="2"/>
  <c r="E112" i="2"/>
  <c r="E111" i="2"/>
  <c r="E104" i="2"/>
  <c r="E103" i="2"/>
  <c r="E97" i="2"/>
  <c r="E96" i="2"/>
  <c r="E95" i="2"/>
  <c r="E94" i="2"/>
  <c r="E91" i="2"/>
  <c r="E90" i="2"/>
  <c r="E89" i="2"/>
  <c r="E88" i="2"/>
  <c r="E87" i="2"/>
  <c r="E81" i="2"/>
  <c r="E80" i="2"/>
  <c r="E79" i="2"/>
  <c r="E78" i="2"/>
  <c r="E77" i="2"/>
  <c r="E76" i="2"/>
  <c r="E75" i="2"/>
  <c r="E74" i="2"/>
  <c r="E72" i="2"/>
  <c r="E65" i="2"/>
  <c r="E64" i="2"/>
  <c r="E62" i="2"/>
  <c r="E61" i="2"/>
  <c r="E60" i="2"/>
  <c r="E59" i="2"/>
  <c r="E58" i="2"/>
  <c r="E57" i="2"/>
  <c r="E56" i="2"/>
  <c r="E55" i="2"/>
  <c r="E54" i="2"/>
  <c r="E51" i="2"/>
  <c r="E50" i="2"/>
  <c r="E63" i="2"/>
  <c r="G49" i="2"/>
  <c r="E49" i="2" s="1"/>
  <c r="G48" i="2"/>
  <c r="E48" i="2" s="1"/>
  <c r="G47" i="2"/>
  <c r="E47" i="2" s="1"/>
  <c r="G46" i="2"/>
  <c r="E46" i="2" s="1"/>
  <c r="G45" i="2"/>
  <c r="E45" i="2" s="1"/>
  <c r="G35" i="2"/>
  <c r="E25" i="2"/>
  <c r="E24" i="2"/>
  <c r="E23" i="2"/>
  <c r="G15" i="2"/>
  <c r="E9" i="2"/>
  <c r="E8" i="2"/>
  <c r="F131" i="2"/>
  <c r="F92" i="2"/>
  <c r="F15" i="2"/>
  <c r="F5" i="2"/>
  <c r="I136" i="3"/>
  <c r="H136" i="3"/>
  <c r="G136" i="3"/>
  <c r="F136" i="3"/>
  <c r="E136" i="3"/>
  <c r="D136" i="3"/>
  <c r="E134" i="3"/>
  <c r="D134" i="3"/>
  <c r="D133" i="3"/>
  <c r="D132" i="3"/>
  <c r="I131" i="3"/>
  <c r="H131" i="3"/>
  <c r="G131" i="3"/>
  <c r="F131" i="3"/>
  <c r="I127" i="3"/>
  <c r="H127" i="3"/>
  <c r="G127" i="3"/>
  <c r="F127" i="3"/>
  <c r="E127" i="3"/>
  <c r="D127" i="3"/>
  <c r="C127" i="3" s="1"/>
  <c r="I121" i="3"/>
  <c r="I119" i="3" s="1"/>
  <c r="H119" i="3"/>
  <c r="G119" i="3"/>
  <c r="F119" i="3"/>
  <c r="E119" i="3"/>
  <c r="D119" i="3"/>
  <c r="C119" i="3" s="1"/>
  <c r="I113" i="3"/>
  <c r="H113" i="3"/>
  <c r="G113" i="3"/>
  <c r="F113" i="3"/>
  <c r="E113" i="3"/>
  <c r="D113" i="3"/>
  <c r="C113" i="3"/>
  <c r="I110" i="3"/>
  <c r="I107" i="3" s="1"/>
  <c r="H110" i="3"/>
  <c r="H107" i="3" s="1"/>
  <c r="F110" i="3"/>
  <c r="F107" i="3" s="1"/>
  <c r="E108" i="3"/>
  <c r="E107" i="3" s="1"/>
  <c r="G107" i="3"/>
  <c r="D107" i="3"/>
  <c r="C107" i="3" s="1"/>
  <c r="I102" i="3"/>
  <c r="I97" i="3" s="1"/>
  <c r="I101" i="3"/>
  <c r="H101" i="3"/>
  <c r="F101" i="3"/>
  <c r="F97" i="3" s="1"/>
  <c r="H97" i="3"/>
  <c r="G97" i="3"/>
  <c r="D97" i="3"/>
  <c r="E89" i="3"/>
  <c r="E88" i="3"/>
  <c r="E86" i="3"/>
  <c r="E84" i="3"/>
  <c r="E82" i="3"/>
  <c r="E81" i="3"/>
  <c r="I80" i="3"/>
  <c r="H80" i="3"/>
  <c r="G80" i="3"/>
  <c r="F80" i="3"/>
  <c r="D80" i="3"/>
  <c r="C80" i="3" s="1"/>
  <c r="E78" i="3"/>
  <c r="I77" i="3"/>
  <c r="I71" i="3" s="1"/>
  <c r="H77" i="3"/>
  <c r="H71" i="3" s="1"/>
  <c r="F77" i="3"/>
  <c r="F71" i="3" s="1"/>
  <c r="E77" i="3"/>
  <c r="E76" i="3"/>
  <c r="E74" i="3"/>
  <c r="G71" i="3"/>
  <c r="D71" i="3"/>
  <c r="C71" i="3" s="1"/>
  <c r="E69" i="3"/>
  <c r="E68" i="3"/>
  <c r="E64" i="3"/>
  <c r="E63" i="3"/>
  <c r="E62" i="3"/>
  <c r="E60" i="3" s="1"/>
  <c r="I60" i="3"/>
  <c r="H60" i="3"/>
  <c r="G60" i="3"/>
  <c r="F60" i="3"/>
  <c r="D60" i="3"/>
  <c r="E58" i="3"/>
  <c r="E57" i="3"/>
  <c r="E54" i="3"/>
  <c r="I53" i="3"/>
  <c r="H53" i="3"/>
  <c r="G53" i="3"/>
  <c r="F53" i="3"/>
  <c r="D53" i="3"/>
  <c r="C53" i="3"/>
  <c r="E48" i="3"/>
  <c r="E47" i="3"/>
  <c r="E46" i="3"/>
  <c r="D46" i="3"/>
  <c r="E45" i="3"/>
  <c r="I41" i="3"/>
  <c r="E40" i="3"/>
  <c r="E39" i="3"/>
  <c r="E38" i="3" s="1"/>
  <c r="D39" i="3"/>
  <c r="I38" i="3"/>
  <c r="H38" i="3"/>
  <c r="G38" i="3"/>
  <c r="G142" i="3" s="1"/>
  <c r="F38" i="3"/>
  <c r="E32" i="3"/>
  <c r="E31" i="3" s="1"/>
  <c r="I31" i="3"/>
  <c r="H31" i="3"/>
  <c r="G31" i="3"/>
  <c r="F31" i="3"/>
  <c r="D31" i="3"/>
  <c r="E28" i="3"/>
  <c r="E27" i="3"/>
  <c r="E26" i="3"/>
  <c r="E132" i="3" s="1"/>
  <c r="E23" i="3"/>
  <c r="I22" i="3"/>
  <c r="H22" i="3"/>
  <c r="G22" i="3"/>
  <c r="F22" i="3"/>
  <c r="D22" i="3"/>
  <c r="C22" i="3" s="1"/>
  <c r="E17" i="3"/>
  <c r="E16" i="3" s="1"/>
  <c r="I16" i="3"/>
  <c r="H16" i="3"/>
  <c r="G16" i="3"/>
  <c r="F16" i="3"/>
  <c r="D16" i="3"/>
  <c r="C16" i="3"/>
  <c r="E14" i="3"/>
  <c r="E13" i="3" s="1"/>
  <c r="D14" i="3"/>
  <c r="I13" i="3"/>
  <c r="H13" i="3"/>
  <c r="G13" i="3"/>
  <c r="F13" i="3"/>
  <c r="D13" i="3"/>
  <c r="C13" i="3" s="1"/>
  <c r="E11" i="3"/>
  <c r="E10" i="3"/>
  <c r="E9" i="3"/>
  <c r="E8" i="3"/>
  <c r="I7" i="3"/>
  <c r="H7" i="3"/>
  <c r="G7" i="3"/>
  <c r="F7" i="3"/>
  <c r="E7" i="3"/>
  <c r="D7" i="3"/>
  <c r="E5" i="3"/>
  <c r="E4" i="3"/>
  <c r="I3" i="3"/>
  <c r="H3" i="3"/>
  <c r="G3" i="3"/>
  <c r="G35" i="3" s="1"/>
  <c r="F3" i="3"/>
  <c r="F35" i="3" s="1"/>
  <c r="E3" i="3"/>
  <c r="D3" i="3"/>
  <c r="H135" i="2"/>
  <c r="H134" i="2"/>
  <c r="H133" i="2"/>
  <c r="H131" i="2"/>
  <c r="H92" i="2"/>
  <c r="H52" i="2"/>
  <c r="H15" i="2"/>
  <c r="E137" i="1"/>
  <c r="I135" i="1"/>
  <c r="H135" i="1"/>
  <c r="G135" i="1"/>
  <c r="F135" i="1"/>
  <c r="E135" i="1"/>
  <c r="D135" i="1"/>
  <c r="C135" i="1" s="1"/>
  <c r="E133" i="1"/>
  <c r="D133" i="1"/>
  <c r="E132" i="1"/>
  <c r="E131" i="1"/>
  <c r="D131" i="1"/>
  <c r="D130" i="1"/>
  <c r="D129" i="1" s="1"/>
  <c r="C129" i="1" s="1"/>
  <c r="I129" i="1"/>
  <c r="H129" i="1"/>
  <c r="G129" i="1"/>
  <c r="F129" i="1"/>
  <c r="I125" i="1"/>
  <c r="H125" i="1"/>
  <c r="G125" i="1"/>
  <c r="F125" i="1"/>
  <c r="E125" i="1"/>
  <c r="D125" i="1"/>
  <c r="C125" i="1" s="1"/>
  <c r="E120" i="1"/>
  <c r="E118" i="1" s="1"/>
  <c r="I119" i="1"/>
  <c r="I118" i="1" s="1"/>
  <c r="H118" i="1"/>
  <c r="G118" i="1"/>
  <c r="F118" i="1"/>
  <c r="D118" i="1"/>
  <c r="C118" i="1"/>
  <c r="E114" i="1"/>
  <c r="E109" i="1"/>
  <c r="I108" i="1"/>
  <c r="H108" i="1"/>
  <c r="G108" i="1"/>
  <c r="F108" i="1"/>
  <c r="D108" i="1"/>
  <c r="C108" i="1"/>
  <c r="E105" i="1"/>
  <c r="E100" i="1" s="1"/>
  <c r="E104" i="1"/>
  <c r="I103" i="1"/>
  <c r="K96" i="2" s="1"/>
  <c r="H103" i="1"/>
  <c r="J96" i="2" s="1"/>
  <c r="F103" i="1"/>
  <c r="F100" i="1" s="1"/>
  <c r="I101" i="1"/>
  <c r="K94" i="2" s="1"/>
  <c r="I100" i="1"/>
  <c r="H100" i="1"/>
  <c r="G100" i="1"/>
  <c r="D100" i="1"/>
  <c r="I95" i="1"/>
  <c r="K104" i="2" s="1"/>
  <c r="I94" i="1"/>
  <c r="H94" i="1"/>
  <c r="H91" i="1" s="1"/>
  <c r="F94" i="1"/>
  <c r="F91" i="1" s="1"/>
  <c r="G91" i="1"/>
  <c r="D91" i="1"/>
  <c r="C91" i="1" s="1"/>
  <c r="E89" i="1"/>
  <c r="E88" i="1"/>
  <c r="E85" i="1"/>
  <c r="E82" i="1"/>
  <c r="E81" i="1"/>
  <c r="E80" i="1"/>
  <c r="E79" i="1"/>
  <c r="D79" i="1"/>
  <c r="E77" i="1"/>
  <c r="D77" i="1"/>
  <c r="I76" i="1"/>
  <c r="H76" i="1"/>
  <c r="G76" i="1"/>
  <c r="F76" i="1"/>
  <c r="E72" i="1"/>
  <c r="E71" i="1"/>
  <c r="E69" i="1"/>
  <c r="E68" i="1"/>
  <c r="I66" i="1"/>
  <c r="I59" i="1" s="1"/>
  <c r="H66" i="1"/>
  <c r="H59" i="1" s="1"/>
  <c r="F66" i="1"/>
  <c r="I62" i="2" s="1"/>
  <c r="E64" i="1"/>
  <c r="E61" i="1"/>
  <c r="E59" i="1" s="1"/>
  <c r="G59" i="1"/>
  <c r="D59" i="1"/>
  <c r="E57" i="1"/>
  <c r="E53" i="1"/>
  <c r="E49" i="1"/>
  <c r="E48" i="1"/>
  <c r="I45" i="1"/>
  <c r="H45" i="1"/>
  <c r="G45" i="1"/>
  <c r="F45" i="1"/>
  <c r="E45" i="1"/>
  <c r="D45" i="1"/>
  <c r="C45" i="1" s="1"/>
  <c r="E43" i="1"/>
  <c r="E42" i="1"/>
  <c r="F39" i="1"/>
  <c r="F38" i="1" s="1"/>
  <c r="I38" i="1"/>
  <c r="H38" i="1"/>
  <c r="G38" i="1"/>
  <c r="D38" i="1"/>
  <c r="C38" i="1" s="1"/>
  <c r="E32" i="1"/>
  <c r="E31" i="1" s="1"/>
  <c r="I31" i="1"/>
  <c r="H31" i="1"/>
  <c r="G31" i="1"/>
  <c r="F31" i="1"/>
  <c r="D31" i="1"/>
  <c r="E28" i="1"/>
  <c r="E26" i="1"/>
  <c r="E24" i="1"/>
  <c r="E23" i="1"/>
  <c r="E130" i="1" s="1"/>
  <c r="E129" i="1" s="1"/>
  <c r="I22" i="1"/>
  <c r="H22" i="1"/>
  <c r="G22" i="1"/>
  <c r="F22" i="1"/>
  <c r="D22" i="1"/>
  <c r="C22" i="1" s="1"/>
  <c r="E19" i="1"/>
  <c r="E16" i="1" s="1"/>
  <c r="I16" i="1"/>
  <c r="H16" i="1"/>
  <c r="G16" i="1"/>
  <c r="F16" i="1"/>
  <c r="D16" i="1"/>
  <c r="E14" i="1"/>
  <c r="E13" i="1" s="1"/>
  <c r="D14" i="1"/>
  <c r="D13" i="1" s="1"/>
  <c r="C13" i="1" s="1"/>
  <c r="I13" i="1"/>
  <c r="H13" i="1"/>
  <c r="G13" i="1"/>
  <c r="F13" i="1"/>
  <c r="E11" i="1"/>
  <c r="F9" i="1"/>
  <c r="F7" i="1" s="1"/>
  <c r="E8" i="1"/>
  <c r="I7" i="1"/>
  <c r="H7" i="1"/>
  <c r="G7" i="1"/>
  <c r="D7" i="1"/>
  <c r="E5" i="1"/>
  <c r="E4" i="1"/>
  <c r="E3" i="1" s="1"/>
  <c r="I3" i="1"/>
  <c r="I35" i="1" s="1"/>
  <c r="H3" i="1"/>
  <c r="H35" i="1" s="1"/>
  <c r="G3" i="1"/>
  <c r="F3" i="1"/>
  <c r="D3" i="1"/>
  <c r="C3" i="1" s="1"/>
  <c r="N43" i="2" l="1"/>
  <c r="D52" i="2" s="1"/>
  <c r="K62" i="2"/>
  <c r="K70" i="2" s="1"/>
  <c r="C59" i="1"/>
  <c r="D76" i="1"/>
  <c r="I91" i="1"/>
  <c r="H35" i="3"/>
  <c r="E53" i="3"/>
  <c r="D131" i="3"/>
  <c r="C131" i="3" s="1"/>
  <c r="K121" i="2"/>
  <c r="K127" i="2" s="1"/>
  <c r="C16" i="1"/>
  <c r="G141" i="1"/>
  <c r="G144" i="3"/>
  <c r="E15" i="2"/>
  <c r="C7" i="1"/>
  <c r="F59" i="1"/>
  <c r="D38" i="3"/>
  <c r="C38" i="3" s="1"/>
  <c r="E101" i="3"/>
  <c r="E97" i="3" s="1"/>
  <c r="I8" i="2"/>
  <c r="I12" i="2" s="1"/>
  <c r="J62" i="2"/>
  <c r="J70" i="2" s="1"/>
  <c r="I90" i="2"/>
  <c r="I92" i="2" s="1"/>
  <c r="E80" i="3"/>
  <c r="E76" i="1"/>
  <c r="E22" i="3"/>
  <c r="E35" i="3" s="1"/>
  <c r="I35" i="3"/>
  <c r="C60" i="3"/>
  <c r="C136" i="3"/>
  <c r="C100" i="1"/>
  <c r="E134" i="2"/>
  <c r="G35" i="1"/>
  <c r="G143" i="1" s="1"/>
  <c r="E108" i="1"/>
  <c r="D35" i="3"/>
  <c r="C35" i="3" s="1"/>
  <c r="C7" i="3"/>
  <c r="E131" i="3"/>
  <c r="E71" i="3"/>
  <c r="C97" i="3"/>
  <c r="I103" i="2"/>
  <c r="I109" i="2" s="1"/>
  <c r="E22" i="1"/>
  <c r="E94" i="1"/>
  <c r="E91" i="1" s="1"/>
  <c r="F142" i="3"/>
  <c r="F144" i="3" s="1"/>
  <c r="J103" i="2"/>
  <c r="J109" i="2" s="1"/>
  <c r="E35" i="2"/>
  <c r="E121" i="2"/>
  <c r="G127" i="2"/>
  <c r="E127" i="2" s="1"/>
  <c r="I127" i="2"/>
  <c r="J127" i="2"/>
  <c r="G21" i="2"/>
  <c r="E21" i="2" s="1"/>
  <c r="K35" i="2"/>
  <c r="F145" i="2"/>
  <c r="J131" i="2"/>
  <c r="I35" i="2"/>
  <c r="G119" i="2"/>
  <c r="E119" i="2" s="1"/>
  <c r="E133" i="2"/>
  <c r="H137" i="2"/>
  <c r="H145" i="2" s="1"/>
  <c r="G100" i="2"/>
  <c r="E100" i="2" s="1"/>
  <c r="J35" i="2"/>
  <c r="I137" i="2"/>
  <c r="J137" i="2"/>
  <c r="K137" i="2"/>
  <c r="G131" i="2"/>
  <c r="E131" i="2" s="1"/>
  <c r="K100" i="2"/>
  <c r="I119" i="2"/>
  <c r="J119" i="2"/>
  <c r="K119" i="2"/>
  <c r="G109" i="2"/>
  <c r="E109" i="2" s="1"/>
  <c r="K109" i="2"/>
  <c r="I100" i="2"/>
  <c r="J100" i="2"/>
  <c r="G70" i="2"/>
  <c r="E70" i="2" s="1"/>
  <c r="G85" i="2"/>
  <c r="E85" i="2" s="1"/>
  <c r="I70" i="2"/>
  <c r="I85" i="2"/>
  <c r="K85" i="2"/>
  <c r="J85" i="2"/>
  <c r="I31" i="2"/>
  <c r="K31" i="2"/>
  <c r="J31" i="2"/>
  <c r="G31" i="2"/>
  <c r="E31" i="2" s="1"/>
  <c r="I21" i="2"/>
  <c r="J21" i="2"/>
  <c r="K21" i="2"/>
  <c r="G12" i="2"/>
  <c r="E12" i="2" s="1"/>
  <c r="J92" i="2"/>
  <c r="I131" i="2"/>
  <c r="J12" i="2"/>
  <c r="K12" i="2"/>
  <c r="K92" i="2"/>
  <c r="I5" i="2"/>
  <c r="K52" i="2"/>
  <c r="J5" i="2"/>
  <c r="I52" i="2"/>
  <c r="K131" i="2"/>
  <c r="J52" i="2"/>
  <c r="K5" i="2"/>
  <c r="F37" i="2"/>
  <c r="M37" i="2" s="1"/>
  <c r="N37" i="2" s="1"/>
  <c r="G5" i="2"/>
  <c r="E5" i="2" s="1"/>
  <c r="E135" i="2"/>
  <c r="G92" i="2"/>
  <c r="E92" i="2" s="1"/>
  <c r="G52" i="2"/>
  <c r="E52" i="2" s="1"/>
  <c r="H37" i="2"/>
  <c r="E142" i="3"/>
  <c r="H141" i="1"/>
  <c r="H143" i="1" s="1"/>
  <c r="C76" i="1"/>
  <c r="D141" i="1"/>
  <c r="C141" i="1" s="1"/>
  <c r="I141" i="1"/>
  <c r="I143" i="1" s="1"/>
  <c r="D35" i="1"/>
  <c r="F141" i="1"/>
  <c r="H142" i="3"/>
  <c r="H144" i="3" s="1"/>
  <c r="F35" i="1"/>
  <c r="I142" i="3"/>
  <c r="I144" i="3" s="1"/>
  <c r="E39" i="1"/>
  <c r="E38" i="1" s="1"/>
  <c r="E9" i="1"/>
  <c r="E7" i="1" s="1"/>
  <c r="E35" i="1" s="1"/>
  <c r="C3" i="3"/>
  <c r="D145" i="2" l="1"/>
  <c r="H34" i="4" s="1"/>
  <c r="C68" i="4"/>
  <c r="C73" i="4" s="1"/>
  <c r="D142" i="3"/>
  <c r="C142" i="3" s="1"/>
  <c r="E141" i="1"/>
  <c r="E143" i="1" s="1"/>
  <c r="G137" i="2"/>
  <c r="K145" i="2"/>
  <c r="J145" i="2"/>
  <c r="I145" i="2"/>
  <c r="G37" i="2"/>
  <c r="E37" i="2" s="1"/>
  <c r="F147" i="2"/>
  <c r="J37" i="2"/>
  <c r="K37" i="2"/>
  <c r="I37" i="2"/>
  <c r="H147" i="2"/>
  <c r="D143" i="1"/>
  <c r="C35" i="1"/>
  <c r="D144" i="3"/>
  <c r="F143" i="1"/>
  <c r="E144" i="3"/>
  <c r="D147" i="2" l="1"/>
  <c r="H17" i="4"/>
  <c r="H25" i="4"/>
  <c r="H19" i="4"/>
  <c r="H11" i="4"/>
  <c r="H9" i="4"/>
  <c r="H7" i="4"/>
  <c r="H8" i="4"/>
  <c r="H15" i="4"/>
  <c r="H27" i="4"/>
  <c r="H14" i="4"/>
  <c r="H33" i="4"/>
  <c r="H21" i="4"/>
  <c r="H12" i="4"/>
  <c r="H26" i="4"/>
  <c r="H22" i="4"/>
  <c r="H32" i="4"/>
  <c r="H20" i="4"/>
  <c r="H29" i="4"/>
  <c r="H18" i="4"/>
  <c r="H13" i="4"/>
  <c r="H28" i="4"/>
  <c r="F36" i="4"/>
  <c r="H24" i="4"/>
  <c r="H23" i="4"/>
  <c r="H31" i="4"/>
  <c r="H10" i="4"/>
  <c r="H30" i="4"/>
  <c r="H16" i="4"/>
  <c r="H6" i="4"/>
  <c r="G145" i="2"/>
  <c r="E145" i="2" s="1"/>
  <c r="E137" i="2"/>
  <c r="J147" i="2"/>
  <c r="K147" i="2"/>
  <c r="I147" i="2"/>
  <c r="G147" i="2" l="1"/>
  <c r="E147" i="2" s="1"/>
</calcChain>
</file>

<file path=xl/sharedStrings.xml><?xml version="1.0" encoding="utf-8"?>
<sst xmlns="http://schemas.openxmlformats.org/spreadsheetml/2006/main" count="664" uniqueCount="255">
  <si>
    <t>% Change 2019 Budget to 2018 Budget</t>
  </si>
  <si>
    <t>Draft 2019 Budget</t>
  </si>
  <si>
    <t>2018 FY Projected Actual</t>
  </si>
  <si>
    <t>2018 December YTD Actual</t>
  </si>
  <si>
    <t>FY 2018 Budget</t>
  </si>
  <si>
    <t>FY 2017 Actual</t>
  </si>
  <si>
    <t>FY 2016 Actual</t>
  </si>
  <si>
    <t>Draft 2019 Budget to play with</t>
  </si>
  <si>
    <t>2018 July YTD Actual</t>
  </si>
  <si>
    <t>Revenue</t>
  </si>
  <si>
    <t>Notes</t>
  </si>
  <si>
    <t>Congregation</t>
  </si>
  <si>
    <t>Pledge Donations</t>
  </si>
  <si>
    <t>Open Plate Donations</t>
  </si>
  <si>
    <t>Community</t>
  </si>
  <si>
    <t>Support Groups</t>
  </si>
  <si>
    <t>Community of Christ</t>
  </si>
  <si>
    <t xml:space="preserve"> Diocese</t>
  </si>
  <si>
    <t>Diocesan Grant</t>
  </si>
  <si>
    <t>Community Music Outreach Program</t>
  </si>
  <si>
    <t>match budgeted revenue with budgeted expense</t>
  </si>
  <si>
    <t>Grant and Contributions Music Program</t>
  </si>
  <si>
    <t>Designated and Restricted Revenues (Donations and Grants)</t>
  </si>
  <si>
    <t>Episcopal Relief and Development</t>
  </si>
  <si>
    <t>Food and Care Coalition</t>
  </si>
  <si>
    <t>Community Garden</t>
  </si>
  <si>
    <t>Interest Revenue</t>
  </si>
  <si>
    <t>Interest Income</t>
  </si>
  <si>
    <t>Total Revenue</t>
  </si>
  <si>
    <t>Other</t>
  </si>
  <si>
    <t>Expenses</t>
  </si>
  <si>
    <t>Clergy and Diocesan Expenses</t>
  </si>
  <si>
    <t>Priest-in-Charge wages</t>
  </si>
  <si>
    <t>Altar Flowers Income</t>
  </si>
  <si>
    <t>Diocesan Assessment</t>
  </si>
  <si>
    <t>Supply Clergy</t>
  </si>
  <si>
    <t>Supply for 1/2 year @ ~ 2 Sundays per month</t>
  </si>
  <si>
    <t>Rector Pension fund expense</t>
  </si>
  <si>
    <t>Priest-in-Charge Discretionary</t>
  </si>
  <si>
    <t>Deacon's Discretionary</t>
  </si>
  <si>
    <t>Priest-in-Charge Continuing Education</t>
  </si>
  <si>
    <t>Deacon Continuing Education</t>
  </si>
  <si>
    <t>Diocesan Convention</t>
  </si>
  <si>
    <t>Licenses and Fees</t>
  </si>
  <si>
    <t>Recognition</t>
  </si>
  <si>
    <t>Utah Ministerial Association Fee</t>
  </si>
  <si>
    <t>Office</t>
  </si>
  <si>
    <t>Church Secretary wages</t>
  </si>
  <si>
    <t>Copier Lease</t>
  </si>
  <si>
    <t>10% reduction in grant expected for 2019</t>
  </si>
  <si>
    <t>Bookkeeping wages</t>
  </si>
  <si>
    <t>Payroll Taxes</t>
  </si>
  <si>
    <t>Subscriptions and Publications (incl. Church Windows)</t>
  </si>
  <si>
    <t>Advertising and Website</t>
  </si>
  <si>
    <t>Workers Compensation expense</t>
  </si>
  <si>
    <t>Payroll Outsourcing</t>
  </si>
  <si>
    <t>Office Supplies</t>
  </si>
  <si>
    <t>Computer/Office Equipment</t>
  </si>
  <si>
    <t>Postage</t>
  </si>
  <si>
    <t>Facility</t>
  </si>
  <si>
    <t>Facility Manager wages</t>
  </si>
  <si>
    <t>Music Program Organizations</t>
  </si>
  <si>
    <t>Property and Liability Insurance</t>
  </si>
  <si>
    <t xml:space="preserve">Yard  </t>
  </si>
  <si>
    <t>Music Program Persons</t>
  </si>
  <si>
    <t>Kitchen and Household Supplies</t>
  </si>
  <si>
    <t>Building Routine</t>
  </si>
  <si>
    <t>Furnace &amp; Air Conditioning</t>
  </si>
  <si>
    <t>Rug Cleaning</t>
  </si>
  <si>
    <t>Snow Removal</t>
  </si>
  <si>
    <t>Music Program Grant</t>
  </si>
  <si>
    <t>Building - Special</t>
  </si>
  <si>
    <t>Utilities</t>
  </si>
  <si>
    <t>Electric</t>
  </si>
  <si>
    <t>Water and Sewer</t>
  </si>
  <si>
    <t>Gas</t>
  </si>
  <si>
    <t>Telephone and Internet</t>
  </si>
  <si>
    <t>Garbage</t>
  </si>
  <si>
    <t>Program - Music for Sunday Worship</t>
  </si>
  <si>
    <t>try to match budgeted revenue with budgeted expense</t>
  </si>
  <si>
    <t>Organist wages</t>
  </si>
  <si>
    <t>Choir Expenses</t>
  </si>
  <si>
    <t>Substitute Organists and Special Musicians</t>
  </si>
  <si>
    <t>Piano and Organ Maintenance</t>
  </si>
  <si>
    <t>Program - Sunday Worship</t>
  </si>
  <si>
    <t>Stained Glass Window Lighting Fund</t>
  </si>
  <si>
    <t>Worship Supplies</t>
  </si>
  <si>
    <t>Palm Sunday &amp; Easter</t>
  </si>
  <si>
    <t>Advent &amp; Christmas</t>
  </si>
  <si>
    <t>Facilities Lighting Grant</t>
  </si>
  <si>
    <t>Program - Christian Formation</t>
  </si>
  <si>
    <t>Rector's Discretionary Fund</t>
  </si>
  <si>
    <t>Conferences, Seminars, Meetings, Workshops</t>
  </si>
  <si>
    <t>Adult Education</t>
  </si>
  <si>
    <t>New Member Ministry</t>
  </si>
  <si>
    <t>Michelle Despain Memorial Fund</t>
  </si>
  <si>
    <t>Children and Youth Education and Activities</t>
  </si>
  <si>
    <t>Program - Hospitality and Fellowship</t>
  </si>
  <si>
    <t>Welcoming and Hospitality</t>
  </si>
  <si>
    <t>Summer Picnic</t>
  </si>
  <si>
    <t>Bishop's Visitation</t>
  </si>
  <si>
    <t>Program - Community Music Outreach Program</t>
  </si>
  <si>
    <t>Music Program Coordinator wages</t>
  </si>
  <si>
    <t>Program - Care Ministries</t>
  </si>
  <si>
    <t>Merrill Lynch Fund Withdrawl (recognized as revenue)</t>
  </si>
  <si>
    <t>2016 used $10K for asphalt repair; $5,000 in 2019 so that fund stays at around $55K</t>
  </si>
  <si>
    <t>Total Expenses</t>
  </si>
  <si>
    <t>Net Income after Expenses</t>
  </si>
  <si>
    <t>Wages</t>
  </si>
  <si>
    <t>$13/hr; 18 hours/week</t>
  </si>
  <si>
    <t>2019: 5 months @ half-time</t>
  </si>
  <si>
    <t>$13/hr; 14 hours/wk</t>
  </si>
  <si>
    <t>$100/service; $10/hr for meetings</t>
  </si>
  <si>
    <t>in 2018, new doors; in 2016, roof repair; in 2015, asphalt parking lot repair. 2019 this isn't really enough for contingencies for aging facility, but budget doesn't balance otherwise</t>
  </si>
  <si>
    <t>Repair and Maintenance</t>
  </si>
  <si>
    <t>Key Deposit Expense</t>
  </si>
  <si>
    <t>$13/hr; 5 hrs/wk</t>
  </si>
  <si>
    <t>Yard and Grounds wages</t>
  </si>
  <si>
    <t>Jim doesn't do it anymore; pay for lawncare instead</t>
  </si>
  <si>
    <t>$20/hr; 3 hrs/wk</t>
  </si>
  <si>
    <t>2019: 5 months</t>
  </si>
  <si>
    <t>Health/Life Insurance</t>
  </si>
  <si>
    <t>should be lower because Peter retiring</t>
  </si>
  <si>
    <t>Employee Background Check expense</t>
  </si>
  <si>
    <t>2018 new office computer (old one went kaput)</t>
  </si>
  <si>
    <t>Office Equipment</t>
  </si>
  <si>
    <t>Church Telephone and Internet</t>
  </si>
  <si>
    <t>Water, Sewer</t>
  </si>
  <si>
    <t>Contract Accounting Services</t>
  </si>
  <si>
    <t>Professional Fees - Accounting</t>
  </si>
  <si>
    <t>2019: 5 months (start working Jul 1) @ half-time</t>
  </si>
  <si>
    <t>2018 Peter's retirement party went here</t>
  </si>
  <si>
    <t>Lay Robes</t>
  </si>
  <si>
    <t>BCP &amp; Hymnal Replacement</t>
  </si>
  <si>
    <t>Altar Flowers</t>
  </si>
  <si>
    <t>Altar Guild</t>
  </si>
  <si>
    <t>Administrative</t>
  </si>
  <si>
    <t>Special Music</t>
  </si>
  <si>
    <t>Weissert Memorial Fund</t>
  </si>
  <si>
    <t>Conferences and Seminars</t>
  </si>
  <si>
    <t>TENS conference in 2017</t>
  </si>
  <si>
    <t>Meetings and Workshops</t>
  </si>
  <si>
    <t>Travel</t>
  </si>
  <si>
    <t>Scholarships</t>
  </si>
  <si>
    <t>For Melody EfM</t>
  </si>
  <si>
    <t>Children's Education</t>
  </si>
  <si>
    <t>Youth Activities</t>
  </si>
  <si>
    <t>do we need a separate budget?</t>
  </si>
  <si>
    <t>Pancake Supper</t>
  </si>
  <si>
    <t>funded by food and care budget</t>
  </si>
  <si>
    <t>Blessing of the Animals</t>
  </si>
  <si>
    <t>What expenses does this have?</t>
  </si>
  <si>
    <t>Supply for 1/2 year @ ~ 3 Sundays per month</t>
  </si>
  <si>
    <t>Outreach Charity</t>
  </si>
  <si>
    <t>Miscellaneous</t>
  </si>
  <si>
    <t>Interest Expense</t>
  </si>
  <si>
    <t>A/R Sales Tax to Be Reimbursed</t>
  </si>
  <si>
    <t>Merrill Lynch Fund Deposit</t>
  </si>
  <si>
    <t>Program - Outreach</t>
  </si>
  <si>
    <t>Why was 2018 budget so unbalanced? We will try to make up for overspend in H1 2018 during H2.</t>
  </si>
  <si>
    <t>Temporary Help (housekeeping)</t>
  </si>
  <si>
    <t>Funeral Expense</t>
  </si>
  <si>
    <t>This is current rate of giving plus 5% increase</t>
  </si>
  <si>
    <t>This is current rate of giving plus 2% increase</t>
  </si>
  <si>
    <t>2019 FY Budget</t>
  </si>
  <si>
    <t>2018 FY Actual</t>
  </si>
  <si>
    <t>2017 FY Actual</t>
  </si>
  <si>
    <t>2016 FY Actual</t>
  </si>
  <si>
    <t>2020 FY Budget</t>
  </si>
  <si>
    <t>no reduction for 2020</t>
  </si>
  <si>
    <t>18% of Priest salary</t>
  </si>
  <si>
    <t>includes cash,  housing allowance and SECA adjustment</t>
  </si>
  <si>
    <t>Sunday Worship service</t>
  </si>
  <si>
    <t>Wednesday Worship service</t>
  </si>
  <si>
    <t>EfM</t>
  </si>
  <si>
    <t>Adult Sunday School</t>
  </si>
  <si>
    <t>Sunday Fellowship</t>
  </si>
  <si>
    <t>B.C. Retreat</t>
  </si>
  <si>
    <t>Children's Ministry</t>
  </si>
  <si>
    <t>Food &amp; Care Ministry</t>
  </si>
  <si>
    <t>hours</t>
  </si>
  <si>
    <t>times/yr</t>
  </si>
  <si>
    <t>people</t>
  </si>
  <si>
    <t>Choir</t>
  </si>
  <si>
    <t>Blessing of Animals</t>
  </si>
  <si>
    <t>Annual Picnic</t>
  </si>
  <si>
    <t>Pride Festival</t>
  </si>
  <si>
    <t>Pancake Dinner</t>
  </si>
  <si>
    <t>Tuesday Bible Study</t>
  </si>
  <si>
    <t>Catechism</t>
  </si>
  <si>
    <t>Sum hours</t>
  </si>
  <si>
    <t>Ministry/Event</t>
  </si>
  <si>
    <t>% of time</t>
  </si>
  <si>
    <t>Budget</t>
  </si>
  <si>
    <t>Worship</t>
  </si>
  <si>
    <t>Care</t>
  </si>
  <si>
    <t>Fellowship</t>
  </si>
  <si>
    <t>Outreach</t>
  </si>
  <si>
    <t>Formation</t>
  </si>
  <si>
    <t>Category</t>
  </si>
  <si>
    <t>Website, Facebook, Newsletter</t>
  </si>
  <si>
    <t>Ash Wednesday</t>
  </si>
  <si>
    <t>Maundy Thursday</t>
  </si>
  <si>
    <t>Good Friday</t>
  </si>
  <si>
    <t>Lessons and Carols</t>
  </si>
  <si>
    <t>Christmas Eve</t>
  </si>
  <si>
    <t>Holy week evening prayer</t>
  </si>
  <si>
    <t>Pastoral/Eucharistic visiting</t>
  </si>
  <si>
    <t>Parish Annual Meeting</t>
  </si>
  <si>
    <t>Utah Valley Interfaith Association</t>
  </si>
  <si>
    <t>OH</t>
  </si>
  <si>
    <t>W</t>
  </si>
  <si>
    <t>Fo</t>
  </si>
  <si>
    <t>Fe</t>
  </si>
  <si>
    <t>O</t>
  </si>
  <si>
    <t>C</t>
  </si>
  <si>
    <t>Food and Care Ministry, Community Garden, Pancake Dinner charity event, pastoral visiting, support groups</t>
  </si>
  <si>
    <t>Weekly fellowship hour, Annual Picnic, Annual Parish Meeting, Bishop's Committee retreat, Welcoming Committee</t>
  </si>
  <si>
    <t>EfM, Adult Sunday School, Children's Ministry, Weekday Bible study, Catechism</t>
  </si>
  <si>
    <t>Community Music Outreach Program, Pride Festival, Utah Valley Interfaith Association, Website, Social Media, Newsletter</t>
  </si>
  <si>
    <t>Sunday services, Wednesday Evening Prayer, Choir, Special Services (Holy Week, Christmas, Ash Wednesday)</t>
  </si>
  <si>
    <t>Examples</t>
  </si>
  <si>
    <t>Total</t>
  </si>
  <si>
    <t>Clergy</t>
  </si>
  <si>
    <t>Electric, water, sewer, gas, waste, telephone and internet</t>
  </si>
  <si>
    <t>Diocese</t>
  </si>
  <si>
    <t>Diocesan assessment, Diocesan convention</t>
  </si>
  <si>
    <t>Ministry Focus</t>
  </si>
  <si>
    <t>Type</t>
  </si>
  <si>
    <t>% Budget</t>
  </si>
  <si>
    <t>Facility and Grounds</t>
  </si>
  <si>
    <t>Priest salary and benefits, continuing education funds, discretionary funds</t>
  </si>
  <si>
    <t>Pledge</t>
  </si>
  <si>
    <t>Open Plate</t>
  </si>
  <si>
    <t>Dollars given by others outside pledge donations</t>
  </si>
  <si>
    <t>Dollars given by over 20 groups as donation in gratitude for use of the facility</t>
  </si>
  <si>
    <t>Dollars given by the Diocese to support operations of mission congregations. Reassessed annually.</t>
  </si>
  <si>
    <t>Members pledge, and then fulfill pledges throughout year through weekly, monthly, quarterly, or annual giving</t>
  </si>
  <si>
    <t>Support Groups and Community of Christ</t>
  </si>
  <si>
    <t>Care and Outreach Ministries</t>
  </si>
  <si>
    <t>Dollars given to support specific care and outreach ministries (Food and Care; Community Music Outreach Program). These dollars are designated for their intended purposes.</t>
  </si>
  <si>
    <t>Interest income; Funds carried over from previous year's excess revenue over expense</t>
  </si>
  <si>
    <t>Hours of Participation</t>
  </si>
  <si>
    <t>Facility manager wages, property insurance, lawn care, custodial and kitchen supplies, routine building maintenance</t>
  </si>
  <si>
    <t>Secretary and bookkeeper wages, payroll taxes, payroll outsourcing, annual audit, office supplies and equipment, licenses and fees</t>
  </si>
  <si>
    <t>% of Total Hours</t>
  </si>
  <si>
    <r>
      <t xml:space="preserve">Overhead Expenses
</t>
    </r>
    <r>
      <rPr>
        <sz val="14"/>
        <color rgb="FF000000"/>
        <rFont val="Arial"/>
        <family val="2"/>
      </rPr>
      <t>(these expenses are proportionally allocated to each ministry focus above)</t>
    </r>
  </si>
  <si>
    <t>2020 Proposed Budgeted Revenues by type of revenue</t>
  </si>
  <si>
    <r>
      <t xml:space="preserve">2020 Proposed Budgeted Expenses by ministry focus
</t>
    </r>
    <r>
      <rPr>
        <sz val="14"/>
        <color rgb="FF000000"/>
        <rFont val="Arial"/>
        <family val="2"/>
      </rPr>
      <t>(budgets for each focus represented by hours of participation in each ministry)</t>
    </r>
  </si>
  <si>
    <t>marble statue of Virgin Mary</t>
  </si>
  <si>
    <t>2019 Nov YTD Variance</t>
  </si>
  <si>
    <t>2019 Nov YTD Actual</t>
  </si>
  <si>
    <t>2019 Nov YTD Budget</t>
  </si>
  <si>
    <t>Grant Rooted in Jesus Conference</t>
  </si>
  <si>
    <t>Funerals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</si>
</sst>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00"/>
    <numFmt numFmtId="166" formatCode="#,##0.00;\(#,##0.00\)"/>
    <numFmt numFmtId="167" formatCode="_(* #,##0_);_(* \(#,##0\);_(* &quot;-&quot;??_);_(@_)"/>
    <numFmt numFmtId="168" formatCode="0.0%"/>
    <numFmt numFmtId="169" formatCode="_(&quot;$&quot;* #,##0_);_(&quot;$&quot;* \(#,##0\);_(&quot;$&quot;* &quot;-&quot;??_);_(@_)"/>
  </numFmts>
  <fonts count="29" x14ac:knownFonts="1">
    <font>
      <sz val="10"/>
      <color rgb="FF00000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sz val="10"/>
      <color theme="0"/>
      <name val="Arial"/>
      <family val="2"/>
    </font>
    <font>
      <sz val="10"/>
      <color theme="1"/>
      <name val="Arial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4" fillId="0" borderId="0" xfId="0" applyFont="1" applyAlignment="1"/>
    <xf numFmtId="0" fontId="2" fillId="0" borderId="0" xfId="0" applyFont="1"/>
    <xf numFmtId="0" fontId="5" fillId="0" borderId="0" xfId="0" applyFont="1" applyAlignment="1"/>
    <xf numFmtId="164" fontId="6" fillId="0" borderId="0" xfId="0" applyNumberFormat="1" applyFont="1"/>
    <xf numFmtId="0" fontId="6" fillId="0" borderId="0" xfId="0" applyFont="1" applyAlignment="1">
      <alignment wrapText="1"/>
    </xf>
    <xf numFmtId="0" fontId="5" fillId="0" borderId="0" xfId="0" applyFont="1"/>
    <xf numFmtId="164" fontId="5" fillId="0" borderId="0" xfId="0" applyNumberFormat="1" applyFont="1"/>
    <xf numFmtId="10" fontId="5" fillId="0" borderId="0" xfId="0" applyNumberFormat="1" applyFont="1"/>
    <xf numFmtId="165" fontId="6" fillId="0" borderId="0" xfId="0" applyNumberFormat="1" applyFont="1" applyAlignment="1"/>
    <xf numFmtId="0" fontId="6" fillId="0" borderId="0" xfId="0" applyFont="1" applyAlignment="1"/>
    <xf numFmtId="16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/>
    <xf numFmtId="164" fontId="8" fillId="0" borderId="0" xfId="0" applyNumberFormat="1" applyFont="1"/>
    <xf numFmtId="164" fontId="6" fillId="2" borderId="0" xfId="0" applyNumberFormat="1" applyFont="1" applyFill="1" applyAlignme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10" fontId="8" fillId="0" borderId="0" xfId="0" applyNumberFormat="1" applyFont="1"/>
    <xf numFmtId="0" fontId="9" fillId="0" borderId="0" xfId="0" applyFont="1"/>
    <xf numFmtId="164" fontId="4" fillId="0" borderId="0" xfId="0" applyNumberFormat="1" applyFont="1"/>
    <xf numFmtId="0" fontId="1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165" fontId="5" fillId="0" borderId="0" xfId="0" applyNumberFormat="1" applyFont="1" applyAlignment="1"/>
    <xf numFmtId="10" fontId="4" fillId="0" borderId="0" xfId="0" applyNumberFormat="1" applyFont="1"/>
    <xf numFmtId="0" fontId="11" fillId="0" borderId="0" xfId="0" applyFont="1"/>
    <xf numFmtId="0" fontId="12" fillId="0" borderId="0" xfId="0" applyFont="1" applyAlignment="1"/>
    <xf numFmtId="167" fontId="13" fillId="0" borderId="0" xfId="1" applyNumberFormat="1" applyFont="1" applyAlignment="1">
      <alignment horizontal="center" wrapText="1"/>
    </xf>
    <xf numFmtId="167" fontId="14" fillId="0" borderId="0" xfId="1" applyNumberFormat="1" applyFont="1" applyAlignment="1">
      <alignment horizontal="center" wrapText="1"/>
    </xf>
    <xf numFmtId="0" fontId="15" fillId="0" borderId="0" xfId="0" applyFont="1"/>
    <xf numFmtId="0" fontId="16" fillId="0" borderId="0" xfId="0" applyFont="1" applyAlignment="1"/>
    <xf numFmtId="0" fontId="14" fillId="0" borderId="0" xfId="0" applyFont="1" applyAlignment="1"/>
    <xf numFmtId="167" fontId="14" fillId="0" borderId="0" xfId="1" applyNumberFormat="1" applyFont="1" applyAlignment="1"/>
    <xf numFmtId="167" fontId="14" fillId="0" borderId="0" xfId="1" applyNumberFormat="1" applyFont="1"/>
    <xf numFmtId="165" fontId="15" fillId="0" borderId="0" xfId="0" applyNumberFormat="1" applyFont="1" applyAlignment="1"/>
    <xf numFmtId="0" fontId="15" fillId="0" borderId="0" xfId="0" applyFont="1" applyAlignment="1"/>
    <xf numFmtId="167" fontId="12" fillId="0" borderId="0" xfId="1" applyNumberFormat="1" applyFont="1" applyAlignment="1"/>
    <xf numFmtId="0" fontId="17" fillId="0" borderId="0" xfId="0" applyFont="1" applyAlignment="1">
      <alignment horizontal="left" indent="2"/>
    </xf>
    <xf numFmtId="0" fontId="17" fillId="0" borderId="0" xfId="0" applyFont="1"/>
    <xf numFmtId="43" fontId="15" fillId="0" borderId="0" xfId="1" applyFont="1"/>
    <xf numFmtId="0" fontId="18" fillId="0" borderId="0" xfId="0" applyFont="1" applyAlignment="1"/>
    <xf numFmtId="0" fontId="15" fillId="0" borderId="0" xfId="0" applyFont="1" applyAlignment="1">
      <alignment wrapText="1"/>
    </xf>
    <xf numFmtId="165" fontId="17" fillId="0" borderId="0" xfId="0" applyNumberFormat="1" applyFont="1" applyAlignment="1">
      <alignment horizontal="left" indent="2"/>
    </xf>
    <xf numFmtId="0" fontId="17" fillId="0" borderId="0" xfId="0" applyFont="1" applyAlignment="1"/>
    <xf numFmtId="0" fontId="19" fillId="0" borderId="0" xfId="0" applyFont="1"/>
    <xf numFmtId="0" fontId="14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0" fontId="14" fillId="0" borderId="0" xfId="0" applyFont="1"/>
    <xf numFmtId="164" fontId="15" fillId="0" borderId="0" xfId="0" applyNumberFormat="1" applyFont="1"/>
    <xf numFmtId="10" fontId="17" fillId="0" borderId="0" xfId="0" applyNumberFormat="1" applyFont="1"/>
    <xf numFmtId="164" fontId="17" fillId="0" borderId="0" xfId="0" applyNumberFormat="1" applyFont="1"/>
    <xf numFmtId="0" fontId="20" fillId="0" borderId="0" xfId="0" applyFont="1" applyAlignment="1">
      <alignment wrapText="1"/>
    </xf>
    <xf numFmtId="0" fontId="20" fillId="0" borderId="0" xfId="0" applyFont="1"/>
    <xf numFmtId="164" fontId="15" fillId="0" borderId="0" xfId="0" applyNumberFormat="1" applyFont="1" applyAlignment="1"/>
    <xf numFmtId="164" fontId="15" fillId="2" borderId="0" xfId="0" applyNumberFormat="1" applyFont="1" applyFill="1" applyAlignment="1"/>
    <xf numFmtId="10" fontId="18" fillId="0" borderId="0" xfId="0" applyNumberFormat="1" applyFont="1"/>
    <xf numFmtId="164" fontId="18" fillId="0" borderId="0" xfId="0" applyNumberFormat="1" applyFont="1"/>
    <xf numFmtId="166" fontId="18" fillId="0" borderId="0" xfId="0" applyNumberFormat="1" applyFont="1"/>
    <xf numFmtId="0" fontId="11" fillId="0" borderId="0" xfId="0" applyFont="1" applyAlignment="1">
      <alignment wrapText="1"/>
    </xf>
    <xf numFmtId="1" fontId="15" fillId="0" borderId="0" xfId="0" applyNumberFormat="1" applyFont="1" applyAlignment="1"/>
    <xf numFmtId="0" fontId="15" fillId="2" borderId="0" xfId="0" applyFont="1" applyFill="1" applyAlignment="1">
      <alignment wrapText="1"/>
    </xf>
    <xf numFmtId="165" fontId="17" fillId="0" borderId="0" xfId="0" applyNumberFormat="1" applyFont="1" applyAlignment="1"/>
    <xf numFmtId="10" fontId="16" fillId="0" borderId="0" xfId="0" applyNumberFormat="1" applyFont="1"/>
    <xf numFmtId="164" fontId="16" fillId="0" borderId="0" xfId="0" applyNumberFormat="1" applyFont="1"/>
    <xf numFmtId="166" fontId="16" fillId="0" borderId="0" xfId="0" applyNumberFormat="1" applyFont="1"/>
    <xf numFmtId="43" fontId="15" fillId="0" borderId="0" xfId="1" applyFont="1" applyAlignment="1"/>
    <xf numFmtId="43" fontId="12" fillId="0" borderId="0" xfId="1" applyFont="1" applyAlignment="1"/>
    <xf numFmtId="43" fontId="17" fillId="0" borderId="0" xfId="1" applyFont="1"/>
    <xf numFmtId="43" fontId="16" fillId="0" borderId="0" xfId="1" applyFont="1"/>
    <xf numFmtId="43" fontId="14" fillId="0" borderId="0" xfId="1" applyFont="1"/>
    <xf numFmtId="9" fontId="15" fillId="0" borderId="0" xfId="2" applyFont="1" applyAlignment="1"/>
    <xf numFmtId="9" fontId="17" fillId="0" borderId="0" xfId="2" applyFont="1" applyAlignment="1"/>
    <xf numFmtId="9" fontId="16" fillId="0" borderId="0" xfId="2" applyFont="1" applyAlignment="1"/>
    <xf numFmtId="0" fontId="21" fillId="0" borderId="0" xfId="0" applyFont="1" applyAlignment="1"/>
    <xf numFmtId="43" fontId="15" fillId="0" borderId="0" xfId="1" applyFont="1" applyFill="1" applyAlignment="1"/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/>
    <xf numFmtId="43" fontId="12" fillId="3" borderId="0" xfId="1" applyFont="1" applyFill="1" applyAlignment="1"/>
    <xf numFmtId="43" fontId="17" fillId="3" borderId="0" xfId="1" applyFont="1" applyFill="1"/>
    <xf numFmtId="43" fontId="16" fillId="3" borderId="0" xfId="1" applyFont="1" applyFill="1"/>
    <xf numFmtId="43" fontId="12" fillId="0" borderId="0" xfId="0" applyNumberFormat="1" applyFont="1" applyAlignment="1"/>
    <xf numFmtId="43" fontId="15" fillId="0" borderId="0" xfId="0" applyNumberFormat="1" applyFont="1"/>
    <xf numFmtId="168" fontId="12" fillId="0" borderId="0" xfId="2" applyNumberFormat="1" applyFont="1" applyAlignment="1"/>
    <xf numFmtId="43" fontId="13" fillId="4" borderId="0" xfId="1" applyFont="1" applyFill="1" applyAlignment="1">
      <alignment horizontal="center"/>
    </xf>
    <xf numFmtId="43" fontId="14" fillId="4" borderId="0" xfId="1" applyFont="1" applyFill="1" applyAlignment="1"/>
    <xf numFmtId="43" fontId="15" fillId="4" borderId="0" xfId="1" applyFont="1" applyFill="1" applyAlignment="1"/>
    <xf numFmtId="43" fontId="17" fillId="4" borderId="0" xfId="1" applyFont="1" applyFill="1"/>
    <xf numFmtId="43" fontId="12" fillId="4" borderId="0" xfId="1" applyFont="1" applyFill="1" applyAlignment="1"/>
    <xf numFmtId="43" fontId="16" fillId="4" borderId="0" xfId="1" applyFont="1" applyFill="1"/>
    <xf numFmtId="43" fontId="17" fillId="4" borderId="0" xfId="1" applyFont="1" applyFill="1" applyAlignment="1"/>
    <xf numFmtId="0" fontId="13" fillId="0" borderId="0" xfId="0" applyFont="1" applyAlignment="1">
      <alignment horizontal="center" wrapText="1"/>
    </xf>
    <xf numFmtId="0" fontId="22" fillId="0" borderId="0" xfId="0" applyFont="1" applyAlignment="1"/>
    <xf numFmtId="43" fontId="0" fillId="0" borderId="0" xfId="1" applyFont="1" applyAlignment="1"/>
    <xf numFmtId="167" fontId="0" fillId="0" borderId="0" xfId="1" applyNumberFormat="1" applyFont="1" applyAlignment="1"/>
    <xf numFmtId="9" fontId="0" fillId="0" borderId="0" xfId="2" applyFont="1" applyAlignment="1"/>
    <xf numFmtId="168" fontId="0" fillId="0" borderId="0" xfId="2" applyNumberFormat="1" applyFont="1" applyAlignment="1"/>
    <xf numFmtId="43" fontId="0" fillId="0" borderId="0" xfId="0" applyNumberFormat="1" applyFont="1" applyAlignment="1"/>
    <xf numFmtId="167" fontId="0" fillId="0" borderId="0" xfId="0" applyNumberFormat="1" applyFont="1" applyAlignment="1"/>
    <xf numFmtId="167" fontId="10" fillId="0" borderId="0" xfId="1" applyNumberFormat="1" applyFont="1" applyAlignment="1"/>
    <xf numFmtId="9" fontId="22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9" fontId="0" fillId="0" borderId="0" xfId="0" applyNumberFormat="1" applyFont="1" applyAlignment="1">
      <alignment vertical="top"/>
    </xf>
    <xf numFmtId="167" fontId="0" fillId="0" borderId="0" xfId="1" applyNumberFormat="1" applyFont="1" applyAlignment="1">
      <alignment vertical="top"/>
    </xf>
    <xf numFmtId="167" fontId="22" fillId="0" borderId="0" xfId="0" applyNumberFormat="1" applyFont="1" applyAlignment="1"/>
    <xf numFmtId="0" fontId="22" fillId="0" borderId="0" xfId="0" applyFont="1" applyAlignment="1">
      <alignment vertical="top"/>
    </xf>
    <xf numFmtId="9" fontId="0" fillId="0" borderId="0" xfId="2" applyFont="1" applyAlignment="1">
      <alignment vertical="top"/>
    </xf>
    <xf numFmtId="0" fontId="22" fillId="0" borderId="0" xfId="0" applyFont="1" applyAlignment="1">
      <alignment vertical="top" wrapText="1"/>
    </xf>
    <xf numFmtId="169" fontId="0" fillId="0" borderId="0" xfId="3" applyNumberFormat="1" applyFont="1" applyAlignment="1">
      <alignment vertical="top"/>
    </xf>
    <xf numFmtId="169" fontId="22" fillId="0" borderId="0" xfId="3" applyNumberFormat="1" applyFont="1" applyAlignment="1"/>
    <xf numFmtId="169" fontId="26" fillId="0" borderId="1" xfId="3" applyNumberFormat="1" applyFont="1" applyBorder="1" applyAlignment="1"/>
    <xf numFmtId="169" fontId="22" fillId="0" borderId="0" xfId="3" applyNumberFormat="1" applyFont="1" applyAlignment="1">
      <alignment vertical="top"/>
    </xf>
    <xf numFmtId="0" fontId="22" fillId="0" borderId="0" xfId="0" applyFont="1" applyAlignment="1">
      <alignment wrapText="1"/>
    </xf>
    <xf numFmtId="0" fontId="0" fillId="0" borderId="0" xfId="0" applyFont="1" applyAlignment="1">
      <alignment wrapText="1"/>
    </xf>
    <xf numFmtId="167" fontId="0" fillId="0" borderId="0" xfId="1" applyNumberFormat="1" applyFont="1" applyAlignment="1">
      <alignment wrapText="1"/>
    </xf>
    <xf numFmtId="0" fontId="24" fillId="5" borderId="1" xfId="0" applyFont="1" applyFill="1" applyBorder="1" applyAlignment="1">
      <alignment wrapText="1"/>
    </xf>
    <xf numFmtId="169" fontId="0" fillId="7" borderId="0" xfId="3" applyNumberFormat="1" applyFont="1" applyFill="1" applyAlignment="1">
      <alignment vertical="top"/>
    </xf>
    <xf numFmtId="169" fontId="25" fillId="6" borderId="1" xfId="3" applyNumberFormat="1" applyFont="1" applyFill="1" applyBorder="1" applyAlignment="1">
      <alignment vertical="top"/>
    </xf>
    <xf numFmtId="169" fontId="25" fillId="0" borderId="1" xfId="3" applyNumberFormat="1" applyFont="1" applyBorder="1" applyAlignment="1">
      <alignment vertical="top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9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7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7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9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167" formatCode="_(* #,##0_);_(* \(#,##0\);_(* &quot;-&quot;??_);_(@_)"/>
    </dxf>
    <dxf>
      <numFmt numFmtId="168" formatCode="0.0%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39</xdr:row>
      <xdr:rowOff>66675</xdr:rowOff>
    </xdr:from>
    <xdr:to>
      <xdr:col>1</xdr:col>
      <xdr:colOff>1741170</xdr:colOff>
      <xdr:row>45</xdr:row>
      <xdr:rowOff>133350</xdr:rowOff>
    </xdr:to>
    <xdr:pic>
      <xdr:nvPicPr>
        <xdr:cNvPr id="2" name="Picture 1" descr="C:\Users\ssnordst\AppData\Local\Microsoft\Windows\INetCache\Content.Word\perpetua_logo.jpg">
          <a:extLst>
            <a:ext uri="{FF2B5EF4-FFF2-40B4-BE49-F238E27FC236}">
              <a16:creationId xmlns:a16="http://schemas.microsoft.com/office/drawing/2014/main" id="{8EE3D763-6CCD-4311-9F2A-F44DC4C5BF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381750"/>
          <a:ext cx="2979420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438233-1B09-40FE-BC21-DD06F8A6A8F4}" name="Table1" displayName="Table1" ref="A5:H33" totalsRowShown="0" headerRowDxfId="23">
  <autoFilter ref="A5:H33" xr:uid="{54F30ADE-A33F-4F02-9ADF-BAC2240CFADF}"/>
  <sortState xmlns:xlrd2="http://schemas.microsoft.com/office/spreadsheetml/2017/richdata2" ref="A6:H33">
    <sortCondition ref="A6:A33"/>
    <sortCondition descending="1" ref="F6:F33"/>
  </sortState>
  <tableColumns count="8">
    <tableColumn id="8" xr3:uid="{8BAE1F3F-2E1D-47F4-9377-397CB9AC6FC9}" name="Category" dataDxfId="22" dataCellStyle="Comma"/>
    <tableColumn id="1" xr3:uid="{2837870C-6DD1-492E-960A-B29DBD257334}" name="Ministry/Event"/>
    <tableColumn id="2" xr3:uid="{DDEC1975-8E81-4C15-A85F-F7B2C2EBD0DE}" name="people" dataDxfId="21" dataCellStyle="Comma"/>
    <tableColumn id="3" xr3:uid="{70169592-43B5-46C4-9AE5-42DEC800DC3A}" name="times/yr" dataDxfId="20" dataCellStyle="Comma"/>
    <tableColumn id="4" xr3:uid="{8DC355D4-D5F7-4C63-8A29-DA2AACBBEAC8}" name="hours" dataCellStyle="Comma"/>
    <tableColumn id="5" xr3:uid="{4684EAB7-E38F-4A4C-B4AC-39241D983C7E}" name="Sum hours" dataDxfId="19" dataCellStyle="Comma">
      <calculatedColumnFormula>C6*D6*E6</calculatedColumnFormula>
    </tableColumn>
    <tableColumn id="6" xr3:uid="{5A92335A-565A-45B2-9113-F0A96361C471}" name="% of time" dataDxfId="18" dataCellStyle="Percent">
      <calculatedColumnFormula>Table1[[#This Row],[Sum hours]]/SUM(Table1[Sum hours])</calculatedColumnFormula>
    </tableColumn>
    <tableColumn id="7" xr3:uid="{528D5635-D198-4E02-B729-48320FA30539}" name="Budget" dataDxfId="17" dataCellStyle="Comma">
      <calculatedColumnFormula>Table1[[#This Row],[% of time]]*$H$46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14500D-88B9-4965-A941-14B5DFE3F572}" name="Table2" displayName="Table2" ref="A48:D55" totalsRowShown="0" headerRowDxfId="16">
  <tableColumns count="4">
    <tableColumn id="1" xr3:uid="{CD68D5AA-446D-4086-9FD2-E9D7D433756B}" name="Type" dataDxfId="15"/>
    <tableColumn id="2" xr3:uid="{CAA506C1-6A8C-4A76-B05C-E4B7304E9689}" name="Examples" dataDxfId="14"/>
    <tableColumn id="3" xr3:uid="{A671F808-21A4-440C-AA56-8720E85DC4C6}" name="Budget" dataDxfId="13" dataCellStyle="Currency"/>
    <tableColumn id="4" xr3:uid="{B848488D-680B-476B-9A47-77D883D12550}" name="% Budget" dataDxfId="12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983E96-5CEB-4A7F-86DB-84D8E4BD662F}" name="Table3" displayName="Table3" ref="A58:E64" totalsRowShown="0" headerRowDxfId="11">
  <tableColumns count="5">
    <tableColumn id="1" xr3:uid="{B7FCD772-1089-44F9-B248-A7AC85522367}" name="Ministry Focus" dataDxfId="10"/>
    <tableColumn id="2" xr3:uid="{59772C5F-243A-4974-A5DD-A9AFD1FD64AC}" name="Examples" dataDxfId="9"/>
    <tableColumn id="3" xr3:uid="{40140A97-B348-49AA-BE82-CF0E0ADE7272}" name="Budget" dataDxfId="8" dataCellStyle="Comma"/>
    <tableColumn id="4" xr3:uid="{7C26B317-119D-4AA7-A3A4-DEF7B9B1C474}" name="% of Total Hours" dataDxfId="7"/>
    <tableColumn id="5" xr3:uid="{25C4A9FA-0F5A-4AC0-A7FB-88A8F5F9D140}" name="Hours of Participation" dataDxfId="6" dataCellStyle="Comm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F8CBA-9A71-487F-9CD5-43E936869E95}" name="Table4" displayName="Table4" ref="A67:C73" totalsRowShown="0" headerRowDxfId="5">
  <tableColumns count="3">
    <tableColumn id="1" xr3:uid="{EC873E70-F741-4147-BBFB-FFE5510F4666}" name="Type" dataDxfId="4"/>
    <tableColumn id="2" xr3:uid="{14D6C6E7-B2AD-46CC-823E-9606ADCBDED3}" name="Examples" dataDxfId="3"/>
    <tableColumn id="3" xr3:uid="{9B661941-D476-44CF-A7CB-C3B3610944B9}" name="Budget" dataDxfId="2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1022"/>
  <sheetViews>
    <sheetView workbookViewId="0">
      <pane ySplit="1" topLeftCell="A127" activePane="bottomLeft" state="frozen"/>
      <selection pane="bottomLeft" sqref="A1:XFD1048576"/>
    </sheetView>
  </sheetViews>
  <sheetFormatPr defaultColWidth="14.42578125" defaultRowHeight="15.75" customHeight="1" x14ac:dyDescent="0.2"/>
  <cols>
    <col min="1" max="1" width="14.42578125" style="31"/>
    <col min="2" max="2" width="46" style="31" customWidth="1"/>
    <col min="3" max="9" width="14.42578125" style="31"/>
    <col min="10" max="10" width="46" style="31" customWidth="1"/>
    <col min="11" max="11" width="14.42578125" style="31"/>
    <col min="12" max="12" width="46" style="31" customWidth="1"/>
    <col min="13" max="16384" width="14.42578125" style="31"/>
  </cols>
  <sheetData>
    <row r="1" spans="1:30" ht="15.75" customHeight="1" x14ac:dyDescent="0.25">
      <c r="A1" s="30"/>
      <c r="C1" s="50" t="s">
        <v>0</v>
      </c>
      <c r="D1" s="50" t="s">
        <v>1</v>
      </c>
      <c r="E1" s="50" t="s">
        <v>2</v>
      </c>
      <c r="F1" s="50" t="s">
        <v>3</v>
      </c>
      <c r="G1" s="50" t="s">
        <v>4</v>
      </c>
      <c r="H1" s="50" t="s">
        <v>5</v>
      </c>
      <c r="I1" s="51" t="s">
        <v>6</v>
      </c>
      <c r="J1" s="50" t="s">
        <v>10</v>
      </c>
    </row>
    <row r="2" spans="1:30" ht="18.75" x14ac:dyDescent="0.3">
      <c r="A2" s="35" t="s">
        <v>9</v>
      </c>
      <c r="B2" s="36"/>
      <c r="C2" s="52"/>
      <c r="D2" s="52"/>
      <c r="E2" s="52"/>
      <c r="F2" s="52"/>
      <c r="G2" s="52"/>
      <c r="H2" s="52"/>
      <c r="I2" s="53"/>
      <c r="J2" s="46"/>
    </row>
    <row r="3" spans="1:30" ht="15" x14ac:dyDescent="0.25">
      <c r="A3" s="48" t="s">
        <v>11</v>
      </c>
      <c r="B3" s="43"/>
      <c r="C3" s="54">
        <f>(D3-G3)/G3</f>
        <v>-0.24657534246575341</v>
      </c>
      <c r="D3" s="55">
        <f t="shared" ref="D3:I3" si="0">D4+D5</f>
        <v>33000</v>
      </c>
      <c r="E3" s="55">
        <f t="shared" si="0"/>
        <v>46690.091999999997</v>
      </c>
      <c r="F3" s="55">
        <f t="shared" si="0"/>
        <v>38908.410000000003</v>
      </c>
      <c r="G3" s="55">
        <f t="shared" si="0"/>
        <v>43800</v>
      </c>
      <c r="H3" s="55">
        <f t="shared" si="0"/>
        <v>42392.49</v>
      </c>
      <c r="I3" s="55">
        <f t="shared" si="0"/>
        <v>37414.449999999997</v>
      </c>
      <c r="J3" s="56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ht="15.75" customHeight="1" x14ac:dyDescent="0.2">
      <c r="A4" s="39">
        <v>4000</v>
      </c>
      <c r="B4" s="40" t="s">
        <v>12</v>
      </c>
      <c r="C4" s="58"/>
      <c r="D4" s="58">
        <v>30000</v>
      </c>
      <c r="E4" s="58">
        <f t="shared" ref="E4:E5" si="1">(F4/10*12)</f>
        <v>42869.7</v>
      </c>
      <c r="F4" s="58">
        <v>35724.75</v>
      </c>
      <c r="G4" s="58">
        <v>39000</v>
      </c>
      <c r="H4" s="58">
        <v>38566.42</v>
      </c>
      <c r="I4" s="58">
        <v>34896.879999999997</v>
      </c>
      <c r="J4" s="46"/>
      <c r="K4" s="31">
        <f>VLOOKUP(A4,'Budget to Actual'!$B:$B,1,FALSE)</f>
        <v>4000</v>
      </c>
    </row>
    <row r="5" spans="1:30" ht="15.75" customHeight="1" x14ac:dyDescent="0.2">
      <c r="A5" s="39">
        <v>4010</v>
      </c>
      <c r="B5" s="40" t="s">
        <v>13</v>
      </c>
      <c r="C5" s="58"/>
      <c r="D5" s="58">
        <v>3000</v>
      </c>
      <c r="E5" s="58">
        <f t="shared" si="1"/>
        <v>3820.3919999999998</v>
      </c>
      <c r="F5" s="58">
        <v>3183.66</v>
      </c>
      <c r="G5" s="58">
        <v>4800</v>
      </c>
      <c r="H5" s="58">
        <v>3826.07</v>
      </c>
      <c r="I5" s="58">
        <v>2517.5700000000002</v>
      </c>
      <c r="J5" s="46"/>
      <c r="K5" s="31">
        <f>VLOOKUP(A5,'Budget to Actual'!$B:$B,1,FALSE)</f>
        <v>4010</v>
      </c>
    </row>
    <row r="6" spans="1:30" ht="15.75" customHeight="1" x14ac:dyDescent="0.2">
      <c r="I6" s="53"/>
      <c r="J6" s="46"/>
    </row>
    <row r="7" spans="1:30" ht="15" x14ac:dyDescent="0.25">
      <c r="A7" s="48" t="s">
        <v>14</v>
      </c>
      <c r="B7" s="43"/>
      <c r="C7" s="54">
        <f>(D7-G7)/G7</f>
        <v>-5.5555555555555552E-2</v>
      </c>
      <c r="D7" s="55">
        <f t="shared" ref="D7:I7" si="2">SUM(D8:D11)</f>
        <v>10200</v>
      </c>
      <c r="E7" s="55">
        <f t="shared" si="2"/>
        <v>12502.755999999998</v>
      </c>
      <c r="F7" s="55">
        <f t="shared" si="2"/>
        <v>10683.13</v>
      </c>
      <c r="G7" s="55">
        <f t="shared" si="2"/>
        <v>10800</v>
      </c>
      <c r="H7" s="55">
        <f t="shared" si="2"/>
        <v>10323.48</v>
      </c>
      <c r="I7" s="55">
        <f t="shared" si="2"/>
        <v>7207.37</v>
      </c>
      <c r="J7" s="56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1:30" ht="15.75" customHeight="1" x14ac:dyDescent="0.2">
      <c r="A8" s="39">
        <v>4020</v>
      </c>
      <c r="B8" s="40" t="s">
        <v>29</v>
      </c>
      <c r="C8" s="58"/>
      <c r="D8" s="58">
        <v>0</v>
      </c>
      <c r="E8" s="58">
        <f>F8</f>
        <v>385</v>
      </c>
      <c r="F8" s="58">
        <v>385</v>
      </c>
      <c r="G8" s="58">
        <v>0</v>
      </c>
      <c r="H8" s="58">
        <v>0</v>
      </c>
      <c r="I8" s="58">
        <v>785.91</v>
      </c>
      <c r="J8" s="46"/>
      <c r="K8" s="31">
        <f>VLOOKUP(A8,'Budget to Actual'!$B:$B,1,FALSE)</f>
        <v>4020</v>
      </c>
    </row>
    <row r="9" spans="1:30" ht="15.75" customHeight="1" x14ac:dyDescent="0.2">
      <c r="A9" s="39">
        <v>4020.1</v>
      </c>
      <c r="B9" s="40" t="s">
        <v>15</v>
      </c>
      <c r="C9" s="58"/>
      <c r="D9" s="58">
        <v>9000</v>
      </c>
      <c r="E9" s="58">
        <f>(F9/10*12)</f>
        <v>10917.755999999998</v>
      </c>
      <c r="F9" s="58">
        <f>10298.13-1200</f>
        <v>9098.1299999999992</v>
      </c>
      <c r="G9" s="58">
        <v>9600</v>
      </c>
      <c r="H9" s="58">
        <v>9123.48</v>
      </c>
      <c r="I9" s="58">
        <v>6356.46</v>
      </c>
      <c r="J9" s="46"/>
      <c r="K9" s="31">
        <f>VLOOKUP(A9,'Budget to Actual'!$B:$B,1,FALSE)</f>
        <v>4020.1</v>
      </c>
    </row>
    <row r="10" spans="1:30" ht="15.75" customHeight="1" x14ac:dyDescent="0.2">
      <c r="A10" s="39">
        <v>4020.15</v>
      </c>
      <c r="B10" s="40" t="s">
        <v>16</v>
      </c>
      <c r="C10" s="58"/>
      <c r="D10" s="58">
        <v>1200</v>
      </c>
      <c r="E10" s="58">
        <v>1200</v>
      </c>
      <c r="F10" s="58">
        <v>1200</v>
      </c>
      <c r="G10" s="58">
        <v>1200</v>
      </c>
      <c r="H10" s="58">
        <v>1200</v>
      </c>
      <c r="I10" s="58">
        <v>0</v>
      </c>
      <c r="J10" s="46"/>
      <c r="K10" s="31">
        <f>VLOOKUP(A10,'Budget to Actual'!$B:$B,1,FALSE)</f>
        <v>4020.15</v>
      </c>
    </row>
    <row r="11" spans="1:30" ht="15.75" customHeight="1" x14ac:dyDescent="0.2">
      <c r="A11" s="39">
        <v>4020.2</v>
      </c>
      <c r="B11" s="40" t="s">
        <v>33</v>
      </c>
      <c r="C11" s="40"/>
      <c r="D11" s="40">
        <v>0</v>
      </c>
      <c r="E11" s="58">
        <f>(F11/10*12)</f>
        <v>0</v>
      </c>
      <c r="F11" s="40">
        <v>0</v>
      </c>
      <c r="G11" s="40">
        <v>0</v>
      </c>
      <c r="H11" s="40">
        <v>0</v>
      </c>
      <c r="I11" s="58">
        <v>65</v>
      </c>
      <c r="J11" s="46"/>
      <c r="K11" s="31">
        <f>VLOOKUP(A11,'Budget to Actual'!$B:$B,1,FALSE)</f>
        <v>4020.2</v>
      </c>
    </row>
    <row r="12" spans="1:30" ht="15.75" customHeight="1" x14ac:dyDescent="0.2">
      <c r="I12" s="53"/>
      <c r="J12" s="46"/>
    </row>
    <row r="13" spans="1:30" ht="15" x14ac:dyDescent="0.25">
      <c r="A13" s="48" t="s">
        <v>17</v>
      </c>
      <c r="B13" s="43"/>
      <c r="C13" s="54">
        <f>(D13-G13)/G13</f>
        <v>-0.1</v>
      </c>
      <c r="D13" s="55">
        <f t="shared" ref="D13:I13" si="3">D14</f>
        <v>54900</v>
      </c>
      <c r="E13" s="55">
        <f t="shared" si="3"/>
        <v>73199.952000000005</v>
      </c>
      <c r="F13" s="55">
        <f t="shared" si="3"/>
        <v>60999.96</v>
      </c>
      <c r="G13" s="55">
        <f t="shared" si="3"/>
        <v>61000</v>
      </c>
      <c r="H13" s="55">
        <f t="shared" si="3"/>
        <v>62282.04</v>
      </c>
      <c r="I13" s="55">
        <f t="shared" si="3"/>
        <v>60999.96</v>
      </c>
      <c r="J13" s="5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1:30" ht="15.75" customHeight="1" x14ac:dyDescent="0.2">
      <c r="A14" s="39">
        <v>4100</v>
      </c>
      <c r="B14" s="40" t="s">
        <v>18</v>
      </c>
      <c r="C14" s="58"/>
      <c r="D14" s="58">
        <f>0.9*G14</f>
        <v>54900</v>
      </c>
      <c r="E14" s="58">
        <f>(F14/10*12)</f>
        <v>73199.952000000005</v>
      </c>
      <c r="F14" s="58">
        <v>60999.96</v>
      </c>
      <c r="G14" s="58">
        <v>61000</v>
      </c>
      <c r="H14" s="58">
        <v>62282.04</v>
      </c>
      <c r="I14" s="58">
        <v>60999.96</v>
      </c>
      <c r="J14" s="46" t="s">
        <v>49</v>
      </c>
      <c r="K14" s="31">
        <f>VLOOKUP(A14,'Budget to Actual'!$B:$B,1,FALSE)</f>
        <v>4100</v>
      </c>
    </row>
    <row r="15" spans="1:30" ht="15.75" customHeight="1" x14ac:dyDescent="0.2">
      <c r="I15" s="53"/>
      <c r="J15" s="46"/>
    </row>
    <row r="16" spans="1:30" ht="15" x14ac:dyDescent="0.25">
      <c r="A16" s="48" t="s">
        <v>19</v>
      </c>
      <c r="B16" s="43"/>
      <c r="C16" s="54">
        <f>(D16-G16)/G16</f>
        <v>6.6666666666666666E-2</v>
      </c>
      <c r="D16" s="55">
        <f t="shared" ref="D16:I16" si="4">SUM(D17:D20)</f>
        <v>3200</v>
      </c>
      <c r="E16" s="55">
        <f t="shared" si="4"/>
        <v>3006</v>
      </c>
      <c r="F16" s="55">
        <f t="shared" si="4"/>
        <v>2505</v>
      </c>
      <c r="G16" s="55">
        <f t="shared" si="4"/>
        <v>3000</v>
      </c>
      <c r="H16" s="55">
        <f t="shared" si="4"/>
        <v>7205</v>
      </c>
      <c r="I16" s="55">
        <f t="shared" si="4"/>
        <v>10895</v>
      </c>
      <c r="J16" s="56" t="s">
        <v>20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0" ht="15.75" customHeight="1" x14ac:dyDescent="0.2">
      <c r="A17" s="39">
        <v>4140.12</v>
      </c>
      <c r="B17" s="40" t="s">
        <v>61</v>
      </c>
      <c r="C17" s="58"/>
      <c r="D17" s="58">
        <v>2000</v>
      </c>
      <c r="E17" s="58">
        <v>0</v>
      </c>
      <c r="F17" s="58">
        <v>0</v>
      </c>
      <c r="G17" s="58">
        <v>1800</v>
      </c>
      <c r="H17" s="58">
        <v>3000</v>
      </c>
      <c r="I17" s="58">
        <v>0</v>
      </c>
      <c r="J17" s="46"/>
      <c r="K17" s="31">
        <f>VLOOKUP(A17,'Budget to Actual'!$B:$B,1,FALSE)</f>
        <v>4140.12</v>
      </c>
    </row>
    <row r="18" spans="1:30" ht="15.75" customHeight="1" x14ac:dyDescent="0.2">
      <c r="A18" s="39">
        <v>4140.1099999999997</v>
      </c>
      <c r="B18" s="40" t="s">
        <v>64</v>
      </c>
      <c r="C18" s="58"/>
      <c r="D18" s="58">
        <v>1200</v>
      </c>
      <c r="E18" s="58">
        <v>0</v>
      </c>
      <c r="F18" s="58">
        <v>0</v>
      </c>
      <c r="G18" s="58">
        <v>1200</v>
      </c>
      <c r="H18" s="58">
        <v>2205</v>
      </c>
      <c r="I18" s="58">
        <v>0</v>
      </c>
      <c r="J18" s="46"/>
      <c r="K18" s="31">
        <f>VLOOKUP(A18,'Budget to Actual'!$B:$B,1,FALSE)</f>
        <v>4140.1099999999997</v>
      </c>
    </row>
    <row r="19" spans="1:30" ht="15.75" customHeight="1" x14ac:dyDescent="0.2">
      <c r="A19" s="39">
        <v>4140</v>
      </c>
      <c r="B19" s="40" t="s">
        <v>21</v>
      </c>
      <c r="C19" s="58"/>
      <c r="D19" s="58">
        <v>0</v>
      </c>
      <c r="E19" s="58">
        <f>(F19/10*12)</f>
        <v>3006</v>
      </c>
      <c r="F19" s="58">
        <v>2505</v>
      </c>
      <c r="G19" s="58">
        <v>0</v>
      </c>
      <c r="H19" s="58">
        <v>0</v>
      </c>
      <c r="I19" s="58">
        <v>10895</v>
      </c>
      <c r="J19" s="46"/>
      <c r="K19" s="31">
        <f>VLOOKUP(A19,'Budget to Actual'!$B:$B,1,FALSE)</f>
        <v>4140</v>
      </c>
    </row>
    <row r="20" spans="1:30" ht="15.75" customHeight="1" x14ac:dyDescent="0.2">
      <c r="A20" s="39">
        <v>4140.1000000000004</v>
      </c>
      <c r="B20" s="40" t="s">
        <v>70</v>
      </c>
      <c r="C20" s="58"/>
      <c r="D20" s="58">
        <v>0</v>
      </c>
      <c r="E20" s="58">
        <v>0</v>
      </c>
      <c r="F20" s="58">
        <v>0</v>
      </c>
      <c r="G20" s="58">
        <v>0</v>
      </c>
      <c r="H20" s="58">
        <v>2000</v>
      </c>
      <c r="I20" s="58">
        <v>0</v>
      </c>
      <c r="J20" s="46"/>
      <c r="K20" s="31">
        <f>VLOOKUP(A20,'Budget to Actual'!$B:$B,1,FALSE)</f>
        <v>4140.1000000000004</v>
      </c>
    </row>
    <row r="21" spans="1:30" ht="15.75" customHeight="1" x14ac:dyDescent="0.2">
      <c r="I21" s="53"/>
      <c r="J21" s="46"/>
    </row>
    <row r="22" spans="1:30" ht="15" x14ac:dyDescent="0.25">
      <c r="A22" s="48" t="s">
        <v>22</v>
      </c>
      <c r="B22" s="43"/>
      <c r="C22" s="54">
        <f>(D22-G22)/G22</f>
        <v>-0.1394658753709199</v>
      </c>
      <c r="D22" s="55">
        <f t="shared" ref="D22:I22" si="5">SUM(D23:D29)</f>
        <v>2900</v>
      </c>
      <c r="E22" s="55">
        <f t="shared" si="5"/>
        <v>4622.3539999999994</v>
      </c>
      <c r="F22" s="55">
        <f t="shared" si="5"/>
        <v>3829.7799999999997</v>
      </c>
      <c r="G22" s="55">
        <f t="shared" si="5"/>
        <v>3370</v>
      </c>
      <c r="H22" s="55">
        <f t="shared" si="5"/>
        <v>12016.3</v>
      </c>
      <c r="I22" s="55">
        <f t="shared" si="5"/>
        <v>7957.37</v>
      </c>
      <c r="J22" s="5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3" spans="1:30" ht="15.75" customHeight="1" x14ac:dyDescent="0.2">
      <c r="A23" s="39">
        <v>4950.2020000000002</v>
      </c>
      <c r="B23" s="40" t="s">
        <v>23</v>
      </c>
      <c r="C23" s="58"/>
      <c r="D23" s="58">
        <v>1200</v>
      </c>
      <c r="E23" s="58">
        <f>(F23/10*12)</f>
        <v>2355.4439999999995</v>
      </c>
      <c r="F23" s="58">
        <v>1962.87</v>
      </c>
      <c r="G23" s="58">
        <v>1800</v>
      </c>
      <c r="H23" s="58">
        <v>1791.7</v>
      </c>
      <c r="I23" s="58">
        <v>1085.17</v>
      </c>
      <c r="J23" s="46" t="s">
        <v>79</v>
      </c>
      <c r="K23" s="31">
        <f>VLOOKUP(A23,'Budget to Actual'!$B:$B,1,FALSE)</f>
        <v>4950.2020000000002</v>
      </c>
    </row>
    <row r="24" spans="1:30" ht="15.75" customHeight="1" x14ac:dyDescent="0.2">
      <c r="A24" s="39">
        <v>4950.299</v>
      </c>
      <c r="B24" s="40" t="s">
        <v>24</v>
      </c>
      <c r="C24" s="58"/>
      <c r="D24" s="58">
        <v>1300</v>
      </c>
      <c r="E24" s="58">
        <f>F24+400</f>
        <v>1852.11</v>
      </c>
      <c r="F24" s="58">
        <v>1452.11</v>
      </c>
      <c r="G24" s="58">
        <v>1200</v>
      </c>
      <c r="H24" s="58">
        <v>861.6</v>
      </c>
      <c r="I24" s="58">
        <v>1055</v>
      </c>
      <c r="J24" s="46" t="s">
        <v>79</v>
      </c>
      <c r="K24" s="31">
        <f>VLOOKUP(A24,'Budget to Actual'!$B:$B,1,FALSE)</f>
        <v>4950.299</v>
      </c>
    </row>
    <row r="25" spans="1:30" ht="15.75" customHeight="1" x14ac:dyDescent="0.2">
      <c r="A25" s="39">
        <v>4190</v>
      </c>
      <c r="B25" s="40" t="s">
        <v>25</v>
      </c>
      <c r="C25" s="58"/>
      <c r="D25" s="58">
        <v>400</v>
      </c>
      <c r="E25" s="58">
        <v>0</v>
      </c>
      <c r="F25" s="58">
        <v>0</v>
      </c>
      <c r="G25" s="58">
        <v>370</v>
      </c>
      <c r="H25" s="58">
        <v>370</v>
      </c>
      <c r="I25" s="58">
        <v>5000</v>
      </c>
      <c r="J25" s="46" t="s">
        <v>79</v>
      </c>
      <c r="K25" s="31">
        <f>VLOOKUP(A25,'Budget to Actual'!$B:$B,1,FALSE)</f>
        <v>4190</v>
      </c>
    </row>
    <row r="26" spans="1:30" ht="15.75" customHeight="1" x14ac:dyDescent="0.2">
      <c r="A26" s="39">
        <v>4150</v>
      </c>
      <c r="B26" s="40" t="s">
        <v>85</v>
      </c>
      <c r="C26" s="58"/>
      <c r="D26" s="58">
        <v>0</v>
      </c>
      <c r="E26" s="58">
        <f>F26</f>
        <v>289.8</v>
      </c>
      <c r="F26" s="58">
        <v>289.8</v>
      </c>
      <c r="G26" s="58">
        <v>0</v>
      </c>
      <c r="H26" s="58">
        <v>0</v>
      </c>
      <c r="I26" s="58">
        <v>0</v>
      </c>
      <c r="J26" s="46"/>
      <c r="K26" s="31">
        <f>VLOOKUP(A26,'Budget to Actual'!$B:$B,1,FALSE)</f>
        <v>4150</v>
      </c>
    </row>
    <row r="27" spans="1:30" ht="15.75" customHeight="1" x14ac:dyDescent="0.2">
      <c r="A27" s="39">
        <v>4170</v>
      </c>
      <c r="B27" s="40" t="s">
        <v>89</v>
      </c>
      <c r="C27" s="58"/>
      <c r="D27" s="58">
        <v>0</v>
      </c>
      <c r="E27" s="58">
        <v>0</v>
      </c>
      <c r="F27" s="58">
        <v>0</v>
      </c>
      <c r="G27" s="58">
        <v>0</v>
      </c>
      <c r="H27" s="58">
        <v>5000</v>
      </c>
      <c r="I27" s="58">
        <v>0</v>
      </c>
      <c r="J27" s="46"/>
      <c r="K27" s="31">
        <f>VLOOKUP(A27,'Budget to Actual'!$B:$B,1,FALSE)</f>
        <v>4170</v>
      </c>
    </row>
    <row r="28" spans="1:30" ht="15.75" customHeight="1" x14ac:dyDescent="0.2">
      <c r="A28" s="39">
        <v>4950.2039999999997</v>
      </c>
      <c r="B28" s="40" t="s">
        <v>91</v>
      </c>
      <c r="C28" s="58"/>
      <c r="D28" s="58">
        <v>0</v>
      </c>
      <c r="E28" s="58">
        <f>F28</f>
        <v>125</v>
      </c>
      <c r="F28" s="58">
        <v>125</v>
      </c>
      <c r="G28" s="58">
        <v>0</v>
      </c>
      <c r="H28" s="58">
        <v>753</v>
      </c>
      <c r="I28" s="58">
        <v>817.2</v>
      </c>
      <c r="J28" s="46"/>
      <c r="K28" s="31">
        <f>VLOOKUP(A28,'Budget to Actual'!$B:$B,1,FALSE)</f>
        <v>4950.2039999999997</v>
      </c>
    </row>
    <row r="29" spans="1:30" ht="15.75" customHeight="1" x14ac:dyDescent="0.2">
      <c r="A29" s="40">
        <v>4950.607</v>
      </c>
      <c r="B29" s="40" t="s">
        <v>95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3240</v>
      </c>
      <c r="I29" s="58">
        <v>0</v>
      </c>
      <c r="J29" s="46"/>
      <c r="K29" s="31">
        <f>VLOOKUP(A29,'Budget to Actual'!$B:$B,1,FALSE)</f>
        <v>4950.607</v>
      </c>
    </row>
    <row r="30" spans="1:30" ht="15.75" customHeight="1" x14ac:dyDescent="0.2">
      <c r="I30" s="53"/>
      <c r="J30" s="46"/>
    </row>
    <row r="31" spans="1:30" ht="15" x14ac:dyDescent="0.25">
      <c r="A31" s="48" t="s">
        <v>26</v>
      </c>
      <c r="B31" s="43"/>
      <c r="C31" s="54"/>
      <c r="D31" s="55">
        <f t="shared" ref="D31:I31" si="6">SUM(D32:D33)</f>
        <v>3012</v>
      </c>
      <c r="E31" s="55">
        <f t="shared" si="6"/>
        <v>14.303999999999998</v>
      </c>
      <c r="F31" s="55">
        <f t="shared" si="6"/>
        <v>11.92</v>
      </c>
      <c r="G31" s="55">
        <f t="shared" si="6"/>
        <v>12</v>
      </c>
      <c r="H31" s="55">
        <f t="shared" si="6"/>
        <v>11.51</v>
      </c>
      <c r="I31" s="55">
        <f t="shared" si="6"/>
        <v>10004.49</v>
      </c>
      <c r="J31" s="56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</row>
    <row r="32" spans="1:30" ht="15.75" customHeight="1" x14ac:dyDescent="0.2">
      <c r="A32" s="39">
        <v>4200</v>
      </c>
      <c r="B32" s="40" t="s">
        <v>27</v>
      </c>
      <c r="C32" s="58"/>
      <c r="D32" s="58">
        <v>12</v>
      </c>
      <c r="E32" s="58">
        <f>(F32/10*12)</f>
        <v>14.303999999999998</v>
      </c>
      <c r="F32" s="58">
        <v>11.92</v>
      </c>
      <c r="G32" s="58">
        <v>12</v>
      </c>
      <c r="H32" s="58">
        <v>11.51</v>
      </c>
      <c r="I32" s="58">
        <v>4.49</v>
      </c>
      <c r="J32" s="46"/>
      <c r="K32" s="31">
        <f>VLOOKUP(A32,'Budget to Actual'!$B:$B,1,FALSE)</f>
        <v>4200</v>
      </c>
    </row>
    <row r="33" spans="1:30" ht="15.75" customHeight="1" x14ac:dyDescent="0.2">
      <c r="A33" s="39">
        <v>4950.5</v>
      </c>
      <c r="B33" s="40" t="s">
        <v>104</v>
      </c>
      <c r="C33" s="58"/>
      <c r="D33" s="59">
        <v>3000</v>
      </c>
      <c r="E33" s="58"/>
      <c r="F33" s="58">
        <v>0</v>
      </c>
      <c r="G33" s="58">
        <v>0</v>
      </c>
      <c r="H33" s="58">
        <v>0</v>
      </c>
      <c r="I33" s="58">
        <v>10000</v>
      </c>
      <c r="J33" s="46" t="s">
        <v>105</v>
      </c>
      <c r="K33" s="31">
        <f>VLOOKUP(A33,'Budget to Actual'!$B:$B,1,FALSE)</f>
        <v>4950.5</v>
      </c>
    </row>
    <row r="34" spans="1:30" ht="15.75" customHeight="1" x14ac:dyDescent="0.2">
      <c r="A34" s="39"/>
      <c r="B34" s="40"/>
      <c r="C34" s="58"/>
      <c r="D34" s="58"/>
      <c r="E34" s="58"/>
      <c r="F34" s="58"/>
      <c r="G34" s="58"/>
      <c r="H34" s="58"/>
      <c r="I34" s="53"/>
      <c r="J34" s="46"/>
    </row>
    <row r="35" spans="1:30" x14ac:dyDescent="0.25">
      <c r="A35" s="45" t="s">
        <v>28</v>
      </c>
      <c r="B35" s="30"/>
      <c r="C35" s="60">
        <f>(D35-G35)/G35</f>
        <v>-0.12108343854011247</v>
      </c>
      <c r="D35" s="61">
        <f t="shared" ref="D35:I35" si="7">D3+D7+D13+D16+D22+D31</f>
        <v>107212</v>
      </c>
      <c r="E35" s="61">
        <f t="shared" si="7"/>
        <v>140035.45799999998</v>
      </c>
      <c r="F35" s="62">
        <f t="shared" si="7"/>
        <v>116938.2</v>
      </c>
      <c r="G35" s="61">
        <f t="shared" si="7"/>
        <v>121982</v>
      </c>
      <c r="H35" s="61">
        <f t="shared" si="7"/>
        <v>134230.82</v>
      </c>
      <c r="I35" s="61">
        <f t="shared" si="7"/>
        <v>134478.63999999998</v>
      </c>
      <c r="J35" s="6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2.75" x14ac:dyDescent="0.2">
      <c r="H36" s="40"/>
      <c r="I36" s="53"/>
      <c r="J36" s="46"/>
    </row>
    <row r="37" spans="1:30" ht="18.75" x14ac:dyDescent="0.3">
      <c r="A37" s="35" t="s">
        <v>30</v>
      </c>
      <c r="I37" s="53"/>
      <c r="J37" s="46"/>
    </row>
    <row r="38" spans="1:30" ht="15" x14ac:dyDescent="0.25">
      <c r="A38" s="48" t="s">
        <v>72</v>
      </c>
      <c r="B38" s="43"/>
      <c r="C38" s="54">
        <f>(D38-G38)/G38</f>
        <v>-4.8353909465020578E-2</v>
      </c>
      <c r="D38" s="55">
        <f t="shared" ref="D38:I38" si="8">SUM(D39:D43)</f>
        <v>13875</v>
      </c>
      <c r="E38" s="55">
        <f t="shared" si="8"/>
        <v>13640.84</v>
      </c>
      <c r="F38" s="55">
        <f t="shared" si="8"/>
        <v>14200.16</v>
      </c>
      <c r="G38" s="55">
        <f t="shared" si="8"/>
        <v>14580</v>
      </c>
      <c r="H38" s="55">
        <f t="shared" si="8"/>
        <v>13248.13</v>
      </c>
      <c r="I38" s="55">
        <f t="shared" si="8"/>
        <v>13345.47</v>
      </c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1:30" ht="12.75" x14ac:dyDescent="0.2">
      <c r="A39" s="39">
        <v>5820.1</v>
      </c>
      <c r="B39" s="40" t="s">
        <v>76</v>
      </c>
      <c r="C39" s="58"/>
      <c r="D39" s="58">
        <v>1700</v>
      </c>
      <c r="E39" s="58">
        <f>(F39/10*12)</f>
        <v>1500.8400000000001</v>
      </c>
      <c r="F39" s="58">
        <f>1125.98+124.72</f>
        <v>1250.7</v>
      </c>
      <c r="G39" s="58">
        <v>1680</v>
      </c>
      <c r="H39" s="58">
        <v>1560.24</v>
      </c>
      <c r="I39" s="58">
        <v>2802.27</v>
      </c>
      <c r="J39" s="46"/>
      <c r="K39" s="31">
        <f>VLOOKUP(A39,'Budget to Actual'!$B:$B,1,FALSE)</f>
        <v>5820.1</v>
      </c>
    </row>
    <row r="40" spans="1:30" ht="12.75" x14ac:dyDescent="0.2">
      <c r="A40" s="39">
        <v>5860</v>
      </c>
      <c r="B40" s="40" t="s">
        <v>74</v>
      </c>
      <c r="C40" s="58"/>
      <c r="D40" s="58">
        <v>3600</v>
      </c>
      <c r="E40" s="58">
        <v>3600</v>
      </c>
      <c r="F40" s="58">
        <v>3741.58</v>
      </c>
      <c r="G40" s="58">
        <v>3960</v>
      </c>
      <c r="H40" s="58">
        <v>3390.56</v>
      </c>
      <c r="I40" s="58">
        <v>3109</v>
      </c>
      <c r="J40" s="46"/>
      <c r="K40" s="31">
        <f>VLOOKUP(A40,'Budget to Actual'!$B:$B,1,FALSE)</f>
        <v>5860</v>
      </c>
    </row>
    <row r="41" spans="1:30" ht="12.75" x14ac:dyDescent="0.2">
      <c r="A41" s="39">
        <v>5860.1</v>
      </c>
      <c r="B41" s="40" t="s">
        <v>73</v>
      </c>
      <c r="C41" s="58"/>
      <c r="D41" s="58">
        <v>5000</v>
      </c>
      <c r="E41" s="58">
        <v>5000</v>
      </c>
      <c r="F41" s="58">
        <v>5182.62</v>
      </c>
      <c r="G41" s="58">
        <v>5400</v>
      </c>
      <c r="H41" s="58">
        <v>4911.7299999999996</v>
      </c>
      <c r="I41" s="58">
        <v>4273.2299999999996</v>
      </c>
      <c r="J41" s="46"/>
      <c r="K41" s="31">
        <f>VLOOKUP(A41,'Budget to Actual'!$B:$B,1,FALSE)</f>
        <v>5860.1</v>
      </c>
    </row>
    <row r="42" spans="1:30" ht="12.75" x14ac:dyDescent="0.2">
      <c r="A42" s="39">
        <v>5860.2</v>
      </c>
      <c r="B42" s="40" t="s">
        <v>75</v>
      </c>
      <c r="C42" s="58"/>
      <c r="D42" s="58">
        <v>3000</v>
      </c>
      <c r="E42" s="58">
        <f t="shared" ref="E42:E43" si="9">G42</f>
        <v>3000</v>
      </c>
      <c r="F42" s="58">
        <v>3435.53</v>
      </c>
      <c r="G42" s="58">
        <v>3000</v>
      </c>
      <c r="H42" s="58">
        <v>2833.98</v>
      </c>
      <c r="I42" s="58">
        <v>2640.08</v>
      </c>
      <c r="J42" s="46"/>
      <c r="K42" s="31">
        <f>VLOOKUP(A42,'Budget to Actual'!$B:$B,1,FALSE)</f>
        <v>5860.2</v>
      </c>
    </row>
    <row r="43" spans="1:30" ht="12.75" x14ac:dyDescent="0.2">
      <c r="A43" s="39">
        <v>5860.3</v>
      </c>
      <c r="B43" s="40" t="s">
        <v>77</v>
      </c>
      <c r="C43" s="58"/>
      <c r="D43" s="58">
        <v>575</v>
      </c>
      <c r="E43" s="58">
        <f t="shared" si="9"/>
        <v>540</v>
      </c>
      <c r="F43" s="58">
        <v>589.73</v>
      </c>
      <c r="G43" s="58">
        <v>540</v>
      </c>
      <c r="H43" s="58">
        <v>551.62</v>
      </c>
      <c r="I43" s="58">
        <v>520.89</v>
      </c>
      <c r="J43" s="46"/>
      <c r="K43" s="31">
        <f>VLOOKUP(A43,'Budget to Actual'!$B:$B,1,FALSE)</f>
        <v>5860.3</v>
      </c>
    </row>
    <row r="44" spans="1:30" ht="12.75" x14ac:dyDescent="0.2">
      <c r="I44" s="53"/>
      <c r="J44" s="46"/>
    </row>
    <row r="45" spans="1:30" ht="15" x14ac:dyDescent="0.25">
      <c r="A45" s="48" t="s">
        <v>59</v>
      </c>
      <c r="B45" s="43"/>
      <c r="C45" s="54">
        <f>(D45-G45)/G45</f>
        <v>-0.19912503528083544</v>
      </c>
      <c r="D45" s="55">
        <f t="shared" ref="D45:I45" si="10">SUM(D46:D57)</f>
        <v>22700</v>
      </c>
      <c r="E45" s="55">
        <f t="shared" si="10"/>
        <v>27272.2</v>
      </c>
      <c r="F45" s="55">
        <f t="shared" si="10"/>
        <v>25035.38</v>
      </c>
      <c r="G45" s="55">
        <f t="shared" si="10"/>
        <v>28344</v>
      </c>
      <c r="H45" s="55">
        <f t="shared" si="10"/>
        <v>25222.45</v>
      </c>
      <c r="I45" s="55">
        <f t="shared" si="10"/>
        <v>36194.550000000003</v>
      </c>
      <c r="J45" s="56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 ht="12.75" x14ac:dyDescent="0.2">
      <c r="A46" s="39">
        <v>5210.5010000000002</v>
      </c>
      <c r="B46" s="40" t="s">
        <v>60</v>
      </c>
      <c r="C46" s="58"/>
      <c r="D46" s="58">
        <v>11700</v>
      </c>
      <c r="E46" s="58">
        <v>10800</v>
      </c>
      <c r="F46" s="58">
        <v>10605.75</v>
      </c>
      <c r="G46" s="58">
        <v>10800</v>
      </c>
      <c r="H46" s="58">
        <v>10081.25</v>
      </c>
      <c r="I46" s="58">
        <v>11147.44</v>
      </c>
      <c r="J46" s="46" t="s">
        <v>109</v>
      </c>
      <c r="K46" s="31">
        <f>VLOOKUP(A46,'Budget to Actual'!$B:$B,1,FALSE)</f>
        <v>5210.5010000000002</v>
      </c>
    </row>
    <row r="47" spans="1:30" ht="12.75" x14ac:dyDescent="0.2">
      <c r="A47" s="39">
        <v>5710</v>
      </c>
      <c r="B47" s="40" t="s">
        <v>65</v>
      </c>
      <c r="C47" s="58"/>
      <c r="D47" s="58">
        <v>1800</v>
      </c>
      <c r="E47" s="58">
        <v>2400</v>
      </c>
      <c r="F47" s="58">
        <v>2233.9299999999998</v>
      </c>
      <c r="G47" s="58">
        <v>2400</v>
      </c>
      <c r="H47" s="58">
        <v>1439.43</v>
      </c>
      <c r="I47" s="58">
        <v>1691.79</v>
      </c>
      <c r="J47" s="46"/>
      <c r="K47" s="31">
        <f>VLOOKUP(A47,'Budget to Actual'!$B:$B,1,FALSE)</f>
        <v>5710</v>
      </c>
    </row>
    <row r="48" spans="1:30" ht="12.75" x14ac:dyDescent="0.2">
      <c r="A48" s="39">
        <v>5575.1</v>
      </c>
      <c r="B48" s="40" t="s">
        <v>66</v>
      </c>
      <c r="C48" s="58"/>
      <c r="D48" s="58">
        <v>600</v>
      </c>
      <c r="E48" s="58">
        <f>F48</f>
        <v>1245.4000000000001</v>
      </c>
      <c r="F48" s="58">
        <v>1245.4000000000001</v>
      </c>
      <c r="G48" s="58">
        <v>600</v>
      </c>
      <c r="H48" s="58">
        <v>575.03</v>
      </c>
      <c r="I48" s="58">
        <v>1317.38</v>
      </c>
      <c r="J48" s="46"/>
      <c r="K48" s="31">
        <f>VLOOKUP(A48,'Budget to Actual'!$B:$B,1,FALSE)</f>
        <v>5575.1</v>
      </c>
    </row>
    <row r="49" spans="1:30" ht="12.75" x14ac:dyDescent="0.2">
      <c r="A49" s="39">
        <v>5575.11</v>
      </c>
      <c r="B49" s="40" t="s">
        <v>67</v>
      </c>
      <c r="C49" s="58"/>
      <c r="D49" s="58">
        <v>600</v>
      </c>
      <c r="E49" s="58">
        <f>G49</f>
        <v>600</v>
      </c>
      <c r="F49" s="58">
        <v>0</v>
      </c>
      <c r="G49" s="58">
        <v>600</v>
      </c>
      <c r="H49" s="58">
        <v>41.96</v>
      </c>
      <c r="I49" s="58">
        <v>611</v>
      </c>
      <c r="J49" s="46"/>
      <c r="K49" s="31">
        <f>VLOOKUP(A49,'Budget to Actual'!$B:$B,1,FALSE)</f>
        <v>5575.11</v>
      </c>
    </row>
    <row r="50" spans="1:30" ht="12.75" x14ac:dyDescent="0.2">
      <c r="A50" s="39">
        <v>5575.14</v>
      </c>
      <c r="B50" s="40" t="s">
        <v>68</v>
      </c>
      <c r="C50" s="58"/>
      <c r="D50" s="58">
        <v>500</v>
      </c>
      <c r="E50" s="58">
        <v>450</v>
      </c>
      <c r="F50" s="58">
        <v>0</v>
      </c>
      <c r="G50" s="58">
        <v>480</v>
      </c>
      <c r="H50" s="58">
        <v>442.8</v>
      </c>
      <c r="I50" s="58">
        <v>331.29</v>
      </c>
      <c r="J50" s="46"/>
      <c r="K50" s="31">
        <f>VLOOKUP(A50,'Budget to Actual'!$B:$B,1,FALSE)</f>
        <v>5575.14</v>
      </c>
    </row>
    <row r="51" spans="1:30" ht="51" x14ac:dyDescent="0.2">
      <c r="A51" s="39">
        <v>5575.2</v>
      </c>
      <c r="B51" s="40" t="s">
        <v>71</v>
      </c>
      <c r="C51" s="58"/>
      <c r="D51" s="58">
        <v>0</v>
      </c>
      <c r="E51" s="58">
        <v>3500</v>
      </c>
      <c r="F51" s="59">
        <v>3614.94</v>
      </c>
      <c r="G51" s="58">
        <v>4800</v>
      </c>
      <c r="H51" s="58">
        <v>5263</v>
      </c>
      <c r="I51" s="58">
        <v>13442.86</v>
      </c>
      <c r="J51" s="46" t="s">
        <v>113</v>
      </c>
      <c r="K51" s="31">
        <f>VLOOKUP(A51,'Budget to Actual'!$B:$B,1,FALSE)</f>
        <v>5575.2</v>
      </c>
    </row>
    <row r="52" spans="1:30" ht="12.75" x14ac:dyDescent="0.2">
      <c r="A52" s="39">
        <v>5575</v>
      </c>
      <c r="B52" s="40" t="s">
        <v>114</v>
      </c>
      <c r="C52" s="58"/>
      <c r="D52" s="58">
        <v>0</v>
      </c>
      <c r="E52" s="58">
        <v>0</v>
      </c>
      <c r="F52" s="58">
        <v>0</v>
      </c>
      <c r="G52" s="58">
        <v>900</v>
      </c>
      <c r="H52" s="58">
        <v>0</v>
      </c>
      <c r="I52" s="58">
        <v>0</v>
      </c>
      <c r="J52" s="46"/>
      <c r="K52" s="31">
        <f>VLOOKUP(A52,'Budget to Actual'!$B:$B,1,FALSE)</f>
        <v>5575</v>
      </c>
    </row>
    <row r="53" spans="1:30" ht="12.75" x14ac:dyDescent="0.2">
      <c r="A53" s="39">
        <v>5950.5</v>
      </c>
      <c r="B53" s="40" t="s">
        <v>115</v>
      </c>
      <c r="C53" s="40"/>
      <c r="D53" s="40">
        <v>0</v>
      </c>
      <c r="E53" s="40">
        <f>F53</f>
        <v>10</v>
      </c>
      <c r="F53" s="40">
        <v>10</v>
      </c>
      <c r="G53" s="40">
        <v>0</v>
      </c>
      <c r="H53" s="40">
        <v>0</v>
      </c>
      <c r="I53" s="58">
        <v>20</v>
      </c>
      <c r="J53" s="46"/>
      <c r="K53" s="31">
        <f>VLOOKUP(A53,'Budget to Actual'!$B:$B,1,FALSE)</f>
        <v>5950.5</v>
      </c>
    </row>
    <row r="54" spans="1:30" ht="12.75" x14ac:dyDescent="0.2">
      <c r="A54" s="39">
        <v>5210.701</v>
      </c>
      <c r="B54" s="40" t="s">
        <v>117</v>
      </c>
      <c r="C54" s="58"/>
      <c r="D54" s="58">
        <v>0</v>
      </c>
      <c r="E54" s="58">
        <v>0</v>
      </c>
      <c r="F54" s="58">
        <v>0</v>
      </c>
      <c r="G54" s="58">
        <v>1800</v>
      </c>
      <c r="H54" s="58">
        <v>1890</v>
      </c>
      <c r="I54" s="58">
        <v>200</v>
      </c>
      <c r="J54" s="46" t="s">
        <v>118</v>
      </c>
      <c r="K54" s="31">
        <f>VLOOKUP(A54,'Budget to Actual'!$B:$B,1,FALSE)</f>
        <v>5210.701</v>
      </c>
    </row>
    <row r="55" spans="1:30" ht="12.75" x14ac:dyDescent="0.2">
      <c r="A55" s="39">
        <v>5575.12</v>
      </c>
      <c r="B55" s="40" t="s">
        <v>63</v>
      </c>
      <c r="C55" s="58"/>
      <c r="D55" s="58">
        <v>2000</v>
      </c>
      <c r="E55" s="58">
        <v>2000</v>
      </c>
      <c r="F55" s="58">
        <v>2118.86</v>
      </c>
      <c r="G55" s="58">
        <v>480</v>
      </c>
      <c r="H55" s="58">
        <v>93.42</v>
      </c>
      <c r="I55" s="58">
        <v>2519.41</v>
      </c>
      <c r="J55" s="46"/>
      <c r="K55" s="31">
        <f>VLOOKUP(A55,'Budget to Actual'!$B:$B,1,FALSE)</f>
        <v>5575.12</v>
      </c>
    </row>
    <row r="56" spans="1:30" ht="12.75" x14ac:dyDescent="0.2">
      <c r="A56" s="39">
        <v>5575.13</v>
      </c>
      <c r="B56" s="40" t="s">
        <v>69</v>
      </c>
      <c r="C56" s="58"/>
      <c r="D56" s="58">
        <v>400</v>
      </c>
      <c r="E56" s="58">
        <v>550</v>
      </c>
      <c r="F56" s="58">
        <v>442.5</v>
      </c>
      <c r="G56" s="58">
        <v>720</v>
      </c>
      <c r="H56" s="58">
        <v>290</v>
      </c>
      <c r="I56" s="58">
        <v>430</v>
      </c>
      <c r="J56" s="46"/>
      <c r="K56" s="31">
        <f>VLOOKUP(A56,'Budget to Actual'!$B:$B,1,FALSE)</f>
        <v>5575.13</v>
      </c>
    </row>
    <row r="57" spans="1:30" ht="12.75" x14ac:dyDescent="0.2">
      <c r="A57" s="39">
        <v>5390</v>
      </c>
      <c r="B57" s="40" t="s">
        <v>62</v>
      </c>
      <c r="C57" s="58"/>
      <c r="D57" s="58">
        <v>5100</v>
      </c>
      <c r="E57" s="58">
        <f>(F57/10*12)</f>
        <v>5716.7999999999993</v>
      </c>
      <c r="F57" s="58">
        <v>4764</v>
      </c>
      <c r="G57" s="58">
        <v>4764</v>
      </c>
      <c r="H57" s="58">
        <v>5105.5600000000004</v>
      </c>
      <c r="I57" s="58">
        <v>4483.38</v>
      </c>
      <c r="J57" s="46"/>
      <c r="K57" s="31">
        <f>VLOOKUP(A57,'Budget to Actual'!$B:$B,1,FALSE)</f>
        <v>5390</v>
      </c>
    </row>
    <row r="58" spans="1:30" ht="12.75" x14ac:dyDescent="0.2">
      <c r="I58" s="53"/>
      <c r="J58" s="46"/>
    </row>
    <row r="59" spans="1:30" ht="15" x14ac:dyDescent="0.25">
      <c r="A59" s="48" t="s">
        <v>46</v>
      </c>
      <c r="B59" s="43"/>
      <c r="C59" s="54">
        <f>(D59-G59)/G59</f>
        <v>0.11007268951194185</v>
      </c>
      <c r="D59" s="55">
        <f t="shared" ref="D59:I59" si="11">SUM(D60:D74)</f>
        <v>21380</v>
      </c>
      <c r="E59" s="55">
        <f t="shared" si="11"/>
        <v>18042.236000000001</v>
      </c>
      <c r="F59" s="55">
        <f t="shared" si="11"/>
        <v>16015.56</v>
      </c>
      <c r="G59" s="55">
        <f t="shared" si="11"/>
        <v>19260</v>
      </c>
      <c r="H59" s="55">
        <f t="shared" si="11"/>
        <v>12111.3</v>
      </c>
      <c r="I59" s="55">
        <f t="shared" si="11"/>
        <v>17193.78</v>
      </c>
      <c r="J59" s="56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spans="1:30" ht="12.75" x14ac:dyDescent="0.2">
      <c r="A60" s="39">
        <v>5210.201</v>
      </c>
      <c r="B60" s="40" t="s">
        <v>47</v>
      </c>
      <c r="C60" s="58"/>
      <c r="D60" s="58">
        <v>9200</v>
      </c>
      <c r="E60" s="58">
        <v>6900</v>
      </c>
      <c r="F60" s="58">
        <v>6340.5</v>
      </c>
      <c r="G60" s="58">
        <v>6000</v>
      </c>
      <c r="H60" s="58">
        <v>3248.84</v>
      </c>
      <c r="I60" s="58">
        <v>7869.85</v>
      </c>
      <c r="J60" s="46" t="s">
        <v>111</v>
      </c>
      <c r="K60" s="31">
        <f>VLOOKUP(A60,'Budget to Actual'!$B:$B,1,FALSE)</f>
        <v>5210.201</v>
      </c>
    </row>
    <row r="61" spans="1:30" ht="12.75" x14ac:dyDescent="0.2">
      <c r="A61" s="39">
        <v>5625</v>
      </c>
      <c r="B61" s="40" t="s">
        <v>52</v>
      </c>
      <c r="C61" s="58"/>
      <c r="D61" s="58">
        <v>1000</v>
      </c>
      <c r="E61" s="58">
        <f>(F61/10*12)</f>
        <v>522.54</v>
      </c>
      <c r="F61" s="58">
        <v>435.45</v>
      </c>
      <c r="G61" s="58">
        <v>1080</v>
      </c>
      <c r="H61" s="58">
        <v>1023.99</v>
      </c>
      <c r="I61" s="58">
        <v>805.93</v>
      </c>
      <c r="J61" s="46"/>
      <c r="K61" s="31">
        <f>VLOOKUP(A61,'Budget to Actual'!$B:$B,1,FALSE)</f>
        <v>5625</v>
      </c>
    </row>
    <row r="62" spans="1:30" ht="12.75" x14ac:dyDescent="0.2">
      <c r="A62" s="39">
        <v>5000</v>
      </c>
      <c r="B62" s="40" t="s">
        <v>53</v>
      </c>
      <c r="C62" s="58"/>
      <c r="D62" s="58">
        <v>1000</v>
      </c>
      <c r="E62" s="58">
        <v>300</v>
      </c>
      <c r="F62" s="58">
        <v>296.27</v>
      </c>
      <c r="G62" s="58">
        <v>480</v>
      </c>
      <c r="H62" s="58">
        <v>20.05</v>
      </c>
      <c r="I62" s="58">
        <v>193</v>
      </c>
      <c r="J62" s="46"/>
      <c r="K62" s="31">
        <f>VLOOKUP(A62,'Budget to Actual'!$B:$B,1,FALSE)</f>
        <v>5000</v>
      </c>
    </row>
    <row r="63" spans="1:30" ht="12.75" x14ac:dyDescent="0.2">
      <c r="A63" s="39">
        <v>5050</v>
      </c>
      <c r="B63" s="40" t="s">
        <v>57</v>
      </c>
      <c r="C63" s="58"/>
      <c r="D63" s="58">
        <v>200</v>
      </c>
      <c r="E63" s="58">
        <v>828</v>
      </c>
      <c r="F63" s="59">
        <v>827.93</v>
      </c>
      <c r="G63" s="58">
        <v>240</v>
      </c>
      <c r="H63" s="58">
        <v>49.6</v>
      </c>
      <c r="I63" s="58">
        <v>0</v>
      </c>
      <c r="J63" s="46" t="s">
        <v>124</v>
      </c>
      <c r="K63" s="31">
        <f>VLOOKUP(A63,'Budget to Actual'!$B:$B,1,FALSE)</f>
        <v>5050</v>
      </c>
    </row>
    <row r="64" spans="1:30" ht="12.75" x14ac:dyDescent="0.2">
      <c r="A64" s="39">
        <v>5550.1</v>
      </c>
      <c r="B64" s="40" t="s">
        <v>48</v>
      </c>
      <c r="C64" s="58"/>
      <c r="D64" s="58">
        <v>3000</v>
      </c>
      <c r="E64" s="58">
        <f>(F64/10*12)</f>
        <v>3035.2200000000003</v>
      </c>
      <c r="F64" s="58">
        <v>2529.35</v>
      </c>
      <c r="G64" s="58">
        <v>3300</v>
      </c>
      <c r="H64" s="58">
        <v>2948.21</v>
      </c>
      <c r="I64" s="58">
        <v>2566.98</v>
      </c>
      <c r="J64" s="46"/>
      <c r="K64" s="31">
        <f>VLOOKUP(A64,'Budget to Actual'!$B:$B,1,FALSE)</f>
        <v>5550.1</v>
      </c>
    </row>
    <row r="65" spans="1:30" ht="12.75" x14ac:dyDescent="0.2">
      <c r="A65" s="39">
        <v>5575.3</v>
      </c>
      <c r="B65" s="40" t="s">
        <v>125</v>
      </c>
      <c r="C65" s="58"/>
      <c r="D65" s="58">
        <v>0</v>
      </c>
      <c r="E65" s="58">
        <v>0</v>
      </c>
      <c r="F65" s="58">
        <v>0</v>
      </c>
      <c r="G65" s="58">
        <v>360</v>
      </c>
      <c r="H65" s="58">
        <v>0</v>
      </c>
      <c r="I65" s="58">
        <v>163.28</v>
      </c>
      <c r="J65" s="46"/>
      <c r="K65" s="31">
        <f>VLOOKUP(A65,'Budget to Actual'!$B:$B,1,FALSE)</f>
        <v>5575.3</v>
      </c>
    </row>
    <row r="66" spans="1:30" ht="12.75" x14ac:dyDescent="0.2">
      <c r="A66" s="39">
        <v>5720</v>
      </c>
      <c r="B66" s="40" t="s">
        <v>56</v>
      </c>
      <c r="C66" s="58"/>
      <c r="D66" s="58">
        <v>500</v>
      </c>
      <c r="E66" s="58">
        <v>200</v>
      </c>
      <c r="F66" s="58">
        <f>100.41+229.03</f>
        <v>329.44</v>
      </c>
      <c r="G66" s="58">
        <v>420</v>
      </c>
      <c r="H66" s="58">
        <f>371.91+102.09</f>
        <v>474</v>
      </c>
      <c r="I66" s="53">
        <f>949.43+451.76</f>
        <v>1401.19</v>
      </c>
      <c r="J66" s="46"/>
      <c r="K66" s="31">
        <f>VLOOKUP(A66,'Budget to Actual'!$B:$B,1,FALSE)</f>
        <v>5720</v>
      </c>
    </row>
    <row r="67" spans="1:30" ht="12.75" x14ac:dyDescent="0.2">
      <c r="A67" s="39">
        <v>5475</v>
      </c>
      <c r="B67" s="40" t="s">
        <v>58</v>
      </c>
      <c r="C67" s="58"/>
      <c r="D67" s="58">
        <v>200</v>
      </c>
      <c r="E67" s="58">
        <v>100</v>
      </c>
      <c r="F67" s="58">
        <v>28.73</v>
      </c>
      <c r="G67" s="58">
        <v>300</v>
      </c>
      <c r="H67" s="58">
        <v>156.66</v>
      </c>
      <c r="I67" s="58">
        <v>95.06</v>
      </c>
      <c r="J67" s="46"/>
      <c r="K67" s="31">
        <f>VLOOKUP(A67,'Budget to Actual'!$B:$B,1,FALSE)</f>
        <v>5475</v>
      </c>
    </row>
    <row r="68" spans="1:30" ht="12.75" x14ac:dyDescent="0.2">
      <c r="A68" s="39">
        <v>5213</v>
      </c>
      <c r="B68" s="40" t="s">
        <v>54</v>
      </c>
      <c r="C68" s="58"/>
      <c r="D68" s="58">
        <v>900</v>
      </c>
      <c r="E68" s="58">
        <f>G68</f>
        <v>900</v>
      </c>
      <c r="F68" s="58">
        <v>693</v>
      </c>
      <c r="G68" s="58">
        <v>900</v>
      </c>
      <c r="H68" s="58">
        <v>200.78</v>
      </c>
      <c r="I68" s="58">
        <v>0</v>
      </c>
      <c r="J68" s="46"/>
      <c r="K68" s="31">
        <f>VLOOKUP(A68,'Budget to Actual'!$B:$B,1,FALSE)</f>
        <v>5213</v>
      </c>
    </row>
    <row r="69" spans="1:30" ht="12.75" x14ac:dyDescent="0.2">
      <c r="A69" s="39">
        <v>5217</v>
      </c>
      <c r="B69" s="40" t="s">
        <v>51</v>
      </c>
      <c r="C69" s="58"/>
      <c r="D69" s="58">
        <v>2000</v>
      </c>
      <c r="E69" s="58">
        <f>(F69/10*12)</f>
        <v>2351.9759999999997</v>
      </c>
      <c r="F69" s="58">
        <v>1959.98</v>
      </c>
      <c r="G69" s="58">
        <v>2100</v>
      </c>
      <c r="H69" s="58">
        <v>1812.36</v>
      </c>
      <c r="I69" s="58">
        <v>2062.4899999999998</v>
      </c>
      <c r="J69" s="46" t="s">
        <v>122</v>
      </c>
      <c r="K69" s="31">
        <f>VLOOKUP(A69,'Budget to Actual'!$B:$B,1,FALSE)</f>
        <v>5217</v>
      </c>
    </row>
    <row r="70" spans="1:30" ht="12.75" x14ac:dyDescent="0.2">
      <c r="A70" s="39">
        <v>5218</v>
      </c>
      <c r="B70" s="40" t="s">
        <v>55</v>
      </c>
      <c r="C70" s="58"/>
      <c r="D70" s="58">
        <v>580</v>
      </c>
      <c r="E70" s="58">
        <v>520</v>
      </c>
      <c r="F70" s="58">
        <v>550.41</v>
      </c>
      <c r="G70" s="58">
        <v>480</v>
      </c>
      <c r="H70" s="58">
        <v>483.81</v>
      </c>
      <c r="I70" s="58">
        <v>494.5</v>
      </c>
      <c r="J70" s="46"/>
      <c r="K70" s="31">
        <f>VLOOKUP(A70,'Budget to Actual'!$B:$B,1,FALSE)</f>
        <v>5218</v>
      </c>
    </row>
    <row r="71" spans="1:30" ht="12.75" x14ac:dyDescent="0.2">
      <c r="A71" s="39">
        <v>5220</v>
      </c>
      <c r="B71" s="40" t="s">
        <v>123</v>
      </c>
      <c r="C71" s="40"/>
      <c r="D71" s="40">
        <v>0</v>
      </c>
      <c r="E71" s="64">
        <f>F71</f>
        <v>224.5</v>
      </c>
      <c r="F71" s="64">
        <v>224.5</v>
      </c>
      <c r="G71" s="40">
        <v>0</v>
      </c>
      <c r="H71" s="40">
        <v>443</v>
      </c>
      <c r="I71" s="58">
        <v>0</v>
      </c>
      <c r="J71" s="46"/>
      <c r="K71" s="31">
        <f>VLOOKUP(A71,'Budget to Actual'!$B:$B,1,FALSE)</f>
        <v>5220</v>
      </c>
    </row>
    <row r="72" spans="1:30" ht="12.75" x14ac:dyDescent="0.2">
      <c r="A72" s="39">
        <v>5210.9009999999998</v>
      </c>
      <c r="B72" s="40" t="s">
        <v>50</v>
      </c>
      <c r="C72" s="58"/>
      <c r="D72" s="58">
        <v>2800</v>
      </c>
      <c r="E72" s="58">
        <f>(F72/10*12)</f>
        <v>2160</v>
      </c>
      <c r="F72" s="58">
        <v>1800</v>
      </c>
      <c r="G72" s="58">
        <v>3600</v>
      </c>
      <c r="H72" s="58">
        <v>1250</v>
      </c>
      <c r="I72" s="58">
        <v>880</v>
      </c>
      <c r="J72" s="46" t="s">
        <v>119</v>
      </c>
      <c r="K72" s="31">
        <f>VLOOKUP(A72,'Budget to Actual'!$B:$B,1,FALSE)</f>
        <v>5210.9009999999998</v>
      </c>
    </row>
    <row r="73" spans="1:30" ht="12.75" x14ac:dyDescent="0.2">
      <c r="A73" s="39">
        <v>5125</v>
      </c>
      <c r="B73" s="40" t="s">
        <v>128</v>
      </c>
      <c r="C73" s="58"/>
      <c r="D73" s="58">
        <v>0</v>
      </c>
      <c r="E73" s="40">
        <v>0</v>
      </c>
      <c r="F73" s="40">
        <v>0</v>
      </c>
      <c r="G73" s="40">
        <v>0</v>
      </c>
      <c r="H73" s="40">
        <v>0</v>
      </c>
      <c r="I73" s="58">
        <v>540</v>
      </c>
      <c r="J73" s="46"/>
      <c r="K73" s="31">
        <f>VLOOKUP(A73,'Budget to Actual'!$B:$B,1,FALSE)</f>
        <v>5125</v>
      </c>
    </row>
    <row r="74" spans="1:30" ht="12.75" x14ac:dyDescent="0.2">
      <c r="A74" s="39">
        <v>5525</v>
      </c>
      <c r="B74" s="40" t="s">
        <v>129</v>
      </c>
      <c r="C74" s="58"/>
      <c r="D74" s="58">
        <v>0</v>
      </c>
      <c r="E74" s="40">
        <v>0</v>
      </c>
      <c r="F74" s="40">
        <v>0</v>
      </c>
      <c r="G74" s="40">
        <v>0</v>
      </c>
      <c r="H74" s="40">
        <v>0</v>
      </c>
      <c r="I74" s="58">
        <v>121.5</v>
      </c>
      <c r="J74" s="46"/>
      <c r="K74" s="31">
        <f>VLOOKUP(A74,'Budget to Actual'!$B:$B,1,FALSE)</f>
        <v>5525</v>
      </c>
    </row>
    <row r="75" spans="1:30" ht="12.75" x14ac:dyDescent="0.2">
      <c r="I75" s="53"/>
      <c r="J75" s="46"/>
    </row>
    <row r="76" spans="1:30" ht="15" x14ac:dyDescent="0.25">
      <c r="A76" s="48" t="s">
        <v>31</v>
      </c>
      <c r="B76" s="43"/>
      <c r="C76" s="54">
        <f>(D76-G76)/G76</f>
        <v>-0.45472736368184091</v>
      </c>
      <c r="D76" s="55">
        <f t="shared" ref="D76:I76" si="12">SUM(D77:D89)</f>
        <v>27250</v>
      </c>
      <c r="E76" s="55">
        <f t="shared" si="12"/>
        <v>38619.583333333336</v>
      </c>
      <c r="F76" s="55">
        <f t="shared" si="12"/>
        <v>37889.69</v>
      </c>
      <c r="G76" s="55">
        <f t="shared" si="12"/>
        <v>49975</v>
      </c>
      <c r="H76" s="55">
        <f t="shared" si="12"/>
        <v>48179.840000000011</v>
      </c>
      <c r="I76" s="55">
        <f t="shared" si="12"/>
        <v>45751.49</v>
      </c>
      <c r="J76" s="56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spans="1:30" ht="12.75" x14ac:dyDescent="0.2">
      <c r="A77" s="39">
        <v>5210.1009999999997</v>
      </c>
      <c r="B77" s="40" t="s">
        <v>32</v>
      </c>
      <c r="C77" s="58"/>
      <c r="D77" s="59">
        <f>15000/6*5</f>
        <v>12500</v>
      </c>
      <c r="E77" s="58">
        <f>G77/12*7</f>
        <v>20073.083333333336</v>
      </c>
      <c r="F77" s="58">
        <v>20072.990000000002</v>
      </c>
      <c r="G77" s="58">
        <v>34411</v>
      </c>
      <c r="H77" s="58">
        <v>34354.61</v>
      </c>
      <c r="I77" s="58">
        <v>33736.080000000002</v>
      </c>
      <c r="J77" s="65" t="s">
        <v>130</v>
      </c>
      <c r="K77" s="31">
        <f>VLOOKUP(A77,'Budget to Actual'!$B:$B,1,FALSE)</f>
        <v>5210.1009999999997</v>
      </c>
    </row>
    <row r="78" spans="1:30" ht="12.75" x14ac:dyDescent="0.2">
      <c r="A78" s="39">
        <v>5800</v>
      </c>
      <c r="B78" s="40" t="s">
        <v>35</v>
      </c>
      <c r="C78" s="58"/>
      <c r="D78" s="58">
        <v>3700</v>
      </c>
      <c r="E78" s="58">
        <v>3600</v>
      </c>
      <c r="F78" s="58">
        <v>3573.87</v>
      </c>
      <c r="G78" s="58">
        <v>1200</v>
      </c>
      <c r="H78" s="58">
        <v>348.6</v>
      </c>
      <c r="I78" s="58">
        <v>1166.44</v>
      </c>
      <c r="J78" s="46" t="s">
        <v>36</v>
      </c>
      <c r="K78" s="31">
        <f>VLOOKUP(A78,'Budget to Actual'!$B:$B,1,FALSE)</f>
        <v>5800</v>
      </c>
    </row>
    <row r="79" spans="1:30" ht="12.75" x14ac:dyDescent="0.2">
      <c r="A79" s="39">
        <v>5211.1009999999997</v>
      </c>
      <c r="B79" s="40" t="s">
        <v>37</v>
      </c>
      <c r="C79" s="58"/>
      <c r="D79" s="58">
        <f>3000/6*5</f>
        <v>2500</v>
      </c>
      <c r="E79" s="58">
        <f t="shared" ref="E79:E81" si="13">F79</f>
        <v>4554.3599999999997</v>
      </c>
      <c r="F79" s="58">
        <v>4554.3599999999997</v>
      </c>
      <c r="G79" s="58">
        <v>6072</v>
      </c>
      <c r="H79" s="58">
        <v>7522.48</v>
      </c>
      <c r="I79" s="58">
        <v>4554.3599999999997</v>
      </c>
      <c r="J79" s="46" t="s">
        <v>120</v>
      </c>
      <c r="K79" s="31">
        <f>VLOOKUP(A79,'Budget to Actual'!$B:$B,1,FALSE)</f>
        <v>5211.1009999999997</v>
      </c>
    </row>
    <row r="80" spans="1:30" ht="12.75" x14ac:dyDescent="0.2">
      <c r="A80" s="39">
        <v>5212</v>
      </c>
      <c r="B80" s="40" t="s">
        <v>121</v>
      </c>
      <c r="C80" s="58"/>
      <c r="D80" s="58">
        <v>0</v>
      </c>
      <c r="E80" s="58">
        <f t="shared" si="13"/>
        <v>-375.7</v>
      </c>
      <c r="F80" s="58">
        <v>-375.7</v>
      </c>
      <c r="G80" s="58">
        <v>0</v>
      </c>
      <c r="H80" s="58">
        <v>-535.20000000000005</v>
      </c>
      <c r="I80" s="58">
        <v>-6</v>
      </c>
      <c r="J80" s="46"/>
      <c r="K80" s="31">
        <f>VLOOKUP(A80,'Budget to Actual'!$B:$B,1,FALSE)</f>
        <v>5212</v>
      </c>
    </row>
    <row r="81" spans="1:30" ht="12.75" x14ac:dyDescent="0.2">
      <c r="A81" s="39">
        <v>5035</v>
      </c>
      <c r="B81" s="40" t="s">
        <v>38</v>
      </c>
      <c r="C81" s="58"/>
      <c r="D81" s="58">
        <v>750</v>
      </c>
      <c r="E81" s="58">
        <f t="shared" si="13"/>
        <v>999.47</v>
      </c>
      <c r="F81" s="58">
        <v>999.47</v>
      </c>
      <c r="G81" s="58">
        <v>750</v>
      </c>
      <c r="H81" s="58">
        <v>753</v>
      </c>
      <c r="I81" s="58">
        <v>769.56</v>
      </c>
      <c r="J81" s="46"/>
      <c r="K81" s="31">
        <f>VLOOKUP(A81,'Budget to Actual'!$B:$B,1,FALSE)</f>
        <v>5035</v>
      </c>
    </row>
    <row r="82" spans="1:30" ht="12.75" x14ac:dyDescent="0.2">
      <c r="A82" s="39">
        <v>5035.1000000000004</v>
      </c>
      <c r="B82" s="40" t="s">
        <v>39</v>
      </c>
      <c r="C82" s="58"/>
      <c r="D82" s="58">
        <v>750</v>
      </c>
      <c r="E82" s="58">
        <f>750-(E81-750)</f>
        <v>500.53</v>
      </c>
      <c r="F82" s="58">
        <v>0</v>
      </c>
      <c r="G82" s="58">
        <v>750</v>
      </c>
      <c r="H82" s="58">
        <v>0</v>
      </c>
      <c r="I82" s="58">
        <v>0</v>
      </c>
      <c r="J82" s="46"/>
      <c r="K82" s="31">
        <f>VLOOKUP(A82,'Budget to Actual'!$B:$B,1,FALSE)</f>
        <v>5035.1000000000004</v>
      </c>
    </row>
    <row r="83" spans="1:30" ht="12.75" x14ac:dyDescent="0.2">
      <c r="A83" s="39">
        <v>5100</v>
      </c>
      <c r="B83" s="40" t="s">
        <v>40</v>
      </c>
      <c r="C83" s="58"/>
      <c r="D83" s="58">
        <v>600</v>
      </c>
      <c r="E83" s="58">
        <v>0</v>
      </c>
      <c r="F83" s="58">
        <v>0</v>
      </c>
      <c r="G83" s="58">
        <v>600</v>
      </c>
      <c r="H83" s="58">
        <v>0</v>
      </c>
      <c r="I83" s="58">
        <v>0</v>
      </c>
      <c r="J83" s="46"/>
      <c r="K83" s="31">
        <f>VLOOKUP(A83,'Budget to Actual'!$B:$B,1,FALSE)</f>
        <v>5100</v>
      </c>
    </row>
    <row r="84" spans="1:30" ht="12.75" x14ac:dyDescent="0.2">
      <c r="A84" s="39">
        <v>5216</v>
      </c>
      <c r="B84" s="40" t="s">
        <v>41</v>
      </c>
      <c r="C84" s="58"/>
      <c r="D84" s="58">
        <v>600</v>
      </c>
      <c r="E84" s="58">
        <v>0</v>
      </c>
      <c r="F84" s="58">
        <v>0</v>
      </c>
      <c r="G84" s="58">
        <v>600</v>
      </c>
      <c r="H84" s="58">
        <v>0</v>
      </c>
      <c r="I84" s="58">
        <v>0</v>
      </c>
      <c r="J84" s="46"/>
      <c r="K84" s="31">
        <f>VLOOKUP(A84,'Budget to Actual'!$B:$B,1,FALSE)</f>
        <v>5216</v>
      </c>
    </row>
    <row r="85" spans="1:30" ht="12.75" x14ac:dyDescent="0.2">
      <c r="A85" s="39">
        <v>5400</v>
      </c>
      <c r="B85" s="40" t="s">
        <v>43</v>
      </c>
      <c r="C85" s="58"/>
      <c r="D85" s="58">
        <v>400</v>
      </c>
      <c r="E85" s="58">
        <f>F85</f>
        <v>786.84</v>
      </c>
      <c r="F85" s="58">
        <v>786.84</v>
      </c>
      <c r="G85" s="58">
        <v>600</v>
      </c>
      <c r="H85" s="58">
        <v>94.4</v>
      </c>
      <c r="I85" s="58">
        <v>407.09</v>
      </c>
      <c r="J85" s="46"/>
      <c r="K85" s="31">
        <f>VLOOKUP(A85,'Budget to Actual'!$B:$B,1,FALSE)</f>
        <v>5400</v>
      </c>
    </row>
    <row r="86" spans="1:30" ht="12.75" x14ac:dyDescent="0.2">
      <c r="A86" s="39">
        <v>5400.1</v>
      </c>
      <c r="B86" s="40" t="s">
        <v>45</v>
      </c>
      <c r="C86" s="58"/>
      <c r="D86" s="58">
        <v>50</v>
      </c>
      <c r="E86" s="58">
        <v>50</v>
      </c>
      <c r="F86" s="58">
        <v>0</v>
      </c>
      <c r="G86" s="58">
        <v>48</v>
      </c>
      <c r="H86" s="58">
        <v>0</v>
      </c>
      <c r="I86" s="58">
        <v>50</v>
      </c>
      <c r="J86" s="46"/>
      <c r="K86" s="31">
        <f>VLOOKUP(A86,'Budget to Actual'!$B:$B,1,FALSE)</f>
        <v>5400.1</v>
      </c>
    </row>
    <row r="87" spans="1:30" ht="12.75" x14ac:dyDescent="0.2">
      <c r="A87" s="39">
        <v>5730.7</v>
      </c>
      <c r="B87" s="40" t="s">
        <v>44</v>
      </c>
      <c r="C87" s="58"/>
      <c r="D87" s="58">
        <v>300</v>
      </c>
      <c r="E87" s="58">
        <v>3400</v>
      </c>
      <c r="F87" s="59">
        <v>3248.3</v>
      </c>
      <c r="G87" s="58">
        <v>180</v>
      </c>
      <c r="H87" s="58">
        <v>140.51</v>
      </c>
      <c r="I87" s="58">
        <v>0</v>
      </c>
      <c r="J87" s="46" t="s">
        <v>131</v>
      </c>
      <c r="K87" s="31">
        <f>VLOOKUP(A87,'Budget to Actual'!$B:$B,1,FALSE)</f>
        <v>5730.7</v>
      </c>
    </row>
    <row r="88" spans="1:30" ht="12.75" x14ac:dyDescent="0.2">
      <c r="A88" s="39">
        <v>5025</v>
      </c>
      <c r="B88" s="40" t="s">
        <v>34</v>
      </c>
      <c r="C88" s="58"/>
      <c r="D88" s="58">
        <v>4500</v>
      </c>
      <c r="E88" s="58">
        <f>G88</f>
        <v>4464</v>
      </c>
      <c r="F88" s="58">
        <v>4462.5600000000004</v>
      </c>
      <c r="G88" s="58">
        <v>4464</v>
      </c>
      <c r="H88" s="58">
        <v>5251.44</v>
      </c>
      <c r="I88" s="58">
        <v>4773.96</v>
      </c>
      <c r="J88" s="46"/>
      <c r="K88" s="31">
        <f>VLOOKUP(A88,'Budget to Actual'!$B:$B,1,FALSE)</f>
        <v>5025</v>
      </c>
    </row>
    <row r="89" spans="1:30" ht="12.75" x14ac:dyDescent="0.2">
      <c r="A89" s="39">
        <v>5075.1000000000004</v>
      </c>
      <c r="B89" s="40" t="s">
        <v>42</v>
      </c>
      <c r="C89" s="58"/>
      <c r="D89" s="58">
        <v>600</v>
      </c>
      <c r="E89" s="58">
        <f>F89</f>
        <v>567</v>
      </c>
      <c r="F89" s="58">
        <v>567</v>
      </c>
      <c r="G89" s="58">
        <v>300</v>
      </c>
      <c r="H89" s="58">
        <v>250</v>
      </c>
      <c r="I89" s="58">
        <v>300</v>
      </c>
      <c r="J89" s="46"/>
      <c r="K89" s="31">
        <f>VLOOKUP(A89,'Budget to Actual'!$B:$B,1,FALSE)</f>
        <v>5075.1000000000004</v>
      </c>
    </row>
    <row r="90" spans="1:30" ht="12.75" x14ac:dyDescent="0.2">
      <c r="I90" s="53"/>
      <c r="J90" s="46"/>
    </row>
    <row r="91" spans="1:30" ht="15" x14ac:dyDescent="0.25">
      <c r="A91" s="48" t="s">
        <v>84</v>
      </c>
      <c r="B91" s="43"/>
      <c r="C91" s="54">
        <f>(D91-G91)/G91</f>
        <v>-0.32166666666666666</v>
      </c>
      <c r="D91" s="55">
        <f t="shared" ref="D91:I91" si="14">SUM(D92:D98)</f>
        <v>1628</v>
      </c>
      <c r="E91" s="55">
        <f t="shared" si="14"/>
        <v>1296.17</v>
      </c>
      <c r="F91" s="55">
        <f t="shared" si="14"/>
        <v>717.91</v>
      </c>
      <c r="G91" s="55">
        <f t="shared" si="14"/>
        <v>2400</v>
      </c>
      <c r="H91" s="55">
        <f t="shared" si="14"/>
        <v>1209.33</v>
      </c>
      <c r="I91" s="55">
        <f t="shared" si="14"/>
        <v>1169.94</v>
      </c>
      <c r="J91" s="5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ht="12.75" x14ac:dyDescent="0.2">
      <c r="A92" s="39">
        <v>5740</v>
      </c>
      <c r="B92" s="40" t="s">
        <v>86</v>
      </c>
      <c r="C92" s="58"/>
      <c r="D92" s="58">
        <v>428</v>
      </c>
      <c r="E92" s="58">
        <v>300</v>
      </c>
      <c r="F92" s="58">
        <v>0</v>
      </c>
      <c r="G92" s="58">
        <v>360</v>
      </c>
      <c r="H92" s="58">
        <v>317.24</v>
      </c>
      <c r="I92" s="58">
        <v>503.97</v>
      </c>
      <c r="J92" s="46"/>
      <c r="K92" s="31">
        <f>VLOOKUP(A92,'Budget to Actual'!$B:$B,1,FALSE)</f>
        <v>5740</v>
      </c>
    </row>
    <row r="93" spans="1:30" ht="12.75" x14ac:dyDescent="0.2">
      <c r="A93" s="39">
        <v>5740.4</v>
      </c>
      <c r="B93" s="40" t="s">
        <v>132</v>
      </c>
      <c r="C93" s="58"/>
      <c r="D93" s="58">
        <v>300</v>
      </c>
      <c r="E93" s="58">
        <v>200</v>
      </c>
      <c r="F93" s="58">
        <v>200</v>
      </c>
      <c r="G93" s="58">
        <v>300</v>
      </c>
      <c r="H93" s="58">
        <v>0</v>
      </c>
      <c r="I93" s="58">
        <v>302.25</v>
      </c>
      <c r="J93" s="46"/>
      <c r="K93" s="31">
        <f>VLOOKUP(A93,'Budget to Actual'!$B:$B,1,FALSE)</f>
        <v>5740.4</v>
      </c>
    </row>
    <row r="94" spans="1:30" ht="12.75" x14ac:dyDescent="0.2">
      <c r="A94" s="39">
        <v>5740.32</v>
      </c>
      <c r="B94" s="40" t="s">
        <v>87</v>
      </c>
      <c r="C94" s="58"/>
      <c r="D94" s="58">
        <v>400</v>
      </c>
      <c r="E94" s="58">
        <f>F94</f>
        <v>296.16999999999996</v>
      </c>
      <c r="F94" s="58">
        <f>224.7+71.47</f>
        <v>296.16999999999996</v>
      </c>
      <c r="G94" s="58">
        <v>540</v>
      </c>
      <c r="H94" s="58">
        <f>227.26+130</f>
        <v>357.26</v>
      </c>
      <c r="I94" s="53">
        <f>82.41+138</f>
        <v>220.41</v>
      </c>
      <c r="J94" s="46"/>
      <c r="K94" s="31">
        <f>VLOOKUP(A94,'Budget to Actual'!$B:$B,1,FALSE)</f>
        <v>5740.32</v>
      </c>
    </row>
    <row r="95" spans="1:30" ht="12.75" x14ac:dyDescent="0.2">
      <c r="A95" s="39">
        <v>5740.33</v>
      </c>
      <c r="B95" s="40" t="s">
        <v>88</v>
      </c>
      <c r="C95" s="58"/>
      <c r="D95" s="58">
        <v>500</v>
      </c>
      <c r="E95" s="58">
        <v>500</v>
      </c>
      <c r="F95" s="58">
        <v>221.74</v>
      </c>
      <c r="G95" s="58">
        <v>600</v>
      </c>
      <c r="H95" s="58">
        <v>534.83000000000004</v>
      </c>
      <c r="I95" s="53">
        <f>143.31</f>
        <v>143.31</v>
      </c>
      <c r="J95" s="46"/>
      <c r="K95" s="31">
        <f>VLOOKUP(A95,'Budget to Actual'!$B:$B,1,FALSE)</f>
        <v>5740.33</v>
      </c>
    </row>
    <row r="96" spans="1:30" ht="12.75" x14ac:dyDescent="0.2">
      <c r="A96" s="39">
        <v>5740.1</v>
      </c>
      <c r="B96" s="40" t="s">
        <v>133</v>
      </c>
      <c r="C96" s="58"/>
      <c r="D96" s="58">
        <v>0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46"/>
      <c r="K96" s="31">
        <f>VLOOKUP(A96,'Budget to Actual'!$B:$B,1,FALSE)</f>
        <v>5740.1</v>
      </c>
    </row>
    <row r="97" spans="1:30" ht="12.75" x14ac:dyDescent="0.2">
      <c r="A97" s="39">
        <v>5740.3</v>
      </c>
      <c r="B97" s="40" t="s">
        <v>134</v>
      </c>
      <c r="C97" s="58"/>
      <c r="D97" s="58">
        <v>0</v>
      </c>
      <c r="E97" s="58">
        <v>0</v>
      </c>
      <c r="F97" s="58">
        <v>0</v>
      </c>
      <c r="G97" s="58">
        <v>180</v>
      </c>
      <c r="H97" s="58">
        <v>0</v>
      </c>
      <c r="I97" s="58">
        <v>0</v>
      </c>
      <c r="J97" s="46"/>
      <c r="K97" s="31">
        <f>VLOOKUP(A97,'Budget to Actual'!$B:$B,1,FALSE)</f>
        <v>5740.3</v>
      </c>
    </row>
    <row r="98" spans="1:30" ht="12.75" x14ac:dyDescent="0.2">
      <c r="A98" s="39">
        <v>5740.6</v>
      </c>
      <c r="B98" s="40" t="s">
        <v>135</v>
      </c>
      <c r="C98" s="58"/>
      <c r="D98" s="58">
        <v>0</v>
      </c>
      <c r="E98" s="58">
        <v>0</v>
      </c>
      <c r="F98" s="58">
        <v>0</v>
      </c>
      <c r="G98" s="58">
        <v>420</v>
      </c>
      <c r="H98" s="58">
        <v>0</v>
      </c>
      <c r="I98" s="58">
        <v>0</v>
      </c>
      <c r="J98" s="46"/>
      <c r="K98" s="31">
        <f>VLOOKUP(A98,'Budget to Actual'!$B:$B,1,FALSE)</f>
        <v>5740.6</v>
      </c>
    </row>
    <row r="99" spans="1:30" ht="12.75" x14ac:dyDescent="0.2">
      <c r="I99" s="53"/>
      <c r="J99" s="46"/>
    </row>
    <row r="100" spans="1:30" ht="15" x14ac:dyDescent="0.25">
      <c r="A100" s="48" t="s">
        <v>78</v>
      </c>
      <c r="B100" s="43"/>
      <c r="C100" s="54">
        <f>(D100-G100)/G100</f>
        <v>-0.30555555555555558</v>
      </c>
      <c r="D100" s="55">
        <f t="shared" ref="D100:I100" si="15">SUM(D101:D106)</f>
        <v>10500</v>
      </c>
      <c r="E100" s="55">
        <f t="shared" si="15"/>
        <v>9524.4</v>
      </c>
      <c r="F100" s="55">
        <f t="shared" si="15"/>
        <v>8796.5</v>
      </c>
      <c r="G100" s="55">
        <f t="shared" si="15"/>
        <v>15120</v>
      </c>
      <c r="H100" s="55">
        <f t="shared" si="15"/>
        <v>10182.329999999998</v>
      </c>
      <c r="I100" s="55">
        <f t="shared" si="15"/>
        <v>11784.23</v>
      </c>
      <c r="J100" s="56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ht="12.75" x14ac:dyDescent="0.2">
      <c r="A101" s="39">
        <v>5210.3010000000004</v>
      </c>
      <c r="B101" s="40" t="s">
        <v>80</v>
      </c>
      <c r="C101" s="58"/>
      <c r="D101" s="58">
        <v>5300</v>
      </c>
      <c r="E101" s="58">
        <v>5400</v>
      </c>
      <c r="F101" s="58">
        <v>5229</v>
      </c>
      <c r="G101" s="58">
        <v>6600</v>
      </c>
      <c r="H101" s="58">
        <v>5005</v>
      </c>
      <c r="I101" s="58">
        <f>4387+225</f>
        <v>4612</v>
      </c>
      <c r="J101" s="46" t="s">
        <v>112</v>
      </c>
      <c r="K101" s="31">
        <f>VLOOKUP(A101,'Budget to Actual'!$B:$B,1,FALSE)</f>
        <v>5210.3010000000004</v>
      </c>
    </row>
    <row r="102" spans="1:30" ht="12.75" x14ac:dyDescent="0.2">
      <c r="A102" s="39">
        <v>5740.5</v>
      </c>
      <c r="B102" s="40" t="s">
        <v>81</v>
      </c>
      <c r="C102" s="58"/>
      <c r="D102" s="58">
        <v>3000</v>
      </c>
      <c r="E102" s="58">
        <v>2000</v>
      </c>
      <c r="F102" s="58">
        <v>1670</v>
      </c>
      <c r="G102" s="58">
        <v>2400</v>
      </c>
      <c r="H102" s="58">
        <v>1735</v>
      </c>
      <c r="I102" s="58">
        <v>590</v>
      </c>
      <c r="J102" s="46"/>
      <c r="K102" s="31">
        <f>VLOOKUP(A102,'Budget to Actual'!$B:$B,1,FALSE)</f>
        <v>5740.5</v>
      </c>
    </row>
    <row r="103" spans="1:30" ht="12.75" x14ac:dyDescent="0.2">
      <c r="A103" s="39">
        <v>5810.1</v>
      </c>
      <c r="B103" s="40" t="s">
        <v>82</v>
      </c>
      <c r="C103" s="58"/>
      <c r="D103" s="58">
        <v>1200</v>
      </c>
      <c r="E103" s="58">
        <v>1400</v>
      </c>
      <c r="F103" s="58">
        <f>233+1040</f>
        <v>1273</v>
      </c>
      <c r="G103" s="58">
        <v>2400</v>
      </c>
      <c r="H103" s="58">
        <f>235.21+990</f>
        <v>1225.21</v>
      </c>
      <c r="I103" s="53">
        <f>103.5+2020</f>
        <v>2123.5</v>
      </c>
      <c r="J103" s="46"/>
      <c r="K103" s="31">
        <f>VLOOKUP(A103,'Budget to Actual'!$B:$B,1,FALSE)</f>
        <v>5810.1</v>
      </c>
    </row>
    <row r="104" spans="1:30" ht="12.75" x14ac:dyDescent="0.2">
      <c r="A104" s="39">
        <v>5575.5</v>
      </c>
      <c r="B104" s="40" t="s">
        <v>83</v>
      </c>
      <c r="C104" s="58"/>
      <c r="D104" s="58">
        <v>1000</v>
      </c>
      <c r="E104" s="58">
        <f>(F104/10*12)</f>
        <v>599.40000000000009</v>
      </c>
      <c r="F104" s="58">
        <v>499.5</v>
      </c>
      <c r="G104" s="58">
        <v>720</v>
      </c>
      <c r="H104" s="58">
        <v>875</v>
      </c>
      <c r="I104" s="58">
        <v>1302</v>
      </c>
      <c r="J104" s="46"/>
      <c r="K104" s="31">
        <f>VLOOKUP(A104,'Budget to Actual'!$B:$B,1,FALSE)</f>
        <v>5575.5</v>
      </c>
    </row>
    <row r="105" spans="1:30" ht="12.75" x14ac:dyDescent="0.2">
      <c r="A105" s="39">
        <v>5740.2</v>
      </c>
      <c r="B105" s="40" t="s">
        <v>137</v>
      </c>
      <c r="C105" s="58"/>
      <c r="D105" s="58">
        <v>0</v>
      </c>
      <c r="E105" s="58">
        <f>F105</f>
        <v>125</v>
      </c>
      <c r="F105" s="58">
        <v>125</v>
      </c>
      <c r="G105" s="58">
        <v>3000</v>
      </c>
      <c r="H105" s="58">
        <v>1342.12</v>
      </c>
      <c r="I105" s="58">
        <v>1480</v>
      </c>
      <c r="J105" s="46"/>
      <c r="K105" s="31">
        <f>VLOOKUP(A105,'Budget to Actual'!$B:$B,1,FALSE)</f>
        <v>5740.2</v>
      </c>
    </row>
    <row r="106" spans="1:30" ht="12.75" x14ac:dyDescent="0.2">
      <c r="A106" s="40">
        <v>5950.6019999999999</v>
      </c>
      <c r="B106" s="40" t="s">
        <v>138</v>
      </c>
      <c r="C106" s="40"/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58">
        <v>1676.73</v>
      </c>
      <c r="J106" s="46"/>
      <c r="K106" s="31">
        <f>VLOOKUP(A106,'Budget to Actual'!$B:$B,1,FALSE)</f>
        <v>5950.6019999999999</v>
      </c>
    </row>
    <row r="107" spans="1:30" ht="12.75" x14ac:dyDescent="0.2">
      <c r="I107" s="53"/>
      <c r="J107" s="46"/>
    </row>
    <row r="108" spans="1:30" ht="15" x14ac:dyDescent="0.25">
      <c r="A108" s="48" t="s">
        <v>90</v>
      </c>
      <c r="B108" s="43"/>
      <c r="C108" s="54">
        <f>(D108-G108)/G108</f>
        <v>-0.41489361702127658</v>
      </c>
      <c r="D108" s="55">
        <f t="shared" ref="D108:I108" si="16">SUM(D109:D116)</f>
        <v>1650</v>
      </c>
      <c r="E108" s="55">
        <f t="shared" si="16"/>
        <v>338.56</v>
      </c>
      <c r="F108" s="55">
        <f t="shared" si="16"/>
        <v>213.56</v>
      </c>
      <c r="G108" s="55">
        <f t="shared" si="16"/>
        <v>2820</v>
      </c>
      <c r="H108" s="55">
        <f t="shared" si="16"/>
        <v>3029.24</v>
      </c>
      <c r="I108" s="55">
        <f t="shared" si="16"/>
        <v>381.45000000000005</v>
      </c>
      <c r="J108" s="56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ht="12.75" x14ac:dyDescent="0.2">
      <c r="A109" s="39">
        <v>5730.2</v>
      </c>
      <c r="B109" s="40" t="s">
        <v>93</v>
      </c>
      <c r="C109" s="58"/>
      <c r="D109" s="58">
        <v>400</v>
      </c>
      <c r="E109" s="58">
        <f>F109</f>
        <v>64.95</v>
      </c>
      <c r="F109" s="58">
        <v>64.95</v>
      </c>
      <c r="G109" s="58">
        <v>600</v>
      </c>
      <c r="H109" s="58">
        <v>621.4</v>
      </c>
      <c r="I109" s="58">
        <v>141.06</v>
      </c>
      <c r="J109" s="46"/>
      <c r="K109" s="31">
        <f>VLOOKUP(A109,'Budget to Actual'!$B:$B,1,FALSE)</f>
        <v>5730.2</v>
      </c>
    </row>
    <row r="110" spans="1:30" ht="12.75" x14ac:dyDescent="0.2">
      <c r="A110" s="39">
        <v>5730.5</v>
      </c>
      <c r="B110" s="40" t="s">
        <v>94</v>
      </c>
      <c r="C110" s="58"/>
      <c r="D110" s="58">
        <v>200</v>
      </c>
      <c r="E110" s="58">
        <v>0</v>
      </c>
      <c r="F110" s="58">
        <v>0</v>
      </c>
      <c r="G110" s="58">
        <v>240</v>
      </c>
      <c r="H110" s="58">
        <v>0</v>
      </c>
      <c r="I110" s="58">
        <v>0</v>
      </c>
      <c r="J110" s="46"/>
      <c r="K110" s="31">
        <f>VLOOKUP(A110,'Budget to Actual'!$B:$B,1,FALSE)</f>
        <v>5730.5</v>
      </c>
    </row>
    <row r="111" spans="1:30" ht="12.75" x14ac:dyDescent="0.2">
      <c r="A111" s="39">
        <v>5730.1</v>
      </c>
      <c r="B111" s="40" t="s">
        <v>145</v>
      </c>
      <c r="C111" s="58"/>
      <c r="D111" s="58">
        <v>100</v>
      </c>
      <c r="E111" s="58">
        <v>0</v>
      </c>
      <c r="F111" s="58">
        <v>0</v>
      </c>
      <c r="G111" s="58">
        <v>240</v>
      </c>
      <c r="H111" s="58">
        <v>0</v>
      </c>
      <c r="I111" s="58">
        <v>41.46</v>
      </c>
      <c r="J111" s="46"/>
      <c r="K111" s="31">
        <f>VLOOKUP(A111,'Budget to Actual'!$B:$B,1,FALSE)</f>
        <v>5730.1</v>
      </c>
    </row>
    <row r="112" spans="1:30" ht="12.75" x14ac:dyDescent="0.2">
      <c r="A112" s="39">
        <v>5730.4</v>
      </c>
      <c r="B112" s="40" t="s">
        <v>146</v>
      </c>
      <c r="C112" s="58"/>
      <c r="D112" s="58">
        <v>100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46"/>
      <c r="K112" s="31">
        <f>VLOOKUP(A112,'Budget to Actual'!$B:$B,1,FALSE)</f>
        <v>5730.4</v>
      </c>
    </row>
    <row r="113" spans="1:30" ht="12.75" x14ac:dyDescent="0.2">
      <c r="A113" s="39">
        <v>5075</v>
      </c>
      <c r="B113" s="40" t="s">
        <v>139</v>
      </c>
      <c r="C113" s="58"/>
      <c r="D113" s="58">
        <v>600</v>
      </c>
      <c r="E113" s="58">
        <v>0</v>
      </c>
      <c r="F113" s="58">
        <v>75</v>
      </c>
      <c r="G113" s="58">
        <v>1200</v>
      </c>
      <c r="H113" s="58">
        <v>1787.34</v>
      </c>
      <c r="I113" s="58">
        <v>0</v>
      </c>
      <c r="J113" s="46" t="s">
        <v>140</v>
      </c>
      <c r="K113" s="31">
        <f>VLOOKUP(A113,'Budget to Actual'!$B:$B,1,FALSE)</f>
        <v>5075</v>
      </c>
    </row>
    <row r="114" spans="1:30" ht="12.75" x14ac:dyDescent="0.2">
      <c r="A114" s="39">
        <v>5425</v>
      </c>
      <c r="B114" s="40" t="s">
        <v>141</v>
      </c>
      <c r="C114" s="58"/>
      <c r="D114" s="58">
        <v>250</v>
      </c>
      <c r="E114" s="58">
        <f>F114</f>
        <v>73.61</v>
      </c>
      <c r="F114" s="58">
        <v>73.61</v>
      </c>
      <c r="G114" s="58">
        <v>240</v>
      </c>
      <c r="H114" s="58">
        <v>220.5</v>
      </c>
      <c r="I114" s="58">
        <v>198.93</v>
      </c>
      <c r="J114" s="46"/>
      <c r="K114" s="31">
        <f>VLOOKUP(A114,'Budget to Actual'!$B:$B,1,FALSE)</f>
        <v>5425</v>
      </c>
    </row>
    <row r="115" spans="1:30" ht="12.75" x14ac:dyDescent="0.2">
      <c r="A115" s="39">
        <v>5840</v>
      </c>
      <c r="B115" s="40" t="s">
        <v>142</v>
      </c>
      <c r="C115" s="58"/>
      <c r="D115" s="58">
        <v>0</v>
      </c>
      <c r="E115" s="58">
        <v>0</v>
      </c>
      <c r="F115" s="58">
        <v>0</v>
      </c>
      <c r="G115" s="58">
        <v>300</v>
      </c>
      <c r="H115" s="58">
        <v>0</v>
      </c>
      <c r="I115" s="58">
        <v>0</v>
      </c>
      <c r="J115" s="46"/>
      <c r="K115" s="31">
        <f>VLOOKUP(A115,'Budget to Actual'!$B:$B,1,FALSE)</f>
        <v>5840</v>
      </c>
    </row>
    <row r="116" spans="1:30" ht="12.75" x14ac:dyDescent="0.2">
      <c r="A116" s="39">
        <v>5600</v>
      </c>
      <c r="B116" s="40" t="s">
        <v>143</v>
      </c>
      <c r="C116" s="58"/>
      <c r="D116" s="58">
        <v>0</v>
      </c>
      <c r="E116" s="40">
        <v>200</v>
      </c>
      <c r="F116" s="40">
        <v>0</v>
      </c>
      <c r="G116" s="40">
        <v>0</v>
      </c>
      <c r="H116" s="40">
        <v>400</v>
      </c>
      <c r="I116" s="58">
        <v>0</v>
      </c>
      <c r="J116" s="46" t="s">
        <v>144</v>
      </c>
      <c r="K116" s="31">
        <f>VLOOKUP(A116,'Budget to Actual'!$B:$B,1,FALSE)</f>
        <v>5600</v>
      </c>
    </row>
    <row r="117" spans="1:30" ht="12.75" x14ac:dyDescent="0.2">
      <c r="I117" s="53"/>
      <c r="J117" s="46"/>
    </row>
    <row r="118" spans="1:30" ht="15" x14ac:dyDescent="0.25">
      <c r="A118" s="48" t="s">
        <v>97</v>
      </c>
      <c r="B118" s="43"/>
      <c r="C118" s="54">
        <f>(D118-G118)/G118</f>
        <v>2.9411764705882353E-2</v>
      </c>
      <c r="D118" s="55">
        <f t="shared" ref="D118:I118" si="17">SUM(D119:D123)</f>
        <v>1050</v>
      </c>
      <c r="E118" s="55">
        <f t="shared" si="17"/>
        <v>404.44</v>
      </c>
      <c r="F118" s="55">
        <f t="shared" si="17"/>
        <v>448.39</v>
      </c>
      <c r="G118" s="55">
        <f t="shared" si="17"/>
        <v>1020</v>
      </c>
      <c r="H118" s="55">
        <f t="shared" si="17"/>
        <v>827.83</v>
      </c>
      <c r="I118" s="55">
        <f t="shared" si="17"/>
        <v>615.54</v>
      </c>
      <c r="J118" s="56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spans="1:30" ht="12.75" x14ac:dyDescent="0.2">
      <c r="A119" s="39">
        <v>5350.1</v>
      </c>
      <c r="B119" s="40" t="s">
        <v>98</v>
      </c>
      <c r="C119" s="58"/>
      <c r="D119" s="58">
        <v>600</v>
      </c>
      <c r="E119" s="58">
        <v>100</v>
      </c>
      <c r="F119" s="58">
        <v>143.94999999999999</v>
      </c>
      <c r="G119" s="58">
        <v>600</v>
      </c>
      <c r="H119" s="58">
        <v>552.49</v>
      </c>
      <c r="I119" s="58">
        <f>-16+144.08</f>
        <v>128.08000000000001</v>
      </c>
      <c r="J119" s="46"/>
      <c r="K119" s="31">
        <f>VLOOKUP(A119,'Budget to Actual'!$B:$B,1,FALSE)</f>
        <v>5350.1</v>
      </c>
    </row>
    <row r="120" spans="1:30" ht="12.75" x14ac:dyDescent="0.2">
      <c r="A120" s="39">
        <v>5350.2</v>
      </c>
      <c r="B120" s="40" t="s">
        <v>99</v>
      </c>
      <c r="C120" s="58"/>
      <c r="D120" s="58">
        <v>350</v>
      </c>
      <c r="E120" s="58">
        <f>F120</f>
        <v>304.44</v>
      </c>
      <c r="F120" s="58">
        <v>304.44</v>
      </c>
      <c r="G120" s="58">
        <v>300</v>
      </c>
      <c r="H120" s="58">
        <v>224.35</v>
      </c>
      <c r="I120" s="58">
        <v>309.20999999999998</v>
      </c>
      <c r="J120" s="46"/>
      <c r="K120" s="31">
        <f>VLOOKUP(A120,'Budget to Actual'!$B:$B,1,FALSE)</f>
        <v>5350.2</v>
      </c>
    </row>
    <row r="121" spans="1:30" ht="12.75" x14ac:dyDescent="0.2">
      <c r="A121" s="39">
        <v>5350.6</v>
      </c>
      <c r="B121" s="40" t="s">
        <v>100</v>
      </c>
      <c r="C121" s="58"/>
      <c r="D121" s="58">
        <v>100</v>
      </c>
      <c r="E121" s="58">
        <v>0</v>
      </c>
      <c r="F121" s="58">
        <v>0</v>
      </c>
      <c r="G121" s="58">
        <v>0</v>
      </c>
      <c r="H121" s="58">
        <v>1.08</v>
      </c>
      <c r="I121" s="58">
        <v>91</v>
      </c>
      <c r="J121" s="46" t="s">
        <v>147</v>
      </c>
      <c r="K121" s="31">
        <f>VLOOKUP(A121,'Budget to Actual'!$B:$B,1,FALSE)</f>
        <v>5350.6</v>
      </c>
    </row>
    <row r="122" spans="1:30" ht="12.75" x14ac:dyDescent="0.2">
      <c r="A122" s="39">
        <v>5350.4</v>
      </c>
      <c r="B122" s="40" t="s">
        <v>148</v>
      </c>
      <c r="C122" s="58"/>
      <c r="D122" s="58">
        <v>0</v>
      </c>
      <c r="E122" s="58">
        <v>0</v>
      </c>
      <c r="F122" s="58">
        <v>0</v>
      </c>
      <c r="G122" s="58">
        <v>0</v>
      </c>
      <c r="H122" s="58">
        <v>49.91</v>
      </c>
      <c r="I122" s="58">
        <v>87.25</v>
      </c>
      <c r="J122" s="46" t="s">
        <v>149</v>
      </c>
      <c r="K122" s="31">
        <f>VLOOKUP(A122,'Budget to Actual'!$B:$B,1,FALSE)</f>
        <v>5350.4</v>
      </c>
    </row>
    <row r="123" spans="1:30" ht="12.75" x14ac:dyDescent="0.2">
      <c r="A123" s="39">
        <v>5950.2089999999998</v>
      </c>
      <c r="B123" s="40" t="s">
        <v>150</v>
      </c>
      <c r="C123" s="58"/>
      <c r="D123" s="58">
        <v>0</v>
      </c>
      <c r="E123" s="58">
        <v>0</v>
      </c>
      <c r="F123" s="58">
        <v>0</v>
      </c>
      <c r="G123" s="58">
        <v>120</v>
      </c>
      <c r="H123" s="58">
        <v>0</v>
      </c>
      <c r="I123" s="58">
        <v>0</v>
      </c>
      <c r="J123" s="46" t="s">
        <v>151</v>
      </c>
      <c r="K123" s="31">
        <f>VLOOKUP(A123,'Budget to Actual'!$B:$B,1,FALSE)</f>
        <v>5950.2089999999998</v>
      </c>
    </row>
    <row r="124" spans="1:30" ht="12.75" x14ac:dyDescent="0.2">
      <c r="I124" s="53"/>
      <c r="J124" s="46"/>
    </row>
    <row r="125" spans="1:30" ht="15" x14ac:dyDescent="0.25">
      <c r="A125" s="48" t="s">
        <v>101</v>
      </c>
      <c r="B125" s="43"/>
      <c r="C125" s="54">
        <f>(D125-G125)/G125</f>
        <v>-0.21212121212121213</v>
      </c>
      <c r="D125" s="55">
        <f t="shared" ref="D125:I125" si="18">SUM(D126:D127)</f>
        <v>5200</v>
      </c>
      <c r="E125" s="55">
        <f t="shared" si="18"/>
        <v>3500</v>
      </c>
      <c r="F125" s="55">
        <f t="shared" si="18"/>
        <v>3581.5</v>
      </c>
      <c r="G125" s="55">
        <f t="shared" si="18"/>
        <v>6600</v>
      </c>
      <c r="H125" s="55">
        <f t="shared" si="18"/>
        <v>5452.2199999999993</v>
      </c>
      <c r="I125" s="55">
        <f t="shared" si="18"/>
        <v>3889.95</v>
      </c>
      <c r="J125" s="56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</row>
    <row r="126" spans="1:30" ht="12.75" x14ac:dyDescent="0.2">
      <c r="A126" s="39">
        <v>5740.4139999999998</v>
      </c>
      <c r="B126" s="40" t="s">
        <v>19</v>
      </c>
      <c r="C126" s="58"/>
      <c r="D126" s="58">
        <v>2000</v>
      </c>
      <c r="E126" s="58">
        <v>1500</v>
      </c>
      <c r="F126" s="58">
        <v>1701.5</v>
      </c>
      <c r="G126" s="58">
        <v>3000</v>
      </c>
      <c r="H126" s="58">
        <v>3237.5</v>
      </c>
      <c r="I126" s="58">
        <v>1414.6</v>
      </c>
      <c r="J126" s="46"/>
      <c r="K126" s="31">
        <f>VLOOKUP(A126,'Budget to Actual'!$B:$B,1,FALSE)</f>
        <v>5740.4139999999998</v>
      </c>
    </row>
    <row r="127" spans="1:30" ht="12.75" x14ac:dyDescent="0.2">
      <c r="A127" s="39">
        <v>5210.6009999999997</v>
      </c>
      <c r="B127" s="40" t="s">
        <v>102</v>
      </c>
      <c r="C127" s="58"/>
      <c r="D127" s="58">
        <v>3200</v>
      </c>
      <c r="E127" s="58">
        <v>2000</v>
      </c>
      <c r="F127" s="58">
        <v>1880</v>
      </c>
      <c r="G127" s="58">
        <v>3600</v>
      </c>
      <c r="H127" s="58">
        <v>2214.7199999999998</v>
      </c>
      <c r="I127" s="58">
        <v>2475.35</v>
      </c>
      <c r="J127" s="46" t="s">
        <v>116</v>
      </c>
      <c r="K127" s="31">
        <f>VLOOKUP(A127,'Budget to Actual'!$B:$B,1,FALSE)</f>
        <v>5210.6009999999997</v>
      </c>
    </row>
    <row r="128" spans="1:30" ht="12.75" x14ac:dyDescent="0.2">
      <c r="I128" s="53"/>
      <c r="J128" s="46"/>
    </row>
    <row r="129" spans="1:30" ht="15" x14ac:dyDescent="0.25">
      <c r="A129" s="48" t="s">
        <v>103</v>
      </c>
      <c r="B129" s="43"/>
      <c r="C129" s="54">
        <f>(D129-G129)/G129</f>
        <v>-0.22043010752688172</v>
      </c>
      <c r="D129" s="55">
        <f t="shared" ref="D129:I129" si="19">SUM(D130:D133)</f>
        <v>2900</v>
      </c>
      <c r="E129" s="55">
        <f t="shared" si="19"/>
        <v>4330.1739999999991</v>
      </c>
      <c r="F129" s="55">
        <f t="shared" si="19"/>
        <v>2660.87</v>
      </c>
      <c r="G129" s="55">
        <f t="shared" si="19"/>
        <v>3720</v>
      </c>
      <c r="H129" s="55">
        <f t="shared" si="19"/>
        <v>5527.4999999999991</v>
      </c>
      <c r="I129" s="55">
        <f t="shared" si="19"/>
        <v>2300.7200000000003</v>
      </c>
      <c r="J129" s="56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</row>
    <row r="130" spans="1:30" ht="12.75" x14ac:dyDescent="0.2">
      <c r="A130" s="39">
        <v>5950.2020000000002</v>
      </c>
      <c r="B130" s="40" t="s">
        <v>23</v>
      </c>
      <c r="C130" s="58"/>
      <c r="D130" s="58">
        <f t="shared" ref="D130:E130" si="20">D23</f>
        <v>1200</v>
      </c>
      <c r="E130" s="58">
        <f t="shared" si="20"/>
        <v>2355.4439999999995</v>
      </c>
      <c r="F130" s="58">
        <v>686.14</v>
      </c>
      <c r="G130" s="58">
        <v>1800</v>
      </c>
      <c r="H130" s="58">
        <v>4107.03</v>
      </c>
      <c r="I130" s="58">
        <v>327.86</v>
      </c>
      <c r="J130" s="46" t="s">
        <v>79</v>
      </c>
      <c r="K130" s="31">
        <f>VLOOKUP(A130,'Budget to Actual'!$B:$B,1,FALSE)</f>
        <v>5950.2020000000002</v>
      </c>
    </row>
    <row r="131" spans="1:30" ht="12.75" x14ac:dyDescent="0.2">
      <c r="A131" s="39">
        <v>5950.299</v>
      </c>
      <c r="B131" s="40" t="s">
        <v>24</v>
      </c>
      <c r="C131" s="58"/>
      <c r="D131" s="58">
        <f>D24</f>
        <v>1300</v>
      </c>
      <c r="E131" s="58">
        <f t="shared" ref="E131:E133" si="21">F131</f>
        <v>1811.82</v>
      </c>
      <c r="F131" s="58">
        <v>1811.82</v>
      </c>
      <c r="G131" s="58">
        <v>1200</v>
      </c>
      <c r="H131" s="58">
        <v>768.9</v>
      </c>
      <c r="I131" s="58">
        <v>579.48</v>
      </c>
      <c r="J131" s="46" t="s">
        <v>79</v>
      </c>
      <c r="K131" s="31">
        <f>VLOOKUP(A131,'Budget to Actual'!$B:$B,1,FALSE)</f>
        <v>5950.299</v>
      </c>
    </row>
    <row r="132" spans="1:30" ht="12.75" x14ac:dyDescent="0.2">
      <c r="A132" s="39">
        <v>5730.6</v>
      </c>
      <c r="B132" s="40" t="s">
        <v>153</v>
      </c>
      <c r="C132" s="58"/>
      <c r="D132" s="58">
        <v>0</v>
      </c>
      <c r="E132" s="58">
        <f t="shared" si="21"/>
        <v>100</v>
      </c>
      <c r="F132" s="58">
        <v>100</v>
      </c>
      <c r="G132" s="58"/>
      <c r="H132" s="58"/>
      <c r="I132" s="58"/>
      <c r="J132" s="46"/>
      <c r="K132" s="31">
        <f>VLOOKUP(A132,'Budget to Actual'!$B:$B,1,FALSE)</f>
        <v>5730.6</v>
      </c>
    </row>
    <row r="133" spans="1:30" ht="12.75" x14ac:dyDescent="0.2">
      <c r="A133" s="39">
        <v>5954</v>
      </c>
      <c r="B133" s="40" t="s">
        <v>25</v>
      </c>
      <c r="C133" s="58"/>
      <c r="D133" s="58">
        <f>D25</f>
        <v>400</v>
      </c>
      <c r="E133" s="58">
        <f t="shared" si="21"/>
        <v>62.91</v>
      </c>
      <c r="F133" s="58">
        <v>62.91</v>
      </c>
      <c r="G133" s="58">
        <v>720</v>
      </c>
      <c r="H133" s="58">
        <v>651.57000000000005</v>
      </c>
      <c r="I133" s="58">
        <v>1393.38</v>
      </c>
      <c r="J133" s="46" t="s">
        <v>79</v>
      </c>
      <c r="K133" s="31">
        <f>VLOOKUP(A133,'Budget to Actual'!$B:$B,1,FALSE)</f>
        <v>5954</v>
      </c>
    </row>
    <row r="134" spans="1:30" ht="12.75" x14ac:dyDescent="0.2">
      <c r="I134" s="53"/>
      <c r="J134" s="46"/>
    </row>
    <row r="135" spans="1:30" ht="15" x14ac:dyDescent="0.25">
      <c r="A135" s="66" t="s">
        <v>154</v>
      </c>
      <c r="B135" s="48"/>
      <c r="C135" s="54">
        <f>(D135-G135)/G135</f>
        <v>-0.58333333333333337</v>
      </c>
      <c r="D135" s="55">
        <f t="shared" ref="D135:I135" si="22">SUM(D136:D139)</f>
        <v>250</v>
      </c>
      <c r="E135" s="55">
        <f t="shared" si="22"/>
        <v>411.63</v>
      </c>
      <c r="F135" s="55">
        <f t="shared" si="22"/>
        <v>411.63</v>
      </c>
      <c r="G135" s="55">
        <f t="shared" si="22"/>
        <v>600</v>
      </c>
      <c r="H135" s="55">
        <f t="shared" si="22"/>
        <v>172.96</v>
      </c>
      <c r="I135" s="55">
        <f t="shared" si="22"/>
        <v>737.71</v>
      </c>
      <c r="J135" s="56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</row>
    <row r="136" spans="1:30" ht="12.75" x14ac:dyDescent="0.2">
      <c r="A136" s="39">
        <v>5375</v>
      </c>
      <c r="B136" s="40" t="s">
        <v>155</v>
      </c>
      <c r="C136" s="58"/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128</v>
      </c>
      <c r="J136" s="46"/>
      <c r="K136" s="31">
        <f>VLOOKUP(A136,'Budget to Actual'!$B:$B,1,FALSE)</f>
        <v>5375</v>
      </c>
    </row>
    <row r="137" spans="1:30" ht="12.75" x14ac:dyDescent="0.2">
      <c r="A137" s="39">
        <v>5020.1000000000004</v>
      </c>
      <c r="B137" s="40" t="s">
        <v>156</v>
      </c>
      <c r="C137" s="58"/>
      <c r="D137" s="58">
        <v>250</v>
      </c>
      <c r="E137" s="58">
        <f>F137</f>
        <v>411.63</v>
      </c>
      <c r="F137" s="58">
        <v>411.63</v>
      </c>
      <c r="G137" s="58">
        <v>0</v>
      </c>
      <c r="H137" s="58">
        <v>172.96</v>
      </c>
      <c r="I137" s="58">
        <v>300.35000000000002</v>
      </c>
      <c r="J137" s="46"/>
      <c r="K137" s="31">
        <f>VLOOKUP(A137,'Budget to Actual'!$B:$B,1,FALSE)</f>
        <v>5020.1000000000004</v>
      </c>
    </row>
    <row r="138" spans="1:30" ht="12.75" x14ac:dyDescent="0.2">
      <c r="A138" s="39">
        <v>5450</v>
      </c>
      <c r="B138" s="40" t="s">
        <v>154</v>
      </c>
      <c r="C138" s="58"/>
      <c r="D138" s="58">
        <v>0</v>
      </c>
      <c r="E138" s="58">
        <v>0</v>
      </c>
      <c r="F138" s="58">
        <v>0</v>
      </c>
      <c r="G138" s="58">
        <v>600</v>
      </c>
      <c r="H138" s="58">
        <v>0</v>
      </c>
      <c r="I138" s="58">
        <v>309.36</v>
      </c>
      <c r="J138" s="46"/>
      <c r="K138" s="31">
        <f>VLOOKUP(A138,'Budget to Actual'!$B:$B,1,FALSE)</f>
        <v>5450</v>
      </c>
    </row>
    <row r="139" spans="1:30" ht="12.75" x14ac:dyDescent="0.2">
      <c r="A139" s="39">
        <v>5950.51</v>
      </c>
      <c r="B139" s="40" t="s">
        <v>157</v>
      </c>
      <c r="C139" s="40"/>
      <c r="D139" s="40">
        <v>0</v>
      </c>
      <c r="E139" s="40">
        <v>0</v>
      </c>
      <c r="F139" s="58">
        <v>0</v>
      </c>
      <c r="G139" s="40">
        <v>0</v>
      </c>
      <c r="H139" s="40">
        <v>0</v>
      </c>
      <c r="I139" s="58">
        <v>0</v>
      </c>
      <c r="J139" s="46"/>
      <c r="K139" s="31">
        <f>VLOOKUP(A139,'Budget to Actual'!$B:$B,1,FALSE)</f>
        <v>5950.51</v>
      </c>
    </row>
    <row r="140" spans="1:30" ht="12.75" x14ac:dyDescent="0.2">
      <c r="I140" s="53"/>
      <c r="J140" s="46"/>
    </row>
    <row r="141" spans="1:30" x14ac:dyDescent="0.25">
      <c r="A141" s="45" t="s">
        <v>106</v>
      </c>
      <c r="B141" s="30"/>
      <c r="C141" s="60">
        <f>(D141-G141)/G141</f>
        <v>-0.24962787058896835</v>
      </c>
      <c r="D141" s="61">
        <f t="shared" ref="D141:I141" si="23">D38+D45+D59+D76+D91+D100+D108+D118+D125+D129+D135</f>
        <v>108383</v>
      </c>
      <c r="E141" s="61">
        <f t="shared" si="23"/>
        <v>117380.23333333332</v>
      </c>
      <c r="F141" s="62">
        <f t="shared" si="23"/>
        <v>109971.15000000001</v>
      </c>
      <c r="G141" s="61">
        <f t="shared" si="23"/>
        <v>144439</v>
      </c>
      <c r="H141" s="61">
        <f t="shared" si="23"/>
        <v>125163.13000000003</v>
      </c>
      <c r="I141" s="61">
        <f t="shared" si="23"/>
        <v>133364.82999999999</v>
      </c>
      <c r="J141" s="63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</row>
    <row r="142" spans="1:30" ht="12.75" x14ac:dyDescent="0.2">
      <c r="I142" s="53"/>
      <c r="J142" s="46"/>
    </row>
    <row r="143" spans="1:30" ht="27" x14ac:dyDescent="0.3">
      <c r="A143" s="35" t="s">
        <v>107</v>
      </c>
      <c r="B143" s="49"/>
      <c r="C143" s="67"/>
      <c r="D143" s="68">
        <f t="shared" ref="D143:I143" si="24">D35-D141</f>
        <v>-1171</v>
      </c>
      <c r="E143" s="68">
        <f t="shared" si="24"/>
        <v>22655.224666666662</v>
      </c>
      <c r="F143" s="69">
        <f t="shared" si="24"/>
        <v>6967.0499999999884</v>
      </c>
      <c r="G143" s="68">
        <f t="shared" si="24"/>
        <v>-22457</v>
      </c>
      <c r="H143" s="68">
        <f t="shared" si="24"/>
        <v>9067.6899999999732</v>
      </c>
      <c r="I143" s="68">
        <f t="shared" si="24"/>
        <v>1113.8099999999977</v>
      </c>
      <c r="J143" s="46" t="s">
        <v>159</v>
      </c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</row>
    <row r="144" spans="1:30" ht="12.75" x14ac:dyDescent="0.2">
      <c r="I144" s="53"/>
      <c r="J144" s="46"/>
    </row>
    <row r="145" spans="9:10" ht="12.75" x14ac:dyDescent="0.2">
      <c r="I145" s="53"/>
      <c r="J145" s="46"/>
    </row>
    <row r="146" spans="9:10" ht="12.75" x14ac:dyDescent="0.2">
      <c r="I146" s="53"/>
      <c r="J146" s="46"/>
    </row>
    <row r="147" spans="9:10" ht="12.75" x14ac:dyDescent="0.2">
      <c r="I147" s="53"/>
      <c r="J147" s="46"/>
    </row>
    <row r="148" spans="9:10" ht="12.75" x14ac:dyDescent="0.2">
      <c r="I148" s="53"/>
      <c r="J148" s="46"/>
    </row>
    <row r="149" spans="9:10" ht="12.75" x14ac:dyDescent="0.2">
      <c r="I149" s="53"/>
      <c r="J149" s="46"/>
    </row>
    <row r="150" spans="9:10" ht="12.75" x14ac:dyDescent="0.2">
      <c r="I150" s="53"/>
      <c r="J150" s="46"/>
    </row>
    <row r="151" spans="9:10" ht="12.75" x14ac:dyDescent="0.2">
      <c r="I151" s="53"/>
      <c r="J151" s="46"/>
    </row>
    <row r="152" spans="9:10" ht="12.75" x14ac:dyDescent="0.2">
      <c r="I152" s="53"/>
      <c r="J152" s="46"/>
    </row>
    <row r="153" spans="9:10" ht="12.75" x14ac:dyDescent="0.2">
      <c r="I153" s="53"/>
      <c r="J153" s="46"/>
    </row>
    <row r="154" spans="9:10" ht="12.75" x14ac:dyDescent="0.2">
      <c r="I154" s="53"/>
      <c r="J154" s="46"/>
    </row>
    <row r="155" spans="9:10" ht="12.75" x14ac:dyDescent="0.2">
      <c r="I155" s="53"/>
      <c r="J155" s="46"/>
    </row>
    <row r="156" spans="9:10" ht="12.75" x14ac:dyDescent="0.2">
      <c r="I156" s="53"/>
      <c r="J156" s="46"/>
    </row>
    <row r="157" spans="9:10" ht="12.75" x14ac:dyDescent="0.2">
      <c r="I157" s="53"/>
      <c r="J157" s="46"/>
    </row>
    <row r="158" spans="9:10" ht="12.75" x14ac:dyDescent="0.2">
      <c r="I158" s="53"/>
      <c r="J158" s="46"/>
    </row>
    <row r="159" spans="9:10" ht="12.75" x14ac:dyDescent="0.2">
      <c r="I159" s="53"/>
      <c r="J159" s="46"/>
    </row>
    <row r="160" spans="9:10" ht="12.75" x14ac:dyDescent="0.2">
      <c r="I160" s="53"/>
      <c r="J160" s="46"/>
    </row>
    <row r="161" spans="9:10" ht="12.75" x14ac:dyDescent="0.2">
      <c r="I161" s="53"/>
      <c r="J161" s="46"/>
    </row>
    <row r="162" spans="9:10" ht="12.75" x14ac:dyDescent="0.2">
      <c r="I162" s="53"/>
      <c r="J162" s="46"/>
    </row>
    <row r="163" spans="9:10" ht="12.75" x14ac:dyDescent="0.2">
      <c r="I163" s="53"/>
      <c r="J163" s="46"/>
    </row>
    <row r="164" spans="9:10" ht="12.75" x14ac:dyDescent="0.2">
      <c r="I164" s="53"/>
      <c r="J164" s="46"/>
    </row>
    <row r="165" spans="9:10" ht="12.75" x14ac:dyDescent="0.2">
      <c r="I165" s="53"/>
      <c r="J165" s="46"/>
    </row>
    <row r="166" spans="9:10" ht="12.75" x14ac:dyDescent="0.2">
      <c r="I166" s="53"/>
      <c r="J166" s="46"/>
    </row>
    <row r="167" spans="9:10" ht="12.75" x14ac:dyDescent="0.2">
      <c r="I167" s="53"/>
      <c r="J167" s="46"/>
    </row>
    <row r="168" spans="9:10" ht="12.75" x14ac:dyDescent="0.2">
      <c r="I168" s="53"/>
      <c r="J168" s="46"/>
    </row>
    <row r="169" spans="9:10" ht="12.75" x14ac:dyDescent="0.2">
      <c r="I169" s="53"/>
      <c r="J169" s="46"/>
    </row>
    <row r="170" spans="9:10" ht="12.75" x14ac:dyDescent="0.2">
      <c r="I170" s="53"/>
      <c r="J170" s="46"/>
    </row>
    <row r="171" spans="9:10" ht="12.75" x14ac:dyDescent="0.2">
      <c r="I171" s="53"/>
      <c r="J171" s="46"/>
    </row>
    <row r="172" spans="9:10" ht="12.75" x14ac:dyDescent="0.2">
      <c r="I172" s="53"/>
      <c r="J172" s="46"/>
    </row>
    <row r="173" spans="9:10" ht="12.75" x14ac:dyDescent="0.2">
      <c r="I173" s="53"/>
      <c r="J173" s="46"/>
    </row>
    <row r="174" spans="9:10" ht="12.75" x14ac:dyDescent="0.2">
      <c r="I174" s="53"/>
      <c r="J174" s="46"/>
    </row>
    <row r="175" spans="9:10" ht="12.75" x14ac:dyDescent="0.2">
      <c r="I175" s="53"/>
      <c r="J175" s="46"/>
    </row>
    <row r="176" spans="9:10" ht="12.75" x14ac:dyDescent="0.2">
      <c r="I176" s="53"/>
      <c r="J176" s="46"/>
    </row>
    <row r="177" spans="9:10" ht="12.75" x14ac:dyDescent="0.2">
      <c r="I177" s="53"/>
      <c r="J177" s="46"/>
    </row>
    <row r="178" spans="9:10" ht="12.75" x14ac:dyDescent="0.2">
      <c r="I178" s="53"/>
      <c r="J178" s="46"/>
    </row>
    <row r="179" spans="9:10" ht="12.75" x14ac:dyDescent="0.2">
      <c r="I179" s="53"/>
      <c r="J179" s="46"/>
    </row>
    <row r="180" spans="9:10" ht="12.75" x14ac:dyDescent="0.2">
      <c r="I180" s="53"/>
      <c r="J180" s="46"/>
    </row>
    <row r="181" spans="9:10" ht="12.75" x14ac:dyDescent="0.2">
      <c r="I181" s="53"/>
      <c r="J181" s="46"/>
    </row>
    <row r="182" spans="9:10" ht="12.75" x14ac:dyDescent="0.2">
      <c r="I182" s="53"/>
      <c r="J182" s="46"/>
    </row>
    <row r="183" spans="9:10" ht="12.75" x14ac:dyDescent="0.2">
      <c r="I183" s="53"/>
      <c r="J183" s="46"/>
    </row>
    <row r="184" spans="9:10" ht="12.75" x14ac:dyDescent="0.2">
      <c r="I184" s="53"/>
      <c r="J184" s="46"/>
    </row>
    <row r="185" spans="9:10" ht="12.75" x14ac:dyDescent="0.2">
      <c r="I185" s="53"/>
      <c r="J185" s="46"/>
    </row>
    <row r="186" spans="9:10" ht="12.75" x14ac:dyDescent="0.2">
      <c r="I186" s="53"/>
      <c r="J186" s="46"/>
    </row>
    <row r="187" spans="9:10" ht="12.75" x14ac:dyDescent="0.2">
      <c r="I187" s="53"/>
      <c r="J187" s="46"/>
    </row>
    <row r="188" spans="9:10" ht="12.75" x14ac:dyDescent="0.2">
      <c r="I188" s="53"/>
      <c r="J188" s="46"/>
    </row>
    <row r="189" spans="9:10" ht="12.75" x14ac:dyDescent="0.2">
      <c r="I189" s="53"/>
      <c r="J189" s="46"/>
    </row>
    <row r="190" spans="9:10" ht="12.75" x14ac:dyDescent="0.2">
      <c r="I190" s="53"/>
      <c r="J190" s="46"/>
    </row>
    <row r="191" spans="9:10" ht="12.75" x14ac:dyDescent="0.2">
      <c r="I191" s="53"/>
      <c r="J191" s="46"/>
    </row>
    <row r="192" spans="9:10" ht="12.75" x14ac:dyDescent="0.2">
      <c r="I192" s="53"/>
      <c r="J192" s="46"/>
    </row>
    <row r="193" spans="9:10" ht="12.75" x14ac:dyDescent="0.2">
      <c r="I193" s="53"/>
      <c r="J193" s="46"/>
    </row>
    <row r="194" spans="9:10" ht="12.75" x14ac:dyDescent="0.2">
      <c r="I194" s="53"/>
      <c r="J194" s="46"/>
    </row>
    <row r="195" spans="9:10" ht="12.75" x14ac:dyDescent="0.2">
      <c r="I195" s="53"/>
      <c r="J195" s="46"/>
    </row>
    <row r="196" spans="9:10" ht="12.75" x14ac:dyDescent="0.2">
      <c r="I196" s="53"/>
      <c r="J196" s="46"/>
    </row>
    <row r="197" spans="9:10" ht="12.75" x14ac:dyDescent="0.2">
      <c r="I197" s="53"/>
      <c r="J197" s="46"/>
    </row>
    <row r="198" spans="9:10" ht="12.75" x14ac:dyDescent="0.2">
      <c r="I198" s="53"/>
      <c r="J198" s="46"/>
    </row>
    <row r="199" spans="9:10" ht="12.75" x14ac:dyDescent="0.2">
      <c r="I199" s="53"/>
      <c r="J199" s="46"/>
    </row>
    <row r="200" spans="9:10" ht="12.75" x14ac:dyDescent="0.2">
      <c r="I200" s="53"/>
      <c r="J200" s="46"/>
    </row>
    <row r="201" spans="9:10" ht="12.75" x14ac:dyDescent="0.2">
      <c r="I201" s="53"/>
      <c r="J201" s="46"/>
    </row>
    <row r="202" spans="9:10" ht="12.75" x14ac:dyDescent="0.2">
      <c r="I202" s="53"/>
      <c r="J202" s="46"/>
    </row>
    <row r="203" spans="9:10" ht="12.75" x14ac:dyDescent="0.2">
      <c r="I203" s="53"/>
      <c r="J203" s="46"/>
    </row>
    <row r="204" spans="9:10" ht="12.75" x14ac:dyDescent="0.2">
      <c r="I204" s="53"/>
      <c r="J204" s="46"/>
    </row>
    <row r="205" spans="9:10" ht="12.75" x14ac:dyDescent="0.2">
      <c r="I205" s="53"/>
      <c r="J205" s="46"/>
    </row>
    <row r="206" spans="9:10" ht="12.75" x14ac:dyDescent="0.2">
      <c r="I206" s="53"/>
      <c r="J206" s="46"/>
    </row>
    <row r="207" spans="9:10" ht="12.75" x14ac:dyDescent="0.2">
      <c r="I207" s="53"/>
      <c r="J207" s="46"/>
    </row>
    <row r="208" spans="9:10" ht="12.75" x14ac:dyDescent="0.2">
      <c r="I208" s="53"/>
      <c r="J208" s="46"/>
    </row>
    <row r="209" spans="9:10" ht="12.75" x14ac:dyDescent="0.2">
      <c r="I209" s="53"/>
      <c r="J209" s="46"/>
    </row>
    <row r="210" spans="9:10" ht="12.75" x14ac:dyDescent="0.2">
      <c r="I210" s="53"/>
      <c r="J210" s="46"/>
    </row>
    <row r="211" spans="9:10" ht="12.75" x14ac:dyDescent="0.2">
      <c r="I211" s="53"/>
      <c r="J211" s="46"/>
    </row>
    <row r="212" spans="9:10" ht="12.75" x14ac:dyDescent="0.2">
      <c r="I212" s="53"/>
      <c r="J212" s="46"/>
    </row>
    <row r="213" spans="9:10" ht="12.75" x14ac:dyDescent="0.2">
      <c r="I213" s="53"/>
      <c r="J213" s="46"/>
    </row>
    <row r="214" spans="9:10" ht="12.75" x14ac:dyDescent="0.2">
      <c r="I214" s="53"/>
      <c r="J214" s="46"/>
    </row>
    <row r="215" spans="9:10" ht="12.75" x14ac:dyDescent="0.2">
      <c r="I215" s="53"/>
      <c r="J215" s="46"/>
    </row>
    <row r="216" spans="9:10" ht="12.75" x14ac:dyDescent="0.2">
      <c r="I216" s="53"/>
      <c r="J216" s="46"/>
    </row>
    <row r="217" spans="9:10" ht="12.75" x14ac:dyDescent="0.2">
      <c r="I217" s="53"/>
      <c r="J217" s="46"/>
    </row>
    <row r="218" spans="9:10" ht="12.75" x14ac:dyDescent="0.2">
      <c r="I218" s="53"/>
      <c r="J218" s="46"/>
    </row>
    <row r="219" spans="9:10" ht="12.75" x14ac:dyDescent="0.2">
      <c r="I219" s="53"/>
      <c r="J219" s="46"/>
    </row>
    <row r="220" spans="9:10" ht="12.75" x14ac:dyDescent="0.2">
      <c r="I220" s="53"/>
      <c r="J220" s="46"/>
    </row>
    <row r="221" spans="9:10" ht="12.75" x14ac:dyDescent="0.2">
      <c r="I221" s="53"/>
      <c r="J221" s="46"/>
    </row>
    <row r="222" spans="9:10" ht="12.75" x14ac:dyDescent="0.2">
      <c r="I222" s="53"/>
      <c r="J222" s="46"/>
    </row>
    <row r="223" spans="9:10" ht="12.75" x14ac:dyDescent="0.2">
      <c r="I223" s="53"/>
      <c r="J223" s="46"/>
    </row>
    <row r="224" spans="9:10" ht="12.75" x14ac:dyDescent="0.2">
      <c r="I224" s="53"/>
      <c r="J224" s="46"/>
    </row>
    <row r="225" spans="9:10" ht="12.75" x14ac:dyDescent="0.2">
      <c r="I225" s="53"/>
      <c r="J225" s="46"/>
    </row>
    <row r="226" spans="9:10" ht="12.75" x14ac:dyDescent="0.2">
      <c r="I226" s="53"/>
      <c r="J226" s="46"/>
    </row>
    <row r="227" spans="9:10" ht="12.75" x14ac:dyDescent="0.2">
      <c r="I227" s="53"/>
      <c r="J227" s="46"/>
    </row>
    <row r="228" spans="9:10" ht="12.75" x14ac:dyDescent="0.2">
      <c r="I228" s="53"/>
      <c r="J228" s="46"/>
    </row>
    <row r="229" spans="9:10" ht="12.75" x14ac:dyDescent="0.2">
      <c r="I229" s="53"/>
      <c r="J229" s="46"/>
    </row>
    <row r="230" spans="9:10" ht="12.75" x14ac:dyDescent="0.2">
      <c r="I230" s="53"/>
      <c r="J230" s="46"/>
    </row>
    <row r="231" spans="9:10" ht="12.75" x14ac:dyDescent="0.2">
      <c r="I231" s="53"/>
      <c r="J231" s="46"/>
    </row>
    <row r="232" spans="9:10" ht="12.75" x14ac:dyDescent="0.2">
      <c r="I232" s="53"/>
      <c r="J232" s="46"/>
    </row>
    <row r="233" spans="9:10" ht="12.75" x14ac:dyDescent="0.2">
      <c r="I233" s="53"/>
      <c r="J233" s="46"/>
    </row>
    <row r="234" spans="9:10" ht="12.75" x14ac:dyDescent="0.2">
      <c r="I234" s="53"/>
      <c r="J234" s="46"/>
    </row>
    <row r="235" spans="9:10" ht="12.75" x14ac:dyDescent="0.2">
      <c r="I235" s="53"/>
      <c r="J235" s="46"/>
    </row>
    <row r="236" spans="9:10" ht="12.75" x14ac:dyDescent="0.2">
      <c r="I236" s="53"/>
      <c r="J236" s="46"/>
    </row>
    <row r="237" spans="9:10" ht="12.75" x14ac:dyDescent="0.2">
      <c r="I237" s="53"/>
      <c r="J237" s="46"/>
    </row>
    <row r="238" spans="9:10" ht="12.75" x14ac:dyDescent="0.2">
      <c r="I238" s="53"/>
      <c r="J238" s="46"/>
    </row>
    <row r="239" spans="9:10" ht="12.75" x14ac:dyDescent="0.2">
      <c r="I239" s="53"/>
      <c r="J239" s="46"/>
    </row>
    <row r="240" spans="9:10" ht="12.75" x14ac:dyDescent="0.2">
      <c r="I240" s="53"/>
      <c r="J240" s="46"/>
    </row>
    <row r="241" spans="9:10" ht="12.75" x14ac:dyDescent="0.2">
      <c r="I241" s="53"/>
      <c r="J241" s="46"/>
    </row>
    <row r="242" spans="9:10" ht="12.75" x14ac:dyDescent="0.2">
      <c r="I242" s="53"/>
      <c r="J242" s="46"/>
    </row>
    <row r="243" spans="9:10" ht="12.75" x14ac:dyDescent="0.2">
      <c r="I243" s="53"/>
      <c r="J243" s="46"/>
    </row>
    <row r="244" spans="9:10" ht="12.75" x14ac:dyDescent="0.2">
      <c r="I244" s="53"/>
      <c r="J244" s="46"/>
    </row>
    <row r="245" spans="9:10" ht="12.75" x14ac:dyDescent="0.2">
      <c r="I245" s="53"/>
      <c r="J245" s="46"/>
    </row>
    <row r="246" spans="9:10" ht="12.75" x14ac:dyDescent="0.2">
      <c r="I246" s="53"/>
      <c r="J246" s="46"/>
    </row>
    <row r="247" spans="9:10" ht="12.75" x14ac:dyDescent="0.2">
      <c r="I247" s="53"/>
      <c r="J247" s="46"/>
    </row>
    <row r="248" spans="9:10" ht="12.75" x14ac:dyDescent="0.2">
      <c r="I248" s="53"/>
      <c r="J248" s="46"/>
    </row>
    <row r="249" spans="9:10" ht="12.75" x14ac:dyDescent="0.2">
      <c r="I249" s="53"/>
      <c r="J249" s="46"/>
    </row>
    <row r="250" spans="9:10" ht="12.75" x14ac:dyDescent="0.2">
      <c r="I250" s="53"/>
      <c r="J250" s="46"/>
    </row>
    <row r="251" spans="9:10" ht="12.75" x14ac:dyDescent="0.2">
      <c r="I251" s="53"/>
      <c r="J251" s="46"/>
    </row>
    <row r="252" spans="9:10" ht="12.75" x14ac:dyDescent="0.2">
      <c r="I252" s="53"/>
      <c r="J252" s="46"/>
    </row>
    <row r="253" spans="9:10" ht="12.75" x14ac:dyDescent="0.2">
      <c r="I253" s="53"/>
      <c r="J253" s="46"/>
    </row>
    <row r="254" spans="9:10" ht="12.75" x14ac:dyDescent="0.2">
      <c r="I254" s="53"/>
      <c r="J254" s="46"/>
    </row>
    <row r="255" spans="9:10" ht="12.75" x14ac:dyDescent="0.2">
      <c r="I255" s="53"/>
      <c r="J255" s="46"/>
    </row>
    <row r="256" spans="9:10" ht="12.75" x14ac:dyDescent="0.2">
      <c r="I256" s="53"/>
      <c r="J256" s="46"/>
    </row>
    <row r="257" spans="9:10" ht="12.75" x14ac:dyDescent="0.2">
      <c r="I257" s="53"/>
      <c r="J257" s="46"/>
    </row>
    <row r="258" spans="9:10" ht="12.75" x14ac:dyDescent="0.2">
      <c r="I258" s="53"/>
      <c r="J258" s="46"/>
    </row>
    <row r="259" spans="9:10" ht="12.75" x14ac:dyDescent="0.2">
      <c r="I259" s="53"/>
      <c r="J259" s="46"/>
    </row>
    <row r="260" spans="9:10" ht="12.75" x14ac:dyDescent="0.2">
      <c r="I260" s="53"/>
      <c r="J260" s="46"/>
    </row>
    <row r="261" spans="9:10" ht="12.75" x14ac:dyDescent="0.2">
      <c r="I261" s="53"/>
      <c r="J261" s="46"/>
    </row>
    <row r="262" spans="9:10" ht="12.75" x14ac:dyDescent="0.2">
      <c r="I262" s="53"/>
      <c r="J262" s="46"/>
    </row>
    <row r="263" spans="9:10" ht="12.75" x14ac:dyDescent="0.2">
      <c r="I263" s="53"/>
      <c r="J263" s="46"/>
    </row>
    <row r="264" spans="9:10" ht="12.75" x14ac:dyDescent="0.2">
      <c r="I264" s="53"/>
      <c r="J264" s="46"/>
    </row>
    <row r="265" spans="9:10" ht="12.75" x14ac:dyDescent="0.2">
      <c r="I265" s="53"/>
      <c r="J265" s="46"/>
    </row>
    <row r="266" spans="9:10" ht="12.75" x14ac:dyDescent="0.2">
      <c r="I266" s="53"/>
      <c r="J266" s="46"/>
    </row>
    <row r="267" spans="9:10" ht="12.75" x14ac:dyDescent="0.2">
      <c r="I267" s="53"/>
      <c r="J267" s="46"/>
    </row>
    <row r="268" spans="9:10" ht="12.75" x14ac:dyDescent="0.2">
      <c r="I268" s="53"/>
      <c r="J268" s="46"/>
    </row>
    <row r="269" spans="9:10" ht="12.75" x14ac:dyDescent="0.2">
      <c r="I269" s="53"/>
      <c r="J269" s="46"/>
    </row>
    <row r="270" spans="9:10" ht="12.75" x14ac:dyDescent="0.2">
      <c r="I270" s="53"/>
      <c r="J270" s="46"/>
    </row>
    <row r="271" spans="9:10" ht="12.75" x14ac:dyDescent="0.2">
      <c r="I271" s="53"/>
      <c r="J271" s="46"/>
    </row>
    <row r="272" spans="9:10" ht="12.75" x14ac:dyDescent="0.2">
      <c r="I272" s="53"/>
      <c r="J272" s="46"/>
    </row>
    <row r="273" spans="9:10" ht="12.75" x14ac:dyDescent="0.2">
      <c r="I273" s="53"/>
      <c r="J273" s="46"/>
    </row>
    <row r="274" spans="9:10" ht="12.75" x14ac:dyDescent="0.2">
      <c r="I274" s="53"/>
      <c r="J274" s="46"/>
    </row>
    <row r="275" spans="9:10" ht="12.75" x14ac:dyDescent="0.2">
      <c r="I275" s="53"/>
      <c r="J275" s="46"/>
    </row>
    <row r="276" spans="9:10" ht="12.75" x14ac:dyDescent="0.2">
      <c r="I276" s="53"/>
      <c r="J276" s="46"/>
    </row>
    <row r="277" spans="9:10" ht="12.75" x14ac:dyDescent="0.2">
      <c r="I277" s="53"/>
      <c r="J277" s="46"/>
    </row>
    <row r="278" spans="9:10" ht="12.75" x14ac:dyDescent="0.2">
      <c r="I278" s="53"/>
      <c r="J278" s="46"/>
    </row>
    <row r="279" spans="9:10" ht="12.75" x14ac:dyDescent="0.2">
      <c r="I279" s="53"/>
      <c r="J279" s="46"/>
    </row>
    <row r="280" spans="9:10" ht="12.75" x14ac:dyDescent="0.2">
      <c r="I280" s="53"/>
      <c r="J280" s="46"/>
    </row>
    <row r="281" spans="9:10" ht="12.75" x14ac:dyDescent="0.2">
      <c r="I281" s="53"/>
      <c r="J281" s="46"/>
    </row>
    <row r="282" spans="9:10" ht="12.75" x14ac:dyDescent="0.2">
      <c r="I282" s="53"/>
      <c r="J282" s="46"/>
    </row>
    <row r="283" spans="9:10" ht="12.75" x14ac:dyDescent="0.2">
      <c r="I283" s="53"/>
      <c r="J283" s="46"/>
    </row>
    <row r="284" spans="9:10" ht="12.75" x14ac:dyDescent="0.2">
      <c r="I284" s="53"/>
      <c r="J284" s="46"/>
    </row>
    <row r="285" spans="9:10" ht="12.75" x14ac:dyDescent="0.2">
      <c r="I285" s="53"/>
      <c r="J285" s="46"/>
    </row>
    <row r="286" spans="9:10" ht="12.75" x14ac:dyDescent="0.2">
      <c r="I286" s="53"/>
      <c r="J286" s="46"/>
    </row>
    <row r="287" spans="9:10" ht="12.75" x14ac:dyDescent="0.2">
      <c r="I287" s="53"/>
      <c r="J287" s="46"/>
    </row>
    <row r="288" spans="9:10" ht="12.75" x14ac:dyDescent="0.2">
      <c r="I288" s="53"/>
      <c r="J288" s="46"/>
    </row>
    <row r="289" spans="9:10" ht="12.75" x14ac:dyDescent="0.2">
      <c r="I289" s="53"/>
      <c r="J289" s="46"/>
    </row>
    <row r="290" spans="9:10" ht="12.75" x14ac:dyDescent="0.2">
      <c r="I290" s="53"/>
      <c r="J290" s="46"/>
    </row>
    <row r="291" spans="9:10" ht="12.75" x14ac:dyDescent="0.2">
      <c r="I291" s="53"/>
      <c r="J291" s="46"/>
    </row>
    <row r="292" spans="9:10" ht="12.75" x14ac:dyDescent="0.2">
      <c r="I292" s="53"/>
      <c r="J292" s="46"/>
    </row>
    <row r="293" spans="9:10" ht="12.75" x14ac:dyDescent="0.2">
      <c r="I293" s="53"/>
      <c r="J293" s="46"/>
    </row>
    <row r="294" spans="9:10" ht="12.75" x14ac:dyDescent="0.2">
      <c r="I294" s="53"/>
      <c r="J294" s="46"/>
    </row>
    <row r="295" spans="9:10" ht="12.75" x14ac:dyDescent="0.2">
      <c r="I295" s="53"/>
      <c r="J295" s="46"/>
    </row>
    <row r="296" spans="9:10" ht="12.75" x14ac:dyDescent="0.2">
      <c r="I296" s="53"/>
      <c r="J296" s="46"/>
    </row>
    <row r="297" spans="9:10" ht="12.75" x14ac:dyDescent="0.2">
      <c r="I297" s="53"/>
      <c r="J297" s="46"/>
    </row>
    <row r="298" spans="9:10" ht="12.75" x14ac:dyDescent="0.2">
      <c r="I298" s="53"/>
      <c r="J298" s="46"/>
    </row>
    <row r="299" spans="9:10" ht="12.75" x14ac:dyDescent="0.2">
      <c r="I299" s="53"/>
      <c r="J299" s="46"/>
    </row>
    <row r="300" spans="9:10" ht="12.75" x14ac:dyDescent="0.2">
      <c r="I300" s="53"/>
      <c r="J300" s="46"/>
    </row>
    <row r="301" spans="9:10" ht="12.75" x14ac:dyDescent="0.2">
      <c r="I301" s="53"/>
      <c r="J301" s="46"/>
    </row>
    <row r="302" spans="9:10" ht="12.75" x14ac:dyDescent="0.2">
      <c r="I302" s="53"/>
      <c r="J302" s="46"/>
    </row>
    <row r="303" spans="9:10" ht="12.75" x14ac:dyDescent="0.2">
      <c r="I303" s="53"/>
      <c r="J303" s="46"/>
    </row>
    <row r="304" spans="9:10" ht="12.75" x14ac:dyDescent="0.2">
      <c r="I304" s="53"/>
      <c r="J304" s="46"/>
    </row>
    <row r="305" spans="9:10" ht="12.75" x14ac:dyDescent="0.2">
      <c r="I305" s="53"/>
      <c r="J305" s="46"/>
    </row>
    <row r="306" spans="9:10" ht="12.75" x14ac:dyDescent="0.2">
      <c r="I306" s="53"/>
      <c r="J306" s="46"/>
    </row>
    <row r="307" spans="9:10" ht="12.75" x14ac:dyDescent="0.2">
      <c r="I307" s="53"/>
      <c r="J307" s="46"/>
    </row>
    <row r="308" spans="9:10" ht="12.75" x14ac:dyDescent="0.2">
      <c r="I308" s="53"/>
      <c r="J308" s="46"/>
    </row>
    <row r="309" spans="9:10" ht="12.75" x14ac:dyDescent="0.2">
      <c r="I309" s="53"/>
      <c r="J309" s="46"/>
    </row>
    <row r="310" spans="9:10" ht="12.75" x14ac:dyDescent="0.2">
      <c r="I310" s="53"/>
      <c r="J310" s="46"/>
    </row>
    <row r="311" spans="9:10" ht="12.75" x14ac:dyDescent="0.2">
      <c r="I311" s="53"/>
      <c r="J311" s="46"/>
    </row>
    <row r="312" spans="9:10" ht="12.75" x14ac:dyDescent="0.2">
      <c r="I312" s="53"/>
      <c r="J312" s="46"/>
    </row>
    <row r="313" spans="9:10" ht="12.75" x14ac:dyDescent="0.2">
      <c r="I313" s="53"/>
      <c r="J313" s="46"/>
    </row>
    <row r="314" spans="9:10" ht="12.75" x14ac:dyDescent="0.2">
      <c r="I314" s="53"/>
      <c r="J314" s="46"/>
    </row>
    <row r="315" spans="9:10" ht="12.75" x14ac:dyDescent="0.2">
      <c r="I315" s="53"/>
      <c r="J315" s="46"/>
    </row>
    <row r="316" spans="9:10" ht="12.75" x14ac:dyDescent="0.2">
      <c r="I316" s="53"/>
      <c r="J316" s="46"/>
    </row>
    <row r="317" spans="9:10" ht="12.75" x14ac:dyDescent="0.2">
      <c r="I317" s="53"/>
      <c r="J317" s="46"/>
    </row>
    <row r="318" spans="9:10" ht="12.75" x14ac:dyDescent="0.2">
      <c r="I318" s="53"/>
      <c r="J318" s="46"/>
    </row>
    <row r="319" spans="9:10" ht="12.75" x14ac:dyDescent="0.2">
      <c r="I319" s="53"/>
      <c r="J319" s="46"/>
    </row>
    <row r="320" spans="9:10" ht="12.75" x14ac:dyDescent="0.2">
      <c r="I320" s="53"/>
      <c r="J320" s="46"/>
    </row>
    <row r="321" spans="9:10" ht="12.75" x14ac:dyDescent="0.2">
      <c r="I321" s="53"/>
      <c r="J321" s="46"/>
    </row>
    <row r="322" spans="9:10" ht="12.75" x14ac:dyDescent="0.2">
      <c r="I322" s="53"/>
      <c r="J322" s="46"/>
    </row>
    <row r="323" spans="9:10" ht="12.75" x14ac:dyDescent="0.2">
      <c r="I323" s="53"/>
      <c r="J323" s="46"/>
    </row>
    <row r="324" spans="9:10" ht="12.75" x14ac:dyDescent="0.2">
      <c r="I324" s="53"/>
      <c r="J324" s="46"/>
    </row>
    <row r="325" spans="9:10" ht="12.75" x14ac:dyDescent="0.2">
      <c r="I325" s="53"/>
      <c r="J325" s="46"/>
    </row>
    <row r="326" spans="9:10" ht="12.75" x14ac:dyDescent="0.2">
      <c r="I326" s="53"/>
      <c r="J326" s="46"/>
    </row>
    <row r="327" spans="9:10" ht="12.75" x14ac:dyDescent="0.2">
      <c r="I327" s="53"/>
      <c r="J327" s="46"/>
    </row>
    <row r="328" spans="9:10" ht="12.75" x14ac:dyDescent="0.2">
      <c r="I328" s="53"/>
      <c r="J328" s="46"/>
    </row>
    <row r="329" spans="9:10" ht="12.75" x14ac:dyDescent="0.2">
      <c r="I329" s="53"/>
      <c r="J329" s="46"/>
    </row>
    <row r="330" spans="9:10" ht="12.75" x14ac:dyDescent="0.2">
      <c r="I330" s="53"/>
      <c r="J330" s="46"/>
    </row>
    <row r="331" spans="9:10" ht="12.75" x14ac:dyDescent="0.2">
      <c r="I331" s="53"/>
      <c r="J331" s="46"/>
    </row>
    <row r="332" spans="9:10" ht="12.75" x14ac:dyDescent="0.2">
      <c r="I332" s="53"/>
      <c r="J332" s="46"/>
    </row>
    <row r="333" spans="9:10" ht="12.75" x14ac:dyDescent="0.2">
      <c r="I333" s="53"/>
      <c r="J333" s="46"/>
    </row>
    <row r="334" spans="9:10" ht="12.75" x14ac:dyDescent="0.2">
      <c r="I334" s="53"/>
      <c r="J334" s="46"/>
    </row>
    <row r="335" spans="9:10" ht="12.75" x14ac:dyDescent="0.2">
      <c r="I335" s="53"/>
      <c r="J335" s="46"/>
    </row>
    <row r="336" spans="9:10" ht="12.75" x14ac:dyDescent="0.2">
      <c r="I336" s="53"/>
      <c r="J336" s="46"/>
    </row>
    <row r="337" spans="9:10" ht="12.75" x14ac:dyDescent="0.2">
      <c r="I337" s="53"/>
      <c r="J337" s="46"/>
    </row>
    <row r="338" spans="9:10" ht="12.75" x14ac:dyDescent="0.2">
      <c r="I338" s="53"/>
      <c r="J338" s="46"/>
    </row>
    <row r="339" spans="9:10" ht="12.75" x14ac:dyDescent="0.2">
      <c r="I339" s="53"/>
      <c r="J339" s="46"/>
    </row>
    <row r="340" spans="9:10" ht="12.75" x14ac:dyDescent="0.2">
      <c r="I340" s="53"/>
      <c r="J340" s="46"/>
    </row>
    <row r="341" spans="9:10" ht="12.75" x14ac:dyDescent="0.2">
      <c r="I341" s="53"/>
      <c r="J341" s="46"/>
    </row>
    <row r="342" spans="9:10" ht="12.75" x14ac:dyDescent="0.2">
      <c r="I342" s="53"/>
      <c r="J342" s="46"/>
    </row>
    <row r="343" spans="9:10" ht="12.75" x14ac:dyDescent="0.2">
      <c r="I343" s="53"/>
      <c r="J343" s="46"/>
    </row>
    <row r="344" spans="9:10" ht="12.75" x14ac:dyDescent="0.2">
      <c r="I344" s="53"/>
      <c r="J344" s="46"/>
    </row>
    <row r="345" spans="9:10" ht="12.75" x14ac:dyDescent="0.2">
      <c r="I345" s="53"/>
      <c r="J345" s="46"/>
    </row>
    <row r="346" spans="9:10" ht="12.75" x14ac:dyDescent="0.2">
      <c r="I346" s="53"/>
      <c r="J346" s="46"/>
    </row>
    <row r="347" spans="9:10" ht="12.75" x14ac:dyDescent="0.2">
      <c r="I347" s="53"/>
      <c r="J347" s="46"/>
    </row>
    <row r="348" spans="9:10" ht="12.75" x14ac:dyDescent="0.2">
      <c r="I348" s="53"/>
      <c r="J348" s="46"/>
    </row>
    <row r="349" spans="9:10" ht="12.75" x14ac:dyDescent="0.2">
      <c r="I349" s="53"/>
      <c r="J349" s="46"/>
    </row>
    <row r="350" spans="9:10" ht="12.75" x14ac:dyDescent="0.2">
      <c r="I350" s="53"/>
      <c r="J350" s="46"/>
    </row>
    <row r="351" spans="9:10" ht="12.75" x14ac:dyDescent="0.2">
      <c r="I351" s="53"/>
      <c r="J351" s="46"/>
    </row>
    <row r="352" spans="9:10" ht="12.75" x14ac:dyDescent="0.2">
      <c r="I352" s="53"/>
      <c r="J352" s="46"/>
    </row>
    <row r="353" spans="9:10" ht="12.75" x14ac:dyDescent="0.2">
      <c r="I353" s="53"/>
      <c r="J353" s="46"/>
    </row>
    <row r="354" spans="9:10" ht="12.75" x14ac:dyDescent="0.2">
      <c r="I354" s="53"/>
      <c r="J354" s="46"/>
    </row>
    <row r="355" spans="9:10" ht="12.75" x14ac:dyDescent="0.2">
      <c r="I355" s="53"/>
      <c r="J355" s="46"/>
    </row>
    <row r="356" spans="9:10" ht="12.75" x14ac:dyDescent="0.2">
      <c r="I356" s="53"/>
      <c r="J356" s="46"/>
    </row>
    <row r="357" spans="9:10" ht="12.75" x14ac:dyDescent="0.2">
      <c r="I357" s="53"/>
      <c r="J357" s="46"/>
    </row>
    <row r="358" spans="9:10" ht="12.75" x14ac:dyDescent="0.2">
      <c r="I358" s="53"/>
      <c r="J358" s="46"/>
    </row>
    <row r="359" spans="9:10" ht="12.75" x14ac:dyDescent="0.2">
      <c r="I359" s="53"/>
      <c r="J359" s="46"/>
    </row>
    <row r="360" spans="9:10" ht="12.75" x14ac:dyDescent="0.2">
      <c r="I360" s="53"/>
      <c r="J360" s="46"/>
    </row>
    <row r="361" spans="9:10" ht="12.75" x14ac:dyDescent="0.2">
      <c r="I361" s="53"/>
      <c r="J361" s="46"/>
    </row>
    <row r="362" spans="9:10" ht="12.75" x14ac:dyDescent="0.2">
      <c r="I362" s="53"/>
      <c r="J362" s="46"/>
    </row>
    <row r="363" spans="9:10" ht="12.75" x14ac:dyDescent="0.2">
      <c r="I363" s="53"/>
      <c r="J363" s="46"/>
    </row>
    <row r="364" spans="9:10" ht="12.75" x14ac:dyDescent="0.2">
      <c r="I364" s="53"/>
      <c r="J364" s="46"/>
    </row>
    <row r="365" spans="9:10" ht="12.75" x14ac:dyDescent="0.2">
      <c r="I365" s="53"/>
      <c r="J365" s="46"/>
    </row>
    <row r="366" spans="9:10" ht="12.75" x14ac:dyDescent="0.2">
      <c r="I366" s="53"/>
      <c r="J366" s="46"/>
    </row>
    <row r="367" spans="9:10" ht="12.75" x14ac:dyDescent="0.2">
      <c r="I367" s="53"/>
      <c r="J367" s="46"/>
    </row>
    <row r="368" spans="9:10" ht="12.75" x14ac:dyDescent="0.2">
      <c r="I368" s="53"/>
      <c r="J368" s="46"/>
    </row>
    <row r="369" spans="9:10" ht="12.75" x14ac:dyDescent="0.2">
      <c r="I369" s="53"/>
      <c r="J369" s="46"/>
    </row>
    <row r="370" spans="9:10" ht="12.75" x14ac:dyDescent="0.2">
      <c r="I370" s="53"/>
      <c r="J370" s="46"/>
    </row>
    <row r="371" spans="9:10" ht="12.75" x14ac:dyDescent="0.2">
      <c r="I371" s="53"/>
      <c r="J371" s="46"/>
    </row>
    <row r="372" spans="9:10" ht="12.75" x14ac:dyDescent="0.2">
      <c r="I372" s="53"/>
      <c r="J372" s="46"/>
    </row>
    <row r="373" spans="9:10" ht="12.75" x14ac:dyDescent="0.2">
      <c r="I373" s="53"/>
      <c r="J373" s="46"/>
    </row>
    <row r="374" spans="9:10" ht="12.75" x14ac:dyDescent="0.2">
      <c r="I374" s="53"/>
      <c r="J374" s="46"/>
    </row>
    <row r="375" spans="9:10" ht="12.75" x14ac:dyDescent="0.2">
      <c r="I375" s="53"/>
      <c r="J375" s="46"/>
    </row>
    <row r="376" spans="9:10" ht="12.75" x14ac:dyDescent="0.2">
      <c r="I376" s="53"/>
      <c r="J376" s="46"/>
    </row>
    <row r="377" spans="9:10" ht="12.75" x14ac:dyDescent="0.2">
      <c r="I377" s="53"/>
      <c r="J377" s="46"/>
    </row>
    <row r="378" spans="9:10" ht="12.75" x14ac:dyDescent="0.2">
      <c r="I378" s="53"/>
      <c r="J378" s="46"/>
    </row>
    <row r="379" spans="9:10" ht="12.75" x14ac:dyDescent="0.2">
      <c r="I379" s="53"/>
      <c r="J379" s="46"/>
    </row>
    <row r="380" spans="9:10" ht="12.75" x14ac:dyDescent="0.2">
      <c r="I380" s="53"/>
      <c r="J380" s="46"/>
    </row>
    <row r="381" spans="9:10" ht="12.75" x14ac:dyDescent="0.2">
      <c r="I381" s="53"/>
      <c r="J381" s="46"/>
    </row>
    <row r="382" spans="9:10" ht="12.75" x14ac:dyDescent="0.2">
      <c r="I382" s="53"/>
      <c r="J382" s="46"/>
    </row>
    <row r="383" spans="9:10" ht="12.75" x14ac:dyDescent="0.2">
      <c r="I383" s="53"/>
      <c r="J383" s="46"/>
    </row>
    <row r="384" spans="9:10" ht="12.75" x14ac:dyDescent="0.2">
      <c r="I384" s="53"/>
      <c r="J384" s="46"/>
    </row>
    <row r="385" spans="9:10" ht="12.75" x14ac:dyDescent="0.2">
      <c r="I385" s="53"/>
      <c r="J385" s="46"/>
    </row>
    <row r="386" spans="9:10" ht="12.75" x14ac:dyDescent="0.2">
      <c r="I386" s="53"/>
      <c r="J386" s="46"/>
    </row>
    <row r="387" spans="9:10" ht="12.75" x14ac:dyDescent="0.2">
      <c r="I387" s="53"/>
      <c r="J387" s="46"/>
    </row>
    <row r="388" spans="9:10" ht="12.75" x14ac:dyDescent="0.2">
      <c r="I388" s="53"/>
      <c r="J388" s="46"/>
    </row>
    <row r="389" spans="9:10" ht="12.75" x14ac:dyDescent="0.2">
      <c r="I389" s="53"/>
      <c r="J389" s="46"/>
    </row>
    <row r="390" spans="9:10" ht="12.75" x14ac:dyDescent="0.2">
      <c r="I390" s="53"/>
      <c r="J390" s="46"/>
    </row>
    <row r="391" spans="9:10" ht="12.75" x14ac:dyDescent="0.2">
      <c r="I391" s="53"/>
      <c r="J391" s="46"/>
    </row>
    <row r="392" spans="9:10" ht="12.75" x14ac:dyDescent="0.2">
      <c r="I392" s="53"/>
      <c r="J392" s="46"/>
    </row>
    <row r="393" spans="9:10" ht="12.75" x14ac:dyDescent="0.2">
      <c r="I393" s="53"/>
      <c r="J393" s="46"/>
    </row>
    <row r="394" spans="9:10" ht="12.75" x14ac:dyDescent="0.2">
      <c r="I394" s="53"/>
      <c r="J394" s="46"/>
    </row>
    <row r="395" spans="9:10" ht="12.75" x14ac:dyDescent="0.2">
      <c r="I395" s="53"/>
      <c r="J395" s="46"/>
    </row>
    <row r="396" spans="9:10" ht="12.75" x14ac:dyDescent="0.2">
      <c r="I396" s="53"/>
      <c r="J396" s="46"/>
    </row>
    <row r="397" spans="9:10" ht="12.75" x14ac:dyDescent="0.2">
      <c r="I397" s="53"/>
      <c r="J397" s="46"/>
    </row>
    <row r="398" spans="9:10" ht="12.75" x14ac:dyDescent="0.2">
      <c r="I398" s="53"/>
      <c r="J398" s="46"/>
    </row>
    <row r="399" spans="9:10" ht="12.75" x14ac:dyDescent="0.2">
      <c r="I399" s="53"/>
      <c r="J399" s="46"/>
    </row>
    <row r="400" spans="9:10" ht="12.75" x14ac:dyDescent="0.2">
      <c r="I400" s="53"/>
      <c r="J400" s="46"/>
    </row>
    <row r="401" spans="9:10" ht="12.75" x14ac:dyDescent="0.2">
      <c r="I401" s="53"/>
      <c r="J401" s="46"/>
    </row>
    <row r="402" spans="9:10" ht="12.75" x14ac:dyDescent="0.2">
      <c r="I402" s="53"/>
      <c r="J402" s="46"/>
    </row>
    <row r="403" spans="9:10" ht="12.75" x14ac:dyDescent="0.2">
      <c r="I403" s="53"/>
      <c r="J403" s="46"/>
    </row>
    <row r="404" spans="9:10" ht="12.75" x14ac:dyDescent="0.2">
      <c r="I404" s="53"/>
      <c r="J404" s="46"/>
    </row>
    <row r="405" spans="9:10" ht="12.75" x14ac:dyDescent="0.2">
      <c r="I405" s="53"/>
      <c r="J405" s="46"/>
    </row>
    <row r="406" spans="9:10" ht="12.75" x14ac:dyDescent="0.2">
      <c r="I406" s="53"/>
      <c r="J406" s="46"/>
    </row>
    <row r="407" spans="9:10" ht="12.75" x14ac:dyDescent="0.2">
      <c r="I407" s="53"/>
      <c r="J407" s="46"/>
    </row>
    <row r="408" spans="9:10" ht="12.75" x14ac:dyDescent="0.2">
      <c r="I408" s="53"/>
      <c r="J408" s="46"/>
    </row>
    <row r="409" spans="9:10" ht="12.75" x14ac:dyDescent="0.2">
      <c r="I409" s="53"/>
      <c r="J409" s="46"/>
    </row>
    <row r="410" spans="9:10" ht="12.75" x14ac:dyDescent="0.2">
      <c r="I410" s="53"/>
      <c r="J410" s="46"/>
    </row>
    <row r="411" spans="9:10" ht="12.75" x14ac:dyDescent="0.2">
      <c r="I411" s="53"/>
      <c r="J411" s="46"/>
    </row>
    <row r="412" spans="9:10" ht="12.75" x14ac:dyDescent="0.2">
      <c r="I412" s="53"/>
      <c r="J412" s="46"/>
    </row>
    <row r="413" spans="9:10" ht="12.75" x14ac:dyDescent="0.2">
      <c r="I413" s="53"/>
      <c r="J413" s="46"/>
    </row>
    <row r="414" spans="9:10" ht="12.75" x14ac:dyDescent="0.2">
      <c r="I414" s="53"/>
      <c r="J414" s="46"/>
    </row>
    <row r="415" spans="9:10" ht="12.75" x14ac:dyDescent="0.2">
      <c r="I415" s="53"/>
      <c r="J415" s="46"/>
    </row>
    <row r="416" spans="9:10" ht="12.75" x14ac:dyDescent="0.2">
      <c r="I416" s="53"/>
      <c r="J416" s="46"/>
    </row>
    <row r="417" spans="9:10" ht="12.75" x14ac:dyDescent="0.2">
      <c r="I417" s="53"/>
      <c r="J417" s="46"/>
    </row>
    <row r="418" spans="9:10" ht="12.75" x14ac:dyDescent="0.2">
      <c r="I418" s="53"/>
      <c r="J418" s="46"/>
    </row>
    <row r="419" spans="9:10" ht="12.75" x14ac:dyDescent="0.2">
      <c r="I419" s="53"/>
      <c r="J419" s="46"/>
    </row>
    <row r="420" spans="9:10" ht="12.75" x14ac:dyDescent="0.2">
      <c r="I420" s="53"/>
      <c r="J420" s="46"/>
    </row>
    <row r="421" spans="9:10" ht="12.75" x14ac:dyDescent="0.2">
      <c r="I421" s="53"/>
      <c r="J421" s="46"/>
    </row>
    <row r="422" spans="9:10" ht="12.75" x14ac:dyDescent="0.2">
      <c r="I422" s="53"/>
      <c r="J422" s="46"/>
    </row>
    <row r="423" spans="9:10" ht="12.75" x14ac:dyDescent="0.2">
      <c r="I423" s="53"/>
      <c r="J423" s="46"/>
    </row>
    <row r="424" spans="9:10" ht="12.75" x14ac:dyDescent="0.2">
      <c r="I424" s="53"/>
      <c r="J424" s="46"/>
    </row>
    <row r="425" spans="9:10" ht="12.75" x14ac:dyDescent="0.2">
      <c r="I425" s="53"/>
      <c r="J425" s="46"/>
    </row>
    <row r="426" spans="9:10" ht="12.75" x14ac:dyDescent="0.2">
      <c r="I426" s="53"/>
      <c r="J426" s="46"/>
    </row>
    <row r="427" spans="9:10" ht="12.75" x14ac:dyDescent="0.2">
      <c r="I427" s="53"/>
      <c r="J427" s="46"/>
    </row>
    <row r="428" spans="9:10" ht="12.75" x14ac:dyDescent="0.2">
      <c r="I428" s="53"/>
      <c r="J428" s="46"/>
    </row>
    <row r="429" spans="9:10" ht="12.75" x14ac:dyDescent="0.2">
      <c r="I429" s="53"/>
      <c r="J429" s="46"/>
    </row>
    <row r="430" spans="9:10" ht="12.75" x14ac:dyDescent="0.2">
      <c r="I430" s="53"/>
      <c r="J430" s="46"/>
    </row>
    <row r="431" spans="9:10" ht="12.75" x14ac:dyDescent="0.2">
      <c r="I431" s="53"/>
      <c r="J431" s="46"/>
    </row>
    <row r="432" spans="9:10" ht="12.75" x14ac:dyDescent="0.2">
      <c r="I432" s="53"/>
      <c r="J432" s="46"/>
    </row>
    <row r="433" spans="9:10" ht="12.75" x14ac:dyDescent="0.2">
      <c r="I433" s="53"/>
      <c r="J433" s="46"/>
    </row>
    <row r="434" spans="9:10" ht="12.75" x14ac:dyDescent="0.2">
      <c r="I434" s="53"/>
      <c r="J434" s="46"/>
    </row>
    <row r="435" spans="9:10" ht="12.75" x14ac:dyDescent="0.2">
      <c r="I435" s="53"/>
      <c r="J435" s="46"/>
    </row>
    <row r="436" spans="9:10" ht="12.75" x14ac:dyDescent="0.2">
      <c r="I436" s="53"/>
      <c r="J436" s="46"/>
    </row>
    <row r="437" spans="9:10" ht="12.75" x14ac:dyDescent="0.2">
      <c r="I437" s="53"/>
      <c r="J437" s="46"/>
    </row>
    <row r="438" spans="9:10" ht="12.75" x14ac:dyDescent="0.2">
      <c r="I438" s="53"/>
      <c r="J438" s="46"/>
    </row>
    <row r="439" spans="9:10" ht="12.75" x14ac:dyDescent="0.2">
      <c r="I439" s="53"/>
      <c r="J439" s="46"/>
    </row>
    <row r="440" spans="9:10" ht="12.75" x14ac:dyDescent="0.2">
      <c r="I440" s="53"/>
      <c r="J440" s="46"/>
    </row>
    <row r="441" spans="9:10" ht="12.75" x14ac:dyDescent="0.2">
      <c r="I441" s="53"/>
      <c r="J441" s="46"/>
    </row>
    <row r="442" spans="9:10" ht="12.75" x14ac:dyDescent="0.2">
      <c r="I442" s="53"/>
      <c r="J442" s="46"/>
    </row>
    <row r="443" spans="9:10" ht="12.75" x14ac:dyDescent="0.2">
      <c r="I443" s="53"/>
      <c r="J443" s="46"/>
    </row>
    <row r="444" spans="9:10" ht="12.75" x14ac:dyDescent="0.2">
      <c r="I444" s="53"/>
      <c r="J444" s="46"/>
    </row>
    <row r="445" spans="9:10" ht="12.75" x14ac:dyDescent="0.2">
      <c r="I445" s="53"/>
      <c r="J445" s="46"/>
    </row>
    <row r="446" spans="9:10" ht="12.75" x14ac:dyDescent="0.2">
      <c r="I446" s="53"/>
      <c r="J446" s="46"/>
    </row>
    <row r="447" spans="9:10" ht="12.75" x14ac:dyDescent="0.2">
      <c r="I447" s="53"/>
      <c r="J447" s="46"/>
    </row>
    <row r="448" spans="9:10" ht="12.75" x14ac:dyDescent="0.2">
      <c r="I448" s="53"/>
      <c r="J448" s="46"/>
    </row>
    <row r="449" spans="9:10" ht="12.75" x14ac:dyDescent="0.2">
      <c r="I449" s="53"/>
      <c r="J449" s="46"/>
    </row>
    <row r="450" spans="9:10" ht="12.75" x14ac:dyDescent="0.2">
      <c r="I450" s="53"/>
      <c r="J450" s="46"/>
    </row>
    <row r="451" spans="9:10" ht="12.75" x14ac:dyDescent="0.2">
      <c r="I451" s="53"/>
      <c r="J451" s="46"/>
    </row>
    <row r="452" spans="9:10" ht="12.75" x14ac:dyDescent="0.2">
      <c r="I452" s="53"/>
      <c r="J452" s="46"/>
    </row>
    <row r="453" spans="9:10" ht="12.75" x14ac:dyDescent="0.2">
      <c r="I453" s="53"/>
      <c r="J453" s="46"/>
    </row>
    <row r="454" spans="9:10" ht="12.75" x14ac:dyDescent="0.2">
      <c r="I454" s="53"/>
      <c r="J454" s="46"/>
    </row>
    <row r="455" spans="9:10" ht="12.75" x14ac:dyDescent="0.2">
      <c r="I455" s="53"/>
      <c r="J455" s="46"/>
    </row>
    <row r="456" spans="9:10" ht="12.75" x14ac:dyDescent="0.2">
      <c r="I456" s="53"/>
      <c r="J456" s="46"/>
    </row>
    <row r="457" spans="9:10" ht="12.75" x14ac:dyDescent="0.2">
      <c r="I457" s="53"/>
      <c r="J457" s="46"/>
    </row>
    <row r="458" spans="9:10" ht="12.75" x14ac:dyDescent="0.2">
      <c r="I458" s="53"/>
      <c r="J458" s="46"/>
    </row>
    <row r="459" spans="9:10" ht="12.75" x14ac:dyDescent="0.2">
      <c r="I459" s="53"/>
      <c r="J459" s="46"/>
    </row>
    <row r="460" spans="9:10" ht="12.75" x14ac:dyDescent="0.2">
      <c r="I460" s="53"/>
      <c r="J460" s="46"/>
    </row>
    <row r="461" spans="9:10" ht="12.75" x14ac:dyDescent="0.2">
      <c r="I461" s="53"/>
      <c r="J461" s="46"/>
    </row>
    <row r="462" spans="9:10" ht="12.75" x14ac:dyDescent="0.2">
      <c r="I462" s="53"/>
      <c r="J462" s="46"/>
    </row>
    <row r="463" spans="9:10" ht="12.75" x14ac:dyDescent="0.2">
      <c r="I463" s="53"/>
      <c r="J463" s="46"/>
    </row>
    <row r="464" spans="9:10" ht="12.75" x14ac:dyDescent="0.2">
      <c r="I464" s="53"/>
      <c r="J464" s="46"/>
    </row>
    <row r="465" spans="9:10" ht="12.75" x14ac:dyDescent="0.2">
      <c r="I465" s="53"/>
      <c r="J465" s="46"/>
    </row>
    <row r="466" spans="9:10" ht="12.75" x14ac:dyDescent="0.2">
      <c r="I466" s="53"/>
      <c r="J466" s="46"/>
    </row>
    <row r="467" spans="9:10" ht="12.75" x14ac:dyDescent="0.2">
      <c r="I467" s="53"/>
      <c r="J467" s="46"/>
    </row>
    <row r="468" spans="9:10" ht="12.75" x14ac:dyDescent="0.2">
      <c r="I468" s="53"/>
      <c r="J468" s="46"/>
    </row>
    <row r="469" spans="9:10" ht="12.75" x14ac:dyDescent="0.2">
      <c r="I469" s="53"/>
      <c r="J469" s="46"/>
    </row>
    <row r="470" spans="9:10" ht="12.75" x14ac:dyDescent="0.2">
      <c r="I470" s="53"/>
      <c r="J470" s="46"/>
    </row>
    <row r="471" spans="9:10" ht="12.75" x14ac:dyDescent="0.2">
      <c r="I471" s="53"/>
      <c r="J471" s="46"/>
    </row>
    <row r="472" spans="9:10" ht="12.75" x14ac:dyDescent="0.2">
      <c r="I472" s="53"/>
      <c r="J472" s="46"/>
    </row>
    <row r="473" spans="9:10" ht="12.75" x14ac:dyDescent="0.2">
      <c r="I473" s="53"/>
      <c r="J473" s="46"/>
    </row>
    <row r="474" spans="9:10" ht="12.75" x14ac:dyDescent="0.2">
      <c r="I474" s="53"/>
      <c r="J474" s="46"/>
    </row>
    <row r="475" spans="9:10" ht="12.75" x14ac:dyDescent="0.2">
      <c r="I475" s="53"/>
      <c r="J475" s="46"/>
    </row>
    <row r="476" spans="9:10" ht="12.75" x14ac:dyDescent="0.2">
      <c r="I476" s="53"/>
      <c r="J476" s="46"/>
    </row>
    <row r="477" spans="9:10" ht="12.75" x14ac:dyDescent="0.2">
      <c r="I477" s="53"/>
      <c r="J477" s="46"/>
    </row>
    <row r="478" spans="9:10" ht="12.75" x14ac:dyDescent="0.2">
      <c r="I478" s="53"/>
      <c r="J478" s="46"/>
    </row>
    <row r="479" spans="9:10" ht="12.75" x14ac:dyDescent="0.2">
      <c r="I479" s="53"/>
      <c r="J479" s="46"/>
    </row>
    <row r="480" spans="9:10" ht="12.75" x14ac:dyDescent="0.2">
      <c r="I480" s="53"/>
      <c r="J480" s="46"/>
    </row>
    <row r="481" spans="9:10" ht="12.75" x14ac:dyDescent="0.2">
      <c r="I481" s="53"/>
      <c r="J481" s="46"/>
    </row>
    <row r="482" spans="9:10" ht="12.75" x14ac:dyDescent="0.2">
      <c r="I482" s="53"/>
      <c r="J482" s="46"/>
    </row>
    <row r="483" spans="9:10" ht="12.75" x14ac:dyDescent="0.2">
      <c r="I483" s="53"/>
      <c r="J483" s="46"/>
    </row>
    <row r="484" spans="9:10" ht="12.75" x14ac:dyDescent="0.2">
      <c r="I484" s="53"/>
      <c r="J484" s="46"/>
    </row>
    <row r="485" spans="9:10" ht="12.75" x14ac:dyDescent="0.2">
      <c r="I485" s="53"/>
      <c r="J485" s="46"/>
    </row>
    <row r="486" spans="9:10" ht="12.75" x14ac:dyDescent="0.2">
      <c r="I486" s="53"/>
      <c r="J486" s="46"/>
    </row>
    <row r="487" spans="9:10" ht="12.75" x14ac:dyDescent="0.2">
      <c r="I487" s="53"/>
      <c r="J487" s="46"/>
    </row>
    <row r="488" spans="9:10" ht="12.75" x14ac:dyDescent="0.2">
      <c r="I488" s="53"/>
      <c r="J488" s="46"/>
    </row>
    <row r="489" spans="9:10" ht="12.75" x14ac:dyDescent="0.2">
      <c r="I489" s="53"/>
      <c r="J489" s="46"/>
    </row>
    <row r="490" spans="9:10" ht="12.75" x14ac:dyDescent="0.2">
      <c r="I490" s="53"/>
      <c r="J490" s="46"/>
    </row>
    <row r="491" spans="9:10" ht="12.75" x14ac:dyDescent="0.2">
      <c r="I491" s="53"/>
      <c r="J491" s="46"/>
    </row>
    <row r="492" spans="9:10" ht="12.75" x14ac:dyDescent="0.2">
      <c r="I492" s="53"/>
      <c r="J492" s="46"/>
    </row>
    <row r="493" spans="9:10" ht="12.75" x14ac:dyDescent="0.2">
      <c r="I493" s="53"/>
      <c r="J493" s="46"/>
    </row>
    <row r="494" spans="9:10" ht="12.75" x14ac:dyDescent="0.2">
      <c r="I494" s="53"/>
      <c r="J494" s="46"/>
    </row>
    <row r="495" spans="9:10" ht="12.75" x14ac:dyDescent="0.2">
      <c r="I495" s="53"/>
      <c r="J495" s="46"/>
    </row>
    <row r="496" spans="9:10" ht="12.75" x14ac:dyDescent="0.2">
      <c r="I496" s="53"/>
      <c r="J496" s="46"/>
    </row>
    <row r="497" spans="9:10" ht="12.75" x14ac:dyDescent="0.2">
      <c r="I497" s="53"/>
      <c r="J497" s="46"/>
    </row>
    <row r="498" spans="9:10" ht="12.75" x14ac:dyDescent="0.2">
      <c r="I498" s="53"/>
      <c r="J498" s="46"/>
    </row>
    <row r="499" spans="9:10" ht="12.75" x14ac:dyDescent="0.2">
      <c r="I499" s="53"/>
      <c r="J499" s="46"/>
    </row>
    <row r="500" spans="9:10" ht="12.75" x14ac:dyDescent="0.2">
      <c r="I500" s="53"/>
      <c r="J500" s="46"/>
    </row>
    <row r="501" spans="9:10" ht="12.75" x14ac:dyDescent="0.2">
      <c r="I501" s="53"/>
      <c r="J501" s="46"/>
    </row>
    <row r="502" spans="9:10" ht="12.75" x14ac:dyDescent="0.2">
      <c r="I502" s="53"/>
      <c r="J502" s="46"/>
    </row>
    <row r="503" spans="9:10" ht="12.75" x14ac:dyDescent="0.2">
      <c r="I503" s="53"/>
      <c r="J503" s="46"/>
    </row>
    <row r="504" spans="9:10" ht="12.75" x14ac:dyDescent="0.2">
      <c r="I504" s="53"/>
      <c r="J504" s="46"/>
    </row>
    <row r="505" spans="9:10" ht="12.75" x14ac:dyDescent="0.2">
      <c r="I505" s="53"/>
      <c r="J505" s="46"/>
    </row>
    <row r="506" spans="9:10" ht="12.75" x14ac:dyDescent="0.2">
      <c r="I506" s="53"/>
      <c r="J506" s="46"/>
    </row>
    <row r="507" spans="9:10" ht="12.75" x14ac:dyDescent="0.2">
      <c r="I507" s="53"/>
      <c r="J507" s="46"/>
    </row>
    <row r="508" spans="9:10" ht="12.75" x14ac:dyDescent="0.2">
      <c r="I508" s="53"/>
      <c r="J508" s="46"/>
    </row>
    <row r="509" spans="9:10" ht="12.75" x14ac:dyDescent="0.2">
      <c r="I509" s="53"/>
      <c r="J509" s="46"/>
    </row>
    <row r="510" spans="9:10" ht="12.75" x14ac:dyDescent="0.2">
      <c r="I510" s="53"/>
      <c r="J510" s="46"/>
    </row>
    <row r="511" spans="9:10" ht="12.75" x14ac:dyDescent="0.2">
      <c r="I511" s="53"/>
      <c r="J511" s="46"/>
    </row>
    <row r="512" spans="9:10" ht="12.75" x14ac:dyDescent="0.2">
      <c r="I512" s="53"/>
      <c r="J512" s="46"/>
    </row>
    <row r="513" spans="9:10" ht="12.75" x14ac:dyDescent="0.2">
      <c r="I513" s="53"/>
      <c r="J513" s="46"/>
    </row>
    <row r="514" spans="9:10" ht="12.75" x14ac:dyDescent="0.2">
      <c r="I514" s="53"/>
      <c r="J514" s="46"/>
    </row>
    <row r="515" spans="9:10" ht="12.75" x14ac:dyDescent="0.2">
      <c r="I515" s="53"/>
      <c r="J515" s="46"/>
    </row>
    <row r="516" spans="9:10" ht="12.75" x14ac:dyDescent="0.2">
      <c r="I516" s="53"/>
      <c r="J516" s="46"/>
    </row>
    <row r="517" spans="9:10" ht="12.75" x14ac:dyDescent="0.2">
      <c r="I517" s="53"/>
      <c r="J517" s="46"/>
    </row>
    <row r="518" spans="9:10" ht="12.75" x14ac:dyDescent="0.2">
      <c r="I518" s="53"/>
      <c r="J518" s="46"/>
    </row>
    <row r="519" spans="9:10" ht="12.75" x14ac:dyDescent="0.2">
      <c r="I519" s="53"/>
      <c r="J519" s="46"/>
    </row>
    <row r="520" spans="9:10" ht="12.75" x14ac:dyDescent="0.2">
      <c r="I520" s="53"/>
      <c r="J520" s="46"/>
    </row>
    <row r="521" spans="9:10" ht="12.75" x14ac:dyDescent="0.2">
      <c r="I521" s="53"/>
      <c r="J521" s="46"/>
    </row>
    <row r="522" spans="9:10" ht="12.75" x14ac:dyDescent="0.2">
      <c r="I522" s="53"/>
      <c r="J522" s="46"/>
    </row>
    <row r="523" spans="9:10" ht="12.75" x14ac:dyDescent="0.2">
      <c r="I523" s="53"/>
      <c r="J523" s="46"/>
    </row>
    <row r="524" spans="9:10" ht="12.75" x14ac:dyDescent="0.2">
      <c r="I524" s="53"/>
      <c r="J524" s="46"/>
    </row>
    <row r="525" spans="9:10" ht="12.75" x14ac:dyDescent="0.2">
      <c r="I525" s="53"/>
      <c r="J525" s="46"/>
    </row>
    <row r="526" spans="9:10" ht="12.75" x14ac:dyDescent="0.2">
      <c r="I526" s="53"/>
      <c r="J526" s="46"/>
    </row>
    <row r="527" spans="9:10" ht="12.75" x14ac:dyDescent="0.2">
      <c r="I527" s="53"/>
      <c r="J527" s="46"/>
    </row>
    <row r="528" spans="9:10" ht="12.75" x14ac:dyDescent="0.2">
      <c r="I528" s="53"/>
      <c r="J528" s="46"/>
    </row>
    <row r="529" spans="9:10" ht="12.75" x14ac:dyDescent="0.2">
      <c r="I529" s="53"/>
      <c r="J529" s="46"/>
    </row>
    <row r="530" spans="9:10" ht="12.75" x14ac:dyDescent="0.2">
      <c r="I530" s="53"/>
      <c r="J530" s="46"/>
    </row>
    <row r="531" spans="9:10" ht="12.75" x14ac:dyDescent="0.2">
      <c r="I531" s="53"/>
      <c r="J531" s="46"/>
    </row>
    <row r="532" spans="9:10" ht="12.75" x14ac:dyDescent="0.2">
      <c r="I532" s="53"/>
      <c r="J532" s="46"/>
    </row>
    <row r="533" spans="9:10" ht="12.75" x14ac:dyDescent="0.2">
      <c r="I533" s="53"/>
      <c r="J533" s="46"/>
    </row>
    <row r="534" spans="9:10" ht="12.75" x14ac:dyDescent="0.2">
      <c r="I534" s="53"/>
      <c r="J534" s="46"/>
    </row>
    <row r="535" spans="9:10" ht="12.75" x14ac:dyDescent="0.2">
      <c r="I535" s="53"/>
      <c r="J535" s="46"/>
    </row>
    <row r="536" spans="9:10" ht="12.75" x14ac:dyDescent="0.2">
      <c r="I536" s="53"/>
      <c r="J536" s="46"/>
    </row>
    <row r="537" spans="9:10" ht="12.75" x14ac:dyDescent="0.2">
      <c r="I537" s="53"/>
      <c r="J537" s="46"/>
    </row>
    <row r="538" spans="9:10" ht="12.75" x14ac:dyDescent="0.2">
      <c r="I538" s="53"/>
      <c r="J538" s="46"/>
    </row>
    <row r="539" spans="9:10" ht="12.75" x14ac:dyDescent="0.2">
      <c r="I539" s="53"/>
      <c r="J539" s="46"/>
    </row>
    <row r="540" spans="9:10" ht="12.75" x14ac:dyDescent="0.2">
      <c r="I540" s="53"/>
      <c r="J540" s="46"/>
    </row>
    <row r="541" spans="9:10" ht="12.75" x14ac:dyDescent="0.2">
      <c r="I541" s="53"/>
      <c r="J541" s="46"/>
    </row>
    <row r="542" spans="9:10" ht="12.75" x14ac:dyDescent="0.2">
      <c r="I542" s="53"/>
      <c r="J542" s="46"/>
    </row>
    <row r="543" spans="9:10" ht="12.75" x14ac:dyDescent="0.2">
      <c r="I543" s="53"/>
      <c r="J543" s="46"/>
    </row>
    <row r="544" spans="9:10" ht="12.75" x14ac:dyDescent="0.2">
      <c r="I544" s="53"/>
      <c r="J544" s="46"/>
    </row>
    <row r="545" spans="9:10" ht="12.75" x14ac:dyDescent="0.2">
      <c r="I545" s="53"/>
      <c r="J545" s="46"/>
    </row>
    <row r="546" spans="9:10" ht="12.75" x14ac:dyDescent="0.2">
      <c r="I546" s="53"/>
      <c r="J546" s="46"/>
    </row>
    <row r="547" spans="9:10" ht="12.75" x14ac:dyDescent="0.2">
      <c r="I547" s="53"/>
      <c r="J547" s="46"/>
    </row>
    <row r="548" spans="9:10" ht="12.75" x14ac:dyDescent="0.2">
      <c r="I548" s="53"/>
      <c r="J548" s="46"/>
    </row>
    <row r="549" spans="9:10" ht="12.75" x14ac:dyDescent="0.2">
      <c r="I549" s="53"/>
      <c r="J549" s="46"/>
    </row>
    <row r="550" spans="9:10" ht="12.75" x14ac:dyDescent="0.2">
      <c r="I550" s="53"/>
      <c r="J550" s="46"/>
    </row>
    <row r="551" spans="9:10" ht="12.75" x14ac:dyDescent="0.2">
      <c r="I551" s="53"/>
      <c r="J551" s="46"/>
    </row>
    <row r="552" spans="9:10" ht="12.75" x14ac:dyDescent="0.2">
      <c r="I552" s="53"/>
      <c r="J552" s="46"/>
    </row>
    <row r="553" spans="9:10" ht="12.75" x14ac:dyDescent="0.2">
      <c r="I553" s="53"/>
      <c r="J553" s="46"/>
    </row>
    <row r="554" spans="9:10" ht="12.75" x14ac:dyDescent="0.2">
      <c r="I554" s="53"/>
      <c r="J554" s="46"/>
    </row>
    <row r="555" spans="9:10" ht="12.75" x14ac:dyDescent="0.2">
      <c r="I555" s="53"/>
      <c r="J555" s="46"/>
    </row>
    <row r="556" spans="9:10" ht="12.75" x14ac:dyDescent="0.2">
      <c r="I556" s="53"/>
      <c r="J556" s="46"/>
    </row>
    <row r="557" spans="9:10" ht="12.75" x14ac:dyDescent="0.2">
      <c r="I557" s="53"/>
      <c r="J557" s="46"/>
    </row>
    <row r="558" spans="9:10" ht="12.75" x14ac:dyDescent="0.2">
      <c r="I558" s="53"/>
      <c r="J558" s="46"/>
    </row>
    <row r="559" spans="9:10" ht="12.75" x14ac:dyDescent="0.2">
      <c r="I559" s="53"/>
      <c r="J559" s="46"/>
    </row>
    <row r="560" spans="9:10" ht="12.75" x14ac:dyDescent="0.2">
      <c r="I560" s="53"/>
      <c r="J560" s="46"/>
    </row>
    <row r="561" spans="9:10" ht="12.75" x14ac:dyDescent="0.2">
      <c r="I561" s="53"/>
      <c r="J561" s="46"/>
    </row>
    <row r="562" spans="9:10" ht="12.75" x14ac:dyDescent="0.2">
      <c r="I562" s="53"/>
      <c r="J562" s="46"/>
    </row>
    <row r="563" spans="9:10" ht="12.75" x14ac:dyDescent="0.2">
      <c r="I563" s="53"/>
      <c r="J563" s="46"/>
    </row>
    <row r="564" spans="9:10" ht="12.75" x14ac:dyDescent="0.2">
      <c r="I564" s="53"/>
      <c r="J564" s="46"/>
    </row>
    <row r="565" spans="9:10" ht="12.75" x14ac:dyDescent="0.2">
      <c r="I565" s="53"/>
      <c r="J565" s="46"/>
    </row>
    <row r="566" spans="9:10" ht="12.75" x14ac:dyDescent="0.2">
      <c r="I566" s="53"/>
      <c r="J566" s="46"/>
    </row>
    <row r="567" spans="9:10" ht="12.75" x14ac:dyDescent="0.2">
      <c r="I567" s="53"/>
      <c r="J567" s="46"/>
    </row>
    <row r="568" spans="9:10" ht="12.75" x14ac:dyDescent="0.2">
      <c r="I568" s="53"/>
      <c r="J568" s="46"/>
    </row>
    <row r="569" spans="9:10" ht="12.75" x14ac:dyDescent="0.2">
      <c r="I569" s="53"/>
      <c r="J569" s="46"/>
    </row>
    <row r="570" spans="9:10" ht="12.75" x14ac:dyDescent="0.2">
      <c r="I570" s="53"/>
      <c r="J570" s="46"/>
    </row>
    <row r="571" spans="9:10" ht="12.75" x14ac:dyDescent="0.2">
      <c r="I571" s="53"/>
      <c r="J571" s="46"/>
    </row>
    <row r="572" spans="9:10" ht="12.75" x14ac:dyDescent="0.2">
      <c r="I572" s="53"/>
      <c r="J572" s="46"/>
    </row>
    <row r="573" spans="9:10" ht="12.75" x14ac:dyDescent="0.2">
      <c r="I573" s="53"/>
      <c r="J573" s="46"/>
    </row>
    <row r="574" spans="9:10" ht="12.75" x14ac:dyDescent="0.2">
      <c r="I574" s="53"/>
      <c r="J574" s="46"/>
    </row>
    <row r="575" spans="9:10" ht="12.75" x14ac:dyDescent="0.2">
      <c r="I575" s="53"/>
      <c r="J575" s="46"/>
    </row>
    <row r="576" spans="9:10" ht="12.75" x14ac:dyDescent="0.2">
      <c r="I576" s="53"/>
      <c r="J576" s="46"/>
    </row>
    <row r="577" spans="9:10" ht="12.75" x14ac:dyDescent="0.2">
      <c r="I577" s="53"/>
      <c r="J577" s="46"/>
    </row>
    <row r="578" spans="9:10" ht="12.75" x14ac:dyDescent="0.2">
      <c r="I578" s="53"/>
      <c r="J578" s="46"/>
    </row>
    <row r="579" spans="9:10" ht="12.75" x14ac:dyDescent="0.2">
      <c r="I579" s="53"/>
      <c r="J579" s="46"/>
    </row>
    <row r="580" spans="9:10" ht="12.75" x14ac:dyDescent="0.2">
      <c r="I580" s="53"/>
      <c r="J580" s="46"/>
    </row>
    <row r="581" spans="9:10" ht="12.75" x14ac:dyDescent="0.2">
      <c r="I581" s="53"/>
      <c r="J581" s="46"/>
    </row>
    <row r="582" spans="9:10" ht="12.75" x14ac:dyDescent="0.2">
      <c r="I582" s="53"/>
      <c r="J582" s="46"/>
    </row>
    <row r="583" spans="9:10" ht="12.75" x14ac:dyDescent="0.2">
      <c r="I583" s="53"/>
      <c r="J583" s="46"/>
    </row>
    <row r="584" spans="9:10" ht="12.75" x14ac:dyDescent="0.2">
      <c r="I584" s="53"/>
      <c r="J584" s="46"/>
    </row>
    <row r="585" spans="9:10" ht="12.75" x14ac:dyDescent="0.2">
      <c r="I585" s="53"/>
      <c r="J585" s="46"/>
    </row>
    <row r="586" spans="9:10" ht="12.75" x14ac:dyDescent="0.2">
      <c r="I586" s="53"/>
      <c r="J586" s="46"/>
    </row>
    <row r="587" spans="9:10" ht="12.75" x14ac:dyDescent="0.2">
      <c r="I587" s="53"/>
      <c r="J587" s="46"/>
    </row>
    <row r="588" spans="9:10" ht="12.75" x14ac:dyDescent="0.2">
      <c r="I588" s="53"/>
      <c r="J588" s="46"/>
    </row>
    <row r="589" spans="9:10" ht="12.75" x14ac:dyDescent="0.2">
      <c r="I589" s="53"/>
      <c r="J589" s="46"/>
    </row>
    <row r="590" spans="9:10" ht="12.75" x14ac:dyDescent="0.2">
      <c r="I590" s="53"/>
      <c r="J590" s="46"/>
    </row>
    <row r="591" spans="9:10" ht="12.75" x14ac:dyDescent="0.2">
      <c r="I591" s="53"/>
      <c r="J591" s="46"/>
    </row>
    <row r="592" spans="9:10" ht="12.75" x14ac:dyDescent="0.2">
      <c r="I592" s="53"/>
      <c r="J592" s="46"/>
    </row>
    <row r="593" spans="9:10" ht="12.75" x14ac:dyDescent="0.2">
      <c r="I593" s="53"/>
      <c r="J593" s="46"/>
    </row>
    <row r="594" spans="9:10" ht="12.75" x14ac:dyDescent="0.2">
      <c r="I594" s="53"/>
      <c r="J594" s="46"/>
    </row>
    <row r="595" spans="9:10" ht="12.75" x14ac:dyDescent="0.2">
      <c r="I595" s="53"/>
      <c r="J595" s="46"/>
    </row>
    <row r="596" spans="9:10" ht="12.75" x14ac:dyDescent="0.2">
      <c r="I596" s="53"/>
      <c r="J596" s="46"/>
    </row>
    <row r="597" spans="9:10" ht="12.75" x14ac:dyDescent="0.2">
      <c r="I597" s="53"/>
      <c r="J597" s="46"/>
    </row>
    <row r="598" spans="9:10" ht="12.75" x14ac:dyDescent="0.2">
      <c r="I598" s="53"/>
      <c r="J598" s="46"/>
    </row>
    <row r="599" spans="9:10" ht="12.75" x14ac:dyDescent="0.2">
      <c r="I599" s="53"/>
      <c r="J599" s="46"/>
    </row>
    <row r="600" spans="9:10" ht="12.75" x14ac:dyDescent="0.2">
      <c r="I600" s="53"/>
      <c r="J600" s="46"/>
    </row>
    <row r="601" spans="9:10" ht="12.75" x14ac:dyDescent="0.2">
      <c r="I601" s="53"/>
      <c r="J601" s="46"/>
    </row>
    <row r="602" spans="9:10" ht="12.75" x14ac:dyDescent="0.2">
      <c r="I602" s="53"/>
      <c r="J602" s="46"/>
    </row>
    <row r="603" spans="9:10" ht="12.75" x14ac:dyDescent="0.2">
      <c r="I603" s="53"/>
      <c r="J603" s="46"/>
    </row>
    <row r="604" spans="9:10" ht="12.75" x14ac:dyDescent="0.2">
      <c r="I604" s="53"/>
      <c r="J604" s="46"/>
    </row>
    <row r="605" spans="9:10" ht="12.75" x14ac:dyDescent="0.2">
      <c r="I605" s="53"/>
      <c r="J605" s="46"/>
    </row>
    <row r="606" spans="9:10" ht="12.75" x14ac:dyDescent="0.2">
      <c r="I606" s="53"/>
      <c r="J606" s="46"/>
    </row>
    <row r="607" spans="9:10" ht="12.75" x14ac:dyDescent="0.2">
      <c r="I607" s="53"/>
      <c r="J607" s="46"/>
    </row>
    <row r="608" spans="9:10" ht="12.75" x14ac:dyDescent="0.2">
      <c r="I608" s="53"/>
      <c r="J608" s="46"/>
    </row>
    <row r="609" spans="9:10" ht="12.75" x14ac:dyDescent="0.2">
      <c r="I609" s="53"/>
      <c r="J609" s="46"/>
    </row>
    <row r="610" spans="9:10" ht="12.75" x14ac:dyDescent="0.2">
      <c r="I610" s="53"/>
      <c r="J610" s="46"/>
    </row>
    <row r="611" spans="9:10" ht="12.75" x14ac:dyDescent="0.2">
      <c r="I611" s="53"/>
      <c r="J611" s="46"/>
    </row>
    <row r="612" spans="9:10" ht="12.75" x14ac:dyDescent="0.2">
      <c r="I612" s="53"/>
      <c r="J612" s="46"/>
    </row>
    <row r="613" spans="9:10" ht="12.75" x14ac:dyDescent="0.2">
      <c r="I613" s="53"/>
      <c r="J613" s="46"/>
    </row>
    <row r="614" spans="9:10" ht="12.75" x14ac:dyDescent="0.2">
      <c r="I614" s="53"/>
      <c r="J614" s="46"/>
    </row>
    <row r="615" spans="9:10" ht="12.75" x14ac:dyDescent="0.2">
      <c r="I615" s="53"/>
      <c r="J615" s="46"/>
    </row>
    <row r="616" spans="9:10" ht="12.75" x14ac:dyDescent="0.2">
      <c r="I616" s="53"/>
      <c r="J616" s="46"/>
    </row>
    <row r="617" spans="9:10" ht="12.75" x14ac:dyDescent="0.2">
      <c r="I617" s="53"/>
      <c r="J617" s="46"/>
    </row>
    <row r="618" spans="9:10" ht="12.75" x14ac:dyDescent="0.2">
      <c r="I618" s="53"/>
      <c r="J618" s="46"/>
    </row>
    <row r="619" spans="9:10" ht="12.75" x14ac:dyDescent="0.2">
      <c r="I619" s="53"/>
      <c r="J619" s="46"/>
    </row>
    <row r="620" spans="9:10" ht="12.75" x14ac:dyDescent="0.2">
      <c r="I620" s="53"/>
      <c r="J620" s="46"/>
    </row>
    <row r="621" spans="9:10" ht="12.75" x14ac:dyDescent="0.2">
      <c r="I621" s="53"/>
      <c r="J621" s="46"/>
    </row>
    <row r="622" spans="9:10" ht="12.75" x14ac:dyDescent="0.2">
      <c r="I622" s="53"/>
      <c r="J622" s="46"/>
    </row>
    <row r="623" spans="9:10" ht="12.75" x14ac:dyDescent="0.2">
      <c r="I623" s="53"/>
      <c r="J623" s="46"/>
    </row>
    <row r="624" spans="9:10" ht="12.75" x14ac:dyDescent="0.2">
      <c r="I624" s="53"/>
      <c r="J624" s="46"/>
    </row>
    <row r="625" spans="9:10" ht="12.75" x14ac:dyDescent="0.2">
      <c r="I625" s="53"/>
      <c r="J625" s="46"/>
    </row>
    <row r="626" spans="9:10" ht="12.75" x14ac:dyDescent="0.2">
      <c r="I626" s="53"/>
      <c r="J626" s="46"/>
    </row>
    <row r="627" spans="9:10" ht="12.75" x14ac:dyDescent="0.2">
      <c r="I627" s="53"/>
      <c r="J627" s="46"/>
    </row>
    <row r="628" spans="9:10" ht="12.75" x14ac:dyDescent="0.2">
      <c r="I628" s="53"/>
      <c r="J628" s="46"/>
    </row>
    <row r="629" spans="9:10" ht="12.75" x14ac:dyDescent="0.2">
      <c r="I629" s="53"/>
      <c r="J629" s="46"/>
    </row>
    <row r="630" spans="9:10" ht="12.75" x14ac:dyDescent="0.2">
      <c r="I630" s="53"/>
      <c r="J630" s="46"/>
    </row>
    <row r="631" spans="9:10" ht="12.75" x14ac:dyDescent="0.2">
      <c r="I631" s="53"/>
      <c r="J631" s="46"/>
    </row>
    <row r="632" spans="9:10" ht="12.75" x14ac:dyDescent="0.2">
      <c r="I632" s="53"/>
      <c r="J632" s="46"/>
    </row>
    <row r="633" spans="9:10" ht="12.75" x14ac:dyDescent="0.2">
      <c r="I633" s="53"/>
      <c r="J633" s="46"/>
    </row>
    <row r="634" spans="9:10" ht="12.75" x14ac:dyDescent="0.2">
      <c r="I634" s="53"/>
      <c r="J634" s="46"/>
    </row>
    <row r="635" spans="9:10" ht="12.75" x14ac:dyDescent="0.2">
      <c r="I635" s="53"/>
      <c r="J635" s="46"/>
    </row>
    <row r="636" spans="9:10" ht="12.75" x14ac:dyDescent="0.2">
      <c r="I636" s="53"/>
      <c r="J636" s="46"/>
    </row>
    <row r="637" spans="9:10" ht="12.75" x14ac:dyDescent="0.2">
      <c r="I637" s="53"/>
      <c r="J637" s="46"/>
    </row>
    <row r="638" spans="9:10" ht="12.75" x14ac:dyDescent="0.2">
      <c r="I638" s="53"/>
      <c r="J638" s="46"/>
    </row>
    <row r="639" spans="9:10" ht="12.75" x14ac:dyDescent="0.2">
      <c r="I639" s="53"/>
      <c r="J639" s="46"/>
    </row>
    <row r="640" spans="9:10" ht="12.75" x14ac:dyDescent="0.2">
      <c r="I640" s="53"/>
      <c r="J640" s="46"/>
    </row>
    <row r="641" spans="9:10" ht="12.75" x14ac:dyDescent="0.2">
      <c r="I641" s="53"/>
      <c r="J641" s="46"/>
    </row>
    <row r="642" spans="9:10" ht="12.75" x14ac:dyDescent="0.2">
      <c r="I642" s="53"/>
      <c r="J642" s="46"/>
    </row>
    <row r="643" spans="9:10" ht="12.75" x14ac:dyDescent="0.2">
      <c r="I643" s="53"/>
      <c r="J643" s="46"/>
    </row>
    <row r="644" spans="9:10" ht="12.75" x14ac:dyDescent="0.2">
      <c r="I644" s="53"/>
      <c r="J644" s="46"/>
    </row>
    <row r="645" spans="9:10" ht="12.75" x14ac:dyDescent="0.2">
      <c r="I645" s="53"/>
      <c r="J645" s="46"/>
    </row>
    <row r="646" spans="9:10" ht="12.75" x14ac:dyDescent="0.2">
      <c r="I646" s="53"/>
      <c r="J646" s="46"/>
    </row>
    <row r="647" spans="9:10" ht="12.75" x14ac:dyDescent="0.2">
      <c r="I647" s="53"/>
      <c r="J647" s="46"/>
    </row>
    <row r="648" spans="9:10" ht="12.75" x14ac:dyDescent="0.2">
      <c r="I648" s="53"/>
      <c r="J648" s="46"/>
    </row>
    <row r="649" spans="9:10" ht="12.75" x14ac:dyDescent="0.2">
      <c r="I649" s="53"/>
      <c r="J649" s="46"/>
    </row>
    <row r="650" spans="9:10" ht="12.75" x14ac:dyDescent="0.2">
      <c r="I650" s="53"/>
      <c r="J650" s="46"/>
    </row>
    <row r="651" spans="9:10" ht="12.75" x14ac:dyDescent="0.2">
      <c r="I651" s="53"/>
      <c r="J651" s="46"/>
    </row>
    <row r="652" spans="9:10" ht="12.75" x14ac:dyDescent="0.2">
      <c r="I652" s="53"/>
      <c r="J652" s="46"/>
    </row>
    <row r="653" spans="9:10" ht="12.75" x14ac:dyDescent="0.2">
      <c r="I653" s="53"/>
      <c r="J653" s="46"/>
    </row>
    <row r="654" spans="9:10" ht="12.75" x14ac:dyDescent="0.2">
      <c r="I654" s="53"/>
      <c r="J654" s="46"/>
    </row>
    <row r="655" spans="9:10" ht="12.75" x14ac:dyDescent="0.2">
      <c r="I655" s="53"/>
      <c r="J655" s="46"/>
    </row>
    <row r="656" spans="9:10" ht="12.75" x14ac:dyDescent="0.2">
      <c r="I656" s="53"/>
      <c r="J656" s="46"/>
    </row>
    <row r="657" spans="9:10" ht="12.75" x14ac:dyDescent="0.2">
      <c r="I657" s="53"/>
      <c r="J657" s="46"/>
    </row>
    <row r="658" spans="9:10" ht="12.75" x14ac:dyDescent="0.2">
      <c r="I658" s="53"/>
      <c r="J658" s="46"/>
    </row>
    <row r="659" spans="9:10" ht="12.75" x14ac:dyDescent="0.2">
      <c r="I659" s="53"/>
      <c r="J659" s="46"/>
    </row>
    <row r="660" spans="9:10" ht="12.75" x14ac:dyDescent="0.2">
      <c r="I660" s="53"/>
      <c r="J660" s="46"/>
    </row>
    <row r="661" spans="9:10" ht="12.75" x14ac:dyDescent="0.2">
      <c r="I661" s="53"/>
      <c r="J661" s="46"/>
    </row>
    <row r="662" spans="9:10" ht="12.75" x14ac:dyDescent="0.2">
      <c r="I662" s="53"/>
      <c r="J662" s="46"/>
    </row>
    <row r="663" spans="9:10" ht="12.75" x14ac:dyDescent="0.2">
      <c r="I663" s="53"/>
      <c r="J663" s="46"/>
    </row>
    <row r="664" spans="9:10" ht="12.75" x14ac:dyDescent="0.2">
      <c r="I664" s="53"/>
      <c r="J664" s="46"/>
    </row>
    <row r="665" spans="9:10" ht="12.75" x14ac:dyDescent="0.2">
      <c r="I665" s="53"/>
      <c r="J665" s="46"/>
    </row>
    <row r="666" spans="9:10" ht="12.75" x14ac:dyDescent="0.2">
      <c r="I666" s="53"/>
      <c r="J666" s="46"/>
    </row>
    <row r="667" spans="9:10" ht="12.75" x14ac:dyDescent="0.2">
      <c r="I667" s="53"/>
      <c r="J667" s="46"/>
    </row>
    <row r="668" spans="9:10" ht="12.75" x14ac:dyDescent="0.2">
      <c r="I668" s="53"/>
      <c r="J668" s="46"/>
    </row>
    <row r="669" spans="9:10" ht="12.75" x14ac:dyDescent="0.2">
      <c r="I669" s="53"/>
      <c r="J669" s="46"/>
    </row>
    <row r="670" spans="9:10" ht="12.75" x14ac:dyDescent="0.2">
      <c r="I670" s="53"/>
      <c r="J670" s="46"/>
    </row>
    <row r="671" spans="9:10" ht="12.75" x14ac:dyDescent="0.2">
      <c r="I671" s="53"/>
      <c r="J671" s="46"/>
    </row>
    <row r="672" spans="9:10" ht="12.75" x14ac:dyDescent="0.2">
      <c r="I672" s="53"/>
      <c r="J672" s="46"/>
    </row>
    <row r="673" spans="9:10" ht="12.75" x14ac:dyDescent="0.2">
      <c r="I673" s="53"/>
      <c r="J673" s="46"/>
    </row>
    <row r="674" spans="9:10" ht="12.75" x14ac:dyDescent="0.2">
      <c r="I674" s="53"/>
      <c r="J674" s="46"/>
    </row>
    <row r="675" spans="9:10" ht="12.75" x14ac:dyDescent="0.2">
      <c r="I675" s="53"/>
      <c r="J675" s="46"/>
    </row>
    <row r="676" spans="9:10" ht="12.75" x14ac:dyDescent="0.2">
      <c r="I676" s="53"/>
      <c r="J676" s="46"/>
    </row>
    <row r="677" spans="9:10" ht="12.75" x14ac:dyDescent="0.2">
      <c r="I677" s="53"/>
      <c r="J677" s="46"/>
    </row>
    <row r="678" spans="9:10" ht="12.75" x14ac:dyDescent="0.2">
      <c r="I678" s="53"/>
      <c r="J678" s="46"/>
    </row>
    <row r="679" spans="9:10" ht="12.75" x14ac:dyDescent="0.2">
      <c r="I679" s="53"/>
      <c r="J679" s="46"/>
    </row>
    <row r="680" spans="9:10" ht="12.75" x14ac:dyDescent="0.2">
      <c r="I680" s="53"/>
      <c r="J680" s="46"/>
    </row>
    <row r="681" spans="9:10" ht="12.75" x14ac:dyDescent="0.2">
      <c r="I681" s="53"/>
      <c r="J681" s="46"/>
    </row>
    <row r="682" spans="9:10" ht="12.75" x14ac:dyDescent="0.2">
      <c r="I682" s="53"/>
      <c r="J682" s="46"/>
    </row>
    <row r="683" spans="9:10" ht="12.75" x14ac:dyDescent="0.2">
      <c r="I683" s="53"/>
      <c r="J683" s="46"/>
    </row>
    <row r="684" spans="9:10" ht="12.75" x14ac:dyDescent="0.2">
      <c r="I684" s="53"/>
      <c r="J684" s="46"/>
    </row>
    <row r="685" spans="9:10" ht="12.75" x14ac:dyDescent="0.2">
      <c r="I685" s="53"/>
      <c r="J685" s="46"/>
    </row>
    <row r="686" spans="9:10" ht="12.75" x14ac:dyDescent="0.2">
      <c r="I686" s="53"/>
      <c r="J686" s="46"/>
    </row>
    <row r="687" spans="9:10" ht="12.75" x14ac:dyDescent="0.2">
      <c r="I687" s="53"/>
      <c r="J687" s="46"/>
    </row>
    <row r="688" spans="9:10" ht="12.75" x14ac:dyDescent="0.2">
      <c r="I688" s="53"/>
      <c r="J688" s="46"/>
    </row>
    <row r="689" spans="9:10" ht="12.75" x14ac:dyDescent="0.2">
      <c r="I689" s="53"/>
      <c r="J689" s="46"/>
    </row>
    <row r="690" spans="9:10" ht="12.75" x14ac:dyDescent="0.2">
      <c r="I690" s="53"/>
      <c r="J690" s="46"/>
    </row>
    <row r="691" spans="9:10" ht="12.75" x14ac:dyDescent="0.2">
      <c r="I691" s="53"/>
      <c r="J691" s="46"/>
    </row>
    <row r="692" spans="9:10" ht="12.75" x14ac:dyDescent="0.2">
      <c r="I692" s="53"/>
      <c r="J692" s="46"/>
    </row>
    <row r="693" spans="9:10" ht="12.75" x14ac:dyDescent="0.2">
      <c r="I693" s="53"/>
      <c r="J693" s="46"/>
    </row>
    <row r="694" spans="9:10" ht="12.75" x14ac:dyDescent="0.2">
      <c r="I694" s="53"/>
      <c r="J694" s="46"/>
    </row>
    <row r="695" spans="9:10" ht="12.75" x14ac:dyDescent="0.2">
      <c r="I695" s="53"/>
      <c r="J695" s="46"/>
    </row>
    <row r="696" spans="9:10" ht="12.75" x14ac:dyDescent="0.2">
      <c r="I696" s="53"/>
      <c r="J696" s="46"/>
    </row>
    <row r="697" spans="9:10" ht="12.75" x14ac:dyDescent="0.2">
      <c r="I697" s="53"/>
      <c r="J697" s="46"/>
    </row>
    <row r="698" spans="9:10" ht="12.75" x14ac:dyDescent="0.2">
      <c r="I698" s="53"/>
      <c r="J698" s="46"/>
    </row>
    <row r="699" spans="9:10" ht="12.75" x14ac:dyDescent="0.2">
      <c r="I699" s="53"/>
      <c r="J699" s="46"/>
    </row>
    <row r="700" spans="9:10" ht="12.75" x14ac:dyDescent="0.2">
      <c r="I700" s="53"/>
      <c r="J700" s="46"/>
    </row>
    <row r="701" spans="9:10" ht="12.75" x14ac:dyDescent="0.2">
      <c r="I701" s="53"/>
      <c r="J701" s="46"/>
    </row>
    <row r="702" spans="9:10" ht="12.75" x14ac:dyDescent="0.2">
      <c r="I702" s="53"/>
      <c r="J702" s="46"/>
    </row>
    <row r="703" spans="9:10" ht="12.75" x14ac:dyDescent="0.2">
      <c r="I703" s="53"/>
      <c r="J703" s="46"/>
    </row>
    <row r="704" spans="9:10" ht="12.75" x14ac:dyDescent="0.2">
      <c r="I704" s="53"/>
      <c r="J704" s="46"/>
    </row>
    <row r="705" spans="9:10" ht="12.75" x14ac:dyDescent="0.2">
      <c r="I705" s="53"/>
      <c r="J705" s="46"/>
    </row>
    <row r="706" spans="9:10" ht="12.75" x14ac:dyDescent="0.2">
      <c r="I706" s="53"/>
      <c r="J706" s="46"/>
    </row>
    <row r="707" spans="9:10" ht="12.75" x14ac:dyDescent="0.2">
      <c r="I707" s="53"/>
      <c r="J707" s="46"/>
    </row>
    <row r="708" spans="9:10" ht="12.75" x14ac:dyDescent="0.2">
      <c r="I708" s="53"/>
      <c r="J708" s="46"/>
    </row>
    <row r="709" spans="9:10" ht="12.75" x14ac:dyDescent="0.2">
      <c r="I709" s="53"/>
      <c r="J709" s="46"/>
    </row>
    <row r="710" spans="9:10" ht="12.75" x14ac:dyDescent="0.2">
      <c r="I710" s="53"/>
      <c r="J710" s="46"/>
    </row>
    <row r="711" spans="9:10" ht="12.75" x14ac:dyDescent="0.2">
      <c r="I711" s="53"/>
      <c r="J711" s="46"/>
    </row>
    <row r="712" spans="9:10" ht="12.75" x14ac:dyDescent="0.2">
      <c r="I712" s="53"/>
      <c r="J712" s="46"/>
    </row>
    <row r="713" spans="9:10" ht="12.75" x14ac:dyDescent="0.2">
      <c r="I713" s="53"/>
      <c r="J713" s="46"/>
    </row>
    <row r="714" spans="9:10" ht="12.75" x14ac:dyDescent="0.2">
      <c r="I714" s="53"/>
      <c r="J714" s="46"/>
    </row>
    <row r="715" spans="9:10" ht="12.75" x14ac:dyDescent="0.2">
      <c r="I715" s="53"/>
      <c r="J715" s="46"/>
    </row>
    <row r="716" spans="9:10" ht="12.75" x14ac:dyDescent="0.2">
      <c r="I716" s="53"/>
      <c r="J716" s="46"/>
    </row>
    <row r="717" spans="9:10" ht="12.75" x14ac:dyDescent="0.2">
      <c r="I717" s="53"/>
      <c r="J717" s="46"/>
    </row>
    <row r="718" spans="9:10" ht="12.75" x14ac:dyDescent="0.2">
      <c r="I718" s="53"/>
      <c r="J718" s="46"/>
    </row>
    <row r="719" spans="9:10" ht="12.75" x14ac:dyDescent="0.2">
      <c r="I719" s="53"/>
      <c r="J719" s="46"/>
    </row>
    <row r="720" spans="9:10" ht="12.75" x14ac:dyDescent="0.2">
      <c r="I720" s="53"/>
      <c r="J720" s="46"/>
    </row>
    <row r="721" spans="9:10" ht="12.75" x14ac:dyDescent="0.2">
      <c r="I721" s="53"/>
      <c r="J721" s="46"/>
    </row>
    <row r="722" spans="9:10" ht="12.75" x14ac:dyDescent="0.2">
      <c r="I722" s="53"/>
      <c r="J722" s="46"/>
    </row>
    <row r="723" spans="9:10" ht="12.75" x14ac:dyDescent="0.2">
      <c r="I723" s="53"/>
      <c r="J723" s="46"/>
    </row>
    <row r="724" spans="9:10" ht="12.75" x14ac:dyDescent="0.2">
      <c r="I724" s="53"/>
      <c r="J724" s="46"/>
    </row>
    <row r="725" spans="9:10" ht="12.75" x14ac:dyDescent="0.2">
      <c r="I725" s="53"/>
      <c r="J725" s="46"/>
    </row>
    <row r="726" spans="9:10" ht="12.75" x14ac:dyDescent="0.2">
      <c r="I726" s="53"/>
      <c r="J726" s="46"/>
    </row>
    <row r="727" spans="9:10" ht="12.75" x14ac:dyDescent="0.2">
      <c r="I727" s="53"/>
      <c r="J727" s="46"/>
    </row>
    <row r="728" spans="9:10" ht="12.75" x14ac:dyDescent="0.2">
      <c r="I728" s="53"/>
      <c r="J728" s="46"/>
    </row>
    <row r="729" spans="9:10" ht="12.75" x14ac:dyDescent="0.2">
      <c r="I729" s="53"/>
      <c r="J729" s="46"/>
    </row>
    <row r="730" spans="9:10" ht="12.75" x14ac:dyDescent="0.2">
      <c r="I730" s="53"/>
      <c r="J730" s="46"/>
    </row>
    <row r="731" spans="9:10" ht="12.75" x14ac:dyDescent="0.2">
      <c r="I731" s="53"/>
      <c r="J731" s="46"/>
    </row>
    <row r="732" spans="9:10" ht="12.75" x14ac:dyDescent="0.2">
      <c r="I732" s="53"/>
      <c r="J732" s="46"/>
    </row>
    <row r="733" spans="9:10" ht="12.75" x14ac:dyDescent="0.2">
      <c r="I733" s="53"/>
      <c r="J733" s="46"/>
    </row>
    <row r="734" spans="9:10" ht="12.75" x14ac:dyDescent="0.2">
      <c r="I734" s="53"/>
      <c r="J734" s="46"/>
    </row>
    <row r="735" spans="9:10" ht="12.75" x14ac:dyDescent="0.2">
      <c r="I735" s="53"/>
      <c r="J735" s="46"/>
    </row>
    <row r="736" spans="9:10" ht="12.75" x14ac:dyDescent="0.2">
      <c r="I736" s="53"/>
      <c r="J736" s="46"/>
    </row>
    <row r="737" spans="9:10" ht="12.75" x14ac:dyDescent="0.2">
      <c r="I737" s="53"/>
      <c r="J737" s="46"/>
    </row>
    <row r="738" spans="9:10" ht="12.75" x14ac:dyDescent="0.2">
      <c r="I738" s="53"/>
      <c r="J738" s="46"/>
    </row>
    <row r="739" spans="9:10" ht="12.75" x14ac:dyDescent="0.2">
      <c r="I739" s="53"/>
      <c r="J739" s="46"/>
    </row>
    <row r="740" spans="9:10" ht="12.75" x14ac:dyDescent="0.2">
      <c r="I740" s="53"/>
      <c r="J740" s="46"/>
    </row>
    <row r="741" spans="9:10" ht="12.75" x14ac:dyDescent="0.2">
      <c r="I741" s="53"/>
      <c r="J741" s="46"/>
    </row>
    <row r="742" spans="9:10" ht="12.75" x14ac:dyDescent="0.2">
      <c r="I742" s="53"/>
      <c r="J742" s="46"/>
    </row>
    <row r="743" spans="9:10" ht="12.75" x14ac:dyDescent="0.2">
      <c r="I743" s="53"/>
      <c r="J743" s="46"/>
    </row>
    <row r="744" spans="9:10" ht="12.75" x14ac:dyDescent="0.2">
      <c r="I744" s="53"/>
      <c r="J744" s="46"/>
    </row>
    <row r="745" spans="9:10" ht="12.75" x14ac:dyDescent="0.2">
      <c r="I745" s="53"/>
      <c r="J745" s="46"/>
    </row>
    <row r="746" spans="9:10" ht="12.75" x14ac:dyDescent="0.2">
      <c r="I746" s="53"/>
      <c r="J746" s="46"/>
    </row>
    <row r="747" spans="9:10" ht="12.75" x14ac:dyDescent="0.2">
      <c r="I747" s="53"/>
      <c r="J747" s="46"/>
    </row>
    <row r="748" spans="9:10" ht="12.75" x14ac:dyDescent="0.2">
      <c r="I748" s="53"/>
      <c r="J748" s="46"/>
    </row>
    <row r="749" spans="9:10" ht="12.75" x14ac:dyDescent="0.2">
      <c r="I749" s="53"/>
      <c r="J749" s="46"/>
    </row>
    <row r="750" spans="9:10" ht="12.75" x14ac:dyDescent="0.2">
      <c r="I750" s="53"/>
      <c r="J750" s="46"/>
    </row>
    <row r="751" spans="9:10" ht="12.75" x14ac:dyDescent="0.2">
      <c r="I751" s="53"/>
      <c r="J751" s="46"/>
    </row>
    <row r="752" spans="9:10" ht="12.75" x14ac:dyDescent="0.2">
      <c r="I752" s="53"/>
      <c r="J752" s="46"/>
    </row>
    <row r="753" spans="9:10" ht="12.75" x14ac:dyDescent="0.2">
      <c r="I753" s="53"/>
      <c r="J753" s="46"/>
    </row>
    <row r="754" spans="9:10" ht="12.75" x14ac:dyDescent="0.2">
      <c r="I754" s="53"/>
      <c r="J754" s="46"/>
    </row>
    <row r="755" spans="9:10" ht="12.75" x14ac:dyDescent="0.2">
      <c r="I755" s="53"/>
      <c r="J755" s="46"/>
    </row>
    <row r="756" spans="9:10" ht="12.75" x14ac:dyDescent="0.2">
      <c r="I756" s="53"/>
      <c r="J756" s="46"/>
    </row>
    <row r="757" spans="9:10" ht="12.75" x14ac:dyDescent="0.2">
      <c r="I757" s="53"/>
      <c r="J757" s="46"/>
    </row>
    <row r="758" spans="9:10" ht="12.75" x14ac:dyDescent="0.2">
      <c r="I758" s="53"/>
      <c r="J758" s="46"/>
    </row>
    <row r="759" spans="9:10" ht="12.75" x14ac:dyDescent="0.2">
      <c r="I759" s="53"/>
      <c r="J759" s="46"/>
    </row>
    <row r="760" spans="9:10" ht="12.75" x14ac:dyDescent="0.2">
      <c r="I760" s="53"/>
      <c r="J760" s="46"/>
    </row>
    <row r="761" spans="9:10" ht="12.75" x14ac:dyDescent="0.2">
      <c r="I761" s="53"/>
      <c r="J761" s="46"/>
    </row>
    <row r="762" spans="9:10" ht="12.75" x14ac:dyDescent="0.2">
      <c r="I762" s="53"/>
      <c r="J762" s="46"/>
    </row>
    <row r="763" spans="9:10" ht="12.75" x14ac:dyDescent="0.2">
      <c r="I763" s="53"/>
      <c r="J763" s="46"/>
    </row>
    <row r="764" spans="9:10" ht="12.75" x14ac:dyDescent="0.2">
      <c r="I764" s="53"/>
      <c r="J764" s="46"/>
    </row>
    <row r="765" spans="9:10" ht="12.75" x14ac:dyDescent="0.2">
      <c r="I765" s="53"/>
      <c r="J765" s="46"/>
    </row>
    <row r="766" spans="9:10" ht="12.75" x14ac:dyDescent="0.2">
      <c r="I766" s="53"/>
      <c r="J766" s="46"/>
    </row>
    <row r="767" spans="9:10" ht="12.75" x14ac:dyDescent="0.2">
      <c r="I767" s="53"/>
      <c r="J767" s="46"/>
    </row>
    <row r="768" spans="9:10" ht="12.75" x14ac:dyDescent="0.2">
      <c r="I768" s="53"/>
      <c r="J768" s="46"/>
    </row>
    <row r="769" spans="9:10" ht="12.75" x14ac:dyDescent="0.2">
      <c r="I769" s="53"/>
      <c r="J769" s="46"/>
    </row>
    <row r="770" spans="9:10" ht="12.75" x14ac:dyDescent="0.2">
      <c r="I770" s="53"/>
      <c r="J770" s="46"/>
    </row>
    <row r="771" spans="9:10" ht="12.75" x14ac:dyDescent="0.2">
      <c r="I771" s="53"/>
      <c r="J771" s="46"/>
    </row>
    <row r="772" spans="9:10" ht="12.75" x14ac:dyDescent="0.2">
      <c r="I772" s="53"/>
      <c r="J772" s="46"/>
    </row>
    <row r="773" spans="9:10" ht="12.75" x14ac:dyDescent="0.2">
      <c r="I773" s="53"/>
      <c r="J773" s="46"/>
    </row>
    <row r="774" spans="9:10" ht="12.75" x14ac:dyDescent="0.2">
      <c r="I774" s="53"/>
      <c r="J774" s="46"/>
    </row>
    <row r="775" spans="9:10" ht="12.75" x14ac:dyDescent="0.2">
      <c r="I775" s="53"/>
      <c r="J775" s="46"/>
    </row>
    <row r="776" spans="9:10" ht="12.75" x14ac:dyDescent="0.2">
      <c r="I776" s="53"/>
      <c r="J776" s="46"/>
    </row>
    <row r="777" spans="9:10" ht="12.75" x14ac:dyDescent="0.2">
      <c r="I777" s="53"/>
      <c r="J777" s="46"/>
    </row>
    <row r="778" spans="9:10" ht="12.75" x14ac:dyDescent="0.2">
      <c r="I778" s="53"/>
      <c r="J778" s="46"/>
    </row>
    <row r="779" spans="9:10" ht="12.75" x14ac:dyDescent="0.2">
      <c r="I779" s="53"/>
      <c r="J779" s="46"/>
    </row>
    <row r="780" spans="9:10" ht="12.75" x14ac:dyDescent="0.2">
      <c r="I780" s="53"/>
      <c r="J780" s="46"/>
    </row>
    <row r="781" spans="9:10" ht="12.75" x14ac:dyDescent="0.2">
      <c r="I781" s="53"/>
      <c r="J781" s="46"/>
    </row>
    <row r="782" spans="9:10" ht="12.75" x14ac:dyDescent="0.2">
      <c r="I782" s="53"/>
      <c r="J782" s="46"/>
    </row>
    <row r="783" spans="9:10" ht="12.75" x14ac:dyDescent="0.2">
      <c r="I783" s="53"/>
      <c r="J783" s="46"/>
    </row>
    <row r="784" spans="9:10" ht="12.75" x14ac:dyDescent="0.2">
      <c r="I784" s="53"/>
      <c r="J784" s="46"/>
    </row>
    <row r="785" spans="9:10" ht="12.75" x14ac:dyDescent="0.2">
      <c r="I785" s="53"/>
      <c r="J785" s="46"/>
    </row>
    <row r="786" spans="9:10" ht="12.75" x14ac:dyDescent="0.2">
      <c r="I786" s="53"/>
      <c r="J786" s="46"/>
    </row>
    <row r="787" spans="9:10" ht="12.75" x14ac:dyDescent="0.2">
      <c r="I787" s="53"/>
      <c r="J787" s="46"/>
    </row>
    <row r="788" spans="9:10" ht="12.75" x14ac:dyDescent="0.2">
      <c r="I788" s="53"/>
      <c r="J788" s="46"/>
    </row>
    <row r="789" spans="9:10" ht="12.75" x14ac:dyDescent="0.2">
      <c r="I789" s="53"/>
      <c r="J789" s="46"/>
    </row>
    <row r="790" spans="9:10" ht="12.75" x14ac:dyDescent="0.2">
      <c r="I790" s="53"/>
      <c r="J790" s="46"/>
    </row>
    <row r="791" spans="9:10" ht="12.75" x14ac:dyDescent="0.2">
      <c r="I791" s="53"/>
      <c r="J791" s="46"/>
    </row>
    <row r="792" spans="9:10" ht="12.75" x14ac:dyDescent="0.2">
      <c r="I792" s="53"/>
      <c r="J792" s="46"/>
    </row>
    <row r="793" spans="9:10" ht="12.75" x14ac:dyDescent="0.2">
      <c r="I793" s="53"/>
      <c r="J793" s="46"/>
    </row>
    <row r="794" spans="9:10" ht="12.75" x14ac:dyDescent="0.2">
      <c r="I794" s="53"/>
      <c r="J794" s="46"/>
    </row>
    <row r="795" spans="9:10" ht="12.75" x14ac:dyDescent="0.2">
      <c r="I795" s="53"/>
      <c r="J795" s="46"/>
    </row>
    <row r="796" spans="9:10" ht="12.75" x14ac:dyDescent="0.2">
      <c r="I796" s="53"/>
      <c r="J796" s="46"/>
    </row>
    <row r="797" spans="9:10" ht="12.75" x14ac:dyDescent="0.2">
      <c r="I797" s="53"/>
      <c r="J797" s="46"/>
    </row>
    <row r="798" spans="9:10" ht="12.75" x14ac:dyDescent="0.2">
      <c r="I798" s="53"/>
      <c r="J798" s="46"/>
    </row>
    <row r="799" spans="9:10" ht="12.75" x14ac:dyDescent="0.2">
      <c r="I799" s="53"/>
      <c r="J799" s="46"/>
    </row>
    <row r="800" spans="9:10" ht="12.75" x14ac:dyDescent="0.2">
      <c r="I800" s="53"/>
      <c r="J800" s="46"/>
    </row>
    <row r="801" spans="9:10" ht="12.75" x14ac:dyDescent="0.2">
      <c r="I801" s="53"/>
      <c r="J801" s="46"/>
    </row>
    <row r="802" spans="9:10" ht="12.75" x14ac:dyDescent="0.2">
      <c r="I802" s="53"/>
      <c r="J802" s="46"/>
    </row>
    <row r="803" spans="9:10" ht="12.75" x14ac:dyDescent="0.2">
      <c r="I803" s="53"/>
      <c r="J803" s="46"/>
    </row>
    <row r="804" spans="9:10" ht="12.75" x14ac:dyDescent="0.2">
      <c r="I804" s="53"/>
      <c r="J804" s="46"/>
    </row>
    <row r="805" spans="9:10" ht="12.75" x14ac:dyDescent="0.2">
      <c r="I805" s="53"/>
      <c r="J805" s="46"/>
    </row>
    <row r="806" spans="9:10" ht="12.75" x14ac:dyDescent="0.2">
      <c r="I806" s="53"/>
      <c r="J806" s="46"/>
    </row>
    <row r="807" spans="9:10" ht="12.75" x14ac:dyDescent="0.2">
      <c r="I807" s="53"/>
      <c r="J807" s="46"/>
    </row>
    <row r="808" spans="9:10" ht="12.75" x14ac:dyDescent="0.2">
      <c r="I808" s="53"/>
      <c r="J808" s="46"/>
    </row>
    <row r="809" spans="9:10" ht="12.75" x14ac:dyDescent="0.2">
      <c r="I809" s="53"/>
      <c r="J809" s="46"/>
    </row>
    <row r="810" spans="9:10" ht="12.75" x14ac:dyDescent="0.2">
      <c r="I810" s="53"/>
      <c r="J810" s="46"/>
    </row>
    <row r="811" spans="9:10" ht="12.75" x14ac:dyDescent="0.2">
      <c r="I811" s="53"/>
      <c r="J811" s="46"/>
    </row>
    <row r="812" spans="9:10" ht="12.75" x14ac:dyDescent="0.2">
      <c r="I812" s="53"/>
      <c r="J812" s="46"/>
    </row>
    <row r="813" spans="9:10" ht="12.75" x14ac:dyDescent="0.2">
      <c r="I813" s="53"/>
      <c r="J813" s="46"/>
    </row>
    <row r="814" spans="9:10" ht="12.75" x14ac:dyDescent="0.2">
      <c r="I814" s="53"/>
      <c r="J814" s="46"/>
    </row>
    <row r="815" spans="9:10" ht="12.75" x14ac:dyDescent="0.2">
      <c r="I815" s="53"/>
      <c r="J815" s="46"/>
    </row>
    <row r="816" spans="9:10" ht="12.75" x14ac:dyDescent="0.2">
      <c r="I816" s="53"/>
      <c r="J816" s="46"/>
    </row>
    <row r="817" spans="9:10" ht="12.75" x14ac:dyDescent="0.2">
      <c r="I817" s="53"/>
      <c r="J817" s="46"/>
    </row>
    <row r="818" spans="9:10" ht="12.75" x14ac:dyDescent="0.2">
      <c r="I818" s="53"/>
      <c r="J818" s="46"/>
    </row>
    <row r="819" spans="9:10" ht="12.75" x14ac:dyDescent="0.2">
      <c r="I819" s="53"/>
      <c r="J819" s="46"/>
    </row>
    <row r="820" spans="9:10" ht="12.75" x14ac:dyDescent="0.2">
      <c r="I820" s="53"/>
      <c r="J820" s="46"/>
    </row>
    <row r="821" spans="9:10" ht="12.75" x14ac:dyDescent="0.2">
      <c r="I821" s="53"/>
      <c r="J821" s="46"/>
    </row>
    <row r="822" spans="9:10" ht="12.75" x14ac:dyDescent="0.2">
      <c r="I822" s="53"/>
      <c r="J822" s="46"/>
    </row>
    <row r="823" spans="9:10" ht="12.75" x14ac:dyDescent="0.2">
      <c r="I823" s="53"/>
      <c r="J823" s="46"/>
    </row>
    <row r="824" spans="9:10" ht="12.75" x14ac:dyDescent="0.2">
      <c r="I824" s="53"/>
      <c r="J824" s="46"/>
    </row>
    <row r="825" spans="9:10" ht="12.75" x14ac:dyDescent="0.2">
      <c r="I825" s="53"/>
      <c r="J825" s="46"/>
    </row>
    <row r="826" spans="9:10" ht="12.75" x14ac:dyDescent="0.2">
      <c r="I826" s="53"/>
      <c r="J826" s="46"/>
    </row>
    <row r="827" spans="9:10" ht="12.75" x14ac:dyDescent="0.2">
      <c r="I827" s="53"/>
      <c r="J827" s="46"/>
    </row>
    <row r="828" spans="9:10" ht="12.75" x14ac:dyDescent="0.2">
      <c r="I828" s="53"/>
      <c r="J828" s="46"/>
    </row>
    <row r="829" spans="9:10" ht="12.75" x14ac:dyDescent="0.2">
      <c r="I829" s="53"/>
      <c r="J829" s="46"/>
    </row>
    <row r="830" spans="9:10" ht="12.75" x14ac:dyDescent="0.2">
      <c r="I830" s="53"/>
      <c r="J830" s="46"/>
    </row>
    <row r="831" spans="9:10" ht="12.75" x14ac:dyDescent="0.2">
      <c r="I831" s="53"/>
      <c r="J831" s="46"/>
    </row>
    <row r="832" spans="9:10" ht="12.75" x14ac:dyDescent="0.2">
      <c r="I832" s="53"/>
      <c r="J832" s="46"/>
    </row>
    <row r="833" spans="9:10" ht="12.75" x14ac:dyDescent="0.2">
      <c r="I833" s="53"/>
      <c r="J833" s="46"/>
    </row>
    <row r="834" spans="9:10" ht="12.75" x14ac:dyDescent="0.2">
      <c r="I834" s="53"/>
      <c r="J834" s="46"/>
    </row>
    <row r="835" spans="9:10" ht="12.75" x14ac:dyDescent="0.2">
      <c r="I835" s="53"/>
      <c r="J835" s="46"/>
    </row>
    <row r="836" spans="9:10" ht="12.75" x14ac:dyDescent="0.2">
      <c r="I836" s="53"/>
      <c r="J836" s="46"/>
    </row>
    <row r="837" spans="9:10" ht="12.75" x14ac:dyDescent="0.2">
      <c r="I837" s="53"/>
      <c r="J837" s="46"/>
    </row>
    <row r="838" spans="9:10" ht="12.75" x14ac:dyDescent="0.2">
      <c r="I838" s="53"/>
      <c r="J838" s="46"/>
    </row>
    <row r="839" spans="9:10" ht="12.75" x14ac:dyDescent="0.2">
      <c r="I839" s="53"/>
      <c r="J839" s="46"/>
    </row>
    <row r="840" spans="9:10" ht="12.75" x14ac:dyDescent="0.2">
      <c r="I840" s="53"/>
      <c r="J840" s="46"/>
    </row>
    <row r="841" spans="9:10" ht="12.75" x14ac:dyDescent="0.2">
      <c r="I841" s="53"/>
      <c r="J841" s="46"/>
    </row>
    <row r="842" spans="9:10" ht="12.75" x14ac:dyDescent="0.2">
      <c r="I842" s="53"/>
      <c r="J842" s="46"/>
    </row>
    <row r="843" spans="9:10" ht="12.75" x14ac:dyDescent="0.2">
      <c r="I843" s="53"/>
      <c r="J843" s="46"/>
    </row>
    <row r="844" spans="9:10" ht="12.75" x14ac:dyDescent="0.2">
      <c r="I844" s="53"/>
      <c r="J844" s="46"/>
    </row>
    <row r="845" spans="9:10" ht="12.75" x14ac:dyDescent="0.2">
      <c r="I845" s="53"/>
      <c r="J845" s="46"/>
    </row>
    <row r="846" spans="9:10" ht="12.75" x14ac:dyDescent="0.2">
      <c r="I846" s="53"/>
      <c r="J846" s="46"/>
    </row>
    <row r="847" spans="9:10" ht="12.75" x14ac:dyDescent="0.2">
      <c r="I847" s="53"/>
      <c r="J847" s="46"/>
    </row>
    <row r="848" spans="9:10" ht="12.75" x14ac:dyDescent="0.2">
      <c r="I848" s="53"/>
      <c r="J848" s="46"/>
    </row>
    <row r="849" spans="9:10" ht="12.75" x14ac:dyDescent="0.2">
      <c r="I849" s="53"/>
      <c r="J849" s="46"/>
    </row>
    <row r="850" spans="9:10" ht="12.75" x14ac:dyDescent="0.2">
      <c r="I850" s="53"/>
      <c r="J850" s="46"/>
    </row>
    <row r="851" spans="9:10" ht="12.75" x14ac:dyDescent="0.2">
      <c r="I851" s="53"/>
      <c r="J851" s="46"/>
    </row>
    <row r="852" spans="9:10" ht="12.75" x14ac:dyDescent="0.2">
      <c r="I852" s="53"/>
      <c r="J852" s="46"/>
    </row>
    <row r="853" spans="9:10" ht="12.75" x14ac:dyDescent="0.2">
      <c r="I853" s="53"/>
      <c r="J853" s="46"/>
    </row>
    <row r="854" spans="9:10" ht="12.75" x14ac:dyDescent="0.2">
      <c r="I854" s="53"/>
      <c r="J854" s="46"/>
    </row>
    <row r="855" spans="9:10" ht="12.75" x14ac:dyDescent="0.2">
      <c r="I855" s="53"/>
      <c r="J855" s="46"/>
    </row>
    <row r="856" spans="9:10" ht="12.75" x14ac:dyDescent="0.2">
      <c r="I856" s="53"/>
      <c r="J856" s="46"/>
    </row>
    <row r="857" spans="9:10" ht="12.75" x14ac:dyDescent="0.2">
      <c r="I857" s="53"/>
      <c r="J857" s="46"/>
    </row>
    <row r="858" spans="9:10" ht="12.75" x14ac:dyDescent="0.2">
      <c r="I858" s="53"/>
      <c r="J858" s="46"/>
    </row>
    <row r="859" spans="9:10" ht="12.75" x14ac:dyDescent="0.2">
      <c r="I859" s="53"/>
      <c r="J859" s="46"/>
    </row>
    <row r="860" spans="9:10" ht="12.75" x14ac:dyDescent="0.2">
      <c r="I860" s="53"/>
      <c r="J860" s="46"/>
    </row>
    <row r="861" spans="9:10" ht="12.75" x14ac:dyDescent="0.2">
      <c r="I861" s="53"/>
      <c r="J861" s="46"/>
    </row>
    <row r="862" spans="9:10" ht="12.75" x14ac:dyDescent="0.2">
      <c r="I862" s="53"/>
      <c r="J862" s="46"/>
    </row>
    <row r="863" spans="9:10" ht="12.75" x14ac:dyDescent="0.2">
      <c r="I863" s="53"/>
      <c r="J863" s="46"/>
    </row>
    <row r="864" spans="9:10" ht="12.75" x14ac:dyDescent="0.2">
      <c r="I864" s="53"/>
      <c r="J864" s="46"/>
    </row>
    <row r="865" spans="9:10" ht="12.75" x14ac:dyDescent="0.2">
      <c r="I865" s="53"/>
      <c r="J865" s="46"/>
    </row>
    <row r="866" spans="9:10" ht="12.75" x14ac:dyDescent="0.2">
      <c r="I866" s="53"/>
      <c r="J866" s="46"/>
    </row>
    <row r="867" spans="9:10" ht="12.75" x14ac:dyDescent="0.2">
      <c r="I867" s="53"/>
      <c r="J867" s="46"/>
    </row>
    <row r="868" spans="9:10" ht="12.75" x14ac:dyDescent="0.2">
      <c r="I868" s="53"/>
      <c r="J868" s="46"/>
    </row>
    <row r="869" spans="9:10" ht="12.75" x14ac:dyDescent="0.2">
      <c r="I869" s="53"/>
      <c r="J869" s="46"/>
    </row>
    <row r="870" spans="9:10" ht="12.75" x14ac:dyDescent="0.2">
      <c r="I870" s="53"/>
      <c r="J870" s="46"/>
    </row>
    <row r="871" spans="9:10" ht="12.75" x14ac:dyDescent="0.2">
      <c r="I871" s="53"/>
      <c r="J871" s="46"/>
    </row>
    <row r="872" spans="9:10" ht="12.75" x14ac:dyDescent="0.2">
      <c r="I872" s="53"/>
      <c r="J872" s="46"/>
    </row>
    <row r="873" spans="9:10" ht="12.75" x14ac:dyDescent="0.2">
      <c r="I873" s="53"/>
      <c r="J873" s="46"/>
    </row>
    <row r="874" spans="9:10" ht="12.75" x14ac:dyDescent="0.2">
      <c r="I874" s="53"/>
      <c r="J874" s="46"/>
    </row>
    <row r="875" spans="9:10" ht="12.75" x14ac:dyDescent="0.2">
      <c r="I875" s="53"/>
      <c r="J875" s="46"/>
    </row>
    <row r="876" spans="9:10" ht="12.75" x14ac:dyDescent="0.2">
      <c r="I876" s="53"/>
      <c r="J876" s="46"/>
    </row>
    <row r="877" spans="9:10" ht="12.75" x14ac:dyDescent="0.2">
      <c r="I877" s="53"/>
      <c r="J877" s="46"/>
    </row>
    <row r="878" spans="9:10" ht="12.75" x14ac:dyDescent="0.2">
      <c r="I878" s="53"/>
      <c r="J878" s="46"/>
    </row>
    <row r="879" spans="9:10" ht="12.75" x14ac:dyDescent="0.2">
      <c r="I879" s="53"/>
      <c r="J879" s="46"/>
    </row>
    <row r="880" spans="9:10" ht="12.75" x14ac:dyDescent="0.2">
      <c r="I880" s="53"/>
      <c r="J880" s="46"/>
    </row>
    <row r="881" spans="9:10" ht="12.75" x14ac:dyDescent="0.2">
      <c r="I881" s="53"/>
      <c r="J881" s="46"/>
    </row>
    <row r="882" spans="9:10" ht="12.75" x14ac:dyDescent="0.2">
      <c r="I882" s="53"/>
      <c r="J882" s="46"/>
    </row>
    <row r="883" spans="9:10" ht="12.75" x14ac:dyDescent="0.2">
      <c r="I883" s="53"/>
      <c r="J883" s="46"/>
    </row>
    <row r="884" spans="9:10" ht="12.75" x14ac:dyDescent="0.2">
      <c r="I884" s="53"/>
      <c r="J884" s="46"/>
    </row>
    <row r="885" spans="9:10" ht="12.75" x14ac:dyDescent="0.2">
      <c r="I885" s="53"/>
      <c r="J885" s="46"/>
    </row>
    <row r="886" spans="9:10" ht="12.75" x14ac:dyDescent="0.2">
      <c r="I886" s="53"/>
      <c r="J886" s="46"/>
    </row>
    <row r="887" spans="9:10" ht="12.75" x14ac:dyDescent="0.2">
      <c r="I887" s="53"/>
      <c r="J887" s="46"/>
    </row>
    <row r="888" spans="9:10" ht="12.75" x14ac:dyDescent="0.2">
      <c r="I888" s="53"/>
      <c r="J888" s="46"/>
    </row>
    <row r="889" spans="9:10" ht="12.75" x14ac:dyDescent="0.2">
      <c r="I889" s="53"/>
      <c r="J889" s="46"/>
    </row>
    <row r="890" spans="9:10" ht="12.75" x14ac:dyDescent="0.2">
      <c r="I890" s="53"/>
      <c r="J890" s="46"/>
    </row>
    <row r="891" spans="9:10" ht="12.75" x14ac:dyDescent="0.2">
      <c r="I891" s="53"/>
      <c r="J891" s="46"/>
    </row>
    <row r="892" spans="9:10" ht="12.75" x14ac:dyDescent="0.2">
      <c r="I892" s="53"/>
      <c r="J892" s="46"/>
    </row>
    <row r="893" spans="9:10" ht="12.75" x14ac:dyDescent="0.2">
      <c r="I893" s="53"/>
      <c r="J893" s="46"/>
    </row>
    <row r="894" spans="9:10" ht="12.75" x14ac:dyDescent="0.2">
      <c r="I894" s="53"/>
      <c r="J894" s="46"/>
    </row>
    <row r="895" spans="9:10" ht="12.75" x14ac:dyDescent="0.2">
      <c r="I895" s="53"/>
      <c r="J895" s="46"/>
    </row>
    <row r="896" spans="9:10" ht="12.75" x14ac:dyDescent="0.2">
      <c r="I896" s="53"/>
      <c r="J896" s="46"/>
    </row>
    <row r="897" spans="9:10" ht="12.75" x14ac:dyDescent="0.2">
      <c r="I897" s="53"/>
      <c r="J897" s="46"/>
    </row>
    <row r="898" spans="9:10" ht="12.75" x14ac:dyDescent="0.2">
      <c r="I898" s="53"/>
      <c r="J898" s="46"/>
    </row>
    <row r="899" spans="9:10" ht="12.75" x14ac:dyDescent="0.2">
      <c r="I899" s="53"/>
      <c r="J899" s="46"/>
    </row>
    <row r="900" spans="9:10" ht="12.75" x14ac:dyDescent="0.2">
      <c r="I900" s="53"/>
      <c r="J900" s="46"/>
    </row>
    <row r="901" spans="9:10" ht="12.75" x14ac:dyDescent="0.2">
      <c r="I901" s="53"/>
      <c r="J901" s="46"/>
    </row>
    <row r="902" spans="9:10" ht="12.75" x14ac:dyDescent="0.2">
      <c r="I902" s="53"/>
      <c r="J902" s="46"/>
    </row>
    <row r="903" spans="9:10" ht="12.75" x14ac:dyDescent="0.2">
      <c r="I903" s="53"/>
      <c r="J903" s="46"/>
    </row>
    <row r="904" spans="9:10" ht="12.75" x14ac:dyDescent="0.2">
      <c r="I904" s="53"/>
      <c r="J904" s="46"/>
    </row>
    <row r="905" spans="9:10" ht="12.75" x14ac:dyDescent="0.2">
      <c r="I905" s="53"/>
      <c r="J905" s="46"/>
    </row>
    <row r="906" spans="9:10" ht="12.75" x14ac:dyDescent="0.2">
      <c r="I906" s="53"/>
      <c r="J906" s="46"/>
    </row>
    <row r="907" spans="9:10" ht="12.75" x14ac:dyDescent="0.2">
      <c r="I907" s="53"/>
      <c r="J907" s="46"/>
    </row>
    <row r="908" spans="9:10" ht="12.75" x14ac:dyDescent="0.2">
      <c r="I908" s="53"/>
      <c r="J908" s="46"/>
    </row>
    <row r="909" spans="9:10" ht="12.75" x14ac:dyDescent="0.2">
      <c r="I909" s="53"/>
      <c r="J909" s="46"/>
    </row>
    <row r="910" spans="9:10" ht="12.75" x14ac:dyDescent="0.2">
      <c r="I910" s="53"/>
      <c r="J910" s="46"/>
    </row>
    <row r="911" spans="9:10" ht="12.75" x14ac:dyDescent="0.2">
      <c r="I911" s="53"/>
      <c r="J911" s="46"/>
    </row>
    <row r="912" spans="9:10" ht="12.75" x14ac:dyDescent="0.2">
      <c r="I912" s="53"/>
      <c r="J912" s="46"/>
    </row>
    <row r="913" spans="9:10" ht="12.75" x14ac:dyDescent="0.2">
      <c r="I913" s="53"/>
      <c r="J913" s="46"/>
    </row>
    <row r="914" spans="9:10" ht="12.75" x14ac:dyDescent="0.2">
      <c r="I914" s="53"/>
      <c r="J914" s="46"/>
    </row>
    <row r="915" spans="9:10" ht="12.75" x14ac:dyDescent="0.2">
      <c r="I915" s="53"/>
      <c r="J915" s="46"/>
    </row>
    <row r="916" spans="9:10" ht="12.75" x14ac:dyDescent="0.2">
      <c r="I916" s="53"/>
      <c r="J916" s="46"/>
    </row>
    <row r="917" spans="9:10" ht="12.75" x14ac:dyDescent="0.2">
      <c r="I917" s="53"/>
      <c r="J917" s="46"/>
    </row>
    <row r="918" spans="9:10" ht="12.75" x14ac:dyDescent="0.2">
      <c r="I918" s="53"/>
      <c r="J918" s="46"/>
    </row>
    <row r="919" spans="9:10" ht="12.75" x14ac:dyDescent="0.2">
      <c r="I919" s="53"/>
      <c r="J919" s="46"/>
    </row>
    <row r="920" spans="9:10" ht="12.75" x14ac:dyDescent="0.2">
      <c r="I920" s="53"/>
      <c r="J920" s="46"/>
    </row>
    <row r="921" spans="9:10" ht="12.75" x14ac:dyDescent="0.2">
      <c r="I921" s="53"/>
      <c r="J921" s="46"/>
    </row>
    <row r="922" spans="9:10" ht="12.75" x14ac:dyDescent="0.2">
      <c r="I922" s="53"/>
      <c r="J922" s="46"/>
    </row>
    <row r="923" spans="9:10" ht="12.75" x14ac:dyDescent="0.2">
      <c r="I923" s="53"/>
      <c r="J923" s="46"/>
    </row>
    <row r="924" spans="9:10" ht="12.75" x14ac:dyDescent="0.2">
      <c r="I924" s="53"/>
      <c r="J924" s="46"/>
    </row>
    <row r="925" spans="9:10" ht="12.75" x14ac:dyDescent="0.2">
      <c r="I925" s="53"/>
      <c r="J925" s="46"/>
    </row>
    <row r="926" spans="9:10" ht="12.75" x14ac:dyDescent="0.2">
      <c r="I926" s="53"/>
      <c r="J926" s="46"/>
    </row>
    <row r="927" spans="9:10" ht="12.75" x14ac:dyDescent="0.2">
      <c r="I927" s="53"/>
      <c r="J927" s="46"/>
    </row>
    <row r="928" spans="9:10" ht="12.75" x14ac:dyDescent="0.2">
      <c r="I928" s="53"/>
      <c r="J928" s="46"/>
    </row>
    <row r="929" spans="9:10" ht="12.75" x14ac:dyDescent="0.2">
      <c r="I929" s="53"/>
      <c r="J929" s="46"/>
    </row>
    <row r="930" spans="9:10" ht="12.75" x14ac:dyDescent="0.2">
      <c r="I930" s="53"/>
      <c r="J930" s="46"/>
    </row>
    <row r="931" spans="9:10" ht="12.75" x14ac:dyDescent="0.2">
      <c r="I931" s="53"/>
      <c r="J931" s="46"/>
    </row>
    <row r="932" spans="9:10" ht="12.75" x14ac:dyDescent="0.2">
      <c r="I932" s="53"/>
      <c r="J932" s="46"/>
    </row>
    <row r="933" spans="9:10" ht="12.75" x14ac:dyDescent="0.2">
      <c r="I933" s="53"/>
      <c r="J933" s="46"/>
    </row>
    <row r="934" spans="9:10" ht="12.75" x14ac:dyDescent="0.2">
      <c r="I934" s="53"/>
      <c r="J934" s="46"/>
    </row>
    <row r="935" spans="9:10" ht="12.75" x14ac:dyDescent="0.2">
      <c r="I935" s="53"/>
      <c r="J935" s="46"/>
    </row>
    <row r="936" spans="9:10" ht="12.75" x14ac:dyDescent="0.2">
      <c r="I936" s="53"/>
      <c r="J936" s="46"/>
    </row>
    <row r="937" spans="9:10" ht="12.75" x14ac:dyDescent="0.2">
      <c r="I937" s="53"/>
      <c r="J937" s="46"/>
    </row>
    <row r="938" spans="9:10" ht="12.75" x14ac:dyDescent="0.2">
      <c r="I938" s="53"/>
      <c r="J938" s="46"/>
    </row>
    <row r="939" spans="9:10" ht="12.75" x14ac:dyDescent="0.2">
      <c r="I939" s="53"/>
      <c r="J939" s="46"/>
    </row>
    <row r="940" spans="9:10" ht="12.75" x14ac:dyDescent="0.2">
      <c r="I940" s="53"/>
      <c r="J940" s="46"/>
    </row>
    <row r="941" spans="9:10" ht="12.75" x14ac:dyDescent="0.2">
      <c r="I941" s="53"/>
      <c r="J941" s="46"/>
    </row>
    <row r="942" spans="9:10" ht="12.75" x14ac:dyDescent="0.2">
      <c r="I942" s="53"/>
      <c r="J942" s="46"/>
    </row>
    <row r="943" spans="9:10" ht="12.75" x14ac:dyDescent="0.2">
      <c r="I943" s="53"/>
      <c r="J943" s="46"/>
    </row>
    <row r="944" spans="9:10" ht="12.75" x14ac:dyDescent="0.2">
      <c r="I944" s="53"/>
      <c r="J944" s="46"/>
    </row>
    <row r="945" spans="9:10" ht="12.75" x14ac:dyDescent="0.2">
      <c r="I945" s="53"/>
      <c r="J945" s="46"/>
    </row>
    <row r="946" spans="9:10" ht="12.75" x14ac:dyDescent="0.2">
      <c r="I946" s="53"/>
      <c r="J946" s="46"/>
    </row>
    <row r="947" spans="9:10" ht="12.75" x14ac:dyDescent="0.2">
      <c r="I947" s="53"/>
      <c r="J947" s="46"/>
    </row>
    <row r="948" spans="9:10" ht="12.75" x14ac:dyDescent="0.2">
      <c r="I948" s="53"/>
      <c r="J948" s="46"/>
    </row>
    <row r="949" spans="9:10" ht="12.75" x14ac:dyDescent="0.2">
      <c r="I949" s="53"/>
      <c r="J949" s="46"/>
    </row>
    <row r="950" spans="9:10" ht="12.75" x14ac:dyDescent="0.2">
      <c r="I950" s="53"/>
      <c r="J950" s="46"/>
    </row>
    <row r="951" spans="9:10" ht="12.75" x14ac:dyDescent="0.2">
      <c r="I951" s="53"/>
      <c r="J951" s="46"/>
    </row>
    <row r="952" spans="9:10" ht="12.75" x14ac:dyDescent="0.2">
      <c r="I952" s="53"/>
      <c r="J952" s="46"/>
    </row>
    <row r="953" spans="9:10" ht="12.75" x14ac:dyDescent="0.2">
      <c r="I953" s="53"/>
      <c r="J953" s="46"/>
    </row>
    <row r="954" spans="9:10" ht="12.75" x14ac:dyDescent="0.2">
      <c r="I954" s="53"/>
      <c r="J954" s="46"/>
    </row>
    <row r="955" spans="9:10" ht="12.75" x14ac:dyDescent="0.2">
      <c r="I955" s="53"/>
      <c r="J955" s="46"/>
    </row>
    <row r="956" spans="9:10" ht="12.75" x14ac:dyDescent="0.2">
      <c r="I956" s="53"/>
      <c r="J956" s="46"/>
    </row>
    <row r="957" spans="9:10" ht="12.75" x14ac:dyDescent="0.2">
      <c r="I957" s="53"/>
      <c r="J957" s="46"/>
    </row>
    <row r="958" spans="9:10" ht="12.75" x14ac:dyDescent="0.2">
      <c r="I958" s="53"/>
      <c r="J958" s="46"/>
    </row>
    <row r="959" spans="9:10" ht="12.75" x14ac:dyDescent="0.2">
      <c r="I959" s="53"/>
      <c r="J959" s="46"/>
    </row>
    <row r="960" spans="9:10" ht="12.75" x14ac:dyDescent="0.2">
      <c r="I960" s="53"/>
      <c r="J960" s="46"/>
    </row>
    <row r="961" spans="9:10" ht="12.75" x14ac:dyDescent="0.2">
      <c r="I961" s="53"/>
      <c r="J961" s="46"/>
    </row>
    <row r="962" spans="9:10" ht="12.75" x14ac:dyDescent="0.2">
      <c r="I962" s="53"/>
      <c r="J962" s="46"/>
    </row>
    <row r="963" spans="9:10" ht="12.75" x14ac:dyDescent="0.2">
      <c r="I963" s="53"/>
      <c r="J963" s="46"/>
    </row>
    <row r="964" spans="9:10" ht="12.75" x14ac:dyDescent="0.2">
      <c r="I964" s="53"/>
      <c r="J964" s="46"/>
    </row>
    <row r="965" spans="9:10" ht="12.75" x14ac:dyDescent="0.2">
      <c r="I965" s="53"/>
      <c r="J965" s="46"/>
    </row>
    <row r="966" spans="9:10" ht="12.75" x14ac:dyDescent="0.2">
      <c r="I966" s="53"/>
      <c r="J966" s="46"/>
    </row>
    <row r="967" spans="9:10" ht="12.75" x14ac:dyDescent="0.2">
      <c r="I967" s="53"/>
      <c r="J967" s="46"/>
    </row>
    <row r="968" spans="9:10" ht="12.75" x14ac:dyDescent="0.2">
      <c r="I968" s="53"/>
      <c r="J968" s="46"/>
    </row>
    <row r="969" spans="9:10" ht="12.75" x14ac:dyDescent="0.2">
      <c r="I969" s="53"/>
      <c r="J969" s="46"/>
    </row>
    <row r="970" spans="9:10" ht="12.75" x14ac:dyDescent="0.2">
      <c r="I970" s="53"/>
      <c r="J970" s="46"/>
    </row>
    <row r="971" spans="9:10" ht="12.75" x14ac:dyDescent="0.2">
      <c r="I971" s="53"/>
      <c r="J971" s="46"/>
    </row>
    <row r="972" spans="9:10" ht="12.75" x14ac:dyDescent="0.2">
      <c r="I972" s="53"/>
      <c r="J972" s="46"/>
    </row>
    <row r="973" spans="9:10" ht="12.75" x14ac:dyDescent="0.2">
      <c r="I973" s="53"/>
      <c r="J973" s="46"/>
    </row>
    <row r="974" spans="9:10" ht="12.75" x14ac:dyDescent="0.2">
      <c r="I974" s="53"/>
      <c r="J974" s="46"/>
    </row>
    <row r="975" spans="9:10" ht="12.75" x14ac:dyDescent="0.2">
      <c r="I975" s="53"/>
      <c r="J975" s="46"/>
    </row>
    <row r="976" spans="9:10" ht="12.75" x14ac:dyDescent="0.2">
      <c r="I976" s="53"/>
      <c r="J976" s="46"/>
    </row>
    <row r="977" spans="9:10" ht="12.75" x14ac:dyDescent="0.2">
      <c r="I977" s="53"/>
      <c r="J977" s="46"/>
    </row>
    <row r="978" spans="9:10" ht="12.75" x14ac:dyDescent="0.2">
      <c r="I978" s="53"/>
      <c r="J978" s="46"/>
    </row>
    <row r="979" spans="9:10" ht="12.75" x14ac:dyDescent="0.2">
      <c r="I979" s="53"/>
      <c r="J979" s="46"/>
    </row>
    <row r="980" spans="9:10" ht="12.75" x14ac:dyDescent="0.2">
      <c r="I980" s="53"/>
      <c r="J980" s="46"/>
    </row>
    <row r="981" spans="9:10" ht="12.75" x14ac:dyDescent="0.2">
      <c r="I981" s="53"/>
      <c r="J981" s="46"/>
    </row>
    <row r="982" spans="9:10" ht="12.75" x14ac:dyDescent="0.2">
      <c r="I982" s="53"/>
      <c r="J982" s="46"/>
    </row>
    <row r="983" spans="9:10" ht="12.75" x14ac:dyDescent="0.2">
      <c r="I983" s="53"/>
      <c r="J983" s="46"/>
    </row>
    <row r="984" spans="9:10" ht="12.75" x14ac:dyDescent="0.2">
      <c r="I984" s="53"/>
      <c r="J984" s="46"/>
    </row>
    <row r="985" spans="9:10" ht="12.75" x14ac:dyDescent="0.2">
      <c r="I985" s="53"/>
      <c r="J985" s="46"/>
    </row>
    <row r="986" spans="9:10" ht="12.75" x14ac:dyDescent="0.2">
      <c r="I986" s="53"/>
      <c r="J986" s="46"/>
    </row>
    <row r="987" spans="9:10" ht="12.75" x14ac:dyDescent="0.2">
      <c r="I987" s="53"/>
      <c r="J987" s="46"/>
    </row>
    <row r="988" spans="9:10" ht="12.75" x14ac:dyDescent="0.2">
      <c r="I988" s="53"/>
      <c r="J988" s="46"/>
    </row>
    <row r="989" spans="9:10" ht="12.75" x14ac:dyDescent="0.2">
      <c r="I989" s="53"/>
      <c r="J989" s="46"/>
    </row>
    <row r="990" spans="9:10" ht="12.75" x14ac:dyDescent="0.2">
      <c r="I990" s="53"/>
      <c r="J990" s="46"/>
    </row>
    <row r="991" spans="9:10" ht="12.75" x14ac:dyDescent="0.2">
      <c r="I991" s="53"/>
      <c r="J991" s="46"/>
    </row>
    <row r="992" spans="9:10" ht="12.75" x14ac:dyDescent="0.2">
      <c r="I992" s="53"/>
      <c r="J992" s="46"/>
    </row>
    <row r="993" spans="9:10" ht="12.75" x14ac:dyDescent="0.2">
      <c r="I993" s="53"/>
      <c r="J993" s="46"/>
    </row>
    <row r="994" spans="9:10" ht="12.75" x14ac:dyDescent="0.2">
      <c r="I994" s="53"/>
      <c r="J994" s="46"/>
    </row>
    <row r="995" spans="9:10" ht="12.75" x14ac:dyDescent="0.2">
      <c r="I995" s="53"/>
      <c r="J995" s="46"/>
    </row>
    <row r="996" spans="9:10" ht="12.75" x14ac:dyDescent="0.2">
      <c r="I996" s="53"/>
      <c r="J996" s="46"/>
    </row>
    <row r="997" spans="9:10" ht="12.75" x14ac:dyDescent="0.2">
      <c r="I997" s="53"/>
      <c r="J997" s="46"/>
    </row>
    <row r="998" spans="9:10" ht="12.75" x14ac:dyDescent="0.2">
      <c r="I998" s="53"/>
      <c r="J998" s="46"/>
    </row>
    <row r="999" spans="9:10" ht="12.75" x14ac:dyDescent="0.2">
      <c r="I999" s="53"/>
      <c r="J999" s="46"/>
    </row>
    <row r="1000" spans="9:10" ht="12.75" x14ac:dyDescent="0.2">
      <c r="I1000" s="53"/>
      <c r="J1000" s="46"/>
    </row>
    <row r="1001" spans="9:10" ht="12.75" x14ac:dyDescent="0.2">
      <c r="I1001" s="53"/>
      <c r="J1001" s="46"/>
    </row>
    <row r="1002" spans="9:10" ht="12.75" x14ac:dyDescent="0.2">
      <c r="I1002" s="53"/>
      <c r="J1002" s="46"/>
    </row>
    <row r="1003" spans="9:10" ht="12.75" x14ac:dyDescent="0.2">
      <c r="I1003" s="53"/>
      <c r="J1003" s="46"/>
    </row>
    <row r="1004" spans="9:10" ht="12.75" x14ac:dyDescent="0.2">
      <c r="I1004" s="53"/>
      <c r="J1004" s="46"/>
    </row>
    <row r="1005" spans="9:10" ht="12.75" x14ac:dyDescent="0.2">
      <c r="I1005" s="53"/>
      <c r="J1005" s="46"/>
    </row>
    <row r="1006" spans="9:10" ht="12.75" x14ac:dyDescent="0.2">
      <c r="I1006" s="53"/>
      <c r="J1006" s="46"/>
    </row>
    <row r="1007" spans="9:10" ht="12.75" x14ac:dyDescent="0.2">
      <c r="I1007" s="53"/>
      <c r="J1007" s="46"/>
    </row>
    <row r="1008" spans="9:10" ht="12.75" x14ac:dyDescent="0.2">
      <c r="I1008" s="53"/>
      <c r="J1008" s="46"/>
    </row>
    <row r="1009" spans="9:10" ht="12.75" x14ac:dyDescent="0.2">
      <c r="I1009" s="53"/>
      <c r="J1009" s="46"/>
    </row>
    <row r="1010" spans="9:10" ht="12.75" x14ac:dyDescent="0.2">
      <c r="I1010" s="53"/>
      <c r="J1010" s="46"/>
    </row>
    <row r="1011" spans="9:10" ht="12.75" x14ac:dyDescent="0.2">
      <c r="I1011" s="53"/>
      <c r="J1011" s="46"/>
    </row>
    <row r="1012" spans="9:10" ht="12.75" x14ac:dyDescent="0.2">
      <c r="I1012" s="53"/>
      <c r="J1012" s="46"/>
    </row>
    <row r="1013" spans="9:10" ht="12.75" x14ac:dyDescent="0.2">
      <c r="I1013" s="53"/>
      <c r="J1013" s="46"/>
    </row>
    <row r="1014" spans="9:10" ht="12.75" x14ac:dyDescent="0.2">
      <c r="I1014" s="53"/>
      <c r="J1014" s="46"/>
    </row>
    <row r="1015" spans="9:10" ht="12.75" x14ac:dyDescent="0.2">
      <c r="I1015" s="53"/>
      <c r="J1015" s="46"/>
    </row>
    <row r="1016" spans="9:10" ht="12.75" x14ac:dyDescent="0.2">
      <c r="I1016" s="53"/>
      <c r="J1016" s="46"/>
    </row>
    <row r="1017" spans="9:10" ht="12.75" x14ac:dyDescent="0.2">
      <c r="I1017" s="53"/>
      <c r="J1017" s="46"/>
    </row>
    <row r="1018" spans="9:10" ht="12.75" x14ac:dyDescent="0.2">
      <c r="I1018" s="53"/>
      <c r="J1018" s="46"/>
    </row>
    <row r="1019" spans="9:10" ht="12.75" x14ac:dyDescent="0.2">
      <c r="I1019" s="53"/>
      <c r="J1019" s="46"/>
    </row>
    <row r="1020" spans="9:10" ht="12.75" x14ac:dyDescent="0.2">
      <c r="I1020" s="53"/>
      <c r="J1020" s="46"/>
    </row>
    <row r="1021" spans="9:10" ht="12.75" x14ac:dyDescent="0.2">
      <c r="I1021" s="53"/>
      <c r="J1021" s="46"/>
    </row>
    <row r="1022" spans="9:10" ht="12.75" x14ac:dyDescent="0.2">
      <c r="I1022" s="53"/>
      <c r="J1022" s="46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1004"/>
  <sheetViews>
    <sheetView tabSelected="1" workbookViewId="0">
      <pane ySplit="1" topLeftCell="A2" activePane="bottomLeft" state="frozen"/>
      <selection pane="bottomLeft" activeCell="F3" sqref="F3"/>
    </sheetView>
  </sheetViews>
  <sheetFormatPr defaultColWidth="14.42578125" defaultRowHeight="15.75" customHeight="1" x14ac:dyDescent="0.2"/>
  <cols>
    <col min="1" max="2" width="14.42578125" style="31"/>
    <col min="3" max="3" width="45.7109375" style="31" bestFit="1" customWidth="1"/>
    <col min="4" max="4" width="16" style="92" customWidth="1"/>
    <col min="5" max="5" width="9.7109375" style="31" customWidth="1"/>
    <col min="6" max="6" width="16" style="41" bestFit="1" customWidth="1"/>
    <col min="7" max="7" width="14.5703125" style="41" bestFit="1" customWidth="1"/>
    <col min="8" max="8" width="16" style="41" bestFit="1" customWidth="1"/>
    <col min="9" max="11" width="16" style="81" bestFit="1" customWidth="1"/>
    <col min="12" max="12" width="42.85546875" style="31" customWidth="1"/>
    <col min="13" max="16384" width="14.42578125" style="31"/>
  </cols>
  <sheetData>
    <row r="1" spans="2:14" ht="39" x14ac:dyDescent="0.25">
      <c r="B1" s="30"/>
      <c r="D1" s="88" t="s">
        <v>168</v>
      </c>
      <c r="E1" s="95" t="s">
        <v>250</v>
      </c>
      <c r="F1" s="32" t="s">
        <v>251</v>
      </c>
      <c r="G1" s="32" t="s">
        <v>252</v>
      </c>
      <c r="H1" s="33" t="s">
        <v>164</v>
      </c>
      <c r="I1" s="80" t="s">
        <v>165</v>
      </c>
      <c r="J1" s="80" t="s">
        <v>166</v>
      </c>
      <c r="K1" s="80" t="s">
        <v>167</v>
      </c>
      <c r="L1" s="34"/>
    </row>
    <row r="2" spans="2:14" ht="18.75" x14ac:dyDescent="0.3">
      <c r="B2" s="35" t="s">
        <v>9</v>
      </c>
      <c r="C2" s="36"/>
      <c r="D2" s="89"/>
      <c r="E2" s="36"/>
      <c r="F2" s="37"/>
      <c r="G2" s="37"/>
      <c r="H2" s="38"/>
      <c r="L2" s="34"/>
    </row>
    <row r="3" spans="2:14" ht="12.75" x14ac:dyDescent="0.2">
      <c r="B3" s="39">
        <v>4000</v>
      </c>
      <c r="C3" s="40" t="s">
        <v>12</v>
      </c>
      <c r="D3" s="90">
        <v>43200</v>
      </c>
      <c r="E3" s="75">
        <f>IF(G3=0,0,((F3-G3)/G3))</f>
        <v>0.23459061583577698</v>
      </c>
      <c r="F3" s="70">
        <v>35082.949999999997</v>
      </c>
      <c r="G3" s="70">
        <f>H3/12*11</f>
        <v>28416.666666666668</v>
      </c>
      <c r="H3" s="70">
        <v>31000</v>
      </c>
      <c r="I3" s="82">
        <f>VLOOKUP(B3,'Old IS'!$A:$I,6,FALSE)</f>
        <v>35724.75</v>
      </c>
      <c r="J3" s="82">
        <f>VLOOKUP(B3,'Old IS'!$A:$I,8,FALSE)</f>
        <v>38566.42</v>
      </c>
      <c r="K3" s="82">
        <f>VLOOKUP(B3,'Old IS'!$A:$I,9,FALSE)</f>
        <v>34896.879999999997</v>
      </c>
      <c r="L3" s="40" t="s">
        <v>162</v>
      </c>
      <c r="M3" s="85">
        <f>F3/7*12</f>
        <v>60142.2</v>
      </c>
      <c r="N3" s="87">
        <f>(D3-M3)/M3</f>
        <v>-0.28170236539401616</v>
      </c>
    </row>
    <row r="4" spans="2:14" ht="12.75" x14ac:dyDescent="0.2">
      <c r="B4" s="39">
        <v>4010</v>
      </c>
      <c r="C4" s="40" t="s">
        <v>13</v>
      </c>
      <c r="D4" s="90">
        <v>4375</v>
      </c>
      <c r="E4" s="75">
        <f>IF(G4=0,0,((F4-G4)/G4))</f>
        <v>4.2312299465240684E-2</v>
      </c>
      <c r="F4" s="70">
        <v>3248.54</v>
      </c>
      <c r="G4" s="70">
        <f>H4/12*11</f>
        <v>3116.6666666666665</v>
      </c>
      <c r="H4" s="70">
        <v>3400</v>
      </c>
      <c r="I4" s="82">
        <f>VLOOKUP(B4,'Old IS'!$A:$I,6,FALSE)</f>
        <v>3183.66</v>
      </c>
      <c r="J4" s="82">
        <f>VLOOKUP(B4,'Old IS'!$A:$I,8,FALSE)</f>
        <v>3826.07</v>
      </c>
      <c r="K4" s="82">
        <f>VLOOKUP(B4,'Old IS'!$A:$I,9,FALSE)</f>
        <v>2517.5700000000002</v>
      </c>
      <c r="L4" s="40" t="s">
        <v>162</v>
      </c>
      <c r="M4" s="85">
        <f>F4/7*12</f>
        <v>5568.9257142857141</v>
      </c>
      <c r="N4" s="87">
        <f>(D4-M4)/M4</f>
        <v>-0.21439066985989602</v>
      </c>
    </row>
    <row r="5" spans="2:14" ht="15" x14ac:dyDescent="0.25">
      <c r="B5" s="42" t="s">
        <v>11</v>
      </c>
      <c r="C5" s="43"/>
      <c r="D5" s="91">
        <f t="shared" ref="D5:K5" si="0">D3+D4</f>
        <v>47575</v>
      </c>
      <c r="E5" s="76">
        <f>IF(G5=0,0,((F5-G5)/G5))</f>
        <v>0.21558636363636347</v>
      </c>
      <c r="F5" s="72">
        <f t="shared" si="0"/>
        <v>38331.49</v>
      </c>
      <c r="G5" s="72">
        <f t="shared" si="0"/>
        <v>31533.333333333336</v>
      </c>
      <c r="H5" s="72">
        <f t="shared" si="0"/>
        <v>34400</v>
      </c>
      <c r="I5" s="83">
        <f t="shared" si="0"/>
        <v>38908.410000000003</v>
      </c>
      <c r="J5" s="83">
        <f t="shared" si="0"/>
        <v>42392.49</v>
      </c>
      <c r="K5" s="83">
        <f t="shared" si="0"/>
        <v>37414.449999999997</v>
      </c>
      <c r="L5" s="34"/>
    </row>
    <row r="6" spans="2:14" ht="15.75" customHeight="1" x14ac:dyDescent="0.2">
      <c r="E6" s="75"/>
      <c r="F6" s="71"/>
      <c r="G6" s="71"/>
      <c r="H6" s="71"/>
      <c r="I6" s="82"/>
      <c r="J6" s="82"/>
      <c r="K6" s="82"/>
    </row>
    <row r="7" spans="2:14" ht="12.75" x14ac:dyDescent="0.2">
      <c r="B7" s="39">
        <v>4020</v>
      </c>
      <c r="C7" s="40" t="s">
        <v>29</v>
      </c>
      <c r="D7" s="90">
        <v>0</v>
      </c>
      <c r="E7" s="75">
        <f t="shared" ref="E7:E37" si="1">IF(G7=0,0,((F7-G7)/G7))</f>
        <v>0</v>
      </c>
      <c r="F7" s="44">
        <v>3258.89</v>
      </c>
      <c r="G7" s="70">
        <f t="shared" ref="G7:G9" si="2">H7/12*11</f>
        <v>0</v>
      </c>
      <c r="H7" s="70">
        <v>0</v>
      </c>
      <c r="I7" s="82">
        <f>VLOOKUP(B7,'Old IS'!$A:$I,6,FALSE)</f>
        <v>385</v>
      </c>
      <c r="J7" s="82">
        <f>VLOOKUP(B7,'Old IS'!$A:$I,8,FALSE)</f>
        <v>0</v>
      </c>
      <c r="K7" s="82">
        <f>VLOOKUP(B7,'Old IS'!$A:$I,9,FALSE)</f>
        <v>785.91</v>
      </c>
      <c r="L7" s="34"/>
      <c r="M7" s="85"/>
    </row>
    <row r="8" spans="2:14" ht="12.75" x14ac:dyDescent="0.2">
      <c r="B8" s="39">
        <v>4020.1</v>
      </c>
      <c r="C8" s="40" t="s">
        <v>15</v>
      </c>
      <c r="D8" s="90">
        <v>11000</v>
      </c>
      <c r="E8" s="75">
        <f t="shared" si="1"/>
        <v>0.24158641358641336</v>
      </c>
      <c r="F8" s="70">
        <v>10356.9</v>
      </c>
      <c r="G8" s="70">
        <f t="shared" si="2"/>
        <v>8341.6666666666679</v>
      </c>
      <c r="H8" s="70">
        <v>9100</v>
      </c>
      <c r="I8" s="82">
        <f>VLOOKUP(B8,'Old IS'!$A:$I,6,FALSE)</f>
        <v>9098.1299999999992</v>
      </c>
      <c r="J8" s="82">
        <f>VLOOKUP(B8,'Old IS'!$A:$I,8,FALSE)</f>
        <v>9123.48</v>
      </c>
      <c r="K8" s="82">
        <f>VLOOKUP(B8,'Old IS'!$A:$I,9,FALSE)</f>
        <v>6356.46</v>
      </c>
      <c r="L8" s="34"/>
      <c r="M8" s="85"/>
    </row>
    <row r="9" spans="2:14" ht="12.75" x14ac:dyDescent="0.2">
      <c r="B9" s="39">
        <v>4020.15</v>
      </c>
      <c r="C9" s="40" t="s">
        <v>16</v>
      </c>
      <c r="D9" s="90">
        <v>1200</v>
      </c>
      <c r="E9" s="75">
        <f t="shared" si="1"/>
        <v>-1</v>
      </c>
      <c r="F9" s="70">
        <v>0</v>
      </c>
      <c r="G9" s="70">
        <f t="shared" si="2"/>
        <v>1100</v>
      </c>
      <c r="H9" s="70">
        <v>1200</v>
      </c>
      <c r="I9" s="82">
        <f>VLOOKUP(B9,'Old IS'!$A:$I,6,FALSE)</f>
        <v>1200</v>
      </c>
      <c r="J9" s="82">
        <f>VLOOKUP(B9,'Old IS'!$A:$I,8,FALSE)</f>
        <v>1200</v>
      </c>
      <c r="K9" s="82">
        <f>VLOOKUP(B9,'Old IS'!$A:$I,9,FALSE)</f>
        <v>0</v>
      </c>
      <c r="L9" s="34"/>
      <c r="M9" s="85"/>
    </row>
    <row r="10" spans="2:14" ht="12.75" x14ac:dyDescent="0.2">
      <c r="B10" s="39">
        <v>4020.2</v>
      </c>
      <c r="C10" s="40" t="s">
        <v>33</v>
      </c>
      <c r="D10" s="90">
        <v>0</v>
      </c>
      <c r="E10" s="75">
        <f t="shared" si="1"/>
        <v>0</v>
      </c>
      <c r="F10" s="70">
        <v>0</v>
      </c>
      <c r="G10" s="70">
        <f>H10/12*11</f>
        <v>0</v>
      </c>
      <c r="H10" s="70">
        <v>0</v>
      </c>
      <c r="I10" s="82">
        <f>VLOOKUP(B10,'Old IS'!$A:$I,6,FALSE)</f>
        <v>0</v>
      </c>
      <c r="J10" s="82">
        <f>VLOOKUP(B10,'Old IS'!$A:$I,8,FALSE)</f>
        <v>0</v>
      </c>
      <c r="K10" s="82">
        <f>VLOOKUP(B10,'Old IS'!$A:$I,9,FALSE)</f>
        <v>65</v>
      </c>
      <c r="L10" s="34"/>
      <c r="M10" s="85"/>
    </row>
    <row r="11" spans="2:14" ht="12.75" x14ac:dyDescent="0.2">
      <c r="B11" s="39">
        <v>4020.5</v>
      </c>
      <c r="C11" s="40" t="s">
        <v>254</v>
      </c>
      <c r="D11" s="90">
        <v>0</v>
      </c>
      <c r="E11" s="75"/>
      <c r="F11" s="70">
        <v>93</v>
      </c>
      <c r="G11" s="70">
        <v>0</v>
      </c>
      <c r="H11" s="70">
        <v>0</v>
      </c>
      <c r="I11" s="82">
        <v>0</v>
      </c>
      <c r="J11" s="82">
        <v>0</v>
      </c>
      <c r="K11" s="82">
        <v>0</v>
      </c>
      <c r="L11" s="34"/>
      <c r="M11" s="85"/>
    </row>
    <row r="12" spans="2:14" ht="15" x14ac:dyDescent="0.25">
      <c r="B12" s="42" t="s">
        <v>14</v>
      </c>
      <c r="C12" s="43"/>
      <c r="D12" s="91">
        <f>SUM(D7:D11)</f>
        <v>12200</v>
      </c>
      <c r="E12" s="76">
        <f t="shared" si="1"/>
        <v>0.4519459841129741</v>
      </c>
      <c r="F12" s="72">
        <f>SUM(F7:F11)</f>
        <v>13708.789999999999</v>
      </c>
      <c r="G12" s="72">
        <f t="shared" ref="D12:K12" si="3">SUM(G7:G10)</f>
        <v>9441.6666666666679</v>
      </c>
      <c r="H12" s="72">
        <f>SUM(H7:H11)</f>
        <v>10300</v>
      </c>
      <c r="I12" s="83">
        <f t="shared" si="3"/>
        <v>10683.13</v>
      </c>
      <c r="J12" s="83">
        <f t="shared" si="3"/>
        <v>10323.48</v>
      </c>
      <c r="K12" s="83">
        <f t="shared" si="3"/>
        <v>7207.37</v>
      </c>
      <c r="L12" s="40" t="s">
        <v>163</v>
      </c>
      <c r="M12" s="85">
        <f>F12/7*12</f>
        <v>23500.782857142854</v>
      </c>
      <c r="N12" s="87">
        <f>(D12-M12)/M12</f>
        <v>-0.48086835769847902</v>
      </c>
    </row>
    <row r="13" spans="2:14" ht="15.75" customHeight="1" x14ac:dyDescent="0.2">
      <c r="E13" s="75"/>
      <c r="F13" s="71"/>
      <c r="G13" s="71"/>
      <c r="H13" s="71"/>
      <c r="I13" s="82"/>
      <c r="J13" s="82"/>
      <c r="K13" s="82"/>
    </row>
    <row r="14" spans="2:14" ht="12.75" x14ac:dyDescent="0.2">
      <c r="B14" s="39">
        <v>4100</v>
      </c>
      <c r="C14" s="40" t="s">
        <v>18</v>
      </c>
      <c r="D14" s="90">
        <v>52155</v>
      </c>
      <c r="E14" s="75">
        <f t="shared" si="1"/>
        <v>0</v>
      </c>
      <c r="F14" s="70">
        <v>50325</v>
      </c>
      <c r="G14" s="70">
        <f>H14/12*11</f>
        <v>50325</v>
      </c>
      <c r="H14" s="70">
        <v>54900</v>
      </c>
      <c r="I14" s="82">
        <f>VLOOKUP(B14,'Old IS'!$A:$I,6,FALSE)</f>
        <v>60999.96</v>
      </c>
      <c r="J14" s="82">
        <f>VLOOKUP(B14,'Old IS'!$A:$I,8,FALSE)</f>
        <v>62282.04</v>
      </c>
      <c r="K14" s="82">
        <f>VLOOKUP(B14,'Old IS'!$A:$I,9,FALSE)</f>
        <v>60999.96</v>
      </c>
      <c r="L14" s="40" t="s">
        <v>169</v>
      </c>
      <c r="M14" s="85"/>
    </row>
    <row r="15" spans="2:14" ht="15" x14ac:dyDescent="0.25">
      <c r="B15" s="42" t="s">
        <v>17</v>
      </c>
      <c r="C15" s="43"/>
      <c r="D15" s="91">
        <f t="shared" ref="D15:K15" si="4">D14</f>
        <v>52155</v>
      </c>
      <c r="E15" s="76">
        <f t="shared" si="1"/>
        <v>0</v>
      </c>
      <c r="F15" s="72">
        <f t="shared" si="4"/>
        <v>50325</v>
      </c>
      <c r="G15" s="72">
        <f t="shared" si="4"/>
        <v>50325</v>
      </c>
      <c r="H15" s="72">
        <f t="shared" si="4"/>
        <v>54900</v>
      </c>
      <c r="I15" s="83">
        <f t="shared" si="4"/>
        <v>60999.96</v>
      </c>
      <c r="J15" s="83">
        <f t="shared" si="4"/>
        <v>62282.04</v>
      </c>
      <c r="K15" s="83">
        <f t="shared" si="4"/>
        <v>60999.96</v>
      </c>
    </row>
    <row r="16" spans="2:14" ht="15.75" customHeight="1" x14ac:dyDescent="0.2">
      <c r="E16" s="75"/>
      <c r="F16" s="71"/>
      <c r="G16" s="71"/>
      <c r="H16" s="71"/>
      <c r="I16" s="82"/>
      <c r="J16" s="82"/>
      <c r="K16" s="82"/>
    </row>
    <row r="17" spans="2:13" ht="12.75" x14ac:dyDescent="0.2">
      <c r="B17" s="39">
        <v>4140.12</v>
      </c>
      <c r="C17" s="40" t="s">
        <v>61</v>
      </c>
      <c r="D17" s="90">
        <v>0</v>
      </c>
      <c r="E17" s="75">
        <f t="shared" si="1"/>
        <v>0</v>
      </c>
      <c r="F17" s="74">
        <v>0</v>
      </c>
      <c r="G17" s="70">
        <f t="shared" ref="G17:G20" si="5">H17/12*11</f>
        <v>0</v>
      </c>
      <c r="H17" s="70">
        <v>0</v>
      </c>
      <c r="I17" s="82">
        <f>VLOOKUP(B17,'Old IS'!$A:$I,6,FALSE)</f>
        <v>0</v>
      </c>
      <c r="J17" s="82">
        <f>VLOOKUP(B17,'Old IS'!$A:$I,8,FALSE)</f>
        <v>3000</v>
      </c>
      <c r="K17" s="82">
        <f>VLOOKUP(B17,'Old IS'!$A:$I,9,FALSE)</f>
        <v>0</v>
      </c>
      <c r="L17" s="40"/>
      <c r="M17" s="85"/>
    </row>
    <row r="18" spans="2:13" ht="12.75" x14ac:dyDescent="0.2">
      <c r="B18" s="39">
        <v>4140.1099999999997</v>
      </c>
      <c r="C18" s="40" t="s">
        <v>64</v>
      </c>
      <c r="D18" s="90">
        <v>0</v>
      </c>
      <c r="E18" s="75">
        <f t="shared" si="1"/>
        <v>0</v>
      </c>
      <c r="F18" s="74">
        <v>0</v>
      </c>
      <c r="G18" s="70">
        <f t="shared" si="5"/>
        <v>0</v>
      </c>
      <c r="H18" s="70">
        <v>0</v>
      </c>
      <c r="I18" s="82">
        <f>VLOOKUP(B18,'Old IS'!$A:$I,6,FALSE)</f>
        <v>0</v>
      </c>
      <c r="J18" s="82">
        <f>VLOOKUP(B18,'Old IS'!$A:$I,8,FALSE)</f>
        <v>2205</v>
      </c>
      <c r="K18" s="82">
        <f>VLOOKUP(B18,'Old IS'!$A:$I,9,FALSE)</f>
        <v>0</v>
      </c>
      <c r="L18" s="40"/>
      <c r="M18" s="85"/>
    </row>
    <row r="19" spans="2:13" ht="12.75" x14ac:dyDescent="0.2">
      <c r="B19" s="39">
        <v>4140</v>
      </c>
      <c r="C19" s="40" t="s">
        <v>21</v>
      </c>
      <c r="D19" s="90">
        <v>3600</v>
      </c>
      <c r="E19" s="75">
        <f t="shared" si="1"/>
        <v>-0.18351931818181816</v>
      </c>
      <c r="F19" s="70">
        <v>2395.0100000000002</v>
      </c>
      <c r="G19" s="70">
        <f t="shared" si="5"/>
        <v>2933.3333333333335</v>
      </c>
      <c r="H19" s="70">
        <v>3200</v>
      </c>
      <c r="I19" s="82">
        <f>VLOOKUP(B19,'Old IS'!$A:$I,6,FALSE)</f>
        <v>2505</v>
      </c>
      <c r="J19" s="82">
        <f>VLOOKUP(B19,'Old IS'!$A:$I,8,FALSE)</f>
        <v>0</v>
      </c>
      <c r="K19" s="82">
        <f>VLOOKUP(B19,'Old IS'!$A:$I,9,FALSE)</f>
        <v>10895</v>
      </c>
      <c r="L19" s="34"/>
      <c r="M19" s="85"/>
    </row>
    <row r="20" spans="2:13" ht="12.75" x14ac:dyDescent="0.2">
      <c r="B20" s="39">
        <v>4140.1000000000004</v>
      </c>
      <c r="C20" s="40" t="s">
        <v>70</v>
      </c>
      <c r="D20" s="90">
        <v>0</v>
      </c>
      <c r="E20" s="75">
        <f t="shared" si="1"/>
        <v>0</v>
      </c>
      <c r="F20" s="70">
        <v>0</v>
      </c>
      <c r="G20" s="70">
        <f t="shared" si="5"/>
        <v>0</v>
      </c>
      <c r="H20" s="70">
        <v>0</v>
      </c>
      <c r="I20" s="82">
        <f>VLOOKUP(B20,'Old IS'!$A:$I,6,FALSE)</f>
        <v>0</v>
      </c>
      <c r="J20" s="82">
        <f>VLOOKUP(B20,'Old IS'!$A:$I,8,FALSE)</f>
        <v>2000</v>
      </c>
      <c r="K20" s="82">
        <f>VLOOKUP(B20,'Old IS'!$A:$I,9,FALSE)</f>
        <v>0</v>
      </c>
      <c r="L20" s="34"/>
      <c r="M20" s="85"/>
    </row>
    <row r="21" spans="2:13" ht="15" x14ac:dyDescent="0.25">
      <c r="B21" s="42" t="s">
        <v>19</v>
      </c>
      <c r="C21" s="43"/>
      <c r="D21" s="91">
        <f t="shared" ref="D21:K21" si="6">SUM(D17:D20)</f>
        <v>3600</v>
      </c>
      <c r="E21" s="76">
        <f t="shared" si="1"/>
        <v>-0.18351931818181816</v>
      </c>
      <c r="F21" s="72">
        <f t="shared" si="6"/>
        <v>2395.0100000000002</v>
      </c>
      <c r="G21" s="72">
        <f t="shared" si="6"/>
        <v>2933.3333333333335</v>
      </c>
      <c r="H21" s="72">
        <f t="shared" si="6"/>
        <v>3200</v>
      </c>
      <c r="I21" s="83">
        <f t="shared" si="6"/>
        <v>2505</v>
      </c>
      <c r="J21" s="83">
        <f t="shared" si="6"/>
        <v>7205</v>
      </c>
      <c r="K21" s="83">
        <f t="shared" si="6"/>
        <v>10895</v>
      </c>
      <c r="L21" s="40" t="s">
        <v>20</v>
      </c>
    </row>
    <row r="22" spans="2:13" ht="15.75" customHeight="1" x14ac:dyDescent="0.2">
      <c r="E22" s="75"/>
      <c r="F22" s="71"/>
      <c r="G22" s="71"/>
      <c r="H22" s="71"/>
      <c r="I22" s="82"/>
      <c r="J22" s="82"/>
      <c r="K22" s="82"/>
    </row>
    <row r="23" spans="2:13" ht="12.75" x14ac:dyDescent="0.2">
      <c r="B23" s="39">
        <v>4950.2020000000002</v>
      </c>
      <c r="C23" s="40" t="s">
        <v>23</v>
      </c>
      <c r="D23" s="90">
        <v>1400</v>
      </c>
      <c r="E23" s="75">
        <f t="shared" si="1"/>
        <v>0.22350909090909082</v>
      </c>
      <c r="F23" s="70">
        <v>1345.86</v>
      </c>
      <c r="G23" s="70">
        <f t="shared" ref="G23:G30" si="7">H23/12*11</f>
        <v>1100</v>
      </c>
      <c r="H23" s="70">
        <v>1200</v>
      </c>
      <c r="I23" s="82">
        <f>VLOOKUP(B23,'Old IS'!$A:$I,6,FALSE)</f>
        <v>1962.87</v>
      </c>
      <c r="J23" s="82">
        <f>VLOOKUP(B23,'Old IS'!$A:$I,8,FALSE)</f>
        <v>1791.7</v>
      </c>
      <c r="K23" s="82">
        <f>VLOOKUP(B23,'Old IS'!$A:$I,9,FALSE)</f>
        <v>1085.17</v>
      </c>
      <c r="L23" s="34"/>
      <c r="M23" s="85"/>
    </row>
    <row r="24" spans="2:13" ht="12.75" x14ac:dyDescent="0.2">
      <c r="B24" s="39">
        <v>4950.299</v>
      </c>
      <c r="C24" s="40" t="s">
        <v>24</v>
      </c>
      <c r="D24" s="90">
        <v>1000</v>
      </c>
      <c r="E24" s="75">
        <f t="shared" si="1"/>
        <v>-0.34994405594405587</v>
      </c>
      <c r="F24" s="70">
        <v>774.65</v>
      </c>
      <c r="G24" s="70">
        <f t="shared" si="7"/>
        <v>1191.6666666666665</v>
      </c>
      <c r="H24" s="70">
        <v>1300</v>
      </c>
      <c r="I24" s="82">
        <f>VLOOKUP(B24,'Old IS'!$A:$I,6,FALSE)</f>
        <v>1452.11</v>
      </c>
      <c r="J24" s="82">
        <f>VLOOKUP(B24,'Old IS'!$A:$I,8,FALSE)</f>
        <v>861.6</v>
      </c>
      <c r="K24" s="82">
        <f>VLOOKUP(B24,'Old IS'!$A:$I,9,FALSE)</f>
        <v>1055</v>
      </c>
      <c r="L24" s="34"/>
      <c r="M24" s="85"/>
    </row>
    <row r="25" spans="2:13" ht="12.75" x14ac:dyDescent="0.2">
      <c r="B25" s="39">
        <v>4190</v>
      </c>
      <c r="C25" s="40" t="s">
        <v>25</v>
      </c>
      <c r="D25" s="90">
        <f>F25/7*12</f>
        <v>0</v>
      </c>
      <c r="E25" s="75">
        <f t="shared" si="1"/>
        <v>-1</v>
      </c>
      <c r="F25" s="70">
        <v>0</v>
      </c>
      <c r="G25" s="70">
        <f t="shared" si="7"/>
        <v>366.66666666666669</v>
      </c>
      <c r="H25" s="70">
        <v>400</v>
      </c>
      <c r="I25" s="82">
        <f>VLOOKUP(B25,'Old IS'!$A:$I,6,FALSE)</f>
        <v>0</v>
      </c>
      <c r="J25" s="82">
        <f>VLOOKUP(B25,'Old IS'!$A:$I,8,FALSE)</f>
        <v>370</v>
      </c>
      <c r="K25" s="82">
        <f>VLOOKUP(B25,'Old IS'!$A:$I,9,FALSE)</f>
        <v>5000</v>
      </c>
      <c r="L25" s="34"/>
      <c r="M25" s="85"/>
    </row>
    <row r="26" spans="2:13" ht="12.75" x14ac:dyDescent="0.2">
      <c r="B26" s="39">
        <v>4075</v>
      </c>
      <c r="C26" s="40" t="s">
        <v>253</v>
      </c>
      <c r="D26" s="90">
        <v>0</v>
      </c>
      <c r="E26" s="75"/>
      <c r="F26" s="70">
        <v>4500</v>
      </c>
      <c r="G26" s="70">
        <v>0</v>
      </c>
      <c r="H26" s="70">
        <v>0</v>
      </c>
      <c r="I26" s="82">
        <v>0</v>
      </c>
      <c r="J26" s="82">
        <v>0</v>
      </c>
      <c r="K26" s="82">
        <v>0</v>
      </c>
      <c r="L26" s="34"/>
      <c r="M26" s="85"/>
    </row>
    <row r="27" spans="2:13" ht="12.75" x14ac:dyDescent="0.2">
      <c r="B27" s="39">
        <v>4150</v>
      </c>
      <c r="C27" s="40" t="s">
        <v>85</v>
      </c>
      <c r="D27" s="90">
        <v>0</v>
      </c>
      <c r="E27" s="75">
        <f t="shared" si="1"/>
        <v>0</v>
      </c>
      <c r="F27" s="70">
        <v>338.09</v>
      </c>
      <c r="G27" s="70">
        <f t="shared" si="7"/>
        <v>0</v>
      </c>
      <c r="H27" s="70">
        <v>0</v>
      </c>
      <c r="I27" s="82">
        <f>VLOOKUP(B27,'Old IS'!$A:$I,6,FALSE)</f>
        <v>289.8</v>
      </c>
      <c r="J27" s="82">
        <f>VLOOKUP(B27,'Old IS'!$A:$I,8,FALSE)</f>
        <v>0</v>
      </c>
      <c r="K27" s="82">
        <f>VLOOKUP(B27,'Old IS'!$A:$I,9,FALSE)</f>
        <v>0</v>
      </c>
      <c r="L27" s="34"/>
      <c r="M27" s="85"/>
    </row>
    <row r="28" spans="2:13" ht="12.75" x14ac:dyDescent="0.2">
      <c r="B28" s="39">
        <v>4170</v>
      </c>
      <c r="C28" s="40" t="s">
        <v>89</v>
      </c>
      <c r="D28" s="90">
        <v>0</v>
      </c>
      <c r="E28" s="75">
        <f t="shared" si="1"/>
        <v>0</v>
      </c>
      <c r="F28" s="70">
        <v>0</v>
      </c>
      <c r="G28" s="70">
        <f t="shared" si="7"/>
        <v>0</v>
      </c>
      <c r="H28" s="70">
        <v>0</v>
      </c>
      <c r="I28" s="82">
        <f>VLOOKUP(B28,'Old IS'!$A:$I,6,FALSE)</f>
        <v>0</v>
      </c>
      <c r="J28" s="82">
        <f>VLOOKUP(B28,'Old IS'!$A:$I,8,FALSE)</f>
        <v>5000</v>
      </c>
      <c r="K28" s="82">
        <f>VLOOKUP(B28,'Old IS'!$A:$I,9,FALSE)</f>
        <v>0</v>
      </c>
      <c r="L28" s="34"/>
      <c r="M28" s="85"/>
    </row>
    <row r="29" spans="2:13" ht="12.75" x14ac:dyDescent="0.2">
      <c r="B29" s="39">
        <v>4950.2039999999997</v>
      </c>
      <c r="C29" s="40" t="s">
        <v>91</v>
      </c>
      <c r="D29" s="90">
        <v>0</v>
      </c>
      <c r="E29" s="75">
        <f t="shared" si="1"/>
        <v>0</v>
      </c>
      <c r="F29" s="70">
        <v>1297</v>
      </c>
      <c r="G29" s="70">
        <f t="shared" si="7"/>
        <v>0</v>
      </c>
      <c r="H29" s="70">
        <v>0</v>
      </c>
      <c r="I29" s="82">
        <f>VLOOKUP(B29,'Old IS'!$A:$I,6,FALSE)</f>
        <v>125</v>
      </c>
      <c r="J29" s="82">
        <f>VLOOKUP(B29,'Old IS'!$A:$I,8,FALSE)</f>
        <v>753</v>
      </c>
      <c r="K29" s="82">
        <f>VLOOKUP(B29,'Old IS'!$A:$I,9,FALSE)</f>
        <v>817.2</v>
      </c>
      <c r="L29" s="34"/>
      <c r="M29" s="85"/>
    </row>
    <row r="30" spans="2:13" ht="12.75" x14ac:dyDescent="0.2">
      <c r="B30" s="40">
        <v>4950.607</v>
      </c>
      <c r="C30" s="40" t="s">
        <v>95</v>
      </c>
      <c r="D30" s="90">
        <v>0</v>
      </c>
      <c r="E30" s="75">
        <f t="shared" si="1"/>
        <v>0</v>
      </c>
      <c r="F30" s="70">
        <v>0</v>
      </c>
      <c r="G30" s="70">
        <f t="shared" si="7"/>
        <v>0</v>
      </c>
      <c r="H30" s="70">
        <v>0</v>
      </c>
      <c r="I30" s="82">
        <f>VLOOKUP(B30,'Old IS'!$A:$I,6,FALSE)</f>
        <v>0</v>
      </c>
      <c r="J30" s="82">
        <f>VLOOKUP(B30,'Old IS'!$A:$I,8,FALSE)</f>
        <v>3240</v>
      </c>
      <c r="K30" s="82">
        <f>VLOOKUP(B30,'Old IS'!$A:$I,9,FALSE)</f>
        <v>0</v>
      </c>
      <c r="L30" s="34"/>
      <c r="M30" s="85"/>
    </row>
    <row r="31" spans="2:13" ht="15" x14ac:dyDescent="0.25">
      <c r="B31" s="42" t="s">
        <v>22</v>
      </c>
      <c r="C31" s="43"/>
      <c r="D31" s="91">
        <f t="shared" ref="D31:K31" si="8">SUM(D23:D30)</f>
        <v>2400</v>
      </c>
      <c r="E31" s="76">
        <f t="shared" si="1"/>
        <v>2.1055548589341697</v>
      </c>
      <c r="F31" s="72">
        <f t="shared" si="8"/>
        <v>8255.6</v>
      </c>
      <c r="G31" s="72">
        <f t="shared" si="8"/>
        <v>2658.333333333333</v>
      </c>
      <c r="H31" s="72">
        <f t="shared" si="8"/>
        <v>2900</v>
      </c>
      <c r="I31" s="83">
        <f t="shared" si="8"/>
        <v>3829.7799999999997</v>
      </c>
      <c r="J31" s="83">
        <f t="shared" si="8"/>
        <v>12016.3</v>
      </c>
      <c r="K31" s="83">
        <f t="shared" si="8"/>
        <v>7957.37</v>
      </c>
      <c r="L31" s="40" t="s">
        <v>20</v>
      </c>
    </row>
    <row r="32" spans="2:13" ht="15.75" customHeight="1" x14ac:dyDescent="0.2">
      <c r="E32" s="75"/>
      <c r="F32" s="71"/>
      <c r="G32" s="71"/>
      <c r="H32" s="71"/>
      <c r="I32" s="82"/>
      <c r="J32" s="82"/>
      <c r="K32" s="82"/>
    </row>
    <row r="33" spans="1:15" ht="15.75" customHeight="1" x14ac:dyDescent="0.2">
      <c r="B33" s="39">
        <v>4200</v>
      </c>
      <c r="C33" s="40" t="s">
        <v>27</v>
      </c>
      <c r="D33" s="90">
        <v>20</v>
      </c>
      <c r="E33" s="75">
        <f t="shared" si="1"/>
        <v>0.75818181818181818</v>
      </c>
      <c r="F33" s="70">
        <v>19.34</v>
      </c>
      <c r="G33" s="70">
        <f t="shared" ref="G33:G34" si="9">H33/12*11</f>
        <v>11</v>
      </c>
      <c r="H33" s="70">
        <v>12</v>
      </c>
      <c r="I33" s="82">
        <f>VLOOKUP(B33,'Old IS'!$A:$I,6,FALSE)</f>
        <v>11.92</v>
      </c>
      <c r="J33" s="82">
        <f>VLOOKUP(B33,'Old IS'!$A:$I,8,FALSE)</f>
        <v>11.51</v>
      </c>
      <c r="K33" s="82">
        <f>VLOOKUP(B33,'Old IS'!$A:$I,9,FALSE)</f>
        <v>4.49</v>
      </c>
      <c r="L33" s="34"/>
      <c r="M33" s="85"/>
    </row>
    <row r="34" spans="1:15" ht="15.75" customHeight="1" x14ac:dyDescent="0.2">
      <c r="B34" s="39">
        <v>4950.5</v>
      </c>
      <c r="C34" s="40" t="s">
        <v>104</v>
      </c>
      <c r="D34" s="90">
        <v>0</v>
      </c>
      <c r="E34" s="75">
        <f t="shared" si="1"/>
        <v>0</v>
      </c>
      <c r="F34" s="70">
        <v>0</v>
      </c>
      <c r="G34" s="70">
        <f t="shared" si="9"/>
        <v>0</v>
      </c>
      <c r="H34" s="70">
        <v>0</v>
      </c>
      <c r="I34" s="82">
        <f>VLOOKUP(B34,'Old IS'!$A:$I,6,FALSE)</f>
        <v>0</v>
      </c>
      <c r="J34" s="82">
        <f>VLOOKUP(B34,'Old IS'!$A:$I,8,FALSE)</f>
        <v>0</v>
      </c>
      <c r="K34" s="82">
        <f>VLOOKUP(B34,'Old IS'!$A:$I,9,FALSE)</f>
        <v>10000</v>
      </c>
      <c r="L34" s="34"/>
      <c r="M34" s="85"/>
    </row>
    <row r="35" spans="1:15" ht="15" x14ac:dyDescent="0.25">
      <c r="B35" s="42" t="s">
        <v>26</v>
      </c>
      <c r="C35" s="43"/>
      <c r="D35" s="91">
        <f>SUM(D33:D34)</f>
        <v>20</v>
      </c>
      <c r="E35" s="75">
        <f t="shared" si="1"/>
        <v>0.75818181818181818</v>
      </c>
      <c r="F35" s="72">
        <f t="shared" ref="F35:K35" si="10">SUM(F33:F34)</f>
        <v>19.34</v>
      </c>
      <c r="G35" s="72">
        <f t="shared" si="10"/>
        <v>11</v>
      </c>
      <c r="H35" s="72">
        <f t="shared" si="10"/>
        <v>12</v>
      </c>
      <c r="I35" s="83">
        <f t="shared" si="10"/>
        <v>11.92</v>
      </c>
      <c r="J35" s="83">
        <f t="shared" si="10"/>
        <v>11.51</v>
      </c>
      <c r="K35" s="83">
        <f t="shared" si="10"/>
        <v>10004.49</v>
      </c>
      <c r="L35" s="34"/>
    </row>
    <row r="36" spans="1:15" ht="15" x14ac:dyDescent="0.25">
      <c r="B36" s="42"/>
      <c r="C36" s="43"/>
      <c r="D36" s="91"/>
      <c r="E36" s="75"/>
      <c r="F36" s="72"/>
      <c r="G36" s="72"/>
      <c r="H36" s="72"/>
      <c r="I36" s="83"/>
      <c r="J36" s="83"/>
      <c r="K36" s="83"/>
      <c r="L36" s="34"/>
    </row>
    <row r="37" spans="1:15" s="78" customFormat="1" ht="18.75" x14ac:dyDescent="0.3">
      <c r="B37" s="35" t="s">
        <v>28</v>
      </c>
      <c r="C37" s="49"/>
      <c r="D37" s="93">
        <f>D5+D12+D15+D21+D31+D35</f>
        <v>117950</v>
      </c>
      <c r="E37" s="77">
        <f t="shared" si="1"/>
        <v>0.16648214015438179</v>
      </c>
      <c r="F37" s="73">
        <f t="shared" ref="F37:K37" si="11">F5+F12+F15+F21+F31+F35</f>
        <v>113035.23</v>
      </c>
      <c r="G37" s="73">
        <f t="shared" si="11"/>
        <v>96902.666666666657</v>
      </c>
      <c r="H37" s="73">
        <f t="shared" si="11"/>
        <v>105712</v>
      </c>
      <c r="I37" s="84">
        <f t="shared" si="11"/>
        <v>116938.2</v>
      </c>
      <c r="J37" s="84">
        <f t="shared" si="11"/>
        <v>134230.82</v>
      </c>
      <c r="K37" s="84">
        <f t="shared" si="11"/>
        <v>134478.63999999998</v>
      </c>
      <c r="L37" s="49"/>
      <c r="M37" s="85">
        <f>F37/7*12</f>
        <v>193774.68</v>
      </c>
      <c r="N37" s="87">
        <f>(D37-M37)/M37</f>
        <v>-0.39130334262453687</v>
      </c>
    </row>
    <row r="38" spans="1:15" ht="15.75" customHeight="1" x14ac:dyDescent="0.2">
      <c r="E38" s="75"/>
      <c r="F38" s="71"/>
      <c r="G38" s="71"/>
      <c r="H38" s="71"/>
      <c r="I38" s="82"/>
      <c r="J38" s="82"/>
      <c r="K38" s="82"/>
      <c r="L38" s="34"/>
    </row>
    <row r="39" spans="1:15" ht="18.75" x14ac:dyDescent="0.3">
      <c r="B39" s="35" t="s">
        <v>30</v>
      </c>
      <c r="E39" s="75"/>
      <c r="F39" s="71"/>
      <c r="G39" s="71"/>
      <c r="H39" s="71"/>
      <c r="I39" s="82"/>
      <c r="J39" s="82"/>
      <c r="K39" s="82"/>
      <c r="L39" s="34"/>
    </row>
    <row r="40" spans="1:15" ht="25.5" x14ac:dyDescent="0.2">
      <c r="A40" s="31" t="s">
        <v>210</v>
      </c>
      <c r="B40" s="39">
        <v>5210.1009999999997</v>
      </c>
      <c r="C40" s="40" t="s">
        <v>32</v>
      </c>
      <c r="D40" s="90">
        <v>33000</v>
      </c>
      <c r="E40" s="75">
        <f>IF(G40=0,0,((G40-F40)/G40))</f>
        <v>0.86250100000000007</v>
      </c>
      <c r="F40" s="70">
        <v>1374.99</v>
      </c>
      <c r="G40" s="70">
        <f>H40/5*4</f>
        <v>10000</v>
      </c>
      <c r="H40" s="79">
        <f>15000/6*5</f>
        <v>12500</v>
      </c>
      <c r="I40" s="82">
        <f>VLOOKUP(B40,'Old IS'!$A:$I,6,FALSE)</f>
        <v>20072.990000000002</v>
      </c>
      <c r="J40" s="82">
        <f>VLOOKUP(B40,'Old IS'!$A:$I,8,FALSE)</f>
        <v>34354.61</v>
      </c>
      <c r="K40" s="82">
        <f>VLOOKUP(B40,'Old IS'!$A:$I,9,FALSE)</f>
        <v>33736.080000000002</v>
      </c>
      <c r="L40" s="46" t="s">
        <v>171</v>
      </c>
      <c r="N40" s="85"/>
      <c r="O40" s="85"/>
    </row>
    <row r="41" spans="1:15" ht="12.75" x14ac:dyDescent="0.2">
      <c r="A41" s="31" t="s">
        <v>210</v>
      </c>
      <c r="B41" s="39">
        <v>5025</v>
      </c>
      <c r="C41" s="40" t="s">
        <v>34</v>
      </c>
      <c r="D41" s="90">
        <v>4900</v>
      </c>
      <c r="E41" s="75">
        <f>IF(G41=0,0,((G41-F41)/G41))</f>
        <v>-9.0853333333333439E-2</v>
      </c>
      <c r="F41" s="70">
        <v>4499.7700000000004</v>
      </c>
      <c r="G41" s="70">
        <f>H41/12*11</f>
        <v>4125</v>
      </c>
      <c r="H41" s="70">
        <v>4500</v>
      </c>
      <c r="I41" s="82">
        <f>VLOOKUP(B41,'Old IS'!$A:$I,6,FALSE)</f>
        <v>4462.5600000000004</v>
      </c>
      <c r="J41" s="82">
        <f>VLOOKUP(B41,'Old IS'!$A:$I,8,FALSE)</f>
        <v>5251.44</v>
      </c>
      <c r="K41" s="82">
        <f>VLOOKUP(B41,'Old IS'!$A:$I,9,FALSE)</f>
        <v>4773.96</v>
      </c>
      <c r="L41" s="34"/>
    </row>
    <row r="42" spans="1:15" ht="12.75" x14ac:dyDescent="0.2">
      <c r="A42" s="31" t="s">
        <v>210</v>
      </c>
      <c r="B42" s="39">
        <v>5800</v>
      </c>
      <c r="C42" s="40" t="s">
        <v>35</v>
      </c>
      <c r="D42" s="90">
        <f>225*6</f>
        <v>1350</v>
      </c>
      <c r="E42" s="75">
        <f t="shared" ref="E42:E52" si="12">IF(G42=0,0,((G42-F42)/G42))</f>
        <v>-0.78005995085995095</v>
      </c>
      <c r="F42" s="70">
        <v>6037.37</v>
      </c>
      <c r="G42" s="70">
        <f>H42/12*11</f>
        <v>3391.6666666666665</v>
      </c>
      <c r="H42" s="70">
        <v>3700</v>
      </c>
      <c r="I42" s="82">
        <f>VLOOKUP(B42,'Old IS'!$A:$I,6,FALSE)</f>
        <v>3573.87</v>
      </c>
      <c r="J42" s="82">
        <f>VLOOKUP(B42,'Old IS'!$A:$I,8,FALSE)</f>
        <v>348.6</v>
      </c>
      <c r="K42" s="82">
        <f>VLOOKUP(B42,'Old IS'!$A:$I,9,FALSE)</f>
        <v>1166.44</v>
      </c>
      <c r="L42" s="40"/>
    </row>
    <row r="43" spans="1:15" ht="12.75" x14ac:dyDescent="0.2">
      <c r="A43" s="31" t="s">
        <v>210</v>
      </c>
      <c r="B43" s="39">
        <v>5211.1009999999997</v>
      </c>
      <c r="C43" s="40" t="s">
        <v>37</v>
      </c>
      <c r="D43" s="90">
        <f>D40*0.18</f>
        <v>5940</v>
      </c>
      <c r="E43" s="75">
        <f t="shared" si="12"/>
        <v>1.2875000000000001</v>
      </c>
      <c r="F43" s="70">
        <v>-690</v>
      </c>
      <c r="G43" s="70">
        <f>H43/5*4</f>
        <v>2400</v>
      </c>
      <c r="H43" s="70">
        <v>3000</v>
      </c>
      <c r="I43" s="82">
        <f>VLOOKUP(B43,'Old IS'!$A:$I,6,FALSE)</f>
        <v>4554.3599999999997</v>
      </c>
      <c r="J43" s="82">
        <f>VLOOKUP(B43,'Old IS'!$A:$I,8,FALSE)</f>
        <v>7522.48</v>
      </c>
      <c r="K43" s="82">
        <f>VLOOKUP(B43,'Old IS'!$A:$I,9,FALSE)</f>
        <v>4554.3599999999997</v>
      </c>
      <c r="L43" s="31" t="s">
        <v>170</v>
      </c>
      <c r="N43" s="87">
        <f>I43/I40</f>
        <v>0.226889965072468</v>
      </c>
    </row>
    <row r="44" spans="1:15" ht="12.75" x14ac:dyDescent="0.2">
      <c r="A44" s="31" t="s">
        <v>210</v>
      </c>
      <c r="B44" s="39">
        <v>5212</v>
      </c>
      <c r="C44" s="40" t="s">
        <v>121</v>
      </c>
      <c r="D44" s="90">
        <v>0</v>
      </c>
      <c r="E44" s="75">
        <f t="shared" si="12"/>
        <v>0</v>
      </c>
      <c r="F44" s="70">
        <v>289.8</v>
      </c>
      <c r="G44" s="70">
        <f>H44/12*11</f>
        <v>0</v>
      </c>
      <c r="H44" s="70">
        <v>0</v>
      </c>
      <c r="I44" s="82">
        <f>VLOOKUP(B44,'Old IS'!$A:$I,6,FALSE)</f>
        <v>-375.7</v>
      </c>
      <c r="J44" s="82">
        <f>VLOOKUP(B44,'Old IS'!$A:$I,8,FALSE)</f>
        <v>-535.20000000000005</v>
      </c>
      <c r="K44" s="82">
        <f>VLOOKUP(B44,'Old IS'!$A:$I,9,FALSE)</f>
        <v>-6</v>
      </c>
      <c r="L44" s="34"/>
    </row>
    <row r="45" spans="1:15" ht="12.75" x14ac:dyDescent="0.2">
      <c r="A45" s="31" t="s">
        <v>210</v>
      </c>
      <c r="B45" s="39">
        <v>5035</v>
      </c>
      <c r="C45" s="40" t="s">
        <v>38</v>
      </c>
      <c r="D45" s="90">
        <v>750</v>
      </c>
      <c r="E45" s="75">
        <f t="shared" si="12"/>
        <v>-0.53200000000000003</v>
      </c>
      <c r="F45" s="70">
        <v>1149</v>
      </c>
      <c r="G45" s="70">
        <f>H45</f>
        <v>750</v>
      </c>
      <c r="H45" s="70">
        <v>750</v>
      </c>
      <c r="I45" s="82">
        <f>VLOOKUP(B45,'Old IS'!$A:$I,6,FALSE)</f>
        <v>999.47</v>
      </c>
      <c r="J45" s="82">
        <f>VLOOKUP(B45,'Old IS'!$A:$I,8,FALSE)</f>
        <v>753</v>
      </c>
      <c r="K45" s="82">
        <f>VLOOKUP(B45,'Old IS'!$A:$I,9,FALSE)</f>
        <v>769.56</v>
      </c>
      <c r="L45" s="40"/>
    </row>
    <row r="46" spans="1:15" ht="12.75" x14ac:dyDescent="0.2">
      <c r="A46" s="31" t="s">
        <v>210</v>
      </c>
      <c r="B46" s="39">
        <v>5035.1000000000004</v>
      </c>
      <c r="C46" s="40" t="s">
        <v>39</v>
      </c>
      <c r="D46" s="90">
        <v>750</v>
      </c>
      <c r="E46" s="75">
        <f t="shared" si="12"/>
        <v>1</v>
      </c>
      <c r="F46" s="70">
        <v>0</v>
      </c>
      <c r="G46" s="70">
        <f>H46</f>
        <v>750</v>
      </c>
      <c r="H46" s="70">
        <v>750</v>
      </c>
      <c r="I46" s="82">
        <f>VLOOKUP(B46,'Old IS'!$A:$I,6,FALSE)</f>
        <v>0</v>
      </c>
      <c r="J46" s="82">
        <f>VLOOKUP(B46,'Old IS'!$A:$I,8,FALSE)</f>
        <v>0</v>
      </c>
      <c r="K46" s="82">
        <f>VLOOKUP(B46,'Old IS'!$A:$I,9,FALSE)</f>
        <v>0</v>
      </c>
      <c r="L46" s="40"/>
    </row>
    <row r="47" spans="1:15" ht="12.75" x14ac:dyDescent="0.2">
      <c r="A47" s="31" t="s">
        <v>210</v>
      </c>
      <c r="B47" s="39">
        <v>5100</v>
      </c>
      <c r="C47" s="40" t="s">
        <v>40</v>
      </c>
      <c r="D47" s="90">
        <v>600</v>
      </c>
      <c r="E47" s="75">
        <f t="shared" si="12"/>
        <v>1</v>
      </c>
      <c r="F47" s="70">
        <v>0</v>
      </c>
      <c r="G47" s="70">
        <f>H47</f>
        <v>600</v>
      </c>
      <c r="H47" s="70">
        <v>600</v>
      </c>
      <c r="I47" s="82">
        <f>VLOOKUP(B47,'Old IS'!$A:$I,6,FALSE)</f>
        <v>0</v>
      </c>
      <c r="J47" s="82">
        <f>VLOOKUP(B47,'Old IS'!$A:$I,8,FALSE)</f>
        <v>0</v>
      </c>
      <c r="K47" s="82">
        <f>VLOOKUP(B47,'Old IS'!$A:$I,9,FALSE)</f>
        <v>0</v>
      </c>
      <c r="L47" s="40"/>
    </row>
    <row r="48" spans="1:15" ht="12.75" x14ac:dyDescent="0.2">
      <c r="A48" s="31" t="s">
        <v>210</v>
      </c>
      <c r="B48" s="39">
        <v>5216</v>
      </c>
      <c r="C48" s="40" t="s">
        <v>41</v>
      </c>
      <c r="D48" s="90">
        <v>600</v>
      </c>
      <c r="E48" s="75">
        <f t="shared" si="12"/>
        <v>0.58336666666666659</v>
      </c>
      <c r="F48" s="70">
        <v>249.98</v>
      </c>
      <c r="G48" s="70">
        <f>H48</f>
        <v>600</v>
      </c>
      <c r="H48" s="70">
        <v>600</v>
      </c>
      <c r="I48" s="82">
        <f>VLOOKUP(B48,'Old IS'!$A:$I,6,FALSE)</f>
        <v>0</v>
      </c>
      <c r="J48" s="82">
        <f>VLOOKUP(B48,'Old IS'!$A:$I,8,FALSE)</f>
        <v>0</v>
      </c>
      <c r="K48" s="82">
        <f>VLOOKUP(B48,'Old IS'!$A:$I,9,FALSE)</f>
        <v>0</v>
      </c>
      <c r="L48" s="40"/>
    </row>
    <row r="49" spans="1:12" ht="12.75" x14ac:dyDescent="0.2">
      <c r="A49" s="31" t="s">
        <v>210</v>
      </c>
      <c r="B49" s="39">
        <v>5075.1000000000004</v>
      </c>
      <c r="C49" s="40" t="s">
        <v>42</v>
      </c>
      <c r="D49" s="90">
        <v>550</v>
      </c>
      <c r="E49" s="75">
        <f t="shared" si="12"/>
        <v>0.24166666666666667</v>
      </c>
      <c r="F49" s="70">
        <v>455</v>
      </c>
      <c r="G49" s="70">
        <f>H49</f>
        <v>600</v>
      </c>
      <c r="H49" s="70">
        <v>600</v>
      </c>
      <c r="I49" s="82">
        <f>VLOOKUP(B49,'Old IS'!$A:$I,6,FALSE)</f>
        <v>567</v>
      </c>
      <c r="J49" s="82">
        <f>VLOOKUP(B49,'Old IS'!$A:$I,8,FALSE)</f>
        <v>250</v>
      </c>
      <c r="K49" s="82">
        <f>VLOOKUP(B49,'Old IS'!$A:$I,9,FALSE)</f>
        <v>300</v>
      </c>
      <c r="L49" s="34"/>
    </row>
    <row r="50" spans="1:12" ht="12.75" x14ac:dyDescent="0.2">
      <c r="A50" s="31" t="s">
        <v>210</v>
      </c>
      <c r="B50" s="39">
        <v>5730.7</v>
      </c>
      <c r="C50" s="40" t="s">
        <v>44</v>
      </c>
      <c r="D50" s="90">
        <v>200</v>
      </c>
      <c r="E50" s="75">
        <f t="shared" si="12"/>
        <v>0.45647272727272725</v>
      </c>
      <c r="F50" s="70">
        <v>149.47</v>
      </c>
      <c r="G50" s="70">
        <f>H50/12*11</f>
        <v>275</v>
      </c>
      <c r="H50" s="70">
        <v>300</v>
      </c>
      <c r="I50" s="82">
        <f>VLOOKUP(B50,'Old IS'!$A:$I,6,FALSE)</f>
        <v>3248.3</v>
      </c>
      <c r="J50" s="82">
        <f>VLOOKUP(B50,'Old IS'!$A:$I,8,FALSE)</f>
        <v>140.51</v>
      </c>
      <c r="K50" s="82">
        <f>VLOOKUP(B50,'Old IS'!$A:$I,9,FALSE)</f>
        <v>0</v>
      </c>
      <c r="L50" s="34"/>
    </row>
    <row r="51" spans="1:12" ht="12.75" x14ac:dyDescent="0.2">
      <c r="A51" s="31" t="s">
        <v>210</v>
      </c>
      <c r="B51" s="39">
        <v>5400.1</v>
      </c>
      <c r="C51" s="40" t="s">
        <v>45</v>
      </c>
      <c r="D51" s="90">
        <v>50</v>
      </c>
      <c r="E51" s="75">
        <f t="shared" si="12"/>
        <v>1</v>
      </c>
      <c r="F51" s="70">
        <v>0</v>
      </c>
      <c r="G51" s="70">
        <f>H51/12*11</f>
        <v>45.833333333333336</v>
      </c>
      <c r="H51" s="70">
        <v>50</v>
      </c>
      <c r="I51" s="82">
        <f>VLOOKUP(B51,'Old IS'!$A:$I,6,FALSE)</f>
        <v>0</v>
      </c>
      <c r="J51" s="82">
        <f>VLOOKUP(B51,'Old IS'!$A:$I,8,FALSE)</f>
        <v>0</v>
      </c>
      <c r="K51" s="82">
        <f>VLOOKUP(B51,'Old IS'!$A:$I,9,FALSE)</f>
        <v>50</v>
      </c>
      <c r="L51" s="34"/>
    </row>
    <row r="52" spans="1:12" ht="15" x14ac:dyDescent="0.25">
      <c r="B52" s="42" t="s">
        <v>31</v>
      </c>
      <c r="C52" s="43"/>
      <c r="D52" s="91">
        <f>SUM(D40:D51)</f>
        <v>48690</v>
      </c>
      <c r="E52" s="76">
        <f t="shared" si="12"/>
        <v>0.42579373340414234</v>
      </c>
      <c r="F52" s="72">
        <f t="shared" ref="F52:K52" si="13">SUM(F40:F51)</f>
        <v>13515.38</v>
      </c>
      <c r="G52" s="72">
        <f t="shared" si="13"/>
        <v>23537.5</v>
      </c>
      <c r="H52" s="72">
        <f t="shared" si="13"/>
        <v>27350</v>
      </c>
      <c r="I52" s="83">
        <f t="shared" si="13"/>
        <v>37102.850000000006</v>
      </c>
      <c r="J52" s="83">
        <f t="shared" si="13"/>
        <v>48085.44000000001</v>
      </c>
      <c r="K52" s="83">
        <f t="shared" si="13"/>
        <v>45344.4</v>
      </c>
      <c r="L52" s="34"/>
    </row>
    <row r="53" spans="1:12" ht="15.75" customHeight="1" x14ac:dyDescent="0.2">
      <c r="E53" s="75"/>
      <c r="F53" s="71"/>
      <c r="G53" s="71"/>
      <c r="H53" s="71"/>
      <c r="I53" s="82"/>
      <c r="J53" s="82"/>
      <c r="K53" s="82"/>
    </row>
    <row r="54" spans="1:12" ht="12.75" x14ac:dyDescent="0.2">
      <c r="A54" s="31" t="s">
        <v>210</v>
      </c>
      <c r="B54" s="39">
        <v>5210.201</v>
      </c>
      <c r="C54" s="40" t="s">
        <v>47</v>
      </c>
      <c r="D54" s="90">
        <v>9500</v>
      </c>
      <c r="E54" s="75">
        <f t="shared" ref="E54:E70" si="14">IF(G54=0,0,((G54-F54)/G54))</f>
        <v>0.20053588516746401</v>
      </c>
      <c r="F54" s="70">
        <v>6962</v>
      </c>
      <c r="G54" s="70">
        <f t="shared" ref="G54:G59" si="15">H54/12*11</f>
        <v>8708.3333333333321</v>
      </c>
      <c r="H54" s="70">
        <v>9500</v>
      </c>
      <c r="I54" s="82">
        <f>VLOOKUP(B54,'Old IS'!$A:$I,6,FALSE)</f>
        <v>6340.5</v>
      </c>
      <c r="J54" s="82">
        <f>VLOOKUP(B54,'Old IS'!$A:$I,8,FALSE)</f>
        <v>3248.84</v>
      </c>
      <c r="K54" s="82">
        <f>VLOOKUP(B54,'Old IS'!$A:$I,9,FALSE)</f>
        <v>7869.85</v>
      </c>
      <c r="L54" s="46"/>
    </row>
    <row r="55" spans="1:12" ht="12.75" x14ac:dyDescent="0.2">
      <c r="A55" s="31" t="s">
        <v>210</v>
      </c>
      <c r="B55" s="39">
        <v>5550.1</v>
      </c>
      <c r="C55" s="40" t="s">
        <v>48</v>
      </c>
      <c r="D55" s="90">
        <v>3000</v>
      </c>
      <c r="E55" s="75">
        <f t="shared" si="14"/>
        <v>-6.8619404238170298E-2</v>
      </c>
      <c r="F55" s="70">
        <v>2651.69</v>
      </c>
      <c r="G55" s="70">
        <f t="shared" si="15"/>
        <v>2481.416666666667</v>
      </c>
      <c r="H55" s="70">
        <v>2707</v>
      </c>
      <c r="I55" s="82">
        <f>VLOOKUP(B55,'Old IS'!$A:$I,6,FALSE)</f>
        <v>2529.35</v>
      </c>
      <c r="J55" s="82">
        <f>VLOOKUP(B55,'Old IS'!$A:$I,8,FALSE)</f>
        <v>2948.21</v>
      </c>
      <c r="K55" s="82">
        <f>VLOOKUP(B55,'Old IS'!$A:$I,9,FALSE)</f>
        <v>2566.98</v>
      </c>
      <c r="L55" s="34"/>
    </row>
    <row r="56" spans="1:12" ht="12.75" x14ac:dyDescent="0.2">
      <c r="A56" s="31" t="s">
        <v>210</v>
      </c>
      <c r="B56" s="39">
        <v>5210.9009999999998</v>
      </c>
      <c r="C56" s="40" t="s">
        <v>50</v>
      </c>
      <c r="D56" s="90">
        <v>1200</v>
      </c>
      <c r="E56" s="75">
        <f t="shared" si="14"/>
        <v>0.29090909090909089</v>
      </c>
      <c r="F56" s="70">
        <v>1170</v>
      </c>
      <c r="G56" s="70">
        <f t="shared" si="15"/>
        <v>1650</v>
      </c>
      <c r="H56" s="70">
        <v>1800</v>
      </c>
      <c r="I56" s="82">
        <f>VLOOKUP(B56,'Old IS'!$A:$I,6,FALSE)</f>
        <v>1800</v>
      </c>
      <c r="J56" s="82">
        <f>VLOOKUP(B56,'Old IS'!$A:$I,8,FALSE)</f>
        <v>1250</v>
      </c>
      <c r="K56" s="82">
        <f>VLOOKUP(B56,'Old IS'!$A:$I,9,FALSE)</f>
        <v>880</v>
      </c>
      <c r="L56" s="40"/>
    </row>
    <row r="57" spans="1:12" ht="12.75" x14ac:dyDescent="0.2">
      <c r="A57" s="31" t="s">
        <v>210</v>
      </c>
      <c r="B57" s="39">
        <v>5217</v>
      </c>
      <c r="C57" s="40" t="s">
        <v>51</v>
      </c>
      <c r="D57" s="90">
        <v>2200</v>
      </c>
      <c r="E57" s="75">
        <f t="shared" si="14"/>
        <v>-8.9163636363636389E-2</v>
      </c>
      <c r="F57" s="70">
        <v>1996.8</v>
      </c>
      <c r="G57" s="70">
        <f t="shared" si="15"/>
        <v>1833.3333333333333</v>
      </c>
      <c r="H57" s="70">
        <v>2000</v>
      </c>
      <c r="I57" s="82">
        <f>VLOOKUP(B57,'Old IS'!$A:$I,6,FALSE)</f>
        <v>1959.98</v>
      </c>
      <c r="J57" s="82">
        <f>VLOOKUP(B57,'Old IS'!$A:$I,8,FALSE)</f>
        <v>1812.36</v>
      </c>
      <c r="K57" s="82">
        <f>VLOOKUP(B57,'Old IS'!$A:$I,9,FALSE)</f>
        <v>2062.4899999999998</v>
      </c>
      <c r="L57" s="34"/>
    </row>
    <row r="58" spans="1:12" ht="12.75" x14ac:dyDescent="0.2">
      <c r="A58" s="31" t="s">
        <v>210</v>
      </c>
      <c r="B58" s="39">
        <v>5625</v>
      </c>
      <c r="C58" s="40" t="s">
        <v>52</v>
      </c>
      <c r="D58" s="90">
        <v>600</v>
      </c>
      <c r="E58" s="75">
        <f t="shared" si="14"/>
        <v>0.6144072727272728</v>
      </c>
      <c r="F58" s="70">
        <v>353.46</v>
      </c>
      <c r="G58" s="70">
        <f t="shared" si="15"/>
        <v>916.66666666666663</v>
      </c>
      <c r="H58" s="70">
        <v>1000</v>
      </c>
      <c r="I58" s="82">
        <f>VLOOKUP(B58,'Old IS'!$A:$I,6,FALSE)</f>
        <v>435.45</v>
      </c>
      <c r="J58" s="82">
        <f>VLOOKUP(B58,'Old IS'!$A:$I,8,FALSE)</f>
        <v>1023.99</v>
      </c>
      <c r="K58" s="82">
        <f>VLOOKUP(B58,'Old IS'!$A:$I,9,FALSE)</f>
        <v>805.93</v>
      </c>
      <c r="L58" s="34"/>
    </row>
    <row r="59" spans="1:12" ht="12.75" x14ac:dyDescent="0.2">
      <c r="A59" s="31" t="s">
        <v>214</v>
      </c>
      <c r="B59" s="39">
        <v>5000</v>
      </c>
      <c r="C59" s="40" t="s">
        <v>53</v>
      </c>
      <c r="D59" s="90">
        <v>500</v>
      </c>
      <c r="E59" s="75">
        <f t="shared" si="14"/>
        <v>1</v>
      </c>
      <c r="F59" s="70">
        <v>0</v>
      </c>
      <c r="G59" s="70">
        <f t="shared" si="15"/>
        <v>916.66666666666663</v>
      </c>
      <c r="H59" s="70">
        <v>1000</v>
      </c>
      <c r="I59" s="82">
        <f>VLOOKUP(B59,'Old IS'!$A:$I,6,FALSE)</f>
        <v>296.27</v>
      </c>
      <c r="J59" s="82">
        <f>VLOOKUP(B59,'Old IS'!$A:$I,8,FALSE)</f>
        <v>20.05</v>
      </c>
      <c r="K59" s="82">
        <f>VLOOKUP(B59,'Old IS'!$A:$I,9,FALSE)</f>
        <v>193</v>
      </c>
      <c r="L59" s="34"/>
    </row>
    <row r="60" spans="1:12" ht="12.75" x14ac:dyDescent="0.2">
      <c r="A60" s="31" t="s">
        <v>210</v>
      </c>
      <c r="B60" s="39">
        <v>5213</v>
      </c>
      <c r="C60" s="40" t="s">
        <v>54</v>
      </c>
      <c r="D60" s="90">
        <v>1000</v>
      </c>
      <c r="E60" s="75">
        <f t="shared" si="14"/>
        <v>-0.15555555555555556</v>
      </c>
      <c r="F60" s="70">
        <v>1040</v>
      </c>
      <c r="G60" s="70">
        <f>H60</f>
        <v>900</v>
      </c>
      <c r="H60" s="70">
        <v>900</v>
      </c>
      <c r="I60" s="82">
        <f>VLOOKUP(B60,'Old IS'!$A:$I,6,FALSE)</f>
        <v>693</v>
      </c>
      <c r="J60" s="82">
        <f>VLOOKUP(B60,'Old IS'!$A:$I,8,FALSE)</f>
        <v>200.78</v>
      </c>
      <c r="K60" s="82">
        <f>VLOOKUP(B60,'Old IS'!$A:$I,9,FALSE)</f>
        <v>0</v>
      </c>
      <c r="L60" s="34"/>
    </row>
    <row r="61" spans="1:12" ht="12.75" x14ac:dyDescent="0.2">
      <c r="A61" s="31" t="s">
        <v>210</v>
      </c>
      <c r="B61" s="39">
        <v>5218</v>
      </c>
      <c r="C61" s="40" t="s">
        <v>55</v>
      </c>
      <c r="D61" s="90">
        <v>650</v>
      </c>
      <c r="E61" s="75">
        <f t="shared" si="14"/>
        <v>0.20980564263322896</v>
      </c>
      <c r="F61" s="70">
        <v>420.12</v>
      </c>
      <c r="G61" s="70">
        <f t="shared" ref="G61:G69" si="16">H61/12*11</f>
        <v>531.66666666666674</v>
      </c>
      <c r="H61" s="70">
        <v>580</v>
      </c>
      <c r="I61" s="82">
        <f>VLOOKUP(B61,'Old IS'!$A:$I,6,FALSE)</f>
        <v>550.41</v>
      </c>
      <c r="J61" s="82">
        <f>VLOOKUP(B61,'Old IS'!$A:$I,8,FALSE)</f>
        <v>483.81</v>
      </c>
      <c r="K61" s="82">
        <f>VLOOKUP(B61,'Old IS'!$A:$I,9,FALSE)</f>
        <v>494.5</v>
      </c>
      <c r="L61" s="34"/>
    </row>
    <row r="62" spans="1:12" ht="12.75" x14ac:dyDescent="0.2">
      <c r="A62" s="31" t="s">
        <v>210</v>
      </c>
      <c r="B62" s="39">
        <v>5720</v>
      </c>
      <c r="C62" s="40" t="s">
        <v>56</v>
      </c>
      <c r="D62" s="90">
        <v>250</v>
      </c>
      <c r="E62" s="75">
        <f t="shared" si="14"/>
        <v>0.62887272727272725</v>
      </c>
      <c r="F62" s="70">
        <v>153.09</v>
      </c>
      <c r="G62" s="70">
        <f t="shared" si="16"/>
        <v>412.5</v>
      </c>
      <c r="H62" s="70">
        <v>450</v>
      </c>
      <c r="I62" s="82">
        <f>VLOOKUP(B62,'Old IS'!$A:$I,6,FALSE)</f>
        <v>329.44</v>
      </c>
      <c r="J62" s="82">
        <f>VLOOKUP(B62,'Old IS'!$A:$I,8,FALSE)</f>
        <v>474</v>
      </c>
      <c r="K62" s="82">
        <f>VLOOKUP(B62,'Old IS'!$A:$I,9,FALSE)</f>
        <v>1401.19</v>
      </c>
      <c r="L62" s="34"/>
    </row>
    <row r="63" spans="1:12" ht="12.75" x14ac:dyDescent="0.2">
      <c r="A63" s="31" t="s">
        <v>210</v>
      </c>
      <c r="B63" s="39">
        <v>5400</v>
      </c>
      <c r="C63" s="40" t="s">
        <v>43</v>
      </c>
      <c r="D63" s="90">
        <v>500</v>
      </c>
      <c r="E63" s="75">
        <f>IF(G63=0,0,((G63-F63)/G63))</f>
        <v>0.16818181818181824</v>
      </c>
      <c r="F63" s="70">
        <v>305</v>
      </c>
      <c r="G63" s="70">
        <f t="shared" si="16"/>
        <v>366.66666666666669</v>
      </c>
      <c r="H63" s="70">
        <v>400</v>
      </c>
      <c r="I63" s="82">
        <f>VLOOKUP(B63,'Old IS'!$A:$I,6,FALSE)</f>
        <v>786.84</v>
      </c>
      <c r="J63" s="82">
        <f>VLOOKUP(B63,'Old IS'!$A:$I,8,FALSE)</f>
        <v>94.4</v>
      </c>
      <c r="K63" s="82">
        <f>VLOOKUP(B63,'Old IS'!$A:$I,9,FALSE)</f>
        <v>407.09</v>
      </c>
      <c r="L63" s="34"/>
    </row>
    <row r="64" spans="1:12" ht="12.75" x14ac:dyDescent="0.2">
      <c r="A64" s="31" t="s">
        <v>210</v>
      </c>
      <c r="B64" s="39">
        <v>5050</v>
      </c>
      <c r="C64" s="40" t="s">
        <v>57</v>
      </c>
      <c r="D64" s="90">
        <v>0</v>
      </c>
      <c r="E64" s="75">
        <f t="shared" si="14"/>
        <v>1</v>
      </c>
      <c r="F64" s="70">
        <v>0</v>
      </c>
      <c r="G64" s="70">
        <f t="shared" si="16"/>
        <v>183.33333333333334</v>
      </c>
      <c r="H64" s="70">
        <v>200</v>
      </c>
      <c r="I64" s="82">
        <f>VLOOKUP(B64,'Old IS'!$A:$I,6,FALSE)</f>
        <v>827.93</v>
      </c>
      <c r="J64" s="82">
        <f>VLOOKUP(B64,'Old IS'!$A:$I,8,FALSE)</f>
        <v>49.6</v>
      </c>
      <c r="K64" s="82">
        <f>VLOOKUP(B64,'Old IS'!$A:$I,9,FALSE)</f>
        <v>0</v>
      </c>
      <c r="L64" s="34"/>
    </row>
    <row r="65" spans="1:12" ht="12.75" x14ac:dyDescent="0.2">
      <c r="A65" s="31" t="s">
        <v>210</v>
      </c>
      <c r="B65" s="39">
        <v>5475</v>
      </c>
      <c r="C65" s="40" t="s">
        <v>58</v>
      </c>
      <c r="D65" s="90">
        <v>50</v>
      </c>
      <c r="E65" s="75">
        <f t="shared" si="14"/>
        <v>0.87383636363636363</v>
      </c>
      <c r="F65" s="70">
        <v>23.13</v>
      </c>
      <c r="G65" s="70">
        <f t="shared" si="16"/>
        <v>183.33333333333334</v>
      </c>
      <c r="H65" s="70">
        <v>200</v>
      </c>
      <c r="I65" s="82">
        <f>VLOOKUP(B65,'Old IS'!$A:$I,6,FALSE)</f>
        <v>28.73</v>
      </c>
      <c r="J65" s="82">
        <f>VLOOKUP(B65,'Old IS'!$A:$I,8,FALSE)</f>
        <v>156.66</v>
      </c>
      <c r="K65" s="82">
        <f>VLOOKUP(B65,'Old IS'!$A:$I,9,FALSE)</f>
        <v>95.06</v>
      </c>
      <c r="L65" s="34"/>
    </row>
    <row r="66" spans="1:12" ht="12.75" x14ac:dyDescent="0.2">
      <c r="A66" s="31" t="s">
        <v>210</v>
      </c>
      <c r="B66" s="39">
        <v>5575.3</v>
      </c>
      <c r="C66" s="40" t="s">
        <v>125</v>
      </c>
      <c r="D66" s="90">
        <v>0</v>
      </c>
      <c r="E66" s="75">
        <f t="shared" si="14"/>
        <v>0</v>
      </c>
      <c r="F66" s="70">
        <v>0</v>
      </c>
      <c r="G66" s="70">
        <f t="shared" si="16"/>
        <v>0</v>
      </c>
      <c r="H66" s="70">
        <v>0</v>
      </c>
      <c r="I66" s="82">
        <f>VLOOKUP(B66,'Old IS'!$A:$I,6,FALSE)</f>
        <v>0</v>
      </c>
      <c r="J66" s="82">
        <f>VLOOKUP(B66,'Old IS'!$A:$I,8,FALSE)</f>
        <v>0</v>
      </c>
      <c r="K66" s="82">
        <f>VLOOKUP(B66,'Old IS'!$A:$I,9,FALSE)</f>
        <v>163.28</v>
      </c>
      <c r="L66" s="34"/>
    </row>
    <row r="67" spans="1:12" ht="12.75" x14ac:dyDescent="0.2">
      <c r="A67" s="31" t="s">
        <v>210</v>
      </c>
      <c r="B67" s="39">
        <v>5220</v>
      </c>
      <c r="C67" s="40" t="s">
        <v>123</v>
      </c>
      <c r="D67" s="90">
        <v>0</v>
      </c>
      <c r="E67" s="75">
        <f t="shared" si="14"/>
        <v>0</v>
      </c>
      <c r="F67" s="70">
        <v>0</v>
      </c>
      <c r="G67" s="70">
        <f t="shared" si="16"/>
        <v>0</v>
      </c>
      <c r="H67" s="70">
        <v>0</v>
      </c>
      <c r="I67" s="82">
        <f>VLOOKUP(B67,'Old IS'!$A:$I,6,FALSE)</f>
        <v>224.5</v>
      </c>
      <c r="J67" s="82">
        <f>VLOOKUP(B67,'Old IS'!$A:$I,8,FALSE)</f>
        <v>443</v>
      </c>
      <c r="K67" s="82">
        <f>VLOOKUP(B67,'Old IS'!$A:$I,9,FALSE)</f>
        <v>0</v>
      </c>
      <c r="L67" s="34"/>
    </row>
    <row r="68" spans="1:12" ht="12.75" x14ac:dyDescent="0.2">
      <c r="A68" s="31" t="s">
        <v>210</v>
      </c>
      <c r="B68" s="39">
        <v>5125</v>
      </c>
      <c r="C68" s="40" t="s">
        <v>128</v>
      </c>
      <c r="D68" s="90">
        <v>0</v>
      </c>
      <c r="E68" s="75">
        <f t="shared" si="14"/>
        <v>0</v>
      </c>
      <c r="F68" s="70">
        <v>0</v>
      </c>
      <c r="G68" s="70">
        <f t="shared" si="16"/>
        <v>0</v>
      </c>
      <c r="H68" s="70">
        <v>0</v>
      </c>
      <c r="I68" s="82">
        <f>VLOOKUP(B68,'Old IS'!$A:$I,6,FALSE)</f>
        <v>0</v>
      </c>
      <c r="J68" s="82">
        <f>VLOOKUP(B68,'Old IS'!$A:$I,8,FALSE)</f>
        <v>0</v>
      </c>
      <c r="K68" s="82">
        <f>VLOOKUP(B68,'Old IS'!$A:$I,9,FALSE)</f>
        <v>540</v>
      </c>
      <c r="L68" s="34"/>
    </row>
    <row r="69" spans="1:12" ht="12.75" x14ac:dyDescent="0.2">
      <c r="A69" s="31" t="s">
        <v>210</v>
      </c>
      <c r="B69" s="39">
        <v>5525</v>
      </c>
      <c r="C69" s="40" t="s">
        <v>129</v>
      </c>
      <c r="D69" s="90">
        <v>300</v>
      </c>
      <c r="E69" s="75">
        <f t="shared" si="14"/>
        <v>0</v>
      </c>
      <c r="F69" s="70">
        <v>250</v>
      </c>
      <c r="G69" s="70">
        <f t="shared" si="16"/>
        <v>0</v>
      </c>
      <c r="H69" s="70">
        <v>0</v>
      </c>
      <c r="I69" s="82">
        <f>VLOOKUP(B69,'Old IS'!$A:$I,6,FALSE)</f>
        <v>0</v>
      </c>
      <c r="J69" s="82">
        <f>VLOOKUP(B69,'Old IS'!$A:$I,8,FALSE)</f>
        <v>0</v>
      </c>
      <c r="K69" s="82">
        <f>VLOOKUP(B69,'Old IS'!$A:$I,9,FALSE)</f>
        <v>121.5</v>
      </c>
      <c r="L69" s="34"/>
    </row>
    <row r="70" spans="1:12" ht="15" x14ac:dyDescent="0.25">
      <c r="B70" s="42" t="s">
        <v>46</v>
      </c>
      <c r="C70" s="43"/>
      <c r="D70" s="91">
        <f t="shared" ref="D70:K70" si="17">SUM(D54:D69)</f>
        <v>19750</v>
      </c>
      <c r="E70" s="76">
        <f t="shared" si="14"/>
        <v>0.19695258223547762</v>
      </c>
      <c r="F70" s="72">
        <f t="shared" si="17"/>
        <v>15325.289999999999</v>
      </c>
      <c r="G70" s="72">
        <f t="shared" si="17"/>
        <v>19083.916666666668</v>
      </c>
      <c r="H70" s="72">
        <f t="shared" si="17"/>
        <v>20737</v>
      </c>
      <c r="I70" s="83">
        <f t="shared" si="17"/>
        <v>16802.400000000001</v>
      </c>
      <c r="J70" s="83">
        <f t="shared" si="17"/>
        <v>12205.699999999999</v>
      </c>
      <c r="K70" s="83">
        <f t="shared" si="17"/>
        <v>17600.87</v>
      </c>
      <c r="L70" s="34"/>
    </row>
    <row r="71" spans="1:12" ht="15.75" customHeight="1" x14ac:dyDescent="0.2">
      <c r="E71" s="75"/>
      <c r="F71" s="71"/>
      <c r="G71" s="71"/>
      <c r="H71" s="71"/>
      <c r="I71" s="82"/>
      <c r="J71" s="82"/>
      <c r="K71" s="82"/>
    </row>
    <row r="72" spans="1:12" ht="12.75" x14ac:dyDescent="0.2">
      <c r="A72" s="31" t="s">
        <v>210</v>
      </c>
      <c r="B72" s="39">
        <v>5210.5010000000002</v>
      </c>
      <c r="C72" s="40" t="s">
        <v>60</v>
      </c>
      <c r="D72" s="90">
        <v>7500</v>
      </c>
      <c r="E72" s="75">
        <f t="shared" ref="E72:E85" si="18">IF(G72=0,0,((G72-F72)/G72))</f>
        <v>-0.11769090909090894</v>
      </c>
      <c r="F72" s="70">
        <v>10245.5</v>
      </c>
      <c r="G72" s="70">
        <f>H72/12*11</f>
        <v>9166.6666666666679</v>
      </c>
      <c r="H72" s="70">
        <v>10000</v>
      </c>
      <c r="I72" s="82">
        <f>VLOOKUP(B72,'Old IS'!$A:$I,6,FALSE)</f>
        <v>10605.75</v>
      </c>
      <c r="J72" s="82">
        <f>VLOOKUP(B72,'Old IS'!$A:$I,8,FALSE)</f>
        <v>10081.25</v>
      </c>
      <c r="K72" s="82">
        <f>VLOOKUP(B72,'Old IS'!$A:$I,9,FALSE)</f>
        <v>11147.44</v>
      </c>
      <c r="L72" s="46"/>
    </row>
    <row r="73" spans="1:12" ht="12.75" x14ac:dyDescent="0.2">
      <c r="A73" s="31" t="s">
        <v>210</v>
      </c>
      <c r="B73" s="39">
        <v>5810</v>
      </c>
      <c r="C73" s="40" t="s">
        <v>160</v>
      </c>
      <c r="D73" s="90">
        <v>0</v>
      </c>
      <c r="E73" s="75">
        <f t="shared" si="18"/>
        <v>0</v>
      </c>
      <c r="F73" s="70">
        <v>1162</v>
      </c>
      <c r="G73" s="70">
        <v>0</v>
      </c>
      <c r="H73" s="70">
        <v>0</v>
      </c>
      <c r="I73" s="82">
        <v>0</v>
      </c>
      <c r="J73" s="82">
        <v>0</v>
      </c>
      <c r="K73" s="82">
        <v>0</v>
      </c>
      <c r="L73" s="46"/>
    </row>
    <row r="74" spans="1:12" ht="12.75" x14ac:dyDescent="0.2">
      <c r="A74" s="31" t="s">
        <v>210</v>
      </c>
      <c r="B74" s="39">
        <v>5390</v>
      </c>
      <c r="C74" s="40" t="s">
        <v>62</v>
      </c>
      <c r="D74" s="90">
        <v>5100</v>
      </c>
      <c r="E74" s="75">
        <f t="shared" si="18"/>
        <v>-8.5026737967914434E-2</v>
      </c>
      <c r="F74" s="70">
        <v>5072.5</v>
      </c>
      <c r="G74" s="70">
        <f t="shared" ref="G74:G79" si="19">H74/12*11</f>
        <v>4675</v>
      </c>
      <c r="H74" s="70">
        <v>5100</v>
      </c>
      <c r="I74" s="82">
        <f>VLOOKUP(B74,'Old IS'!$A:$I,6,FALSE)</f>
        <v>4764</v>
      </c>
      <c r="J74" s="82">
        <f>VLOOKUP(B74,'Old IS'!$A:$I,8,FALSE)</f>
        <v>5105.5600000000004</v>
      </c>
      <c r="K74" s="82">
        <f>VLOOKUP(B74,'Old IS'!$A:$I,9,FALSE)</f>
        <v>4483.38</v>
      </c>
      <c r="L74" s="34"/>
    </row>
    <row r="75" spans="1:12" ht="12.75" x14ac:dyDescent="0.2">
      <c r="A75" s="31" t="s">
        <v>210</v>
      </c>
      <c r="B75" s="39">
        <v>5575.12</v>
      </c>
      <c r="C75" s="40" t="s">
        <v>63</v>
      </c>
      <c r="D75" s="90">
        <v>1800</v>
      </c>
      <c r="E75" s="75">
        <f t="shared" si="18"/>
        <v>-0.16956937799043056</v>
      </c>
      <c r="F75" s="70">
        <v>2037</v>
      </c>
      <c r="G75" s="70">
        <f t="shared" si="19"/>
        <v>1741.6666666666667</v>
      </c>
      <c r="H75" s="70">
        <v>1900</v>
      </c>
      <c r="I75" s="82">
        <f>VLOOKUP(B75,'Old IS'!$A:$I,6,FALSE)</f>
        <v>2118.86</v>
      </c>
      <c r="J75" s="82">
        <f>VLOOKUP(B75,'Old IS'!$A:$I,8,FALSE)</f>
        <v>93.42</v>
      </c>
      <c r="K75" s="82">
        <f>VLOOKUP(B75,'Old IS'!$A:$I,9,FALSE)</f>
        <v>2519.41</v>
      </c>
      <c r="L75" s="34"/>
    </row>
    <row r="76" spans="1:12" ht="12.75" x14ac:dyDescent="0.2">
      <c r="A76" s="31" t="s">
        <v>210</v>
      </c>
      <c r="B76" s="39">
        <v>5710</v>
      </c>
      <c r="C76" s="40" t="s">
        <v>65</v>
      </c>
      <c r="D76" s="90">
        <v>1600</v>
      </c>
      <c r="E76" s="75">
        <f t="shared" si="18"/>
        <v>-0.17061212121212121</v>
      </c>
      <c r="F76" s="70">
        <f>1378.03+553.48</f>
        <v>1931.51</v>
      </c>
      <c r="G76" s="70">
        <f t="shared" si="19"/>
        <v>1650</v>
      </c>
      <c r="H76" s="70">
        <v>1800</v>
      </c>
      <c r="I76" s="82">
        <f>VLOOKUP(B76,'Old IS'!$A:$I,6,FALSE)</f>
        <v>2233.9299999999998</v>
      </c>
      <c r="J76" s="82">
        <f>VLOOKUP(B76,'Old IS'!$A:$I,8,FALSE)</f>
        <v>1439.43</v>
      </c>
      <c r="K76" s="82">
        <f>VLOOKUP(B76,'Old IS'!$A:$I,9,FALSE)</f>
        <v>1691.79</v>
      </c>
      <c r="L76" s="34"/>
    </row>
    <row r="77" spans="1:12" ht="12.75" x14ac:dyDescent="0.2">
      <c r="A77" s="31" t="s">
        <v>210</v>
      </c>
      <c r="B77" s="39">
        <v>5575.1</v>
      </c>
      <c r="C77" s="40" t="s">
        <v>66</v>
      </c>
      <c r="D77" s="90">
        <v>1000</v>
      </c>
      <c r="E77" s="75">
        <f t="shared" si="18"/>
        <v>-1.377509090909091</v>
      </c>
      <c r="F77" s="70">
        <v>1307.6300000000001</v>
      </c>
      <c r="G77" s="70">
        <f t="shared" si="19"/>
        <v>550</v>
      </c>
      <c r="H77" s="70">
        <v>600</v>
      </c>
      <c r="I77" s="82">
        <f>VLOOKUP(B77,'Old IS'!$A:$I,6,FALSE)</f>
        <v>1245.4000000000001</v>
      </c>
      <c r="J77" s="82">
        <f>VLOOKUP(B77,'Old IS'!$A:$I,8,FALSE)</f>
        <v>575.03</v>
      </c>
      <c r="K77" s="82">
        <f>VLOOKUP(B77,'Old IS'!$A:$I,9,FALSE)</f>
        <v>1317.38</v>
      </c>
      <c r="L77" s="34"/>
    </row>
    <row r="78" spans="1:12" ht="12.75" x14ac:dyDescent="0.2">
      <c r="A78" s="31" t="s">
        <v>210</v>
      </c>
      <c r="B78" s="39">
        <v>5575.11</v>
      </c>
      <c r="C78" s="40" t="s">
        <v>67</v>
      </c>
      <c r="D78" s="90">
        <v>600</v>
      </c>
      <c r="E78" s="75">
        <f t="shared" si="18"/>
        <v>1</v>
      </c>
      <c r="F78" s="70">
        <v>0</v>
      </c>
      <c r="G78" s="70">
        <f t="shared" si="19"/>
        <v>550</v>
      </c>
      <c r="H78" s="70">
        <v>600</v>
      </c>
      <c r="I78" s="82">
        <f>VLOOKUP(B78,'Old IS'!$A:$I,6,FALSE)</f>
        <v>0</v>
      </c>
      <c r="J78" s="82">
        <f>VLOOKUP(B78,'Old IS'!$A:$I,8,FALSE)</f>
        <v>41.96</v>
      </c>
      <c r="K78" s="82">
        <f>VLOOKUP(B78,'Old IS'!$A:$I,9,FALSE)</f>
        <v>611</v>
      </c>
      <c r="L78" s="34"/>
    </row>
    <row r="79" spans="1:12" ht="12.75" x14ac:dyDescent="0.2">
      <c r="A79" s="31" t="s">
        <v>210</v>
      </c>
      <c r="B79" s="39">
        <v>5575.14</v>
      </c>
      <c r="C79" s="40" t="s">
        <v>68</v>
      </c>
      <c r="D79" s="90">
        <v>400</v>
      </c>
      <c r="E79" s="75">
        <f t="shared" si="18"/>
        <v>0.57672727272727276</v>
      </c>
      <c r="F79" s="70">
        <v>194</v>
      </c>
      <c r="G79" s="70">
        <f t="shared" si="19"/>
        <v>458.33333333333331</v>
      </c>
      <c r="H79" s="70">
        <v>500</v>
      </c>
      <c r="I79" s="82">
        <f>VLOOKUP(B79,'Old IS'!$A:$I,6,FALSE)</f>
        <v>0</v>
      </c>
      <c r="J79" s="82">
        <f>VLOOKUP(B79,'Old IS'!$A:$I,8,FALSE)</f>
        <v>442.8</v>
      </c>
      <c r="K79" s="82">
        <f>VLOOKUP(B79,'Old IS'!$A:$I,9,FALSE)</f>
        <v>331.29</v>
      </c>
      <c r="L79" s="34"/>
    </row>
    <row r="80" spans="1:12" ht="12.75" x14ac:dyDescent="0.2">
      <c r="A80" s="31" t="s">
        <v>210</v>
      </c>
      <c r="B80" s="39">
        <v>5575.13</v>
      </c>
      <c r="C80" s="40" t="s">
        <v>69</v>
      </c>
      <c r="D80" s="90">
        <v>450</v>
      </c>
      <c r="E80" s="75">
        <f t="shared" si="18"/>
        <v>0.18812499999999999</v>
      </c>
      <c r="F80" s="70">
        <v>324.75</v>
      </c>
      <c r="G80" s="70">
        <f>H80</f>
        <v>400</v>
      </c>
      <c r="H80" s="70">
        <v>400</v>
      </c>
      <c r="I80" s="82">
        <f>VLOOKUP(B80,'Old IS'!$A:$I,6,FALSE)</f>
        <v>442.5</v>
      </c>
      <c r="J80" s="82">
        <f>VLOOKUP(B80,'Old IS'!$A:$I,8,FALSE)</f>
        <v>290</v>
      </c>
      <c r="K80" s="82">
        <f>VLOOKUP(B80,'Old IS'!$A:$I,9,FALSE)</f>
        <v>430</v>
      </c>
      <c r="L80" s="46"/>
    </row>
    <row r="81" spans="1:12" ht="12.75" x14ac:dyDescent="0.2">
      <c r="A81" s="31" t="s">
        <v>210</v>
      </c>
      <c r="B81" s="39">
        <v>5575.2</v>
      </c>
      <c r="C81" s="40" t="s">
        <v>71</v>
      </c>
      <c r="D81" s="90">
        <v>2000</v>
      </c>
      <c r="E81" s="75">
        <f t="shared" si="18"/>
        <v>-0.13281283422459897</v>
      </c>
      <c r="F81" s="70">
        <v>1765.3</v>
      </c>
      <c r="G81" s="70">
        <f>H81/12*11</f>
        <v>1558.3333333333333</v>
      </c>
      <c r="H81" s="70">
        <v>1700</v>
      </c>
      <c r="I81" s="82">
        <f>VLOOKUP(B81,'Old IS'!$A:$I,6,FALSE)</f>
        <v>3614.94</v>
      </c>
      <c r="J81" s="82">
        <f>VLOOKUP(B81,'Old IS'!$A:$I,8,FALSE)</f>
        <v>5263</v>
      </c>
      <c r="K81" s="82">
        <f>VLOOKUP(B81,'Old IS'!$A:$I,9,FALSE)</f>
        <v>13442.86</v>
      </c>
      <c r="L81" s="31" t="s">
        <v>249</v>
      </c>
    </row>
    <row r="82" spans="1:12" ht="12.75" x14ac:dyDescent="0.2">
      <c r="A82" s="31" t="s">
        <v>210</v>
      </c>
      <c r="B82" s="39">
        <v>5575</v>
      </c>
      <c r="C82" s="40" t="s">
        <v>114</v>
      </c>
      <c r="D82" s="90">
        <v>0</v>
      </c>
      <c r="E82" s="75">
        <f t="shared" si="18"/>
        <v>0</v>
      </c>
      <c r="F82" s="70">
        <v>799</v>
      </c>
      <c r="G82" s="70">
        <f t="shared" ref="G82:G84" si="20">H82/12*11</f>
        <v>0</v>
      </c>
      <c r="H82" s="70">
        <v>0</v>
      </c>
      <c r="I82" s="82">
        <f>VLOOKUP(B82,'Old IS'!$A:$I,6,FALSE)</f>
        <v>0</v>
      </c>
      <c r="J82" s="82">
        <f>VLOOKUP(B82,'Old IS'!$A:$I,8,FALSE)</f>
        <v>0</v>
      </c>
      <c r="K82" s="82">
        <f>VLOOKUP(B82,'Old IS'!$A:$I,9,FALSE)</f>
        <v>0</v>
      </c>
    </row>
    <row r="83" spans="1:12" ht="12.75" x14ac:dyDescent="0.2">
      <c r="A83" s="31" t="s">
        <v>210</v>
      </c>
      <c r="B83" s="39">
        <v>5950.5</v>
      </c>
      <c r="C83" s="40" t="s">
        <v>115</v>
      </c>
      <c r="D83" s="90">
        <v>0</v>
      </c>
      <c r="E83" s="75">
        <f t="shared" si="18"/>
        <v>0</v>
      </c>
      <c r="F83" s="70">
        <v>0</v>
      </c>
      <c r="G83" s="70">
        <f t="shared" si="20"/>
        <v>0</v>
      </c>
      <c r="H83" s="70">
        <v>0</v>
      </c>
      <c r="I83" s="82">
        <f>VLOOKUP(B83,'Old IS'!$A:$I,6,FALSE)</f>
        <v>10</v>
      </c>
      <c r="J83" s="82">
        <f>VLOOKUP(B83,'Old IS'!$A:$I,8,FALSE)</f>
        <v>0</v>
      </c>
      <c r="K83" s="82">
        <f>VLOOKUP(B83,'Old IS'!$A:$I,9,FALSE)</f>
        <v>20</v>
      </c>
    </row>
    <row r="84" spans="1:12" ht="12.75" x14ac:dyDescent="0.2">
      <c r="A84" s="31" t="s">
        <v>210</v>
      </c>
      <c r="B84" s="39">
        <v>5210.701</v>
      </c>
      <c r="C84" s="40" t="s">
        <v>117</v>
      </c>
      <c r="D84" s="90">
        <v>0</v>
      </c>
      <c r="E84" s="75">
        <f t="shared" si="18"/>
        <v>0</v>
      </c>
      <c r="F84" s="70">
        <v>0</v>
      </c>
      <c r="G84" s="70">
        <f t="shared" si="20"/>
        <v>0</v>
      </c>
      <c r="H84" s="70">
        <v>0</v>
      </c>
      <c r="I84" s="82">
        <f>VLOOKUP(B84,'Old IS'!$A:$I,6,FALSE)</f>
        <v>0</v>
      </c>
      <c r="J84" s="82">
        <f>VLOOKUP(B84,'Old IS'!$A:$I,8,FALSE)</f>
        <v>1890</v>
      </c>
      <c r="K84" s="82">
        <f>VLOOKUP(B84,'Old IS'!$A:$I,9,FALSE)</f>
        <v>200</v>
      </c>
    </row>
    <row r="85" spans="1:12" ht="15" x14ac:dyDescent="0.25">
      <c r="B85" s="42" t="s">
        <v>59</v>
      </c>
      <c r="C85" s="43"/>
      <c r="D85" s="91">
        <f t="shared" ref="D85:K85" si="21">SUM(D72:D84)</f>
        <v>20450</v>
      </c>
      <c r="E85" s="76">
        <f t="shared" si="18"/>
        <v>-0.19706939759036138</v>
      </c>
      <c r="F85" s="72">
        <f t="shared" si="21"/>
        <v>24839.19</v>
      </c>
      <c r="G85" s="72">
        <f t="shared" si="21"/>
        <v>20750</v>
      </c>
      <c r="H85" s="72">
        <f t="shared" si="21"/>
        <v>22600</v>
      </c>
      <c r="I85" s="83">
        <f t="shared" si="21"/>
        <v>25035.38</v>
      </c>
      <c r="J85" s="83">
        <f t="shared" si="21"/>
        <v>25222.449999999997</v>
      </c>
      <c r="K85" s="83">
        <f t="shared" si="21"/>
        <v>36194.550000000003</v>
      </c>
      <c r="L85" s="34"/>
    </row>
    <row r="86" spans="1:12" ht="15.75" customHeight="1" x14ac:dyDescent="0.2">
      <c r="E86" s="75"/>
      <c r="F86" s="71"/>
      <c r="G86" s="71"/>
      <c r="H86" s="71"/>
      <c r="I86" s="82"/>
      <c r="J86" s="82"/>
      <c r="K86" s="82"/>
    </row>
    <row r="87" spans="1:12" ht="12.75" x14ac:dyDescent="0.2">
      <c r="A87" s="31" t="s">
        <v>210</v>
      </c>
      <c r="B87" s="39">
        <v>5860.1</v>
      </c>
      <c r="C87" s="40" t="s">
        <v>73</v>
      </c>
      <c r="D87" s="90">
        <v>5100</v>
      </c>
      <c r="E87" s="75">
        <f t="shared" ref="E87:E92" si="22">IF(G87=0,0,((G87-F87)/G87))</f>
        <v>8.3488000000000062E-2</v>
      </c>
      <c r="F87" s="70">
        <v>4200.68</v>
      </c>
      <c r="G87" s="70">
        <f t="shared" ref="G87:G91" si="23">H87/12*11</f>
        <v>4583.3333333333339</v>
      </c>
      <c r="H87" s="70">
        <v>5000</v>
      </c>
      <c r="I87" s="82">
        <f>VLOOKUP(B87,'Old IS'!$A:$I,6,FALSE)</f>
        <v>5182.62</v>
      </c>
      <c r="J87" s="82">
        <f>VLOOKUP(B87,'Old IS'!$A:$I,8,FALSE)</f>
        <v>4911.7299999999996</v>
      </c>
      <c r="K87" s="82">
        <f>VLOOKUP(B87,'Old IS'!$A:$I,9,FALSE)</f>
        <v>4273.2299999999996</v>
      </c>
      <c r="L87" s="34"/>
    </row>
    <row r="88" spans="1:12" ht="12.75" x14ac:dyDescent="0.2">
      <c r="A88" s="31" t="s">
        <v>210</v>
      </c>
      <c r="B88" s="39">
        <v>5860</v>
      </c>
      <c r="C88" s="40" t="s">
        <v>74</v>
      </c>
      <c r="D88" s="90">
        <v>3700</v>
      </c>
      <c r="E88" s="75">
        <f t="shared" si="22"/>
        <v>-2.4230303030303043E-2</v>
      </c>
      <c r="F88" s="70">
        <v>3379.96</v>
      </c>
      <c r="G88" s="70">
        <f t="shared" si="23"/>
        <v>3300</v>
      </c>
      <c r="H88" s="70">
        <v>3600</v>
      </c>
      <c r="I88" s="82">
        <f>VLOOKUP(B88,'Old IS'!$A:$I,6,FALSE)</f>
        <v>3741.58</v>
      </c>
      <c r="J88" s="82">
        <f>VLOOKUP(B88,'Old IS'!$A:$I,8,FALSE)</f>
        <v>3390.56</v>
      </c>
      <c r="K88" s="82">
        <f>VLOOKUP(B88,'Old IS'!$A:$I,9,FALSE)</f>
        <v>3109</v>
      </c>
      <c r="L88" s="34"/>
    </row>
    <row r="89" spans="1:12" ht="12.75" x14ac:dyDescent="0.2">
      <c r="A89" s="31" t="s">
        <v>210</v>
      </c>
      <c r="B89" s="39">
        <v>5860.2</v>
      </c>
      <c r="C89" s="40" t="s">
        <v>75</v>
      </c>
      <c r="D89" s="90">
        <v>3100</v>
      </c>
      <c r="E89" s="75">
        <f t="shared" si="22"/>
        <v>8.001090909090916E-2</v>
      </c>
      <c r="F89" s="70">
        <v>2529.9699999999998</v>
      </c>
      <c r="G89" s="70">
        <f t="shared" si="23"/>
        <v>2750</v>
      </c>
      <c r="H89" s="70">
        <v>3000</v>
      </c>
      <c r="I89" s="82">
        <f>VLOOKUP(B89,'Old IS'!$A:$I,6,FALSE)</f>
        <v>3435.53</v>
      </c>
      <c r="J89" s="82">
        <f>VLOOKUP(B89,'Old IS'!$A:$I,8,FALSE)</f>
        <v>2833.98</v>
      </c>
      <c r="K89" s="82">
        <f>VLOOKUP(B89,'Old IS'!$A:$I,9,FALSE)</f>
        <v>2640.08</v>
      </c>
      <c r="L89" s="34"/>
    </row>
    <row r="90" spans="1:12" ht="12.75" x14ac:dyDescent="0.2">
      <c r="A90" s="31" t="s">
        <v>210</v>
      </c>
      <c r="B90" s="39">
        <v>5820.1</v>
      </c>
      <c r="C90" s="40" t="s">
        <v>76</v>
      </c>
      <c r="D90" s="90">
        <v>1500</v>
      </c>
      <c r="E90" s="75">
        <f t="shared" si="22"/>
        <v>-0.9796415584415582</v>
      </c>
      <c r="F90" s="70">
        <v>2540.54</v>
      </c>
      <c r="G90" s="70">
        <f t="shared" si="23"/>
        <v>1283.3333333333335</v>
      </c>
      <c r="H90" s="70">
        <v>1400</v>
      </c>
      <c r="I90" s="82">
        <f>VLOOKUP(B90,'Old IS'!$A:$I,6,FALSE)</f>
        <v>1250.7</v>
      </c>
      <c r="J90" s="82">
        <f>VLOOKUP(B90,'Old IS'!$A:$I,8,FALSE)</f>
        <v>1560.24</v>
      </c>
      <c r="K90" s="82">
        <f>VLOOKUP(B90,'Old IS'!$A:$I,9,FALSE)</f>
        <v>2802.27</v>
      </c>
      <c r="L90" s="34"/>
    </row>
    <row r="91" spans="1:12" ht="12.75" x14ac:dyDescent="0.2">
      <c r="A91" s="31" t="s">
        <v>210</v>
      </c>
      <c r="B91" s="39">
        <v>5860.3</v>
      </c>
      <c r="C91" s="40" t="s">
        <v>77</v>
      </c>
      <c r="D91" s="90">
        <v>600</v>
      </c>
      <c r="E91" s="75">
        <f t="shared" si="22"/>
        <v>-4.0385770750988301E-2</v>
      </c>
      <c r="F91" s="70">
        <v>548.37</v>
      </c>
      <c r="G91" s="70">
        <f t="shared" si="23"/>
        <v>527.08333333333326</v>
      </c>
      <c r="H91" s="70">
        <v>575</v>
      </c>
      <c r="I91" s="82">
        <f>VLOOKUP(B91,'Old IS'!$A:$I,6,FALSE)</f>
        <v>589.73</v>
      </c>
      <c r="J91" s="82">
        <f>VLOOKUP(B91,'Old IS'!$A:$I,8,FALSE)</f>
        <v>551.62</v>
      </c>
      <c r="K91" s="82">
        <f>VLOOKUP(B91,'Old IS'!$A:$I,9,FALSE)</f>
        <v>520.89</v>
      </c>
      <c r="L91" s="34"/>
    </row>
    <row r="92" spans="1:12" ht="15" x14ac:dyDescent="0.25">
      <c r="B92" s="42" t="s">
        <v>72</v>
      </c>
      <c r="C92" s="43"/>
      <c r="D92" s="91">
        <f t="shared" ref="D92:K92" si="24">SUM(D87:D91)</f>
        <v>14000</v>
      </c>
      <c r="E92" s="76">
        <f t="shared" si="22"/>
        <v>-6.0734907081868433E-2</v>
      </c>
      <c r="F92" s="72">
        <f t="shared" si="24"/>
        <v>13199.520000000002</v>
      </c>
      <c r="G92" s="72">
        <f t="shared" si="24"/>
        <v>12443.750000000002</v>
      </c>
      <c r="H92" s="72">
        <f t="shared" si="24"/>
        <v>13575</v>
      </c>
      <c r="I92" s="83">
        <f t="shared" si="24"/>
        <v>14200.160000000002</v>
      </c>
      <c r="J92" s="83">
        <f t="shared" si="24"/>
        <v>13248.13</v>
      </c>
      <c r="K92" s="83">
        <f t="shared" si="24"/>
        <v>13345.47</v>
      </c>
      <c r="L92" s="34"/>
    </row>
    <row r="93" spans="1:12" ht="15.75" customHeight="1" x14ac:dyDescent="0.2">
      <c r="E93" s="75"/>
      <c r="F93" s="71"/>
      <c r="G93" s="71"/>
      <c r="H93" s="71"/>
      <c r="I93" s="82"/>
      <c r="J93" s="82"/>
      <c r="K93" s="82"/>
    </row>
    <row r="94" spans="1:12" ht="12.75" x14ac:dyDescent="0.2">
      <c r="A94" s="31" t="s">
        <v>211</v>
      </c>
      <c r="B94" s="39">
        <v>5210.3010000000004</v>
      </c>
      <c r="C94" s="40" t="s">
        <v>80</v>
      </c>
      <c r="D94" s="90">
        <v>7610</v>
      </c>
      <c r="E94" s="75">
        <f t="shared" ref="E94:E100" si="25">IF(G94=0,0,((G94-F94)/G94))</f>
        <v>2.5833333333333333E-2</v>
      </c>
      <c r="F94" s="70">
        <v>6429.5</v>
      </c>
      <c r="G94" s="70">
        <f t="shared" ref="G94" si="26">H94/12*11</f>
        <v>6600</v>
      </c>
      <c r="H94" s="70">
        <v>7200</v>
      </c>
      <c r="I94" s="82">
        <f>VLOOKUP(B94,'Old IS'!$A:$I,6,FALSE)</f>
        <v>5229</v>
      </c>
      <c r="J94" s="82">
        <f>VLOOKUP(B94,'Old IS'!$A:$I,8,FALSE)</f>
        <v>5005</v>
      </c>
      <c r="K94" s="82">
        <f>VLOOKUP(B94,'Old IS'!$A:$I,9,FALSE)</f>
        <v>4612</v>
      </c>
      <c r="L94" s="86"/>
    </row>
    <row r="95" spans="1:12" ht="12.75" x14ac:dyDescent="0.2">
      <c r="A95" s="31" t="s">
        <v>211</v>
      </c>
      <c r="B95" s="39">
        <v>5740.5</v>
      </c>
      <c r="C95" s="40" t="s">
        <v>81</v>
      </c>
      <c r="D95" s="90">
        <v>2400</v>
      </c>
      <c r="E95" s="75">
        <f t="shared" si="25"/>
        <v>0.2745481481481481</v>
      </c>
      <c r="F95" s="70">
        <v>1713.88</v>
      </c>
      <c r="G95" s="70">
        <f>H95/8*7</f>
        <v>2362.5</v>
      </c>
      <c r="H95" s="70">
        <v>2700</v>
      </c>
      <c r="I95" s="82">
        <f>VLOOKUP(B95,'Old IS'!$A:$I,6,FALSE)</f>
        <v>1670</v>
      </c>
      <c r="J95" s="82">
        <f>VLOOKUP(B95,'Old IS'!$A:$I,8,FALSE)</f>
        <v>1735</v>
      </c>
      <c r="K95" s="82">
        <f>VLOOKUP(B95,'Old IS'!$A:$I,9,FALSE)</f>
        <v>590</v>
      </c>
      <c r="L95" s="34"/>
    </row>
    <row r="96" spans="1:12" ht="12.75" x14ac:dyDescent="0.2">
      <c r="A96" s="31" t="s">
        <v>211</v>
      </c>
      <c r="B96" s="39">
        <v>5810.1</v>
      </c>
      <c r="C96" s="40" t="s">
        <v>82</v>
      </c>
      <c r="D96" s="90">
        <v>900</v>
      </c>
      <c r="E96" s="75">
        <f t="shared" si="25"/>
        <v>-0.12727272727272726</v>
      </c>
      <c r="F96" s="70">
        <v>620</v>
      </c>
      <c r="G96" s="70">
        <f t="shared" ref="G96:G99" si="27">H96/12*11</f>
        <v>550</v>
      </c>
      <c r="H96" s="70">
        <v>600</v>
      </c>
      <c r="I96" s="82">
        <f>VLOOKUP(B96,'Old IS'!$A:$I,6,FALSE)</f>
        <v>1273</v>
      </c>
      <c r="J96" s="82">
        <f>VLOOKUP(B96,'Old IS'!$A:$I,8,FALSE)</f>
        <v>1225.21</v>
      </c>
      <c r="K96" s="82">
        <f>VLOOKUP(B96,'Old IS'!$A:$I,9,FALSE)</f>
        <v>2123.5</v>
      </c>
      <c r="L96" s="34"/>
    </row>
    <row r="97" spans="1:12" ht="12.75" x14ac:dyDescent="0.2">
      <c r="A97" s="31" t="s">
        <v>211</v>
      </c>
      <c r="B97" s="39">
        <v>5575.5</v>
      </c>
      <c r="C97" s="40" t="s">
        <v>83</v>
      </c>
      <c r="D97" s="90">
        <v>600</v>
      </c>
      <c r="E97" s="75">
        <f t="shared" si="25"/>
        <v>0.47878787878787876</v>
      </c>
      <c r="F97" s="70">
        <v>430</v>
      </c>
      <c r="G97" s="70">
        <f t="shared" si="27"/>
        <v>825</v>
      </c>
      <c r="H97" s="70">
        <v>900</v>
      </c>
      <c r="I97" s="82">
        <f>VLOOKUP(B97,'Old IS'!$A:$I,6,FALSE)</f>
        <v>499.5</v>
      </c>
      <c r="J97" s="82">
        <f>VLOOKUP(B97,'Old IS'!$A:$I,8,FALSE)</f>
        <v>875</v>
      </c>
      <c r="K97" s="82">
        <f>VLOOKUP(B97,'Old IS'!$A:$I,9,FALSE)</f>
        <v>1302</v>
      </c>
      <c r="L97" s="34"/>
    </row>
    <row r="98" spans="1:12" ht="12.75" x14ac:dyDescent="0.2">
      <c r="A98" s="31" t="s">
        <v>211</v>
      </c>
      <c r="B98" s="39">
        <v>5740.2</v>
      </c>
      <c r="C98" s="40" t="s">
        <v>137</v>
      </c>
      <c r="D98" s="90">
        <v>0</v>
      </c>
      <c r="E98" s="75">
        <f t="shared" si="25"/>
        <v>0</v>
      </c>
      <c r="F98" s="70">
        <v>0</v>
      </c>
      <c r="G98" s="70">
        <f t="shared" si="27"/>
        <v>0</v>
      </c>
      <c r="H98" s="70">
        <v>0</v>
      </c>
      <c r="I98" s="82">
        <f>VLOOKUP(B98,'Old IS'!$A:$I,6,FALSE)</f>
        <v>125</v>
      </c>
      <c r="J98" s="82">
        <f>VLOOKUP(B98,'Old IS'!$A:$I,8,FALSE)</f>
        <v>1342.12</v>
      </c>
      <c r="K98" s="82">
        <f>VLOOKUP(B98,'Old IS'!$A:$I,9,FALSE)</f>
        <v>1480</v>
      </c>
      <c r="L98" s="34"/>
    </row>
    <row r="99" spans="1:12" ht="12.75" x14ac:dyDescent="0.2">
      <c r="A99" s="31" t="s">
        <v>211</v>
      </c>
      <c r="B99" s="40">
        <v>5950.6019999999999</v>
      </c>
      <c r="C99" s="40" t="s">
        <v>138</v>
      </c>
      <c r="D99" s="90">
        <v>0</v>
      </c>
      <c r="E99" s="75">
        <f t="shared" si="25"/>
        <v>0</v>
      </c>
      <c r="F99" s="70">
        <v>0</v>
      </c>
      <c r="G99" s="70">
        <f t="shared" si="27"/>
        <v>0</v>
      </c>
      <c r="H99" s="70">
        <v>0</v>
      </c>
      <c r="I99" s="82">
        <f>VLOOKUP(B99,'Old IS'!$A:$I,6,FALSE)</f>
        <v>0</v>
      </c>
      <c r="J99" s="82">
        <f>VLOOKUP(B99,'Old IS'!$A:$I,8,FALSE)</f>
        <v>0</v>
      </c>
      <c r="K99" s="82">
        <f>VLOOKUP(B99,'Old IS'!$A:$I,9,FALSE)</f>
        <v>1676.73</v>
      </c>
      <c r="L99" s="34"/>
    </row>
    <row r="100" spans="1:12" ht="15" x14ac:dyDescent="0.25">
      <c r="B100" s="42" t="s">
        <v>78</v>
      </c>
      <c r="C100" s="43"/>
      <c r="D100" s="91">
        <f t="shared" ref="D100:K100" si="28">SUM(D94:D99)</f>
        <v>11510</v>
      </c>
      <c r="E100" s="76">
        <f t="shared" si="25"/>
        <v>0.11067666263603376</v>
      </c>
      <c r="F100" s="72">
        <f t="shared" si="28"/>
        <v>9193.380000000001</v>
      </c>
      <c r="G100" s="72">
        <f t="shared" si="28"/>
        <v>10337.5</v>
      </c>
      <c r="H100" s="72">
        <f t="shared" si="28"/>
        <v>11400</v>
      </c>
      <c r="I100" s="83">
        <f t="shared" si="28"/>
        <v>8796.5</v>
      </c>
      <c r="J100" s="83">
        <f t="shared" si="28"/>
        <v>10182.329999999998</v>
      </c>
      <c r="K100" s="83">
        <f t="shared" si="28"/>
        <v>11784.23</v>
      </c>
      <c r="L100" s="34"/>
    </row>
    <row r="101" spans="1:12" ht="15.75" customHeight="1" x14ac:dyDescent="0.2">
      <c r="E101" s="75"/>
      <c r="F101" s="71"/>
      <c r="G101" s="71"/>
      <c r="H101" s="71"/>
      <c r="I101" s="82"/>
      <c r="J101" s="82"/>
      <c r="K101" s="82"/>
    </row>
    <row r="102" spans="1:12" ht="12.75" x14ac:dyDescent="0.2">
      <c r="A102" s="31" t="s">
        <v>211</v>
      </c>
      <c r="B102" s="39">
        <v>5740</v>
      </c>
      <c r="C102" s="40" t="s">
        <v>86</v>
      </c>
      <c r="D102" s="90">
        <v>400</v>
      </c>
      <c r="E102" s="75">
        <f t="shared" ref="E102:E109" si="29">IF(G102=0,0,((G102-F102)/G102))</f>
        <v>0.87818181818181817</v>
      </c>
      <c r="F102" s="70">
        <v>67</v>
      </c>
      <c r="G102" s="70">
        <f t="shared" ref="G102" si="30">H102/12*11</f>
        <v>550</v>
      </c>
      <c r="H102" s="70">
        <v>600</v>
      </c>
      <c r="I102" s="82">
        <f>VLOOKUP(B102,'Old IS'!$A:$I,6,FALSE)</f>
        <v>0</v>
      </c>
      <c r="J102" s="82">
        <f>VLOOKUP(B102,'Old IS'!$A:$I,8,FALSE)</f>
        <v>317.24</v>
      </c>
      <c r="K102" s="82">
        <f>VLOOKUP(B102,'Old IS'!$A:$I,9,FALSE)</f>
        <v>503.97</v>
      </c>
      <c r="L102" s="34"/>
    </row>
    <row r="103" spans="1:12" ht="12.75" x14ac:dyDescent="0.2">
      <c r="A103" s="31" t="s">
        <v>211</v>
      </c>
      <c r="B103" s="39">
        <v>5740.32</v>
      </c>
      <c r="C103" s="40" t="s">
        <v>87</v>
      </c>
      <c r="D103" s="90">
        <v>400</v>
      </c>
      <c r="E103" s="75">
        <f t="shared" si="29"/>
        <v>9.8725000000000021E-2</v>
      </c>
      <c r="F103" s="70">
        <f>228.68+131.83</f>
        <v>360.51</v>
      </c>
      <c r="G103" s="70">
        <f>H103</f>
        <v>400</v>
      </c>
      <c r="H103" s="70">
        <v>400</v>
      </c>
      <c r="I103" s="82">
        <f>VLOOKUP(B103,'Old IS'!$A:$I,6,FALSE)</f>
        <v>296.16999999999996</v>
      </c>
      <c r="J103" s="82">
        <f>VLOOKUP(B103,'Old IS'!$A:$I,8,FALSE)</f>
        <v>357.26</v>
      </c>
      <c r="K103" s="82">
        <f>VLOOKUP(B103,'Old IS'!$A:$I,9,FALSE)</f>
        <v>220.41</v>
      </c>
      <c r="L103" s="34"/>
    </row>
    <row r="104" spans="1:12" ht="12.75" x14ac:dyDescent="0.2">
      <c r="A104" s="31" t="s">
        <v>211</v>
      </c>
      <c r="B104" s="39">
        <v>5740.33</v>
      </c>
      <c r="C104" s="40" t="s">
        <v>88</v>
      </c>
      <c r="D104" s="90">
        <v>400</v>
      </c>
      <c r="E104" s="75">
        <f t="shared" si="29"/>
        <v>0.29531636363636354</v>
      </c>
      <c r="F104" s="70">
        <v>322.98</v>
      </c>
      <c r="G104" s="70">
        <f t="shared" ref="G104:G108" si="31">H104/12*11</f>
        <v>458.33333333333331</v>
      </c>
      <c r="H104" s="70">
        <v>500</v>
      </c>
      <c r="I104" s="82">
        <f>VLOOKUP(B104,'Old IS'!$A:$I,6,FALSE)</f>
        <v>221.74</v>
      </c>
      <c r="J104" s="82">
        <f>VLOOKUP(B104,'Old IS'!$A:$I,8,FALSE)</f>
        <v>534.83000000000004</v>
      </c>
      <c r="K104" s="82">
        <f>VLOOKUP(B104,'Old IS'!$A:$I,9,FALSE)</f>
        <v>143.31</v>
      </c>
      <c r="L104" s="34"/>
    </row>
    <row r="105" spans="1:12" ht="12.75" x14ac:dyDescent="0.2">
      <c r="A105" s="31" t="s">
        <v>211</v>
      </c>
      <c r="B105" s="39">
        <v>5740.4</v>
      </c>
      <c r="C105" s="40" t="s">
        <v>132</v>
      </c>
      <c r="D105" s="90"/>
      <c r="E105" s="75">
        <f t="shared" si="29"/>
        <v>0</v>
      </c>
      <c r="F105" s="70">
        <v>0</v>
      </c>
      <c r="G105" s="70">
        <f t="shared" si="31"/>
        <v>0</v>
      </c>
      <c r="H105" s="70">
        <v>0</v>
      </c>
      <c r="I105" s="82">
        <f>VLOOKUP(B105,'Old IS'!$A:$I,6,FALSE)</f>
        <v>200</v>
      </c>
      <c r="J105" s="82">
        <f>VLOOKUP(B105,'Old IS'!$A:$I,8,FALSE)</f>
        <v>0</v>
      </c>
      <c r="K105" s="82">
        <f>VLOOKUP(B105,'Old IS'!$A:$I,9,FALSE)</f>
        <v>302.25</v>
      </c>
      <c r="L105" s="34"/>
    </row>
    <row r="106" spans="1:12" ht="12.75" x14ac:dyDescent="0.2">
      <c r="A106" s="31" t="s">
        <v>211</v>
      </c>
      <c r="B106" s="39">
        <v>5740.1</v>
      </c>
      <c r="C106" s="40" t="s">
        <v>133</v>
      </c>
      <c r="D106" s="90"/>
      <c r="E106" s="75">
        <f t="shared" si="29"/>
        <v>0</v>
      </c>
      <c r="F106" s="70">
        <v>0</v>
      </c>
      <c r="G106" s="70">
        <f t="shared" si="31"/>
        <v>0</v>
      </c>
      <c r="H106" s="70">
        <v>0</v>
      </c>
      <c r="I106" s="82">
        <f>VLOOKUP(B106,'Old IS'!$A:$I,6,FALSE)</f>
        <v>0</v>
      </c>
      <c r="J106" s="82">
        <f>VLOOKUP(B106,'Old IS'!$A:$I,8,FALSE)</f>
        <v>0</v>
      </c>
      <c r="K106" s="82">
        <f>VLOOKUP(B106,'Old IS'!$A:$I,9,FALSE)</f>
        <v>0</v>
      </c>
      <c r="L106" s="34"/>
    </row>
    <row r="107" spans="1:12" ht="12.75" x14ac:dyDescent="0.2">
      <c r="A107" s="31" t="s">
        <v>211</v>
      </c>
      <c r="B107" s="39">
        <v>5740.3</v>
      </c>
      <c r="C107" s="40" t="s">
        <v>134</v>
      </c>
      <c r="D107" s="90"/>
      <c r="E107" s="75">
        <f t="shared" si="29"/>
        <v>0</v>
      </c>
      <c r="F107" s="70">
        <v>0</v>
      </c>
      <c r="G107" s="70">
        <f t="shared" si="31"/>
        <v>0</v>
      </c>
      <c r="H107" s="70">
        <v>0</v>
      </c>
      <c r="I107" s="82">
        <f>VLOOKUP(B107,'Old IS'!$A:$I,6,FALSE)</f>
        <v>0</v>
      </c>
      <c r="J107" s="82">
        <f>VLOOKUP(B107,'Old IS'!$A:$I,8,FALSE)</f>
        <v>0</v>
      </c>
      <c r="K107" s="82">
        <f>VLOOKUP(B107,'Old IS'!$A:$I,9,FALSE)</f>
        <v>0</v>
      </c>
      <c r="L107" s="34"/>
    </row>
    <row r="108" spans="1:12" ht="12.75" x14ac:dyDescent="0.2">
      <c r="A108" s="31" t="s">
        <v>211</v>
      </c>
      <c r="B108" s="39">
        <v>5740.6</v>
      </c>
      <c r="C108" s="40" t="s">
        <v>135</v>
      </c>
      <c r="D108" s="90"/>
      <c r="E108" s="75">
        <f t="shared" si="29"/>
        <v>0</v>
      </c>
      <c r="F108" s="70">
        <v>0</v>
      </c>
      <c r="G108" s="70">
        <f t="shared" si="31"/>
        <v>0</v>
      </c>
      <c r="H108" s="70">
        <v>0</v>
      </c>
      <c r="I108" s="82">
        <f>VLOOKUP(B108,'Old IS'!$A:$I,6,FALSE)</f>
        <v>0</v>
      </c>
      <c r="J108" s="82">
        <f>VLOOKUP(B108,'Old IS'!$A:$I,8,FALSE)</f>
        <v>0</v>
      </c>
      <c r="K108" s="82">
        <f>VLOOKUP(B108,'Old IS'!$A:$I,9,FALSE)</f>
        <v>0</v>
      </c>
      <c r="L108" s="34"/>
    </row>
    <row r="109" spans="1:12" ht="15" x14ac:dyDescent="0.25">
      <c r="B109" s="42" t="s">
        <v>84</v>
      </c>
      <c r="C109" s="43"/>
      <c r="D109" s="91">
        <f t="shared" ref="D109:K109" si="32">SUM(D102:D108)</f>
        <v>1200</v>
      </c>
      <c r="E109" s="76">
        <f t="shared" si="29"/>
        <v>0.46710769230769228</v>
      </c>
      <c r="F109" s="72">
        <f t="shared" si="32"/>
        <v>750.49</v>
      </c>
      <c r="G109" s="72">
        <f t="shared" si="32"/>
        <v>1408.3333333333333</v>
      </c>
      <c r="H109" s="72">
        <f t="shared" si="32"/>
        <v>1500</v>
      </c>
      <c r="I109" s="83">
        <f t="shared" si="32"/>
        <v>717.91</v>
      </c>
      <c r="J109" s="83">
        <f t="shared" si="32"/>
        <v>1209.33</v>
      </c>
      <c r="K109" s="83">
        <f t="shared" si="32"/>
        <v>1169.94</v>
      </c>
      <c r="L109" s="34"/>
    </row>
    <row r="110" spans="1:12" ht="15.75" customHeight="1" x14ac:dyDescent="0.2">
      <c r="E110" s="75"/>
      <c r="F110" s="71"/>
      <c r="G110" s="71"/>
      <c r="H110" s="71"/>
      <c r="I110" s="82"/>
      <c r="J110" s="82"/>
      <c r="K110" s="82"/>
    </row>
    <row r="111" spans="1:12" ht="12.75" x14ac:dyDescent="0.2">
      <c r="A111" s="31" t="s">
        <v>212</v>
      </c>
      <c r="B111" s="39">
        <v>5075</v>
      </c>
      <c r="C111" s="40" t="s">
        <v>92</v>
      </c>
      <c r="D111" s="90">
        <v>300</v>
      </c>
      <c r="E111" s="75">
        <f t="shared" ref="E111:E119" si="33">IF(G111=0,0,((G111-F111)/G111))</f>
        <v>-0.43304727272727278</v>
      </c>
      <c r="F111" s="70">
        <v>985.22</v>
      </c>
      <c r="G111" s="70">
        <f t="shared" ref="G111:G118" si="34">H111/12*11</f>
        <v>687.5</v>
      </c>
      <c r="H111" s="70">
        <v>750</v>
      </c>
      <c r="I111" s="82">
        <f>VLOOKUP(B111,'Old IS'!$A:$I,6,FALSE)</f>
        <v>75</v>
      </c>
      <c r="J111" s="82">
        <f>VLOOKUP(B111,'Old IS'!$A:$I,8,FALSE)</f>
        <v>1787.34</v>
      </c>
      <c r="K111" s="82">
        <f>VLOOKUP(B111,'Old IS'!$A:$I,9,FALSE)</f>
        <v>0</v>
      </c>
      <c r="L111" s="34"/>
    </row>
    <row r="112" spans="1:12" ht="12.75" x14ac:dyDescent="0.2">
      <c r="A112" s="31" t="s">
        <v>212</v>
      </c>
      <c r="B112" s="39">
        <v>5730.2</v>
      </c>
      <c r="C112" s="40" t="s">
        <v>93</v>
      </c>
      <c r="D112" s="90">
        <v>200</v>
      </c>
      <c r="E112" s="75">
        <f t="shared" si="33"/>
        <v>0.6576727272727273</v>
      </c>
      <c r="F112" s="70">
        <v>94.14</v>
      </c>
      <c r="G112" s="70">
        <f t="shared" si="34"/>
        <v>275</v>
      </c>
      <c r="H112" s="70">
        <v>300</v>
      </c>
      <c r="I112" s="82">
        <f>VLOOKUP(B112,'Old IS'!$A:$I,6,FALSE)</f>
        <v>64.95</v>
      </c>
      <c r="J112" s="82">
        <f>VLOOKUP(B112,'Old IS'!$A:$I,8,FALSE)</f>
        <v>621.4</v>
      </c>
      <c r="K112" s="82">
        <f>VLOOKUP(B112,'Old IS'!$A:$I,9,FALSE)</f>
        <v>141.06</v>
      </c>
      <c r="L112" s="34"/>
    </row>
    <row r="113" spans="1:12" ht="12.75" x14ac:dyDescent="0.2">
      <c r="A113" s="31" t="s">
        <v>212</v>
      </c>
      <c r="B113" s="39">
        <v>5730.5</v>
      </c>
      <c r="C113" s="40" t="s">
        <v>94</v>
      </c>
      <c r="D113" s="90">
        <v>100</v>
      </c>
      <c r="E113" s="75">
        <f t="shared" si="33"/>
        <v>1</v>
      </c>
      <c r="F113" s="70">
        <v>0</v>
      </c>
      <c r="G113" s="70">
        <f t="shared" si="34"/>
        <v>183.33333333333334</v>
      </c>
      <c r="H113" s="70">
        <v>200</v>
      </c>
      <c r="I113" s="82">
        <f>VLOOKUP(B113,'Old IS'!$A:$I,6,FALSE)</f>
        <v>0</v>
      </c>
      <c r="J113" s="82">
        <f>VLOOKUP(B113,'Old IS'!$A:$I,8,FALSE)</f>
        <v>0</v>
      </c>
      <c r="K113" s="82">
        <f>VLOOKUP(B113,'Old IS'!$A:$I,9,FALSE)</f>
        <v>0</v>
      </c>
      <c r="L113" s="34"/>
    </row>
    <row r="114" spans="1:12" ht="12.75" x14ac:dyDescent="0.2">
      <c r="A114" s="31" t="s">
        <v>212</v>
      </c>
      <c r="B114" s="39">
        <v>5730.1</v>
      </c>
      <c r="C114" s="40" t="s">
        <v>96</v>
      </c>
      <c r="D114" s="90">
        <v>400</v>
      </c>
      <c r="E114" s="75">
        <f t="shared" si="33"/>
        <v>-0.29832727272727277</v>
      </c>
      <c r="F114" s="70">
        <v>178.52</v>
      </c>
      <c r="G114" s="70">
        <f t="shared" si="34"/>
        <v>137.5</v>
      </c>
      <c r="H114" s="70">
        <v>150</v>
      </c>
      <c r="I114" s="82">
        <f>VLOOKUP(B114,'Old IS'!$A:$I,6,FALSE)</f>
        <v>0</v>
      </c>
      <c r="J114" s="82">
        <f>VLOOKUP(B114,'Old IS'!$A:$I,8,FALSE)</f>
        <v>0</v>
      </c>
      <c r="K114" s="82">
        <f>VLOOKUP(B114,'Old IS'!$A:$I,9,FALSE)</f>
        <v>41.46</v>
      </c>
      <c r="L114" s="34"/>
    </row>
    <row r="115" spans="1:12" ht="12.75" x14ac:dyDescent="0.2">
      <c r="A115" s="31" t="s">
        <v>212</v>
      </c>
      <c r="B115" s="39">
        <v>5730.4</v>
      </c>
      <c r="C115" s="40" t="s">
        <v>146</v>
      </c>
      <c r="D115" s="90">
        <v>0</v>
      </c>
      <c r="E115" s="75">
        <f t="shared" si="33"/>
        <v>0</v>
      </c>
      <c r="F115" s="70">
        <v>0</v>
      </c>
      <c r="G115" s="70">
        <f t="shared" si="34"/>
        <v>0</v>
      </c>
      <c r="H115" s="70">
        <v>0</v>
      </c>
      <c r="I115" s="82">
        <f>VLOOKUP(B115,'Old IS'!$A:$I,6,FALSE)</f>
        <v>0</v>
      </c>
      <c r="J115" s="82">
        <f>VLOOKUP(B115,'Old IS'!$A:$I,8,FALSE)</f>
        <v>0</v>
      </c>
      <c r="K115" s="82">
        <f>VLOOKUP(B115,'Old IS'!$A:$I,9,FALSE)</f>
        <v>0</v>
      </c>
      <c r="L115" s="34"/>
    </row>
    <row r="116" spans="1:12" ht="12.75" x14ac:dyDescent="0.2">
      <c r="A116" s="31" t="s">
        <v>212</v>
      </c>
      <c r="B116" s="39">
        <v>5425</v>
      </c>
      <c r="C116" s="40" t="s">
        <v>141</v>
      </c>
      <c r="D116" s="90">
        <v>0</v>
      </c>
      <c r="E116" s="75">
        <f t="shared" si="33"/>
        <v>0</v>
      </c>
      <c r="F116" s="70">
        <v>207.87</v>
      </c>
      <c r="G116" s="70">
        <f t="shared" si="34"/>
        <v>0</v>
      </c>
      <c r="H116" s="70">
        <v>0</v>
      </c>
      <c r="I116" s="82">
        <f>VLOOKUP(B116,'Old IS'!$A:$I,6,FALSE)</f>
        <v>73.61</v>
      </c>
      <c r="J116" s="82">
        <f>VLOOKUP(B116,'Old IS'!$A:$I,8,FALSE)</f>
        <v>220.5</v>
      </c>
      <c r="K116" s="82">
        <f>VLOOKUP(B116,'Old IS'!$A:$I,9,FALSE)</f>
        <v>198.93</v>
      </c>
      <c r="L116" s="34"/>
    </row>
    <row r="117" spans="1:12" ht="12.75" x14ac:dyDescent="0.2">
      <c r="A117" s="31" t="s">
        <v>212</v>
      </c>
      <c r="B117" s="39">
        <v>5840</v>
      </c>
      <c r="C117" s="40" t="s">
        <v>142</v>
      </c>
      <c r="D117" s="90">
        <v>0</v>
      </c>
      <c r="E117" s="75">
        <f t="shared" si="33"/>
        <v>0</v>
      </c>
      <c r="F117" s="70">
        <v>0</v>
      </c>
      <c r="G117" s="70">
        <f t="shared" si="34"/>
        <v>0</v>
      </c>
      <c r="H117" s="70">
        <v>0</v>
      </c>
      <c r="I117" s="82">
        <f>VLOOKUP(B117,'Old IS'!$A:$I,6,FALSE)</f>
        <v>0</v>
      </c>
      <c r="J117" s="82">
        <f>VLOOKUP(B117,'Old IS'!$A:$I,8,FALSE)</f>
        <v>0</v>
      </c>
      <c r="K117" s="82">
        <f>VLOOKUP(B117,'Old IS'!$A:$I,9,FALSE)</f>
        <v>0</v>
      </c>
    </row>
    <row r="118" spans="1:12" ht="12.75" x14ac:dyDescent="0.2">
      <c r="A118" s="31" t="s">
        <v>212</v>
      </c>
      <c r="B118" s="39">
        <v>5600</v>
      </c>
      <c r="C118" s="40" t="s">
        <v>143</v>
      </c>
      <c r="D118" s="90">
        <v>0</v>
      </c>
      <c r="E118" s="75">
        <f t="shared" si="33"/>
        <v>0</v>
      </c>
      <c r="F118" s="70">
        <v>1825</v>
      </c>
      <c r="G118" s="70">
        <f t="shared" si="34"/>
        <v>0</v>
      </c>
      <c r="H118" s="70">
        <v>0</v>
      </c>
      <c r="I118" s="82">
        <f>VLOOKUP(B118,'Old IS'!$A:$I,6,FALSE)</f>
        <v>0</v>
      </c>
      <c r="J118" s="82">
        <f>VLOOKUP(B118,'Old IS'!$A:$I,8,FALSE)</f>
        <v>400</v>
      </c>
      <c r="K118" s="82">
        <f>VLOOKUP(B118,'Old IS'!$A:$I,9,FALSE)</f>
        <v>0</v>
      </c>
      <c r="L118" s="34"/>
    </row>
    <row r="119" spans="1:12" ht="15" x14ac:dyDescent="0.25">
      <c r="B119" s="42" t="s">
        <v>90</v>
      </c>
      <c r="C119" s="43"/>
      <c r="D119" s="91">
        <f t="shared" ref="D119:K119" si="35">SUM(D111:D118)</f>
        <v>1000</v>
      </c>
      <c r="E119" s="76">
        <f t="shared" si="33"/>
        <v>-1.5642207792207794</v>
      </c>
      <c r="F119" s="72">
        <f t="shared" si="35"/>
        <v>3290.75</v>
      </c>
      <c r="G119" s="72">
        <f t="shared" si="35"/>
        <v>1283.3333333333333</v>
      </c>
      <c r="H119" s="72">
        <f t="shared" si="35"/>
        <v>1400</v>
      </c>
      <c r="I119" s="83">
        <f t="shared" si="35"/>
        <v>213.56</v>
      </c>
      <c r="J119" s="83">
        <f t="shared" si="35"/>
        <v>3029.24</v>
      </c>
      <c r="K119" s="83">
        <f t="shared" si="35"/>
        <v>381.45000000000005</v>
      </c>
      <c r="L119" s="34"/>
    </row>
    <row r="120" spans="1:12" ht="15.75" customHeight="1" x14ac:dyDescent="0.2">
      <c r="E120" s="75"/>
      <c r="F120" s="71"/>
      <c r="G120" s="71"/>
      <c r="H120" s="71"/>
      <c r="I120" s="82"/>
      <c r="J120" s="82"/>
      <c r="K120" s="82"/>
    </row>
    <row r="121" spans="1:12" ht="12.75" x14ac:dyDescent="0.2">
      <c r="A121" s="31" t="s">
        <v>213</v>
      </c>
      <c r="B121" s="39">
        <v>5350.1</v>
      </c>
      <c r="C121" s="40" t="s">
        <v>98</v>
      </c>
      <c r="D121" s="90">
        <v>725</v>
      </c>
      <c r="E121" s="75">
        <f t="shared" ref="E121:E127" si="36">IF(G121=0,0,((G121-F121)/G121))</f>
        <v>-0.81776363636363636</v>
      </c>
      <c r="F121" s="70">
        <v>999.77</v>
      </c>
      <c r="G121" s="70">
        <f t="shared" ref="G121" si="37">H121/12*11</f>
        <v>550</v>
      </c>
      <c r="H121" s="70">
        <v>600</v>
      </c>
      <c r="I121" s="82">
        <f>VLOOKUP(B121,'Old IS'!$A:$I,6,FALSE)</f>
        <v>143.94999999999999</v>
      </c>
      <c r="J121" s="82">
        <f>VLOOKUP(B121,'Old IS'!$A:$I,8,FALSE)</f>
        <v>552.49</v>
      </c>
      <c r="K121" s="82">
        <f>VLOOKUP(B121,'Old IS'!$A:$I,9,FALSE)</f>
        <v>128.08000000000001</v>
      </c>
      <c r="L121" s="34"/>
    </row>
    <row r="122" spans="1:12" ht="12.75" x14ac:dyDescent="0.2">
      <c r="A122" s="31" t="s">
        <v>213</v>
      </c>
      <c r="B122" s="39">
        <v>5350.2</v>
      </c>
      <c r="C122" s="40" t="s">
        <v>99</v>
      </c>
      <c r="D122" s="90">
        <v>350</v>
      </c>
      <c r="E122" s="75">
        <f t="shared" si="36"/>
        <v>1</v>
      </c>
      <c r="F122" s="70">
        <v>0</v>
      </c>
      <c r="G122" s="70">
        <f>H122</f>
        <v>350</v>
      </c>
      <c r="H122" s="70">
        <v>350</v>
      </c>
      <c r="I122" s="82">
        <f>VLOOKUP(B122,'Old IS'!$A:$I,6,FALSE)</f>
        <v>304.44</v>
      </c>
      <c r="J122" s="82">
        <f>VLOOKUP(B122,'Old IS'!$A:$I,8,FALSE)</f>
        <v>224.35</v>
      </c>
      <c r="K122" s="82">
        <f>VLOOKUP(B122,'Old IS'!$A:$I,9,FALSE)</f>
        <v>309.20999999999998</v>
      </c>
      <c r="L122" s="34"/>
    </row>
    <row r="123" spans="1:12" ht="12.75" x14ac:dyDescent="0.2">
      <c r="A123" s="31" t="s">
        <v>213</v>
      </c>
      <c r="B123" s="39">
        <v>5350.6</v>
      </c>
      <c r="C123" s="40" t="s">
        <v>100</v>
      </c>
      <c r="D123" s="90">
        <v>100</v>
      </c>
      <c r="E123" s="75">
        <f t="shared" si="36"/>
        <v>1</v>
      </c>
      <c r="F123" s="70">
        <v>0</v>
      </c>
      <c r="G123" s="70">
        <f>H123</f>
        <v>100</v>
      </c>
      <c r="H123" s="70">
        <v>100</v>
      </c>
      <c r="I123" s="82">
        <f>VLOOKUP(B123,'Old IS'!$A:$I,6,FALSE)</f>
        <v>0</v>
      </c>
      <c r="J123" s="82">
        <f>VLOOKUP(B123,'Old IS'!$A:$I,8,FALSE)</f>
        <v>1.08</v>
      </c>
      <c r="K123" s="82">
        <f>VLOOKUP(B123,'Old IS'!$A:$I,9,FALSE)</f>
        <v>91</v>
      </c>
      <c r="L123" s="34"/>
    </row>
    <row r="124" spans="1:12" ht="12.75" x14ac:dyDescent="0.2">
      <c r="A124" s="31" t="s">
        <v>215</v>
      </c>
      <c r="B124" s="39">
        <v>5350.4</v>
      </c>
      <c r="C124" s="40" t="s">
        <v>148</v>
      </c>
      <c r="D124" s="90">
        <v>175</v>
      </c>
      <c r="E124" s="75">
        <f t="shared" si="36"/>
        <v>0</v>
      </c>
      <c r="F124" s="70">
        <v>171.46</v>
      </c>
      <c r="G124" s="70">
        <f t="shared" ref="G124:G126" si="38">H124/12*11</f>
        <v>0</v>
      </c>
      <c r="H124" s="70">
        <v>0</v>
      </c>
      <c r="I124" s="82">
        <f>VLOOKUP(B124,'Old IS'!$A:$I,6,FALSE)</f>
        <v>0</v>
      </c>
      <c r="J124" s="82">
        <f>VLOOKUP(B124,'Old IS'!$A:$I,8,FALSE)</f>
        <v>49.91</v>
      </c>
      <c r="K124" s="82">
        <f>VLOOKUP(B124,'Old IS'!$A:$I,9,FALSE)</f>
        <v>87.25</v>
      </c>
      <c r="L124" s="34"/>
    </row>
    <row r="125" spans="1:12" ht="12.75" x14ac:dyDescent="0.2">
      <c r="A125" s="31" t="s">
        <v>213</v>
      </c>
      <c r="B125" s="39">
        <v>5950.2089999999998</v>
      </c>
      <c r="C125" s="40" t="s">
        <v>150</v>
      </c>
      <c r="D125" s="90">
        <v>0</v>
      </c>
      <c r="E125" s="75">
        <f t="shared" si="36"/>
        <v>0</v>
      </c>
      <c r="F125" s="70">
        <v>0</v>
      </c>
      <c r="G125" s="70">
        <f t="shared" si="38"/>
        <v>0</v>
      </c>
      <c r="H125" s="70">
        <v>0</v>
      </c>
      <c r="I125" s="82">
        <f>VLOOKUP(B125,'Old IS'!$A:$I,6,FALSE)</f>
        <v>0</v>
      </c>
      <c r="J125" s="82">
        <f>VLOOKUP(B125,'Old IS'!$A:$I,8,FALSE)</f>
        <v>0</v>
      </c>
      <c r="K125" s="82">
        <f>VLOOKUP(B125,'Old IS'!$A:$I,9,FALSE)</f>
        <v>0</v>
      </c>
      <c r="L125" s="34"/>
    </row>
    <row r="126" spans="1:12" ht="12.75" x14ac:dyDescent="0.2">
      <c r="A126" s="31" t="s">
        <v>213</v>
      </c>
      <c r="B126" s="39">
        <v>5360.2</v>
      </c>
      <c r="C126" s="40" t="s">
        <v>161</v>
      </c>
      <c r="D126" s="90">
        <v>0</v>
      </c>
      <c r="E126" s="75">
        <f t="shared" si="36"/>
        <v>0</v>
      </c>
      <c r="F126" s="70">
        <v>68.989999999999995</v>
      </c>
      <c r="G126" s="70">
        <f t="shared" si="38"/>
        <v>0</v>
      </c>
      <c r="H126" s="70">
        <v>0</v>
      </c>
      <c r="I126" s="82">
        <v>0</v>
      </c>
      <c r="J126" s="82">
        <v>0</v>
      </c>
      <c r="K126" s="82">
        <v>0</v>
      </c>
      <c r="L126" s="34"/>
    </row>
    <row r="127" spans="1:12" ht="15" x14ac:dyDescent="0.25">
      <c r="B127" s="42" t="s">
        <v>97</v>
      </c>
      <c r="C127" s="43"/>
      <c r="D127" s="91">
        <f t="shared" ref="D127:K127" si="39">SUM(D121:D126)</f>
        <v>1350</v>
      </c>
      <c r="E127" s="76">
        <f t="shared" si="36"/>
        <v>-0.24022000000000002</v>
      </c>
      <c r="F127" s="72">
        <f t="shared" si="39"/>
        <v>1240.22</v>
      </c>
      <c r="G127" s="72">
        <f t="shared" si="39"/>
        <v>1000</v>
      </c>
      <c r="H127" s="72">
        <f t="shared" si="39"/>
        <v>1050</v>
      </c>
      <c r="I127" s="83">
        <f t="shared" si="39"/>
        <v>448.39</v>
      </c>
      <c r="J127" s="83">
        <f t="shared" si="39"/>
        <v>827.83</v>
      </c>
      <c r="K127" s="83">
        <f t="shared" si="39"/>
        <v>615.54</v>
      </c>
      <c r="L127" s="34"/>
    </row>
    <row r="128" spans="1:12" ht="15.75" customHeight="1" x14ac:dyDescent="0.2">
      <c r="E128" s="75"/>
      <c r="F128" s="71"/>
      <c r="G128" s="71"/>
      <c r="H128" s="71"/>
      <c r="I128" s="82"/>
      <c r="J128" s="82"/>
      <c r="K128" s="82"/>
    </row>
    <row r="129" spans="1:12" ht="12.75" x14ac:dyDescent="0.2">
      <c r="A129" s="31" t="s">
        <v>214</v>
      </c>
      <c r="B129" s="39">
        <v>5210.6009999999997</v>
      </c>
      <c r="C129" s="40" t="s">
        <v>102</v>
      </c>
      <c r="D129" s="90">
        <v>1700</v>
      </c>
      <c r="E129" s="75">
        <f t="shared" ref="E129:E131" si="40">IF(G129=0,0,((G129-F129)/G129))</f>
        <v>0.25599999999999989</v>
      </c>
      <c r="F129" s="70">
        <v>1159.4000000000001</v>
      </c>
      <c r="G129" s="70">
        <f t="shared" ref="G129:G130" si="41">H129/12*11</f>
        <v>1558.3333333333333</v>
      </c>
      <c r="H129" s="70">
        <v>1700</v>
      </c>
      <c r="I129" s="82">
        <f>VLOOKUP(B129,'Old IS'!$A:$I,6,FALSE)</f>
        <v>1880</v>
      </c>
      <c r="J129" s="82">
        <f>VLOOKUP(B129,'Old IS'!$A:$I,8,FALSE)</f>
        <v>2214.7199999999998</v>
      </c>
      <c r="K129" s="82">
        <f>VLOOKUP(B129,'Old IS'!$A:$I,9,FALSE)</f>
        <v>2475.35</v>
      </c>
      <c r="L129" s="34"/>
    </row>
    <row r="130" spans="1:12" ht="12.75" x14ac:dyDescent="0.2">
      <c r="A130" s="31" t="s">
        <v>214</v>
      </c>
      <c r="B130" s="39">
        <v>5740.4139999999998</v>
      </c>
      <c r="C130" s="40" t="s">
        <v>19</v>
      </c>
      <c r="D130" s="90">
        <f>D19-D129</f>
        <v>1900</v>
      </c>
      <c r="E130" s="75">
        <f t="shared" si="40"/>
        <v>0.55226181818181819</v>
      </c>
      <c r="F130" s="70">
        <v>615.64</v>
      </c>
      <c r="G130" s="70">
        <f t="shared" si="41"/>
        <v>1375</v>
      </c>
      <c r="H130" s="70">
        <v>1500</v>
      </c>
      <c r="I130" s="82">
        <f>VLOOKUP(B130,'Old IS'!$A:$I,6,FALSE)</f>
        <v>1701.5</v>
      </c>
      <c r="J130" s="82">
        <f>VLOOKUP(B130,'Old IS'!$A:$I,8,FALSE)</f>
        <v>3237.5</v>
      </c>
      <c r="K130" s="82">
        <f>VLOOKUP(B130,'Old IS'!$A:$I,9,FALSE)</f>
        <v>1414.6</v>
      </c>
      <c r="L130" s="34"/>
    </row>
    <row r="131" spans="1:12" ht="15" x14ac:dyDescent="0.25">
      <c r="B131" s="42" t="s">
        <v>101</v>
      </c>
      <c r="C131" s="43"/>
      <c r="D131" s="91">
        <f t="shared" ref="D131:K131" si="42">SUM(D129:D130)</f>
        <v>3600</v>
      </c>
      <c r="E131" s="76">
        <f t="shared" si="40"/>
        <v>0.39487272727272721</v>
      </c>
      <c r="F131" s="72">
        <f t="shared" si="42"/>
        <v>1775.04</v>
      </c>
      <c r="G131" s="72">
        <f t="shared" si="42"/>
        <v>2933.333333333333</v>
      </c>
      <c r="H131" s="72">
        <f t="shared" si="42"/>
        <v>3200</v>
      </c>
      <c r="I131" s="83">
        <f t="shared" si="42"/>
        <v>3581.5</v>
      </c>
      <c r="J131" s="83">
        <f t="shared" si="42"/>
        <v>5452.2199999999993</v>
      </c>
      <c r="K131" s="83">
        <f t="shared" si="42"/>
        <v>3889.95</v>
      </c>
      <c r="L131" s="40" t="s">
        <v>20</v>
      </c>
    </row>
    <row r="132" spans="1:12" ht="15.75" customHeight="1" x14ac:dyDescent="0.2">
      <c r="E132" s="75"/>
      <c r="F132" s="71"/>
      <c r="G132" s="71"/>
      <c r="H132" s="71"/>
      <c r="I132" s="82"/>
      <c r="J132" s="82"/>
      <c r="K132" s="82"/>
    </row>
    <row r="133" spans="1:12" ht="12.75" x14ac:dyDescent="0.2">
      <c r="A133" s="31" t="s">
        <v>215</v>
      </c>
      <c r="B133" s="39">
        <v>5950.2020000000002</v>
      </c>
      <c r="C133" s="40" t="s">
        <v>23</v>
      </c>
      <c r="D133" s="90">
        <f>D23</f>
        <v>1400</v>
      </c>
      <c r="E133" s="75">
        <f t="shared" ref="E133:E137" si="43">IF(G133=0,0,((G133-F133)/G133))</f>
        <v>0.46298181818181816</v>
      </c>
      <c r="F133" s="70">
        <v>590.72</v>
      </c>
      <c r="G133" s="70">
        <f t="shared" ref="G133:G136" si="44">H133/12*11</f>
        <v>1100</v>
      </c>
      <c r="H133" s="70">
        <f>H23</f>
        <v>1200</v>
      </c>
      <c r="I133" s="82">
        <f>VLOOKUP(B133,'Old IS'!$A:$I,6,FALSE)</f>
        <v>686.14</v>
      </c>
      <c r="J133" s="82">
        <f>VLOOKUP(B133,'Old IS'!$A:$I,8,FALSE)</f>
        <v>4107.03</v>
      </c>
      <c r="K133" s="82">
        <f>VLOOKUP(B133,'Old IS'!$A:$I,9,FALSE)</f>
        <v>327.86</v>
      </c>
      <c r="L133" s="34"/>
    </row>
    <row r="134" spans="1:12" ht="12.75" x14ac:dyDescent="0.2">
      <c r="A134" s="31" t="s">
        <v>215</v>
      </c>
      <c r="B134" s="39">
        <v>5950.299</v>
      </c>
      <c r="C134" s="40" t="s">
        <v>24</v>
      </c>
      <c r="D134" s="90">
        <f>D24</f>
        <v>1000</v>
      </c>
      <c r="E134" s="75">
        <f t="shared" si="43"/>
        <v>0.55481678321678318</v>
      </c>
      <c r="F134" s="70">
        <v>530.51</v>
      </c>
      <c r="G134" s="70">
        <f t="shared" si="44"/>
        <v>1191.6666666666665</v>
      </c>
      <c r="H134" s="70">
        <f>H24</f>
        <v>1300</v>
      </c>
      <c r="I134" s="82">
        <f>VLOOKUP(B134,'Old IS'!$A:$I,6,FALSE)</f>
        <v>1811.82</v>
      </c>
      <c r="J134" s="82">
        <f>VLOOKUP(B134,'Old IS'!$A:$I,8,FALSE)</f>
        <v>768.9</v>
      </c>
      <c r="K134" s="82">
        <f>VLOOKUP(B134,'Old IS'!$A:$I,9,FALSE)</f>
        <v>579.48</v>
      </c>
      <c r="L134" s="34"/>
    </row>
    <row r="135" spans="1:12" ht="12.75" x14ac:dyDescent="0.2">
      <c r="A135" s="31" t="s">
        <v>215</v>
      </c>
      <c r="B135" s="39">
        <v>5954</v>
      </c>
      <c r="C135" s="40" t="s">
        <v>25</v>
      </c>
      <c r="D135" s="90">
        <v>0</v>
      </c>
      <c r="E135" s="75">
        <f t="shared" si="43"/>
        <v>1</v>
      </c>
      <c r="F135" s="70">
        <v>0</v>
      </c>
      <c r="G135" s="70">
        <f t="shared" si="44"/>
        <v>366.66666666666669</v>
      </c>
      <c r="H135" s="70">
        <f>H25</f>
        <v>400</v>
      </c>
      <c r="I135" s="82">
        <f>VLOOKUP(B135,'Old IS'!$A:$I,6,FALSE)</f>
        <v>62.91</v>
      </c>
      <c r="J135" s="82">
        <f>VLOOKUP(B135,'Old IS'!$A:$I,8,FALSE)</f>
        <v>651.57000000000005</v>
      </c>
      <c r="K135" s="82">
        <f>VLOOKUP(B135,'Old IS'!$A:$I,9,FALSE)</f>
        <v>1393.38</v>
      </c>
      <c r="L135" s="34"/>
    </row>
    <row r="136" spans="1:12" ht="12.75" x14ac:dyDescent="0.2">
      <c r="A136" s="31" t="s">
        <v>215</v>
      </c>
      <c r="B136" s="39">
        <v>5730.6</v>
      </c>
      <c r="C136" s="40" t="s">
        <v>153</v>
      </c>
      <c r="D136" s="90">
        <v>0</v>
      </c>
      <c r="E136" s="75">
        <f t="shared" si="43"/>
        <v>0</v>
      </c>
      <c r="F136" s="70">
        <v>0</v>
      </c>
      <c r="G136" s="70">
        <f t="shared" si="44"/>
        <v>0</v>
      </c>
      <c r="H136" s="70">
        <v>0</v>
      </c>
      <c r="I136" s="82">
        <f>VLOOKUP(B136,'Old IS'!$A:$I,6,FALSE)</f>
        <v>100</v>
      </c>
      <c r="J136" s="82">
        <f>VLOOKUP(B136,'Old IS'!$A:$I,8,FALSE)</f>
        <v>0</v>
      </c>
      <c r="K136" s="82">
        <f>VLOOKUP(B136,'Old IS'!$A:$I,9,FALSE)</f>
        <v>0</v>
      </c>
      <c r="L136" s="34"/>
    </row>
    <row r="137" spans="1:12" ht="15" x14ac:dyDescent="0.25">
      <c r="B137" s="42" t="s">
        <v>103</v>
      </c>
      <c r="C137" s="43"/>
      <c r="D137" s="91">
        <f t="shared" ref="D137:K137" si="45">SUM(D133:D136)</f>
        <v>2400</v>
      </c>
      <c r="E137" s="76">
        <f t="shared" si="43"/>
        <v>0.57822068965517237</v>
      </c>
      <c r="F137" s="72">
        <f t="shared" si="45"/>
        <v>1121.23</v>
      </c>
      <c r="G137" s="72">
        <f t="shared" si="45"/>
        <v>2658.333333333333</v>
      </c>
      <c r="H137" s="72">
        <f t="shared" si="45"/>
        <v>2900</v>
      </c>
      <c r="I137" s="83">
        <f t="shared" si="45"/>
        <v>2660.87</v>
      </c>
      <c r="J137" s="83">
        <f t="shared" si="45"/>
        <v>5527.4999999999991</v>
      </c>
      <c r="K137" s="83">
        <f t="shared" si="45"/>
        <v>2300.7200000000003</v>
      </c>
      <c r="L137" s="40" t="s">
        <v>20</v>
      </c>
    </row>
    <row r="138" spans="1:12" ht="15.75" customHeight="1" x14ac:dyDescent="0.2">
      <c r="E138" s="75"/>
      <c r="F138" s="71"/>
      <c r="G138" s="71"/>
      <c r="H138" s="71"/>
      <c r="I138" s="82"/>
      <c r="J138" s="82"/>
      <c r="K138" s="82"/>
    </row>
    <row r="139" spans="1:12" ht="12.75" x14ac:dyDescent="0.2">
      <c r="A139" s="31" t="s">
        <v>210</v>
      </c>
      <c r="B139" s="39">
        <v>5375</v>
      </c>
      <c r="C139" s="40" t="s">
        <v>155</v>
      </c>
      <c r="D139" s="90">
        <v>0</v>
      </c>
      <c r="E139" s="75">
        <f t="shared" ref="E139:E145" si="46">IF(G139=0,0,((G139-F139)/G139))</f>
        <v>0</v>
      </c>
      <c r="F139" s="70">
        <v>0</v>
      </c>
      <c r="G139" s="70">
        <f t="shared" ref="G139:G143" si="47">H139/12*11</f>
        <v>0</v>
      </c>
      <c r="H139" s="70">
        <v>0</v>
      </c>
      <c r="I139" s="82">
        <f>VLOOKUP(B139,'Old IS'!$A:$I,6,FALSE)</f>
        <v>0</v>
      </c>
      <c r="J139" s="82">
        <f>VLOOKUP(B139,'Old IS'!$A:$I,8,FALSE)</f>
        <v>0</v>
      </c>
      <c r="K139" s="82">
        <f>VLOOKUP(B139,'Old IS'!$A:$I,9,FALSE)</f>
        <v>128</v>
      </c>
      <c r="L139" s="34"/>
    </row>
    <row r="140" spans="1:12" ht="12.75" x14ac:dyDescent="0.2">
      <c r="A140" s="31" t="s">
        <v>210</v>
      </c>
      <c r="B140" s="39">
        <v>5020.1000000000004</v>
      </c>
      <c r="C140" s="40" t="s">
        <v>156</v>
      </c>
      <c r="D140" s="90">
        <v>0</v>
      </c>
      <c r="E140" s="75">
        <f t="shared" si="46"/>
        <v>0</v>
      </c>
      <c r="F140" s="70">
        <v>271</v>
      </c>
      <c r="G140" s="70">
        <f t="shared" si="47"/>
        <v>0</v>
      </c>
      <c r="H140" s="70">
        <v>0</v>
      </c>
      <c r="I140" s="82">
        <f>VLOOKUP(B140,'Old IS'!$A:$I,6,FALSE)</f>
        <v>411.63</v>
      </c>
      <c r="J140" s="82">
        <f>VLOOKUP(B140,'Old IS'!$A:$I,8,FALSE)</f>
        <v>172.96</v>
      </c>
      <c r="K140" s="82">
        <f>VLOOKUP(B140,'Old IS'!$A:$I,9,FALSE)</f>
        <v>300.35000000000002</v>
      </c>
      <c r="L140" s="34"/>
    </row>
    <row r="141" spans="1:12" ht="12.75" x14ac:dyDescent="0.2">
      <c r="A141" s="31" t="s">
        <v>210</v>
      </c>
      <c r="B141" s="39">
        <v>5450</v>
      </c>
      <c r="C141" s="40" t="s">
        <v>154</v>
      </c>
      <c r="D141" s="90">
        <v>0</v>
      </c>
      <c r="E141" s="75">
        <f t="shared" si="46"/>
        <v>0</v>
      </c>
      <c r="F141" s="70">
        <v>0</v>
      </c>
      <c r="G141" s="70">
        <f t="shared" si="47"/>
        <v>0</v>
      </c>
      <c r="H141" s="70">
        <v>0</v>
      </c>
      <c r="I141" s="82">
        <f>VLOOKUP(B141,'Old IS'!$A:$I,6,FALSE)</f>
        <v>0</v>
      </c>
      <c r="J141" s="82">
        <f>VLOOKUP(B141,'Old IS'!$A:$I,8,FALSE)</f>
        <v>0</v>
      </c>
      <c r="K141" s="82">
        <f>VLOOKUP(B141,'Old IS'!$A:$I,9,FALSE)</f>
        <v>309.36</v>
      </c>
      <c r="L141" s="34"/>
    </row>
    <row r="142" spans="1:12" ht="12.75" x14ac:dyDescent="0.2">
      <c r="A142" s="31" t="s">
        <v>210</v>
      </c>
      <c r="B142" s="39">
        <v>5950.51</v>
      </c>
      <c r="C142" s="40" t="s">
        <v>157</v>
      </c>
      <c r="D142" s="90">
        <v>0</v>
      </c>
      <c r="E142" s="75">
        <f t="shared" si="46"/>
        <v>0</v>
      </c>
      <c r="F142" s="70">
        <v>0</v>
      </c>
      <c r="G142" s="70">
        <f t="shared" si="47"/>
        <v>0</v>
      </c>
      <c r="H142" s="70">
        <v>0</v>
      </c>
      <c r="I142" s="82">
        <f>VLOOKUP(B142,'Old IS'!$A:$I,6,FALSE)</f>
        <v>0</v>
      </c>
      <c r="J142" s="82">
        <f>VLOOKUP(B142,'Old IS'!$A:$I,8,FALSE)</f>
        <v>0</v>
      </c>
      <c r="K142" s="82">
        <f>VLOOKUP(B142,'Old IS'!$A:$I,9,FALSE)</f>
        <v>0</v>
      </c>
      <c r="L142" s="34"/>
    </row>
    <row r="143" spans="1:12" ht="15" x14ac:dyDescent="0.25">
      <c r="B143" s="47" t="s">
        <v>154</v>
      </c>
      <c r="C143" s="48"/>
      <c r="D143" s="91">
        <f t="shared" ref="D143:K143" si="48">SUM(D139:D142)</f>
        <v>0</v>
      </c>
      <c r="E143" s="75">
        <f t="shared" si="46"/>
        <v>0</v>
      </c>
      <c r="F143" s="72">
        <f t="shared" si="48"/>
        <v>271</v>
      </c>
      <c r="G143" s="70">
        <f t="shared" si="47"/>
        <v>0</v>
      </c>
      <c r="H143" s="72">
        <f t="shared" si="48"/>
        <v>0</v>
      </c>
      <c r="I143" s="83">
        <f t="shared" si="48"/>
        <v>411.63</v>
      </c>
      <c r="J143" s="83">
        <f t="shared" si="48"/>
        <v>172.96</v>
      </c>
      <c r="K143" s="83">
        <f t="shared" si="48"/>
        <v>737.71</v>
      </c>
      <c r="L143" s="34"/>
    </row>
    <row r="144" spans="1:12" ht="15" x14ac:dyDescent="0.25">
      <c r="B144" s="47"/>
      <c r="C144" s="48"/>
      <c r="D144" s="94"/>
      <c r="E144" s="75"/>
      <c r="F144" s="72"/>
      <c r="G144" s="72"/>
      <c r="H144" s="72"/>
      <c r="I144" s="83"/>
      <c r="J144" s="83"/>
      <c r="K144" s="83"/>
      <c r="L144" s="34"/>
    </row>
    <row r="145" spans="2:12" s="78" customFormat="1" ht="18.75" x14ac:dyDescent="0.3">
      <c r="B145" s="35" t="s">
        <v>106</v>
      </c>
      <c r="C145" s="49"/>
      <c r="D145" s="93">
        <f t="shared" ref="D145:K145" si="49">D92+D85+D70+D52+D109+D100+D119+D127+D131+D137+D143</f>
        <v>123950</v>
      </c>
      <c r="E145" s="77">
        <f t="shared" si="46"/>
        <v>0.11436470514271325</v>
      </c>
      <c r="F145" s="73">
        <f t="shared" si="49"/>
        <v>84521.49</v>
      </c>
      <c r="G145" s="73">
        <f t="shared" si="49"/>
        <v>95435.999999999985</v>
      </c>
      <c r="H145" s="73">
        <f t="shared" si="49"/>
        <v>105712</v>
      </c>
      <c r="I145" s="84">
        <f t="shared" si="49"/>
        <v>109971.15000000001</v>
      </c>
      <c r="J145" s="84">
        <f t="shared" si="49"/>
        <v>125163.13000000002</v>
      </c>
      <c r="K145" s="84">
        <f t="shared" si="49"/>
        <v>133364.82999999999</v>
      </c>
      <c r="L145" s="49"/>
    </row>
    <row r="146" spans="2:12" ht="12.75" x14ac:dyDescent="0.2">
      <c r="E146" s="75"/>
      <c r="F146" s="71"/>
      <c r="G146" s="71"/>
      <c r="H146" s="71"/>
      <c r="I146" s="82"/>
      <c r="J146" s="82"/>
      <c r="K146" s="82"/>
      <c r="L146" s="34"/>
    </row>
    <row r="147" spans="2:12" ht="18.75" x14ac:dyDescent="0.3">
      <c r="B147" s="35" t="s">
        <v>107</v>
      </c>
      <c r="C147" s="49"/>
      <c r="D147" s="93">
        <f>D37-D145</f>
        <v>-6000</v>
      </c>
      <c r="E147" s="76">
        <f t="shared" ref="E147" si="50">IF(G147=0,0,((F147-G147)/G147))</f>
        <v>18.441186363636294</v>
      </c>
      <c r="F147" s="73">
        <f t="shared" ref="F147:K147" si="51">F37-F145</f>
        <v>28513.739999999991</v>
      </c>
      <c r="G147" s="73">
        <f t="shared" si="51"/>
        <v>1466.6666666666715</v>
      </c>
      <c r="H147" s="73">
        <f t="shared" si="51"/>
        <v>0</v>
      </c>
      <c r="I147" s="84">
        <f t="shared" si="51"/>
        <v>6967.0499999999884</v>
      </c>
      <c r="J147" s="84">
        <f t="shared" si="51"/>
        <v>9067.6899999999878</v>
      </c>
      <c r="K147" s="84">
        <f t="shared" si="51"/>
        <v>1113.8099999999977</v>
      </c>
      <c r="L147" s="34"/>
    </row>
    <row r="148" spans="2:12" ht="12.75" x14ac:dyDescent="0.2">
      <c r="E148" s="75"/>
      <c r="F148" s="71"/>
      <c r="G148" s="71"/>
      <c r="H148" s="71"/>
      <c r="I148" s="82"/>
      <c r="J148" s="82"/>
      <c r="K148" s="82"/>
      <c r="L148" s="34"/>
    </row>
    <row r="149" spans="2:12" ht="12.75" x14ac:dyDescent="0.2">
      <c r="E149" s="75"/>
      <c r="F149" s="71"/>
      <c r="G149" s="71"/>
      <c r="H149" s="71"/>
      <c r="I149" s="82"/>
      <c r="J149" s="82"/>
      <c r="K149" s="82"/>
      <c r="L149" s="34"/>
    </row>
    <row r="150" spans="2:12" ht="12.75" x14ac:dyDescent="0.2">
      <c r="E150" s="75"/>
      <c r="F150" s="71"/>
      <c r="G150" s="71"/>
      <c r="H150" s="71"/>
      <c r="I150" s="82"/>
      <c r="J150" s="82"/>
      <c r="K150" s="82"/>
      <c r="L150" s="34"/>
    </row>
    <row r="151" spans="2:12" ht="12.75" x14ac:dyDescent="0.2">
      <c r="E151" s="75"/>
      <c r="F151" s="71"/>
      <c r="G151" s="71"/>
      <c r="H151" s="71"/>
      <c r="I151" s="82"/>
      <c r="J151" s="82"/>
      <c r="K151" s="82"/>
      <c r="L151" s="34"/>
    </row>
    <row r="152" spans="2:12" ht="12.75" x14ac:dyDescent="0.2">
      <c r="E152" s="75"/>
      <c r="F152" s="71"/>
      <c r="G152" s="71"/>
      <c r="H152" s="71"/>
      <c r="I152" s="82"/>
      <c r="J152" s="82"/>
      <c r="K152" s="82"/>
      <c r="L152" s="34"/>
    </row>
    <row r="153" spans="2:12" ht="12.75" x14ac:dyDescent="0.2">
      <c r="E153" s="75"/>
      <c r="F153" s="71"/>
      <c r="G153" s="71"/>
      <c r="H153" s="71"/>
      <c r="I153" s="82"/>
      <c r="J153" s="82"/>
      <c r="K153" s="82"/>
      <c r="L153" s="34"/>
    </row>
    <row r="154" spans="2:12" ht="12.75" x14ac:dyDescent="0.2">
      <c r="E154" s="75"/>
      <c r="F154" s="71"/>
      <c r="G154" s="71"/>
      <c r="H154" s="71"/>
      <c r="I154" s="82"/>
      <c r="J154" s="82"/>
      <c r="K154" s="82"/>
      <c r="L154" s="34"/>
    </row>
    <row r="155" spans="2:12" ht="12.75" x14ac:dyDescent="0.2">
      <c r="E155" s="75"/>
      <c r="F155" s="71"/>
      <c r="G155" s="71"/>
      <c r="H155" s="71"/>
      <c r="I155" s="82"/>
      <c r="J155" s="82"/>
      <c r="K155" s="82"/>
      <c r="L155" s="34"/>
    </row>
    <row r="156" spans="2:12" ht="12.75" x14ac:dyDescent="0.2">
      <c r="E156" s="75"/>
      <c r="F156" s="71"/>
      <c r="G156" s="71"/>
      <c r="H156" s="71"/>
      <c r="I156" s="82"/>
      <c r="J156" s="82"/>
      <c r="K156" s="82"/>
      <c r="L156" s="34"/>
    </row>
    <row r="157" spans="2:12" ht="12.75" x14ac:dyDescent="0.2">
      <c r="E157" s="75"/>
      <c r="F157" s="71"/>
      <c r="G157" s="71"/>
      <c r="H157" s="71"/>
      <c r="I157" s="82"/>
      <c r="J157" s="82"/>
      <c r="K157" s="82"/>
      <c r="L157" s="34"/>
    </row>
    <row r="158" spans="2:12" ht="12.75" x14ac:dyDescent="0.2">
      <c r="E158" s="75"/>
      <c r="F158" s="71"/>
      <c r="G158" s="71"/>
      <c r="H158" s="71"/>
      <c r="I158" s="82"/>
      <c r="J158" s="82"/>
      <c r="K158" s="82"/>
      <c r="L158" s="34"/>
    </row>
    <row r="159" spans="2:12" ht="12.75" x14ac:dyDescent="0.2">
      <c r="E159" s="75"/>
      <c r="F159" s="71"/>
      <c r="G159" s="71"/>
      <c r="H159" s="71"/>
      <c r="I159" s="82"/>
      <c r="J159" s="82"/>
      <c r="K159" s="82"/>
      <c r="L159" s="34"/>
    </row>
    <row r="160" spans="2:12" ht="12.75" x14ac:dyDescent="0.2">
      <c r="E160" s="75"/>
      <c r="F160" s="71"/>
      <c r="G160" s="71"/>
      <c r="H160" s="71"/>
      <c r="I160" s="82"/>
      <c r="J160" s="82"/>
      <c r="K160" s="82"/>
      <c r="L160" s="34"/>
    </row>
    <row r="161" spans="5:12" ht="12.75" x14ac:dyDescent="0.2">
      <c r="E161" s="75"/>
      <c r="F161" s="71"/>
      <c r="G161" s="71"/>
      <c r="H161" s="71"/>
      <c r="I161" s="82"/>
      <c r="J161" s="82"/>
      <c r="K161" s="82"/>
      <c r="L161" s="34"/>
    </row>
    <row r="162" spans="5:12" ht="12.75" x14ac:dyDescent="0.2">
      <c r="E162" s="75"/>
      <c r="F162" s="71"/>
      <c r="G162" s="71"/>
      <c r="H162" s="71"/>
      <c r="I162" s="82"/>
      <c r="J162" s="82"/>
      <c r="K162" s="82"/>
      <c r="L162" s="34"/>
    </row>
    <row r="163" spans="5:12" ht="12.75" x14ac:dyDescent="0.2">
      <c r="E163" s="75"/>
      <c r="F163" s="71"/>
      <c r="G163" s="71"/>
      <c r="H163" s="71"/>
      <c r="I163" s="82"/>
      <c r="J163" s="82"/>
      <c r="K163" s="82"/>
      <c r="L163" s="34"/>
    </row>
    <row r="164" spans="5:12" ht="12.75" x14ac:dyDescent="0.2">
      <c r="E164" s="75"/>
      <c r="F164" s="71"/>
      <c r="G164" s="71"/>
      <c r="H164" s="71"/>
      <c r="I164" s="82"/>
      <c r="J164" s="82"/>
      <c r="K164" s="82"/>
      <c r="L164" s="34"/>
    </row>
    <row r="165" spans="5:12" ht="12.75" x14ac:dyDescent="0.2">
      <c r="E165" s="75"/>
      <c r="F165" s="71"/>
      <c r="G165" s="71"/>
      <c r="H165" s="71"/>
      <c r="I165" s="82"/>
      <c r="J165" s="82"/>
      <c r="K165" s="82"/>
      <c r="L165" s="34"/>
    </row>
    <row r="166" spans="5:12" ht="12.75" x14ac:dyDescent="0.2">
      <c r="E166" s="75"/>
      <c r="F166" s="71"/>
      <c r="G166" s="71"/>
      <c r="H166" s="71"/>
      <c r="I166" s="82"/>
      <c r="J166" s="82"/>
      <c r="K166" s="82"/>
      <c r="L166" s="34"/>
    </row>
    <row r="167" spans="5:12" ht="12.75" x14ac:dyDescent="0.2">
      <c r="E167" s="75"/>
      <c r="F167" s="71"/>
      <c r="G167" s="71"/>
      <c r="H167" s="71"/>
      <c r="I167" s="82"/>
      <c r="J167" s="82"/>
      <c r="K167" s="82"/>
      <c r="L167" s="34"/>
    </row>
    <row r="168" spans="5:12" ht="12.75" x14ac:dyDescent="0.2">
      <c r="E168" s="75"/>
      <c r="F168" s="71"/>
      <c r="G168" s="71"/>
      <c r="H168" s="71"/>
      <c r="I168" s="82"/>
      <c r="J168" s="82"/>
      <c r="K168" s="82"/>
      <c r="L168" s="34"/>
    </row>
    <row r="169" spans="5:12" ht="12.75" x14ac:dyDescent="0.2">
      <c r="E169" s="75"/>
      <c r="F169" s="71"/>
      <c r="G169" s="71"/>
      <c r="H169" s="71"/>
      <c r="I169" s="82"/>
      <c r="J169" s="82"/>
      <c r="K169" s="82"/>
      <c r="L169" s="34"/>
    </row>
    <row r="170" spans="5:12" ht="12.75" x14ac:dyDescent="0.2">
      <c r="E170" s="75"/>
      <c r="F170" s="71"/>
      <c r="G170" s="71"/>
      <c r="H170" s="71"/>
      <c r="I170" s="82"/>
      <c r="J170" s="82"/>
      <c r="K170" s="82"/>
      <c r="L170" s="34"/>
    </row>
    <row r="171" spans="5:12" ht="12.75" x14ac:dyDescent="0.2">
      <c r="E171" s="75"/>
      <c r="F171" s="71"/>
      <c r="G171" s="71"/>
      <c r="H171" s="71"/>
      <c r="I171" s="82"/>
      <c r="J171" s="82"/>
      <c r="K171" s="82"/>
      <c r="L171" s="34"/>
    </row>
    <row r="172" spans="5:12" ht="12.75" x14ac:dyDescent="0.2">
      <c r="E172" s="75"/>
      <c r="F172" s="71"/>
      <c r="G172" s="71"/>
      <c r="H172" s="71"/>
      <c r="I172" s="82"/>
      <c r="J172" s="82"/>
      <c r="K172" s="82"/>
      <c r="L172" s="34"/>
    </row>
    <row r="173" spans="5:12" ht="12.75" x14ac:dyDescent="0.2">
      <c r="E173" s="75"/>
      <c r="F173" s="71"/>
      <c r="G173" s="71"/>
      <c r="H173" s="71"/>
      <c r="I173" s="82"/>
      <c r="J173" s="82"/>
      <c r="K173" s="82"/>
      <c r="L173" s="34"/>
    </row>
    <row r="174" spans="5:12" ht="12.75" x14ac:dyDescent="0.2">
      <c r="E174" s="75"/>
      <c r="F174" s="71"/>
      <c r="G174" s="71"/>
      <c r="H174" s="71"/>
      <c r="I174" s="82"/>
      <c r="J174" s="82"/>
      <c r="K174" s="82"/>
      <c r="L174" s="34"/>
    </row>
    <row r="175" spans="5:12" ht="12.75" x14ac:dyDescent="0.2">
      <c r="E175" s="75"/>
      <c r="F175" s="71"/>
      <c r="G175" s="71"/>
      <c r="H175" s="71"/>
      <c r="I175" s="82"/>
      <c r="J175" s="82"/>
      <c r="K175" s="82"/>
      <c r="L175" s="34"/>
    </row>
    <row r="176" spans="5:12" ht="12.75" x14ac:dyDescent="0.2">
      <c r="E176" s="75"/>
      <c r="F176" s="71"/>
      <c r="G176" s="71"/>
      <c r="H176" s="71"/>
      <c r="I176" s="82"/>
      <c r="J176" s="82"/>
      <c r="K176" s="82"/>
      <c r="L176" s="34"/>
    </row>
    <row r="177" spans="5:12" ht="12.75" x14ac:dyDescent="0.2">
      <c r="E177" s="75"/>
      <c r="F177" s="71"/>
      <c r="G177" s="71"/>
      <c r="H177" s="71"/>
      <c r="I177" s="82"/>
      <c r="J177" s="82"/>
      <c r="K177" s="82"/>
      <c r="L177" s="34"/>
    </row>
    <row r="178" spans="5:12" ht="12.75" x14ac:dyDescent="0.2">
      <c r="E178" s="75"/>
      <c r="F178" s="71"/>
      <c r="G178" s="71"/>
      <c r="H178" s="71"/>
      <c r="I178" s="82"/>
      <c r="J178" s="82"/>
      <c r="K178" s="82"/>
      <c r="L178" s="34"/>
    </row>
    <row r="179" spans="5:12" ht="12.75" x14ac:dyDescent="0.2">
      <c r="E179" s="75"/>
      <c r="F179" s="71"/>
      <c r="G179" s="71"/>
      <c r="H179" s="71"/>
      <c r="I179" s="82"/>
      <c r="J179" s="82"/>
      <c r="K179" s="82"/>
      <c r="L179" s="34"/>
    </row>
    <row r="180" spans="5:12" ht="12.75" x14ac:dyDescent="0.2">
      <c r="E180" s="75"/>
      <c r="F180" s="71"/>
      <c r="G180" s="71"/>
      <c r="H180" s="71"/>
      <c r="I180" s="82"/>
      <c r="J180" s="82"/>
      <c r="K180" s="82"/>
      <c r="L180" s="34"/>
    </row>
    <row r="181" spans="5:12" ht="12.75" x14ac:dyDescent="0.2">
      <c r="E181" s="75"/>
      <c r="F181" s="71"/>
      <c r="G181" s="71"/>
      <c r="H181" s="71"/>
      <c r="I181" s="82"/>
      <c r="J181" s="82"/>
      <c r="K181" s="82"/>
      <c r="L181" s="34"/>
    </row>
    <row r="182" spans="5:12" ht="12.75" x14ac:dyDescent="0.2">
      <c r="E182" s="75"/>
      <c r="F182" s="71"/>
      <c r="G182" s="71"/>
      <c r="H182" s="71"/>
      <c r="I182" s="82"/>
      <c r="J182" s="82"/>
      <c r="K182" s="82"/>
      <c r="L182" s="34"/>
    </row>
    <row r="183" spans="5:12" ht="12.75" x14ac:dyDescent="0.2">
      <c r="E183" s="75"/>
      <c r="F183" s="71"/>
      <c r="G183" s="71"/>
      <c r="L183" s="34"/>
    </row>
    <row r="184" spans="5:12" ht="12.75" x14ac:dyDescent="0.2">
      <c r="E184" s="75"/>
      <c r="F184" s="71"/>
      <c r="G184" s="71"/>
      <c r="L184" s="34"/>
    </row>
    <row r="185" spans="5:12" ht="12.75" x14ac:dyDescent="0.2">
      <c r="E185" s="75"/>
      <c r="F185" s="71"/>
      <c r="G185" s="71"/>
      <c r="L185" s="34"/>
    </row>
    <row r="186" spans="5:12" ht="12.75" x14ac:dyDescent="0.2">
      <c r="E186" s="75"/>
      <c r="F186" s="71"/>
      <c r="G186" s="71"/>
      <c r="L186" s="34"/>
    </row>
    <row r="187" spans="5:12" ht="12.75" x14ac:dyDescent="0.2">
      <c r="E187" s="75"/>
      <c r="F187" s="71"/>
      <c r="G187" s="71"/>
      <c r="L187" s="34"/>
    </row>
    <row r="188" spans="5:12" ht="12.75" x14ac:dyDescent="0.2">
      <c r="E188" s="75"/>
      <c r="F188" s="71"/>
      <c r="G188" s="71"/>
      <c r="L188" s="34"/>
    </row>
    <row r="189" spans="5:12" ht="12.75" x14ac:dyDescent="0.2">
      <c r="E189" s="75"/>
      <c r="F189" s="71"/>
      <c r="G189" s="71"/>
      <c r="L189" s="34"/>
    </row>
    <row r="190" spans="5:12" ht="12.75" x14ac:dyDescent="0.2">
      <c r="E190" s="75"/>
      <c r="F190" s="71"/>
      <c r="G190" s="71"/>
      <c r="L190" s="34"/>
    </row>
    <row r="191" spans="5:12" ht="12.75" x14ac:dyDescent="0.2">
      <c r="E191" s="75"/>
      <c r="F191" s="71"/>
      <c r="G191" s="71"/>
      <c r="L191" s="34"/>
    </row>
    <row r="192" spans="5:12" ht="12.75" x14ac:dyDescent="0.2">
      <c r="E192" s="75"/>
      <c r="F192" s="71"/>
      <c r="G192" s="71"/>
      <c r="L192" s="34"/>
    </row>
    <row r="193" spans="5:12" ht="12.75" x14ac:dyDescent="0.2">
      <c r="E193" s="75"/>
      <c r="F193" s="71"/>
      <c r="G193" s="71"/>
      <c r="L193" s="34"/>
    </row>
    <row r="194" spans="5:12" ht="12.75" x14ac:dyDescent="0.2">
      <c r="E194" s="75"/>
      <c r="F194" s="71"/>
      <c r="G194" s="71"/>
      <c r="L194" s="34"/>
    </row>
    <row r="195" spans="5:12" ht="12.75" x14ac:dyDescent="0.2">
      <c r="E195" s="75"/>
      <c r="F195" s="71"/>
      <c r="G195" s="71"/>
      <c r="L195" s="34"/>
    </row>
    <row r="196" spans="5:12" ht="12.75" x14ac:dyDescent="0.2">
      <c r="E196" s="75"/>
      <c r="F196" s="71"/>
      <c r="G196" s="71"/>
      <c r="L196" s="34"/>
    </row>
    <row r="197" spans="5:12" ht="12.75" x14ac:dyDescent="0.2">
      <c r="E197" s="75"/>
      <c r="F197" s="71"/>
      <c r="G197" s="71"/>
      <c r="L197" s="34"/>
    </row>
    <row r="198" spans="5:12" ht="12.75" x14ac:dyDescent="0.2">
      <c r="E198" s="75"/>
      <c r="F198" s="71"/>
      <c r="G198" s="71"/>
      <c r="L198" s="34"/>
    </row>
    <row r="199" spans="5:12" ht="12.75" x14ac:dyDescent="0.2">
      <c r="E199" s="75"/>
      <c r="F199" s="71"/>
      <c r="G199" s="71"/>
      <c r="L199" s="34"/>
    </row>
    <row r="200" spans="5:12" ht="12.75" x14ac:dyDescent="0.2">
      <c r="E200" s="75"/>
      <c r="F200" s="71"/>
      <c r="G200" s="71"/>
      <c r="L200" s="34"/>
    </row>
    <row r="201" spans="5:12" ht="12.75" x14ac:dyDescent="0.2">
      <c r="E201" s="75"/>
      <c r="F201" s="71"/>
      <c r="G201" s="71"/>
      <c r="L201" s="34"/>
    </row>
    <row r="202" spans="5:12" ht="12.75" x14ac:dyDescent="0.2">
      <c r="E202" s="75"/>
      <c r="F202" s="71"/>
      <c r="G202" s="71"/>
      <c r="L202" s="34"/>
    </row>
    <row r="203" spans="5:12" ht="12.75" x14ac:dyDescent="0.2">
      <c r="E203" s="75"/>
      <c r="F203" s="71"/>
      <c r="G203" s="71"/>
      <c r="L203" s="34"/>
    </row>
    <row r="204" spans="5:12" ht="12.75" x14ac:dyDescent="0.2">
      <c r="E204" s="75"/>
      <c r="F204" s="71"/>
      <c r="G204" s="71"/>
      <c r="L204" s="34"/>
    </row>
    <row r="205" spans="5:12" ht="12.75" x14ac:dyDescent="0.2">
      <c r="E205" s="75"/>
      <c r="F205" s="71"/>
      <c r="G205" s="71"/>
      <c r="L205" s="34"/>
    </row>
    <row r="206" spans="5:12" ht="12.75" x14ac:dyDescent="0.2">
      <c r="E206" s="75"/>
      <c r="F206" s="71"/>
      <c r="G206" s="71"/>
      <c r="L206" s="34"/>
    </row>
    <row r="207" spans="5:12" ht="12.75" x14ac:dyDescent="0.2">
      <c r="E207" s="75"/>
      <c r="F207" s="71"/>
      <c r="G207" s="71"/>
      <c r="L207" s="34"/>
    </row>
    <row r="208" spans="5:12" ht="12.75" x14ac:dyDescent="0.2">
      <c r="E208" s="75"/>
      <c r="F208" s="71"/>
      <c r="G208" s="71"/>
      <c r="L208" s="34"/>
    </row>
    <row r="209" spans="5:12" ht="12.75" x14ac:dyDescent="0.2">
      <c r="E209" s="75"/>
      <c r="F209" s="71"/>
      <c r="G209" s="71"/>
      <c r="L209" s="34"/>
    </row>
    <row r="210" spans="5:12" ht="12.75" x14ac:dyDescent="0.2">
      <c r="E210" s="75"/>
      <c r="F210" s="71"/>
      <c r="G210" s="71"/>
      <c r="L210" s="34"/>
    </row>
    <row r="211" spans="5:12" ht="12.75" x14ac:dyDescent="0.2">
      <c r="E211" s="75"/>
      <c r="F211" s="71"/>
      <c r="G211" s="71"/>
      <c r="L211" s="34"/>
    </row>
    <row r="212" spans="5:12" ht="12.75" x14ac:dyDescent="0.2">
      <c r="E212" s="75"/>
      <c r="F212" s="71"/>
      <c r="G212" s="71"/>
      <c r="L212" s="34"/>
    </row>
    <row r="213" spans="5:12" ht="12.75" x14ac:dyDescent="0.2">
      <c r="E213" s="75"/>
      <c r="F213" s="71"/>
      <c r="G213" s="71"/>
      <c r="L213" s="34"/>
    </row>
    <row r="214" spans="5:12" ht="12.75" x14ac:dyDescent="0.2">
      <c r="E214" s="75"/>
      <c r="F214" s="71"/>
      <c r="G214" s="71"/>
      <c r="L214" s="34"/>
    </row>
    <row r="215" spans="5:12" ht="12.75" x14ac:dyDescent="0.2">
      <c r="E215" s="75"/>
      <c r="F215" s="71"/>
      <c r="G215" s="71"/>
      <c r="L215" s="34"/>
    </row>
    <row r="216" spans="5:12" ht="12.75" x14ac:dyDescent="0.2">
      <c r="E216" s="75"/>
      <c r="F216" s="71"/>
      <c r="G216" s="71"/>
      <c r="L216" s="34"/>
    </row>
    <row r="217" spans="5:12" ht="12.75" x14ac:dyDescent="0.2">
      <c r="E217" s="75"/>
      <c r="F217" s="71"/>
      <c r="G217" s="71"/>
      <c r="L217" s="34"/>
    </row>
    <row r="218" spans="5:12" ht="12.75" x14ac:dyDescent="0.2">
      <c r="E218" s="75"/>
      <c r="F218" s="71"/>
      <c r="G218" s="71"/>
      <c r="L218" s="34"/>
    </row>
    <row r="219" spans="5:12" ht="12.75" x14ac:dyDescent="0.2">
      <c r="E219" s="75"/>
      <c r="F219" s="71"/>
      <c r="G219" s="71"/>
      <c r="L219" s="34"/>
    </row>
    <row r="220" spans="5:12" ht="12.75" x14ac:dyDescent="0.2">
      <c r="E220" s="75"/>
      <c r="F220" s="71"/>
      <c r="G220" s="71"/>
      <c r="L220" s="34"/>
    </row>
    <row r="221" spans="5:12" ht="12.75" x14ac:dyDescent="0.2">
      <c r="E221" s="75"/>
      <c r="F221" s="71"/>
      <c r="G221" s="71"/>
      <c r="L221" s="34"/>
    </row>
    <row r="222" spans="5:12" ht="12.75" x14ac:dyDescent="0.2">
      <c r="E222" s="75"/>
      <c r="F222" s="71"/>
      <c r="G222" s="71"/>
      <c r="L222" s="34"/>
    </row>
    <row r="223" spans="5:12" ht="12.75" x14ac:dyDescent="0.2">
      <c r="E223" s="75"/>
      <c r="F223" s="71"/>
      <c r="G223" s="71"/>
      <c r="L223" s="34"/>
    </row>
    <row r="224" spans="5:12" ht="12.75" x14ac:dyDescent="0.2">
      <c r="E224" s="75"/>
      <c r="F224" s="71"/>
      <c r="G224" s="71"/>
      <c r="L224" s="34"/>
    </row>
    <row r="225" spans="5:12" ht="12.75" x14ac:dyDescent="0.2">
      <c r="E225" s="75"/>
      <c r="F225" s="71"/>
      <c r="G225" s="71"/>
      <c r="L225" s="34"/>
    </row>
    <row r="226" spans="5:12" ht="12.75" x14ac:dyDescent="0.2">
      <c r="E226" s="75"/>
      <c r="F226" s="71"/>
      <c r="G226" s="71"/>
      <c r="L226" s="34"/>
    </row>
    <row r="227" spans="5:12" ht="12.75" x14ac:dyDescent="0.2">
      <c r="E227" s="75"/>
      <c r="F227" s="71"/>
      <c r="G227" s="71"/>
      <c r="L227" s="34"/>
    </row>
    <row r="228" spans="5:12" ht="12.75" x14ac:dyDescent="0.2">
      <c r="E228" s="75"/>
      <c r="F228" s="71"/>
      <c r="G228" s="71"/>
      <c r="L228" s="34"/>
    </row>
    <row r="229" spans="5:12" ht="12.75" x14ac:dyDescent="0.2">
      <c r="E229" s="75"/>
      <c r="F229" s="71"/>
      <c r="G229" s="71"/>
      <c r="L229" s="34"/>
    </row>
    <row r="230" spans="5:12" ht="12.75" x14ac:dyDescent="0.2">
      <c r="E230" s="75"/>
      <c r="F230" s="71"/>
      <c r="G230" s="71"/>
      <c r="L230" s="34"/>
    </row>
    <row r="231" spans="5:12" ht="12.75" x14ac:dyDescent="0.2">
      <c r="E231" s="75"/>
      <c r="F231" s="71"/>
      <c r="G231" s="71"/>
      <c r="L231" s="34"/>
    </row>
    <row r="232" spans="5:12" ht="12.75" x14ac:dyDescent="0.2">
      <c r="E232" s="75"/>
      <c r="F232" s="71"/>
      <c r="G232" s="71"/>
      <c r="L232" s="34"/>
    </row>
    <row r="233" spans="5:12" ht="12.75" x14ac:dyDescent="0.2">
      <c r="E233" s="75"/>
      <c r="F233" s="71"/>
      <c r="G233" s="71"/>
      <c r="L233" s="34"/>
    </row>
    <row r="234" spans="5:12" ht="12.75" x14ac:dyDescent="0.2">
      <c r="E234" s="75"/>
      <c r="F234" s="71"/>
      <c r="G234" s="71"/>
      <c r="L234" s="34"/>
    </row>
    <row r="235" spans="5:12" ht="12.75" x14ac:dyDescent="0.2">
      <c r="E235" s="75"/>
      <c r="F235" s="71"/>
      <c r="G235" s="71"/>
      <c r="L235" s="34"/>
    </row>
    <row r="236" spans="5:12" ht="12.75" x14ac:dyDescent="0.2">
      <c r="E236" s="75"/>
      <c r="F236" s="71"/>
      <c r="G236" s="71"/>
      <c r="L236" s="34"/>
    </row>
    <row r="237" spans="5:12" ht="12.75" x14ac:dyDescent="0.2">
      <c r="E237" s="75"/>
      <c r="F237" s="71"/>
      <c r="G237" s="71"/>
      <c r="L237" s="34"/>
    </row>
    <row r="238" spans="5:12" ht="12.75" x14ac:dyDescent="0.2">
      <c r="E238" s="75"/>
      <c r="F238" s="71"/>
      <c r="G238" s="71"/>
      <c r="L238" s="34"/>
    </row>
    <row r="239" spans="5:12" ht="12.75" x14ac:dyDescent="0.2">
      <c r="E239" s="75"/>
      <c r="F239" s="71"/>
      <c r="G239" s="71"/>
      <c r="L239" s="34"/>
    </row>
    <row r="240" spans="5:12" ht="12.75" x14ac:dyDescent="0.2">
      <c r="E240" s="75"/>
      <c r="F240" s="71"/>
      <c r="G240" s="71"/>
      <c r="L240" s="34"/>
    </row>
    <row r="241" spans="5:12" ht="12.75" x14ac:dyDescent="0.2">
      <c r="E241" s="75"/>
      <c r="F241" s="71"/>
      <c r="G241" s="71"/>
      <c r="L241" s="34"/>
    </row>
    <row r="242" spans="5:12" ht="12.75" x14ac:dyDescent="0.2">
      <c r="E242" s="75"/>
      <c r="F242" s="71"/>
      <c r="G242" s="71"/>
      <c r="L242" s="34"/>
    </row>
    <row r="243" spans="5:12" ht="12.75" x14ac:dyDescent="0.2">
      <c r="E243" s="75"/>
      <c r="F243" s="71"/>
      <c r="G243" s="71"/>
      <c r="L243" s="34"/>
    </row>
    <row r="244" spans="5:12" ht="12.75" x14ac:dyDescent="0.2">
      <c r="E244" s="75"/>
      <c r="F244" s="71"/>
      <c r="G244" s="71"/>
      <c r="L244" s="34"/>
    </row>
    <row r="245" spans="5:12" ht="12.75" x14ac:dyDescent="0.2">
      <c r="E245" s="75"/>
      <c r="F245" s="71"/>
      <c r="G245" s="71"/>
      <c r="L245" s="34"/>
    </row>
    <row r="246" spans="5:12" ht="12.75" x14ac:dyDescent="0.2">
      <c r="E246" s="75"/>
      <c r="F246" s="71"/>
      <c r="G246" s="71"/>
      <c r="L246" s="34"/>
    </row>
    <row r="247" spans="5:12" ht="12.75" x14ac:dyDescent="0.2">
      <c r="E247" s="75"/>
      <c r="F247" s="71"/>
      <c r="G247" s="71"/>
      <c r="L247" s="34"/>
    </row>
    <row r="248" spans="5:12" ht="12.75" x14ac:dyDescent="0.2">
      <c r="E248" s="75"/>
      <c r="F248" s="71"/>
      <c r="G248" s="71"/>
      <c r="L248" s="34"/>
    </row>
    <row r="249" spans="5:12" ht="12.75" x14ac:dyDescent="0.2">
      <c r="E249" s="75"/>
      <c r="F249" s="71"/>
      <c r="G249" s="71"/>
      <c r="L249" s="34"/>
    </row>
    <row r="250" spans="5:12" ht="12.75" x14ac:dyDescent="0.2">
      <c r="E250" s="75"/>
      <c r="F250" s="71"/>
      <c r="G250" s="71"/>
      <c r="L250" s="34"/>
    </row>
    <row r="251" spans="5:12" ht="12.75" x14ac:dyDescent="0.2">
      <c r="E251" s="75"/>
      <c r="F251" s="71"/>
      <c r="G251" s="71"/>
      <c r="L251" s="34"/>
    </row>
    <row r="252" spans="5:12" ht="12.75" x14ac:dyDescent="0.2">
      <c r="E252" s="75"/>
      <c r="F252" s="71"/>
      <c r="G252" s="71"/>
      <c r="L252" s="34"/>
    </row>
    <row r="253" spans="5:12" ht="12.75" x14ac:dyDescent="0.2">
      <c r="E253" s="75"/>
      <c r="F253" s="71"/>
      <c r="G253" s="71"/>
      <c r="L253" s="34"/>
    </row>
    <row r="254" spans="5:12" ht="12.75" x14ac:dyDescent="0.2">
      <c r="E254" s="75"/>
      <c r="F254" s="71"/>
      <c r="G254" s="71"/>
      <c r="L254" s="34"/>
    </row>
    <row r="255" spans="5:12" ht="12.75" x14ac:dyDescent="0.2">
      <c r="E255" s="75"/>
      <c r="F255" s="71"/>
      <c r="G255" s="71"/>
      <c r="L255" s="34"/>
    </row>
    <row r="256" spans="5:12" ht="12.75" x14ac:dyDescent="0.2">
      <c r="E256" s="75"/>
      <c r="F256" s="71"/>
      <c r="G256" s="71"/>
      <c r="L256" s="34"/>
    </row>
    <row r="257" spans="5:12" ht="12.75" x14ac:dyDescent="0.2">
      <c r="E257" s="75"/>
      <c r="F257" s="71"/>
      <c r="G257" s="71"/>
      <c r="L257" s="34"/>
    </row>
    <row r="258" spans="5:12" ht="12.75" x14ac:dyDescent="0.2">
      <c r="E258" s="75"/>
      <c r="F258" s="71"/>
      <c r="G258" s="71"/>
      <c r="L258" s="34"/>
    </row>
    <row r="259" spans="5:12" ht="12.75" x14ac:dyDescent="0.2">
      <c r="E259" s="75"/>
      <c r="F259" s="71"/>
      <c r="G259" s="71"/>
      <c r="L259" s="34"/>
    </row>
    <row r="260" spans="5:12" ht="12.75" x14ac:dyDescent="0.2">
      <c r="E260" s="75"/>
      <c r="F260" s="71"/>
      <c r="G260" s="71"/>
      <c r="L260" s="34"/>
    </row>
    <row r="261" spans="5:12" ht="12.75" x14ac:dyDescent="0.2">
      <c r="E261" s="75"/>
      <c r="F261" s="71"/>
      <c r="G261" s="71"/>
      <c r="L261" s="34"/>
    </row>
    <row r="262" spans="5:12" ht="12.75" x14ac:dyDescent="0.2">
      <c r="E262" s="75"/>
      <c r="F262" s="71"/>
      <c r="G262" s="71"/>
      <c r="L262" s="34"/>
    </row>
    <row r="263" spans="5:12" ht="12.75" x14ac:dyDescent="0.2">
      <c r="E263" s="75"/>
      <c r="F263" s="71"/>
      <c r="G263" s="71"/>
      <c r="L263" s="34"/>
    </row>
    <row r="264" spans="5:12" ht="12.75" x14ac:dyDescent="0.2">
      <c r="E264" s="75"/>
      <c r="F264" s="71"/>
      <c r="G264" s="71"/>
      <c r="L264" s="34"/>
    </row>
    <row r="265" spans="5:12" ht="12.75" x14ac:dyDescent="0.2">
      <c r="E265" s="75"/>
      <c r="F265" s="71"/>
      <c r="G265" s="71"/>
      <c r="L265" s="34"/>
    </row>
    <row r="266" spans="5:12" ht="12.75" x14ac:dyDescent="0.2">
      <c r="E266" s="75"/>
      <c r="F266" s="71"/>
      <c r="G266" s="71"/>
      <c r="L266" s="34"/>
    </row>
    <row r="267" spans="5:12" ht="12.75" x14ac:dyDescent="0.2">
      <c r="E267" s="75"/>
      <c r="F267" s="71"/>
      <c r="G267" s="71"/>
      <c r="L267" s="34"/>
    </row>
    <row r="268" spans="5:12" ht="12.75" x14ac:dyDescent="0.2">
      <c r="E268" s="75"/>
      <c r="F268" s="71"/>
      <c r="G268" s="71"/>
      <c r="L268" s="34"/>
    </row>
    <row r="269" spans="5:12" ht="12.75" x14ac:dyDescent="0.2">
      <c r="E269" s="75"/>
      <c r="F269" s="71"/>
      <c r="G269" s="71"/>
      <c r="L269" s="34"/>
    </row>
    <row r="270" spans="5:12" ht="12.75" x14ac:dyDescent="0.2">
      <c r="E270" s="75"/>
      <c r="F270" s="71"/>
      <c r="G270" s="71"/>
      <c r="L270" s="34"/>
    </row>
    <row r="271" spans="5:12" ht="12.75" x14ac:dyDescent="0.2">
      <c r="E271" s="75"/>
      <c r="F271" s="71"/>
      <c r="G271" s="71"/>
      <c r="L271" s="34"/>
    </row>
    <row r="272" spans="5:12" ht="12.75" x14ac:dyDescent="0.2">
      <c r="E272" s="75"/>
      <c r="F272" s="71"/>
      <c r="G272" s="71"/>
      <c r="L272" s="34"/>
    </row>
    <row r="273" spans="5:12" ht="12.75" x14ac:dyDescent="0.2">
      <c r="E273" s="75"/>
      <c r="F273" s="71"/>
      <c r="G273" s="71"/>
      <c r="L273" s="34"/>
    </row>
    <row r="274" spans="5:12" ht="12.75" x14ac:dyDescent="0.2">
      <c r="E274" s="75"/>
      <c r="F274" s="71"/>
      <c r="G274" s="71"/>
      <c r="L274" s="34"/>
    </row>
    <row r="275" spans="5:12" ht="12.75" x14ac:dyDescent="0.2">
      <c r="E275" s="75"/>
      <c r="F275" s="71"/>
      <c r="G275" s="71"/>
      <c r="L275" s="34"/>
    </row>
    <row r="276" spans="5:12" ht="12.75" x14ac:dyDescent="0.2">
      <c r="F276" s="71"/>
      <c r="G276" s="71"/>
      <c r="L276" s="34"/>
    </row>
    <row r="277" spans="5:12" ht="12.75" x14ac:dyDescent="0.2">
      <c r="F277" s="71"/>
      <c r="G277" s="71"/>
      <c r="L277" s="34"/>
    </row>
    <row r="278" spans="5:12" ht="12.75" x14ac:dyDescent="0.2">
      <c r="F278" s="71"/>
      <c r="G278" s="71"/>
      <c r="L278" s="34"/>
    </row>
    <row r="279" spans="5:12" ht="12.75" x14ac:dyDescent="0.2">
      <c r="F279" s="71"/>
      <c r="G279" s="71"/>
      <c r="L279" s="34"/>
    </row>
    <row r="280" spans="5:12" ht="12.75" x14ac:dyDescent="0.2">
      <c r="F280" s="71"/>
      <c r="G280" s="71"/>
      <c r="L280" s="34"/>
    </row>
    <row r="281" spans="5:12" ht="12.75" x14ac:dyDescent="0.2">
      <c r="F281" s="71"/>
      <c r="G281" s="71"/>
      <c r="L281" s="34"/>
    </row>
    <row r="282" spans="5:12" ht="12.75" x14ac:dyDescent="0.2">
      <c r="F282" s="71"/>
      <c r="G282" s="71"/>
      <c r="L282" s="34"/>
    </row>
    <row r="283" spans="5:12" ht="12.75" x14ac:dyDescent="0.2">
      <c r="F283" s="71"/>
      <c r="G283" s="71"/>
      <c r="L283" s="34"/>
    </row>
    <row r="284" spans="5:12" ht="12.75" x14ac:dyDescent="0.2">
      <c r="F284" s="71"/>
      <c r="G284" s="71"/>
      <c r="L284" s="34"/>
    </row>
    <row r="285" spans="5:12" ht="12.75" x14ac:dyDescent="0.2">
      <c r="F285" s="71"/>
      <c r="G285" s="71"/>
      <c r="L285" s="34"/>
    </row>
    <row r="286" spans="5:12" ht="12.75" x14ac:dyDescent="0.2">
      <c r="F286" s="71"/>
      <c r="G286" s="71"/>
      <c r="L286" s="34"/>
    </row>
    <row r="287" spans="5:12" ht="12.75" x14ac:dyDescent="0.2">
      <c r="F287" s="71"/>
      <c r="G287" s="71"/>
      <c r="L287" s="34"/>
    </row>
    <row r="288" spans="5:12" ht="12.75" x14ac:dyDescent="0.2">
      <c r="F288" s="71"/>
      <c r="G288" s="71"/>
      <c r="L288" s="34"/>
    </row>
    <row r="289" spans="6:12" ht="12.75" x14ac:dyDescent="0.2">
      <c r="F289" s="71"/>
      <c r="G289" s="71"/>
      <c r="L289" s="34"/>
    </row>
    <row r="290" spans="6:12" ht="12.75" x14ac:dyDescent="0.2">
      <c r="F290" s="71"/>
      <c r="G290" s="71"/>
      <c r="L290" s="34"/>
    </row>
    <row r="291" spans="6:12" ht="12.75" x14ac:dyDescent="0.2">
      <c r="F291" s="71"/>
      <c r="G291" s="71"/>
      <c r="L291" s="34"/>
    </row>
    <row r="292" spans="6:12" ht="12.75" x14ac:dyDescent="0.2">
      <c r="F292" s="71"/>
      <c r="G292" s="71"/>
      <c r="L292" s="34"/>
    </row>
    <row r="293" spans="6:12" ht="12.75" x14ac:dyDescent="0.2">
      <c r="F293" s="71"/>
      <c r="G293" s="71"/>
      <c r="L293" s="34"/>
    </row>
    <row r="294" spans="6:12" ht="12.75" x14ac:dyDescent="0.2">
      <c r="F294" s="71"/>
      <c r="G294" s="71"/>
      <c r="L294" s="34"/>
    </row>
    <row r="295" spans="6:12" ht="12.75" x14ac:dyDescent="0.2">
      <c r="F295" s="71"/>
      <c r="G295" s="71"/>
      <c r="L295" s="34"/>
    </row>
    <row r="296" spans="6:12" ht="12.75" x14ac:dyDescent="0.2">
      <c r="F296" s="71"/>
      <c r="G296" s="71"/>
      <c r="L296" s="34"/>
    </row>
    <row r="297" spans="6:12" ht="12.75" x14ac:dyDescent="0.2">
      <c r="F297" s="71"/>
      <c r="G297" s="71"/>
      <c r="L297" s="34"/>
    </row>
    <row r="298" spans="6:12" ht="12.75" x14ac:dyDescent="0.2">
      <c r="F298" s="71"/>
      <c r="G298" s="71"/>
      <c r="L298" s="34"/>
    </row>
    <row r="299" spans="6:12" ht="12.75" x14ac:dyDescent="0.2">
      <c r="F299" s="71"/>
      <c r="G299" s="71"/>
      <c r="L299" s="34"/>
    </row>
    <row r="300" spans="6:12" ht="12.75" x14ac:dyDescent="0.2">
      <c r="F300" s="71"/>
      <c r="G300" s="71"/>
      <c r="L300" s="34"/>
    </row>
    <row r="301" spans="6:12" ht="12.75" x14ac:dyDescent="0.2">
      <c r="F301" s="71"/>
      <c r="G301" s="71"/>
      <c r="L301" s="34"/>
    </row>
    <row r="302" spans="6:12" ht="12.75" x14ac:dyDescent="0.2">
      <c r="F302" s="71"/>
      <c r="G302" s="71"/>
      <c r="L302" s="34"/>
    </row>
    <row r="303" spans="6:12" ht="12.75" x14ac:dyDescent="0.2">
      <c r="F303" s="71"/>
      <c r="G303" s="71"/>
      <c r="L303" s="34"/>
    </row>
    <row r="304" spans="6:12" ht="12.75" x14ac:dyDescent="0.2">
      <c r="F304" s="71"/>
      <c r="G304" s="71"/>
      <c r="L304" s="34"/>
    </row>
    <row r="305" spans="6:12" ht="12.75" x14ac:dyDescent="0.2">
      <c r="F305" s="71"/>
      <c r="G305" s="71"/>
      <c r="L305" s="34"/>
    </row>
    <row r="306" spans="6:12" ht="12.75" x14ac:dyDescent="0.2">
      <c r="F306" s="71"/>
      <c r="G306" s="71"/>
      <c r="L306" s="34"/>
    </row>
    <row r="307" spans="6:12" ht="12.75" x14ac:dyDescent="0.2">
      <c r="F307" s="71"/>
      <c r="G307" s="71"/>
      <c r="L307" s="34"/>
    </row>
    <row r="308" spans="6:12" ht="12.75" x14ac:dyDescent="0.2">
      <c r="F308" s="71"/>
      <c r="G308" s="71"/>
      <c r="L308" s="34"/>
    </row>
    <row r="309" spans="6:12" ht="12.75" x14ac:dyDescent="0.2">
      <c r="F309" s="71"/>
      <c r="G309" s="71"/>
      <c r="L309" s="34"/>
    </row>
    <row r="310" spans="6:12" ht="12.75" x14ac:dyDescent="0.2">
      <c r="F310" s="71"/>
      <c r="G310" s="71"/>
      <c r="L310" s="34"/>
    </row>
    <row r="311" spans="6:12" ht="12.75" x14ac:dyDescent="0.2">
      <c r="F311" s="71"/>
      <c r="G311" s="71"/>
      <c r="L311" s="34"/>
    </row>
    <row r="312" spans="6:12" ht="12.75" x14ac:dyDescent="0.2">
      <c r="F312" s="71"/>
      <c r="G312" s="71"/>
      <c r="L312" s="34"/>
    </row>
    <row r="313" spans="6:12" ht="12.75" x14ac:dyDescent="0.2">
      <c r="F313" s="71"/>
      <c r="G313" s="71"/>
      <c r="L313" s="34"/>
    </row>
    <row r="314" spans="6:12" ht="12.75" x14ac:dyDescent="0.2">
      <c r="F314" s="71"/>
      <c r="G314" s="71"/>
      <c r="L314" s="34"/>
    </row>
    <row r="315" spans="6:12" ht="12.75" x14ac:dyDescent="0.2">
      <c r="F315" s="71"/>
      <c r="G315" s="71"/>
      <c r="L315" s="34"/>
    </row>
    <row r="316" spans="6:12" ht="12.75" x14ac:dyDescent="0.2">
      <c r="F316" s="71"/>
      <c r="G316" s="71"/>
      <c r="L316" s="34"/>
    </row>
    <row r="317" spans="6:12" ht="12.75" x14ac:dyDescent="0.2">
      <c r="F317" s="71"/>
      <c r="G317" s="71"/>
      <c r="L317" s="34"/>
    </row>
    <row r="318" spans="6:12" ht="12.75" x14ac:dyDescent="0.2">
      <c r="F318" s="71"/>
      <c r="G318" s="71"/>
      <c r="L318" s="34"/>
    </row>
    <row r="319" spans="6:12" ht="12.75" x14ac:dyDescent="0.2">
      <c r="F319" s="71"/>
      <c r="G319" s="71"/>
      <c r="L319" s="34"/>
    </row>
    <row r="320" spans="6:12" ht="12.75" x14ac:dyDescent="0.2">
      <c r="F320" s="71"/>
      <c r="G320" s="71"/>
      <c r="L320" s="34"/>
    </row>
    <row r="321" spans="12:12" ht="12.75" x14ac:dyDescent="0.2">
      <c r="L321" s="34"/>
    </row>
    <row r="322" spans="12:12" ht="12.75" x14ac:dyDescent="0.2">
      <c r="L322" s="34"/>
    </row>
    <row r="323" spans="12:12" ht="12.75" x14ac:dyDescent="0.2">
      <c r="L323" s="34"/>
    </row>
    <row r="324" spans="12:12" ht="12.75" x14ac:dyDescent="0.2">
      <c r="L324" s="34"/>
    </row>
    <row r="325" spans="12:12" ht="12.75" x14ac:dyDescent="0.2">
      <c r="L325" s="34"/>
    </row>
    <row r="326" spans="12:12" ht="12.75" x14ac:dyDescent="0.2">
      <c r="L326" s="34"/>
    </row>
    <row r="327" spans="12:12" ht="12.75" x14ac:dyDescent="0.2">
      <c r="L327" s="34"/>
    </row>
    <row r="328" spans="12:12" ht="12.75" x14ac:dyDescent="0.2">
      <c r="L328" s="34"/>
    </row>
    <row r="329" spans="12:12" ht="12.75" x14ac:dyDescent="0.2">
      <c r="L329" s="34"/>
    </row>
    <row r="330" spans="12:12" ht="12.75" x14ac:dyDescent="0.2">
      <c r="L330" s="34"/>
    </row>
    <row r="331" spans="12:12" ht="12.75" x14ac:dyDescent="0.2">
      <c r="L331" s="34"/>
    </row>
    <row r="332" spans="12:12" ht="12.75" x14ac:dyDescent="0.2">
      <c r="L332" s="34"/>
    </row>
    <row r="333" spans="12:12" ht="12.75" x14ac:dyDescent="0.2">
      <c r="L333" s="34"/>
    </row>
    <row r="334" spans="12:12" ht="12.75" x14ac:dyDescent="0.2">
      <c r="L334" s="34"/>
    </row>
    <row r="335" spans="12:12" ht="12.75" x14ac:dyDescent="0.2">
      <c r="L335" s="34"/>
    </row>
    <row r="336" spans="12:12" ht="12.75" x14ac:dyDescent="0.2">
      <c r="L336" s="34"/>
    </row>
    <row r="337" spans="12:12" ht="12.75" x14ac:dyDescent="0.2">
      <c r="L337" s="34"/>
    </row>
    <row r="338" spans="12:12" ht="12.75" x14ac:dyDescent="0.2">
      <c r="L338" s="34"/>
    </row>
    <row r="339" spans="12:12" ht="12.75" x14ac:dyDescent="0.2">
      <c r="L339" s="34"/>
    </row>
    <row r="340" spans="12:12" ht="12.75" x14ac:dyDescent="0.2">
      <c r="L340" s="34"/>
    </row>
    <row r="341" spans="12:12" ht="12.75" x14ac:dyDescent="0.2">
      <c r="L341" s="34"/>
    </row>
    <row r="342" spans="12:12" ht="12.75" x14ac:dyDescent="0.2">
      <c r="L342" s="34"/>
    </row>
    <row r="343" spans="12:12" ht="12.75" x14ac:dyDescent="0.2">
      <c r="L343" s="34"/>
    </row>
    <row r="344" spans="12:12" ht="12.75" x14ac:dyDescent="0.2">
      <c r="L344" s="34"/>
    </row>
    <row r="345" spans="12:12" ht="12.75" x14ac:dyDescent="0.2">
      <c r="L345" s="34"/>
    </row>
    <row r="346" spans="12:12" ht="12.75" x14ac:dyDescent="0.2">
      <c r="L346" s="34"/>
    </row>
    <row r="347" spans="12:12" ht="12.75" x14ac:dyDescent="0.2">
      <c r="L347" s="34"/>
    </row>
    <row r="348" spans="12:12" ht="12.75" x14ac:dyDescent="0.2">
      <c r="L348" s="34"/>
    </row>
    <row r="349" spans="12:12" ht="12.75" x14ac:dyDescent="0.2">
      <c r="L349" s="34"/>
    </row>
    <row r="350" spans="12:12" ht="12.75" x14ac:dyDescent="0.2">
      <c r="L350" s="34"/>
    </row>
    <row r="351" spans="12:12" ht="12.75" x14ac:dyDescent="0.2">
      <c r="L351" s="34"/>
    </row>
    <row r="352" spans="12:12" ht="12.75" x14ac:dyDescent="0.2">
      <c r="L352" s="34"/>
    </row>
    <row r="353" spans="12:12" ht="12.75" x14ac:dyDescent="0.2">
      <c r="L353" s="34"/>
    </row>
    <row r="354" spans="12:12" ht="12.75" x14ac:dyDescent="0.2">
      <c r="L354" s="34"/>
    </row>
    <row r="355" spans="12:12" ht="12.75" x14ac:dyDescent="0.2">
      <c r="L355" s="34"/>
    </row>
    <row r="356" spans="12:12" ht="12.75" x14ac:dyDescent="0.2">
      <c r="L356" s="34"/>
    </row>
    <row r="357" spans="12:12" ht="12.75" x14ac:dyDescent="0.2">
      <c r="L357" s="34"/>
    </row>
    <row r="358" spans="12:12" ht="12.75" x14ac:dyDescent="0.2">
      <c r="L358" s="34"/>
    </row>
    <row r="359" spans="12:12" ht="12.75" x14ac:dyDescent="0.2">
      <c r="L359" s="34"/>
    </row>
    <row r="360" spans="12:12" ht="12.75" x14ac:dyDescent="0.2">
      <c r="L360" s="34"/>
    </row>
    <row r="361" spans="12:12" ht="12.75" x14ac:dyDescent="0.2">
      <c r="L361" s="34"/>
    </row>
    <row r="362" spans="12:12" ht="12.75" x14ac:dyDescent="0.2">
      <c r="L362" s="34"/>
    </row>
    <row r="363" spans="12:12" ht="12.75" x14ac:dyDescent="0.2">
      <c r="L363" s="34"/>
    </row>
    <row r="364" spans="12:12" ht="12.75" x14ac:dyDescent="0.2">
      <c r="L364" s="34"/>
    </row>
    <row r="365" spans="12:12" ht="12.75" x14ac:dyDescent="0.2">
      <c r="L365" s="34"/>
    </row>
    <row r="366" spans="12:12" ht="12.75" x14ac:dyDescent="0.2">
      <c r="L366" s="34"/>
    </row>
    <row r="367" spans="12:12" ht="12.75" x14ac:dyDescent="0.2">
      <c r="L367" s="34"/>
    </row>
    <row r="368" spans="12:12" ht="12.75" x14ac:dyDescent="0.2">
      <c r="L368" s="34"/>
    </row>
    <row r="369" spans="12:12" ht="12.75" x14ac:dyDescent="0.2">
      <c r="L369" s="34"/>
    </row>
    <row r="370" spans="12:12" ht="12.75" x14ac:dyDescent="0.2">
      <c r="L370" s="34"/>
    </row>
    <row r="371" spans="12:12" ht="12.75" x14ac:dyDescent="0.2">
      <c r="L371" s="34"/>
    </row>
    <row r="372" spans="12:12" ht="12.75" x14ac:dyDescent="0.2">
      <c r="L372" s="34"/>
    </row>
    <row r="373" spans="12:12" ht="12.75" x14ac:dyDescent="0.2">
      <c r="L373" s="34"/>
    </row>
    <row r="374" spans="12:12" ht="12.75" x14ac:dyDescent="0.2">
      <c r="L374" s="34"/>
    </row>
    <row r="375" spans="12:12" ht="12.75" x14ac:dyDescent="0.2">
      <c r="L375" s="34"/>
    </row>
    <row r="376" spans="12:12" ht="12.75" x14ac:dyDescent="0.2">
      <c r="L376" s="34"/>
    </row>
    <row r="377" spans="12:12" ht="12.75" x14ac:dyDescent="0.2">
      <c r="L377" s="34"/>
    </row>
    <row r="378" spans="12:12" ht="12.75" x14ac:dyDescent="0.2">
      <c r="L378" s="34"/>
    </row>
    <row r="379" spans="12:12" ht="12.75" x14ac:dyDescent="0.2">
      <c r="L379" s="34"/>
    </row>
    <row r="380" spans="12:12" ht="12.75" x14ac:dyDescent="0.2">
      <c r="L380" s="34"/>
    </row>
    <row r="381" spans="12:12" ht="12.75" x14ac:dyDescent="0.2">
      <c r="L381" s="34"/>
    </row>
    <row r="382" spans="12:12" ht="12.75" x14ac:dyDescent="0.2">
      <c r="L382" s="34"/>
    </row>
    <row r="383" spans="12:12" ht="12.75" x14ac:dyDescent="0.2">
      <c r="L383" s="34"/>
    </row>
    <row r="384" spans="12:12" ht="12.75" x14ac:dyDescent="0.2">
      <c r="L384" s="34"/>
    </row>
    <row r="385" spans="12:12" ht="12.75" x14ac:dyDescent="0.2">
      <c r="L385" s="34"/>
    </row>
    <row r="386" spans="12:12" ht="12.75" x14ac:dyDescent="0.2">
      <c r="L386" s="34"/>
    </row>
    <row r="387" spans="12:12" ht="12.75" x14ac:dyDescent="0.2">
      <c r="L387" s="34"/>
    </row>
    <row r="388" spans="12:12" ht="12.75" x14ac:dyDescent="0.2">
      <c r="L388" s="34"/>
    </row>
    <row r="389" spans="12:12" ht="12.75" x14ac:dyDescent="0.2">
      <c r="L389" s="34"/>
    </row>
    <row r="390" spans="12:12" ht="12.75" x14ac:dyDescent="0.2">
      <c r="L390" s="34"/>
    </row>
    <row r="391" spans="12:12" ht="12.75" x14ac:dyDescent="0.2">
      <c r="L391" s="34"/>
    </row>
    <row r="392" spans="12:12" ht="12.75" x14ac:dyDescent="0.2">
      <c r="L392" s="34"/>
    </row>
    <row r="393" spans="12:12" ht="12.75" x14ac:dyDescent="0.2">
      <c r="L393" s="34"/>
    </row>
    <row r="394" spans="12:12" ht="12.75" x14ac:dyDescent="0.2">
      <c r="L394" s="34"/>
    </row>
    <row r="395" spans="12:12" ht="12.75" x14ac:dyDescent="0.2">
      <c r="L395" s="34"/>
    </row>
    <row r="396" spans="12:12" ht="12.75" x14ac:dyDescent="0.2">
      <c r="L396" s="34"/>
    </row>
    <row r="397" spans="12:12" ht="12.75" x14ac:dyDescent="0.2">
      <c r="L397" s="34"/>
    </row>
    <row r="398" spans="12:12" ht="12.75" x14ac:dyDescent="0.2">
      <c r="L398" s="34"/>
    </row>
    <row r="399" spans="12:12" ht="12.75" x14ac:dyDescent="0.2">
      <c r="L399" s="34"/>
    </row>
    <row r="400" spans="12:12" ht="12.75" x14ac:dyDescent="0.2">
      <c r="L400" s="34"/>
    </row>
    <row r="401" spans="12:12" ht="12.75" x14ac:dyDescent="0.2">
      <c r="L401" s="34"/>
    </row>
    <row r="402" spans="12:12" ht="12.75" x14ac:dyDescent="0.2">
      <c r="L402" s="34"/>
    </row>
    <row r="403" spans="12:12" ht="12.75" x14ac:dyDescent="0.2">
      <c r="L403" s="34"/>
    </row>
    <row r="404" spans="12:12" ht="12.75" x14ac:dyDescent="0.2">
      <c r="L404" s="34"/>
    </row>
    <row r="405" spans="12:12" ht="12.75" x14ac:dyDescent="0.2">
      <c r="L405" s="34"/>
    </row>
    <row r="406" spans="12:12" ht="12.75" x14ac:dyDescent="0.2">
      <c r="L406" s="34"/>
    </row>
    <row r="407" spans="12:12" ht="12.75" x14ac:dyDescent="0.2">
      <c r="L407" s="34"/>
    </row>
    <row r="408" spans="12:12" ht="12.75" x14ac:dyDescent="0.2">
      <c r="L408" s="34"/>
    </row>
    <row r="409" spans="12:12" ht="12.75" x14ac:dyDescent="0.2">
      <c r="L409" s="34"/>
    </row>
    <row r="410" spans="12:12" ht="12.75" x14ac:dyDescent="0.2">
      <c r="L410" s="34"/>
    </row>
    <row r="411" spans="12:12" ht="12.75" x14ac:dyDescent="0.2">
      <c r="L411" s="34"/>
    </row>
    <row r="412" spans="12:12" ht="12.75" x14ac:dyDescent="0.2">
      <c r="L412" s="34"/>
    </row>
    <row r="413" spans="12:12" ht="12.75" x14ac:dyDescent="0.2">
      <c r="L413" s="34"/>
    </row>
    <row r="414" spans="12:12" ht="12.75" x14ac:dyDescent="0.2">
      <c r="L414" s="34"/>
    </row>
    <row r="415" spans="12:12" ht="12.75" x14ac:dyDescent="0.2">
      <c r="L415" s="34"/>
    </row>
    <row r="416" spans="12:12" ht="12.75" x14ac:dyDescent="0.2">
      <c r="L416" s="34"/>
    </row>
    <row r="417" spans="12:12" ht="12.75" x14ac:dyDescent="0.2">
      <c r="L417" s="34"/>
    </row>
    <row r="418" spans="12:12" ht="12.75" x14ac:dyDescent="0.2">
      <c r="L418" s="34"/>
    </row>
    <row r="419" spans="12:12" ht="12.75" x14ac:dyDescent="0.2">
      <c r="L419" s="34"/>
    </row>
    <row r="420" spans="12:12" ht="12.75" x14ac:dyDescent="0.2">
      <c r="L420" s="34"/>
    </row>
    <row r="421" spans="12:12" ht="12.75" x14ac:dyDescent="0.2">
      <c r="L421" s="34"/>
    </row>
    <row r="422" spans="12:12" ht="12.75" x14ac:dyDescent="0.2">
      <c r="L422" s="34"/>
    </row>
    <row r="423" spans="12:12" ht="12.75" x14ac:dyDescent="0.2">
      <c r="L423" s="34"/>
    </row>
    <row r="424" spans="12:12" ht="12.75" x14ac:dyDescent="0.2">
      <c r="L424" s="34"/>
    </row>
    <row r="425" spans="12:12" ht="12.75" x14ac:dyDescent="0.2">
      <c r="L425" s="34"/>
    </row>
    <row r="426" spans="12:12" ht="12.75" x14ac:dyDescent="0.2">
      <c r="L426" s="34"/>
    </row>
    <row r="427" spans="12:12" ht="12.75" x14ac:dyDescent="0.2">
      <c r="L427" s="34"/>
    </row>
    <row r="428" spans="12:12" ht="12.75" x14ac:dyDescent="0.2">
      <c r="L428" s="34"/>
    </row>
    <row r="429" spans="12:12" ht="12.75" x14ac:dyDescent="0.2">
      <c r="L429" s="34"/>
    </row>
    <row r="430" spans="12:12" ht="12.75" x14ac:dyDescent="0.2">
      <c r="L430" s="34"/>
    </row>
    <row r="431" spans="12:12" ht="12.75" x14ac:dyDescent="0.2">
      <c r="L431" s="34"/>
    </row>
    <row r="432" spans="12:12" ht="12.75" x14ac:dyDescent="0.2">
      <c r="L432" s="34"/>
    </row>
    <row r="433" spans="12:12" ht="12.75" x14ac:dyDescent="0.2">
      <c r="L433" s="34"/>
    </row>
    <row r="434" spans="12:12" ht="12.75" x14ac:dyDescent="0.2">
      <c r="L434" s="34"/>
    </row>
    <row r="435" spans="12:12" ht="12.75" x14ac:dyDescent="0.2">
      <c r="L435" s="34"/>
    </row>
    <row r="436" spans="12:12" ht="12.75" x14ac:dyDescent="0.2">
      <c r="L436" s="34"/>
    </row>
    <row r="437" spans="12:12" ht="12.75" x14ac:dyDescent="0.2">
      <c r="L437" s="34"/>
    </row>
    <row r="438" spans="12:12" ht="12.75" x14ac:dyDescent="0.2">
      <c r="L438" s="34"/>
    </row>
    <row r="439" spans="12:12" ht="12.75" x14ac:dyDescent="0.2">
      <c r="L439" s="34"/>
    </row>
    <row r="440" spans="12:12" ht="12.75" x14ac:dyDescent="0.2">
      <c r="L440" s="34"/>
    </row>
    <row r="441" spans="12:12" ht="12.75" x14ac:dyDescent="0.2">
      <c r="L441" s="34"/>
    </row>
    <row r="442" spans="12:12" ht="12.75" x14ac:dyDescent="0.2">
      <c r="L442" s="34"/>
    </row>
    <row r="443" spans="12:12" ht="12.75" x14ac:dyDescent="0.2">
      <c r="L443" s="34"/>
    </row>
    <row r="444" spans="12:12" ht="12.75" x14ac:dyDescent="0.2">
      <c r="L444" s="34"/>
    </row>
    <row r="445" spans="12:12" ht="12.75" x14ac:dyDescent="0.2">
      <c r="L445" s="34"/>
    </row>
    <row r="446" spans="12:12" ht="12.75" x14ac:dyDescent="0.2">
      <c r="L446" s="34"/>
    </row>
    <row r="447" spans="12:12" ht="12.75" x14ac:dyDescent="0.2">
      <c r="L447" s="34"/>
    </row>
    <row r="448" spans="12:12" ht="12.75" x14ac:dyDescent="0.2">
      <c r="L448" s="34"/>
    </row>
    <row r="449" spans="12:12" ht="12.75" x14ac:dyDescent="0.2">
      <c r="L449" s="34"/>
    </row>
    <row r="450" spans="12:12" ht="12.75" x14ac:dyDescent="0.2">
      <c r="L450" s="34"/>
    </row>
    <row r="451" spans="12:12" ht="12.75" x14ac:dyDescent="0.2">
      <c r="L451" s="34"/>
    </row>
    <row r="452" spans="12:12" ht="12.75" x14ac:dyDescent="0.2">
      <c r="L452" s="34"/>
    </row>
    <row r="453" spans="12:12" ht="12.75" x14ac:dyDescent="0.2">
      <c r="L453" s="34"/>
    </row>
    <row r="454" spans="12:12" ht="12.75" x14ac:dyDescent="0.2">
      <c r="L454" s="34"/>
    </row>
    <row r="455" spans="12:12" ht="12.75" x14ac:dyDescent="0.2">
      <c r="L455" s="34"/>
    </row>
    <row r="456" spans="12:12" ht="12.75" x14ac:dyDescent="0.2">
      <c r="L456" s="34"/>
    </row>
    <row r="457" spans="12:12" ht="12.75" x14ac:dyDescent="0.2">
      <c r="L457" s="34"/>
    </row>
    <row r="458" spans="12:12" ht="12.75" x14ac:dyDescent="0.2">
      <c r="L458" s="34"/>
    </row>
    <row r="459" spans="12:12" ht="12.75" x14ac:dyDescent="0.2">
      <c r="L459" s="34"/>
    </row>
    <row r="460" spans="12:12" ht="12.75" x14ac:dyDescent="0.2">
      <c r="L460" s="34"/>
    </row>
    <row r="461" spans="12:12" ht="12.75" x14ac:dyDescent="0.2">
      <c r="L461" s="34"/>
    </row>
    <row r="462" spans="12:12" ht="12.75" x14ac:dyDescent="0.2">
      <c r="L462" s="34"/>
    </row>
    <row r="463" spans="12:12" ht="12.75" x14ac:dyDescent="0.2">
      <c r="L463" s="34"/>
    </row>
    <row r="464" spans="12:12" ht="12.75" x14ac:dyDescent="0.2">
      <c r="L464" s="34"/>
    </row>
    <row r="465" spans="12:12" ht="12.75" x14ac:dyDescent="0.2">
      <c r="L465" s="34"/>
    </row>
    <row r="466" spans="12:12" ht="12.75" x14ac:dyDescent="0.2">
      <c r="L466" s="34"/>
    </row>
    <row r="467" spans="12:12" ht="12.75" x14ac:dyDescent="0.2">
      <c r="L467" s="34"/>
    </row>
    <row r="468" spans="12:12" ht="12.75" x14ac:dyDescent="0.2">
      <c r="L468" s="34"/>
    </row>
    <row r="469" spans="12:12" ht="12.75" x14ac:dyDescent="0.2">
      <c r="L469" s="34"/>
    </row>
    <row r="470" spans="12:12" ht="12.75" x14ac:dyDescent="0.2">
      <c r="L470" s="34"/>
    </row>
    <row r="471" spans="12:12" ht="12.75" x14ac:dyDescent="0.2">
      <c r="L471" s="34"/>
    </row>
    <row r="472" spans="12:12" ht="12.75" x14ac:dyDescent="0.2">
      <c r="L472" s="34"/>
    </row>
    <row r="473" spans="12:12" ht="12.75" x14ac:dyDescent="0.2">
      <c r="L473" s="34"/>
    </row>
    <row r="474" spans="12:12" ht="12.75" x14ac:dyDescent="0.2">
      <c r="L474" s="34"/>
    </row>
    <row r="475" spans="12:12" ht="12.75" x14ac:dyDescent="0.2">
      <c r="L475" s="34"/>
    </row>
    <row r="476" spans="12:12" ht="12.75" x14ac:dyDescent="0.2">
      <c r="L476" s="34"/>
    </row>
    <row r="477" spans="12:12" ht="12.75" x14ac:dyDescent="0.2">
      <c r="L477" s="34"/>
    </row>
    <row r="478" spans="12:12" ht="12.75" x14ac:dyDescent="0.2">
      <c r="L478" s="34"/>
    </row>
    <row r="479" spans="12:12" ht="12.75" x14ac:dyDescent="0.2">
      <c r="L479" s="34"/>
    </row>
    <row r="480" spans="12:12" ht="12.75" x14ac:dyDescent="0.2">
      <c r="L480" s="34"/>
    </row>
    <row r="481" spans="12:12" ht="12.75" x14ac:dyDescent="0.2">
      <c r="L481" s="34"/>
    </row>
    <row r="482" spans="12:12" ht="12.75" x14ac:dyDescent="0.2">
      <c r="L482" s="34"/>
    </row>
    <row r="483" spans="12:12" ht="12.75" x14ac:dyDescent="0.2">
      <c r="L483" s="34"/>
    </row>
    <row r="484" spans="12:12" ht="12.75" x14ac:dyDescent="0.2">
      <c r="L484" s="34"/>
    </row>
    <row r="485" spans="12:12" ht="12.75" x14ac:dyDescent="0.2">
      <c r="L485" s="34"/>
    </row>
    <row r="486" spans="12:12" ht="12.75" x14ac:dyDescent="0.2">
      <c r="L486" s="34"/>
    </row>
    <row r="487" spans="12:12" ht="12.75" x14ac:dyDescent="0.2">
      <c r="L487" s="34"/>
    </row>
    <row r="488" spans="12:12" ht="12.75" x14ac:dyDescent="0.2">
      <c r="L488" s="34"/>
    </row>
    <row r="489" spans="12:12" ht="12.75" x14ac:dyDescent="0.2">
      <c r="L489" s="34"/>
    </row>
    <row r="490" spans="12:12" ht="12.75" x14ac:dyDescent="0.2">
      <c r="L490" s="34"/>
    </row>
    <row r="491" spans="12:12" ht="12.75" x14ac:dyDescent="0.2">
      <c r="L491" s="34"/>
    </row>
    <row r="492" spans="12:12" ht="12.75" x14ac:dyDescent="0.2">
      <c r="L492" s="34"/>
    </row>
    <row r="493" spans="12:12" ht="12.75" x14ac:dyDescent="0.2">
      <c r="L493" s="34"/>
    </row>
    <row r="494" spans="12:12" ht="12.75" x14ac:dyDescent="0.2">
      <c r="L494" s="34"/>
    </row>
    <row r="495" spans="12:12" ht="12.75" x14ac:dyDescent="0.2">
      <c r="L495" s="34"/>
    </row>
    <row r="496" spans="12:12" ht="12.75" x14ac:dyDescent="0.2">
      <c r="L496" s="34"/>
    </row>
    <row r="497" spans="12:12" ht="12.75" x14ac:dyDescent="0.2">
      <c r="L497" s="34"/>
    </row>
    <row r="498" spans="12:12" ht="12.75" x14ac:dyDescent="0.2">
      <c r="L498" s="34"/>
    </row>
    <row r="499" spans="12:12" ht="12.75" x14ac:dyDescent="0.2">
      <c r="L499" s="34"/>
    </row>
    <row r="500" spans="12:12" ht="12.75" x14ac:dyDescent="0.2">
      <c r="L500" s="34"/>
    </row>
    <row r="501" spans="12:12" ht="12.75" x14ac:dyDescent="0.2">
      <c r="L501" s="34"/>
    </row>
    <row r="502" spans="12:12" ht="12.75" x14ac:dyDescent="0.2">
      <c r="L502" s="34"/>
    </row>
    <row r="503" spans="12:12" ht="12.75" x14ac:dyDescent="0.2">
      <c r="L503" s="34"/>
    </row>
    <row r="504" spans="12:12" ht="12.75" x14ac:dyDescent="0.2">
      <c r="L504" s="34"/>
    </row>
    <row r="505" spans="12:12" ht="12.75" x14ac:dyDescent="0.2">
      <c r="L505" s="34"/>
    </row>
    <row r="506" spans="12:12" ht="12.75" x14ac:dyDescent="0.2">
      <c r="L506" s="34"/>
    </row>
    <row r="507" spans="12:12" ht="12.75" x14ac:dyDescent="0.2">
      <c r="L507" s="34"/>
    </row>
    <row r="508" spans="12:12" ht="12.75" x14ac:dyDescent="0.2">
      <c r="L508" s="34"/>
    </row>
    <row r="509" spans="12:12" ht="12.75" x14ac:dyDescent="0.2">
      <c r="L509" s="34"/>
    </row>
    <row r="510" spans="12:12" ht="12.75" x14ac:dyDescent="0.2">
      <c r="L510" s="34"/>
    </row>
    <row r="511" spans="12:12" ht="12.75" x14ac:dyDescent="0.2">
      <c r="L511" s="34"/>
    </row>
    <row r="512" spans="12:12" ht="12.75" x14ac:dyDescent="0.2">
      <c r="L512" s="34"/>
    </row>
    <row r="513" spans="12:12" ht="12.75" x14ac:dyDescent="0.2">
      <c r="L513" s="34"/>
    </row>
    <row r="514" spans="12:12" ht="12.75" x14ac:dyDescent="0.2">
      <c r="L514" s="34"/>
    </row>
    <row r="515" spans="12:12" ht="12.75" x14ac:dyDescent="0.2">
      <c r="L515" s="34"/>
    </row>
    <row r="516" spans="12:12" ht="12.75" x14ac:dyDescent="0.2">
      <c r="L516" s="34"/>
    </row>
    <row r="517" spans="12:12" ht="12.75" x14ac:dyDescent="0.2">
      <c r="L517" s="34"/>
    </row>
    <row r="518" spans="12:12" ht="12.75" x14ac:dyDescent="0.2">
      <c r="L518" s="34"/>
    </row>
    <row r="519" spans="12:12" ht="12.75" x14ac:dyDescent="0.2">
      <c r="L519" s="34"/>
    </row>
    <row r="520" spans="12:12" ht="12.75" x14ac:dyDescent="0.2">
      <c r="L520" s="34"/>
    </row>
    <row r="521" spans="12:12" ht="12.75" x14ac:dyDescent="0.2">
      <c r="L521" s="34"/>
    </row>
    <row r="522" spans="12:12" ht="12.75" x14ac:dyDescent="0.2">
      <c r="L522" s="34"/>
    </row>
    <row r="523" spans="12:12" ht="12.75" x14ac:dyDescent="0.2">
      <c r="L523" s="34"/>
    </row>
    <row r="524" spans="12:12" ht="12.75" x14ac:dyDescent="0.2">
      <c r="L524" s="34"/>
    </row>
    <row r="525" spans="12:12" ht="12.75" x14ac:dyDescent="0.2">
      <c r="L525" s="34"/>
    </row>
    <row r="526" spans="12:12" ht="12.75" x14ac:dyDescent="0.2">
      <c r="L526" s="34"/>
    </row>
    <row r="527" spans="12:12" ht="12.75" x14ac:dyDescent="0.2">
      <c r="L527" s="34"/>
    </row>
    <row r="528" spans="12:12" ht="12.75" x14ac:dyDescent="0.2">
      <c r="L528" s="34"/>
    </row>
    <row r="529" spans="12:12" ht="12.75" x14ac:dyDescent="0.2">
      <c r="L529" s="34"/>
    </row>
    <row r="530" spans="12:12" ht="12.75" x14ac:dyDescent="0.2">
      <c r="L530" s="34"/>
    </row>
    <row r="531" spans="12:12" ht="12.75" x14ac:dyDescent="0.2">
      <c r="L531" s="34"/>
    </row>
    <row r="532" spans="12:12" ht="12.75" x14ac:dyDescent="0.2">
      <c r="L532" s="34"/>
    </row>
    <row r="533" spans="12:12" ht="12.75" x14ac:dyDescent="0.2">
      <c r="L533" s="34"/>
    </row>
    <row r="534" spans="12:12" ht="12.75" x14ac:dyDescent="0.2">
      <c r="L534" s="34"/>
    </row>
    <row r="535" spans="12:12" ht="12.75" x14ac:dyDescent="0.2">
      <c r="L535" s="34"/>
    </row>
    <row r="536" spans="12:12" ht="12.75" x14ac:dyDescent="0.2">
      <c r="L536" s="34"/>
    </row>
    <row r="537" spans="12:12" ht="12.75" x14ac:dyDescent="0.2">
      <c r="L537" s="34"/>
    </row>
    <row r="538" spans="12:12" ht="12.75" x14ac:dyDescent="0.2">
      <c r="L538" s="34"/>
    </row>
    <row r="539" spans="12:12" ht="12.75" x14ac:dyDescent="0.2">
      <c r="L539" s="34"/>
    </row>
    <row r="540" spans="12:12" ht="12.75" x14ac:dyDescent="0.2">
      <c r="L540" s="34"/>
    </row>
    <row r="541" spans="12:12" ht="12.75" x14ac:dyDescent="0.2">
      <c r="L541" s="34"/>
    </row>
    <row r="542" spans="12:12" ht="12.75" x14ac:dyDescent="0.2">
      <c r="L542" s="34"/>
    </row>
    <row r="543" spans="12:12" ht="12.75" x14ac:dyDescent="0.2">
      <c r="L543" s="34"/>
    </row>
    <row r="544" spans="12:12" ht="12.75" x14ac:dyDescent="0.2">
      <c r="L544" s="34"/>
    </row>
    <row r="545" spans="12:12" ht="12.75" x14ac:dyDescent="0.2">
      <c r="L545" s="34"/>
    </row>
    <row r="546" spans="12:12" ht="12.75" x14ac:dyDescent="0.2">
      <c r="L546" s="34"/>
    </row>
    <row r="547" spans="12:12" ht="12.75" x14ac:dyDescent="0.2">
      <c r="L547" s="34"/>
    </row>
    <row r="548" spans="12:12" ht="12.75" x14ac:dyDescent="0.2">
      <c r="L548" s="34"/>
    </row>
    <row r="549" spans="12:12" ht="12.75" x14ac:dyDescent="0.2">
      <c r="L549" s="34"/>
    </row>
    <row r="550" spans="12:12" ht="12.75" x14ac:dyDescent="0.2">
      <c r="L550" s="34"/>
    </row>
    <row r="551" spans="12:12" ht="12.75" x14ac:dyDescent="0.2">
      <c r="L551" s="34"/>
    </row>
    <row r="552" spans="12:12" ht="12.75" x14ac:dyDescent="0.2">
      <c r="L552" s="34"/>
    </row>
    <row r="553" spans="12:12" ht="12.75" x14ac:dyDescent="0.2">
      <c r="L553" s="34"/>
    </row>
    <row r="554" spans="12:12" ht="12.75" x14ac:dyDescent="0.2">
      <c r="L554" s="34"/>
    </row>
    <row r="555" spans="12:12" ht="12.75" x14ac:dyDescent="0.2">
      <c r="L555" s="34"/>
    </row>
    <row r="556" spans="12:12" ht="12.75" x14ac:dyDescent="0.2">
      <c r="L556" s="34"/>
    </row>
    <row r="557" spans="12:12" ht="12.75" x14ac:dyDescent="0.2">
      <c r="L557" s="34"/>
    </row>
    <row r="558" spans="12:12" ht="12.75" x14ac:dyDescent="0.2">
      <c r="L558" s="34"/>
    </row>
    <row r="559" spans="12:12" ht="12.75" x14ac:dyDescent="0.2">
      <c r="L559" s="34"/>
    </row>
    <row r="560" spans="12:12" ht="12.75" x14ac:dyDescent="0.2">
      <c r="L560" s="34"/>
    </row>
    <row r="561" spans="12:12" ht="12.75" x14ac:dyDescent="0.2">
      <c r="L561" s="34"/>
    </row>
    <row r="562" spans="12:12" ht="12.75" x14ac:dyDescent="0.2">
      <c r="L562" s="34"/>
    </row>
    <row r="563" spans="12:12" ht="12.75" x14ac:dyDescent="0.2">
      <c r="L563" s="34"/>
    </row>
    <row r="564" spans="12:12" ht="12.75" x14ac:dyDescent="0.2">
      <c r="L564" s="34"/>
    </row>
    <row r="565" spans="12:12" ht="12.75" x14ac:dyDescent="0.2">
      <c r="L565" s="34"/>
    </row>
    <row r="566" spans="12:12" ht="12.75" x14ac:dyDescent="0.2">
      <c r="L566" s="34"/>
    </row>
    <row r="567" spans="12:12" ht="12.75" x14ac:dyDescent="0.2">
      <c r="L567" s="34"/>
    </row>
    <row r="568" spans="12:12" ht="12.75" x14ac:dyDescent="0.2">
      <c r="L568" s="34"/>
    </row>
    <row r="569" spans="12:12" ht="12.75" x14ac:dyDescent="0.2">
      <c r="L569" s="34"/>
    </row>
    <row r="570" spans="12:12" ht="12.75" x14ac:dyDescent="0.2">
      <c r="L570" s="34"/>
    </row>
    <row r="571" spans="12:12" ht="12.75" x14ac:dyDescent="0.2">
      <c r="L571" s="34"/>
    </row>
    <row r="572" spans="12:12" ht="12.75" x14ac:dyDescent="0.2">
      <c r="L572" s="34"/>
    </row>
    <row r="573" spans="12:12" ht="12.75" x14ac:dyDescent="0.2">
      <c r="L573" s="34"/>
    </row>
    <row r="574" spans="12:12" ht="12.75" x14ac:dyDescent="0.2">
      <c r="L574" s="34"/>
    </row>
    <row r="575" spans="12:12" ht="12.75" x14ac:dyDescent="0.2">
      <c r="L575" s="34"/>
    </row>
    <row r="576" spans="12:12" ht="12.75" x14ac:dyDescent="0.2">
      <c r="L576" s="34"/>
    </row>
    <row r="577" spans="12:12" ht="12.75" x14ac:dyDescent="0.2">
      <c r="L577" s="34"/>
    </row>
    <row r="578" spans="12:12" ht="12.75" x14ac:dyDescent="0.2">
      <c r="L578" s="34"/>
    </row>
    <row r="579" spans="12:12" ht="12.75" x14ac:dyDescent="0.2">
      <c r="L579" s="34"/>
    </row>
    <row r="580" spans="12:12" ht="12.75" x14ac:dyDescent="0.2">
      <c r="L580" s="34"/>
    </row>
    <row r="581" spans="12:12" ht="12.75" x14ac:dyDescent="0.2">
      <c r="L581" s="34"/>
    </row>
    <row r="582" spans="12:12" ht="12.75" x14ac:dyDescent="0.2">
      <c r="L582" s="34"/>
    </row>
    <row r="583" spans="12:12" ht="12.75" x14ac:dyDescent="0.2">
      <c r="L583" s="34"/>
    </row>
    <row r="584" spans="12:12" ht="12.75" x14ac:dyDescent="0.2">
      <c r="L584" s="34"/>
    </row>
    <row r="585" spans="12:12" ht="12.75" x14ac:dyDescent="0.2">
      <c r="L585" s="34"/>
    </row>
    <row r="586" spans="12:12" ht="12.75" x14ac:dyDescent="0.2">
      <c r="L586" s="34"/>
    </row>
    <row r="587" spans="12:12" ht="12.75" x14ac:dyDescent="0.2">
      <c r="L587" s="34"/>
    </row>
    <row r="588" spans="12:12" ht="12.75" x14ac:dyDescent="0.2">
      <c r="L588" s="34"/>
    </row>
    <row r="589" spans="12:12" ht="12.75" x14ac:dyDescent="0.2">
      <c r="L589" s="34"/>
    </row>
    <row r="590" spans="12:12" ht="12.75" x14ac:dyDescent="0.2">
      <c r="L590" s="34"/>
    </row>
    <row r="591" spans="12:12" ht="12.75" x14ac:dyDescent="0.2">
      <c r="L591" s="34"/>
    </row>
    <row r="592" spans="12:12" ht="12.75" x14ac:dyDescent="0.2">
      <c r="L592" s="34"/>
    </row>
    <row r="593" spans="12:12" ht="12.75" x14ac:dyDescent="0.2">
      <c r="L593" s="34"/>
    </row>
    <row r="594" spans="12:12" ht="12.75" x14ac:dyDescent="0.2">
      <c r="L594" s="34"/>
    </row>
    <row r="595" spans="12:12" ht="12.75" x14ac:dyDescent="0.2">
      <c r="L595" s="34"/>
    </row>
    <row r="596" spans="12:12" ht="12.75" x14ac:dyDescent="0.2">
      <c r="L596" s="34"/>
    </row>
    <row r="597" spans="12:12" ht="12.75" x14ac:dyDescent="0.2">
      <c r="L597" s="34"/>
    </row>
    <row r="598" spans="12:12" ht="12.75" x14ac:dyDescent="0.2">
      <c r="L598" s="34"/>
    </row>
    <row r="599" spans="12:12" ht="12.75" x14ac:dyDescent="0.2">
      <c r="L599" s="34"/>
    </row>
    <row r="600" spans="12:12" ht="12.75" x14ac:dyDescent="0.2">
      <c r="L600" s="34"/>
    </row>
    <row r="601" spans="12:12" ht="12.75" x14ac:dyDescent="0.2">
      <c r="L601" s="34"/>
    </row>
    <row r="602" spans="12:12" ht="12.75" x14ac:dyDescent="0.2">
      <c r="L602" s="34"/>
    </row>
    <row r="603" spans="12:12" ht="12.75" x14ac:dyDescent="0.2">
      <c r="L603" s="34"/>
    </row>
    <row r="604" spans="12:12" ht="12.75" x14ac:dyDescent="0.2">
      <c r="L604" s="34"/>
    </row>
    <row r="605" spans="12:12" ht="12.75" x14ac:dyDescent="0.2">
      <c r="L605" s="34"/>
    </row>
    <row r="606" spans="12:12" ht="12.75" x14ac:dyDescent="0.2">
      <c r="L606" s="34"/>
    </row>
    <row r="607" spans="12:12" ht="12.75" x14ac:dyDescent="0.2">
      <c r="L607" s="34"/>
    </row>
    <row r="608" spans="12:12" ht="12.75" x14ac:dyDescent="0.2">
      <c r="L608" s="34"/>
    </row>
    <row r="609" spans="12:12" ht="12.75" x14ac:dyDescent="0.2">
      <c r="L609" s="34"/>
    </row>
    <row r="610" spans="12:12" ht="12.75" x14ac:dyDescent="0.2">
      <c r="L610" s="34"/>
    </row>
    <row r="611" spans="12:12" ht="12.75" x14ac:dyDescent="0.2">
      <c r="L611" s="34"/>
    </row>
    <row r="612" spans="12:12" ht="12.75" x14ac:dyDescent="0.2">
      <c r="L612" s="34"/>
    </row>
    <row r="613" spans="12:12" ht="12.75" x14ac:dyDescent="0.2">
      <c r="L613" s="34"/>
    </row>
    <row r="614" spans="12:12" ht="12.75" x14ac:dyDescent="0.2">
      <c r="L614" s="34"/>
    </row>
    <row r="615" spans="12:12" ht="12.75" x14ac:dyDescent="0.2">
      <c r="L615" s="34"/>
    </row>
    <row r="616" spans="12:12" ht="12.75" x14ac:dyDescent="0.2">
      <c r="L616" s="34"/>
    </row>
    <row r="617" spans="12:12" ht="12.75" x14ac:dyDescent="0.2">
      <c r="L617" s="34"/>
    </row>
    <row r="618" spans="12:12" ht="12.75" x14ac:dyDescent="0.2">
      <c r="L618" s="34"/>
    </row>
    <row r="619" spans="12:12" ht="12.75" x14ac:dyDescent="0.2">
      <c r="L619" s="34"/>
    </row>
    <row r="620" spans="12:12" ht="12.75" x14ac:dyDescent="0.2">
      <c r="L620" s="34"/>
    </row>
    <row r="621" spans="12:12" ht="12.75" x14ac:dyDescent="0.2">
      <c r="L621" s="34"/>
    </row>
    <row r="622" spans="12:12" ht="12.75" x14ac:dyDescent="0.2">
      <c r="L622" s="34"/>
    </row>
    <row r="623" spans="12:12" ht="12.75" x14ac:dyDescent="0.2">
      <c r="L623" s="34"/>
    </row>
    <row r="624" spans="12:12" ht="12.75" x14ac:dyDescent="0.2">
      <c r="L624" s="34"/>
    </row>
    <row r="625" spans="12:12" ht="12.75" x14ac:dyDescent="0.2">
      <c r="L625" s="34"/>
    </row>
    <row r="626" spans="12:12" ht="12.75" x14ac:dyDescent="0.2">
      <c r="L626" s="34"/>
    </row>
    <row r="627" spans="12:12" ht="12.75" x14ac:dyDescent="0.2">
      <c r="L627" s="34"/>
    </row>
    <row r="628" spans="12:12" ht="12.75" x14ac:dyDescent="0.2">
      <c r="L628" s="34"/>
    </row>
    <row r="629" spans="12:12" ht="12.75" x14ac:dyDescent="0.2">
      <c r="L629" s="34"/>
    </row>
    <row r="630" spans="12:12" ht="12.75" x14ac:dyDescent="0.2">
      <c r="L630" s="34"/>
    </row>
    <row r="631" spans="12:12" ht="12.75" x14ac:dyDescent="0.2">
      <c r="L631" s="34"/>
    </row>
    <row r="632" spans="12:12" ht="12.75" x14ac:dyDescent="0.2">
      <c r="L632" s="34"/>
    </row>
    <row r="633" spans="12:12" ht="12.75" x14ac:dyDescent="0.2">
      <c r="L633" s="34"/>
    </row>
    <row r="634" spans="12:12" ht="12.75" x14ac:dyDescent="0.2">
      <c r="L634" s="34"/>
    </row>
    <row r="635" spans="12:12" ht="12.75" x14ac:dyDescent="0.2">
      <c r="L635" s="34"/>
    </row>
    <row r="636" spans="12:12" ht="12.75" x14ac:dyDescent="0.2">
      <c r="L636" s="34"/>
    </row>
    <row r="637" spans="12:12" ht="12.75" x14ac:dyDescent="0.2">
      <c r="L637" s="34"/>
    </row>
    <row r="638" spans="12:12" ht="12.75" x14ac:dyDescent="0.2">
      <c r="L638" s="34"/>
    </row>
    <row r="639" spans="12:12" ht="12.75" x14ac:dyDescent="0.2">
      <c r="L639" s="34"/>
    </row>
    <row r="640" spans="12:12" ht="12.75" x14ac:dyDescent="0.2">
      <c r="L640" s="34"/>
    </row>
    <row r="641" spans="12:12" ht="12.75" x14ac:dyDescent="0.2">
      <c r="L641" s="34"/>
    </row>
    <row r="642" spans="12:12" ht="12.75" x14ac:dyDescent="0.2">
      <c r="L642" s="34"/>
    </row>
    <row r="643" spans="12:12" ht="12.75" x14ac:dyDescent="0.2">
      <c r="L643" s="34"/>
    </row>
    <row r="644" spans="12:12" ht="12.75" x14ac:dyDescent="0.2">
      <c r="L644" s="34"/>
    </row>
    <row r="645" spans="12:12" ht="12.75" x14ac:dyDescent="0.2">
      <c r="L645" s="34"/>
    </row>
    <row r="646" spans="12:12" ht="12.75" x14ac:dyDescent="0.2">
      <c r="L646" s="34"/>
    </row>
    <row r="647" spans="12:12" ht="12.75" x14ac:dyDescent="0.2">
      <c r="L647" s="34"/>
    </row>
    <row r="648" spans="12:12" ht="12.75" x14ac:dyDescent="0.2">
      <c r="L648" s="34"/>
    </row>
    <row r="649" spans="12:12" ht="12.75" x14ac:dyDescent="0.2">
      <c r="L649" s="34"/>
    </row>
    <row r="650" spans="12:12" ht="12.75" x14ac:dyDescent="0.2">
      <c r="L650" s="34"/>
    </row>
    <row r="651" spans="12:12" ht="12.75" x14ac:dyDescent="0.2">
      <c r="L651" s="34"/>
    </row>
    <row r="652" spans="12:12" ht="12.75" x14ac:dyDescent="0.2">
      <c r="L652" s="34"/>
    </row>
    <row r="653" spans="12:12" ht="12.75" x14ac:dyDescent="0.2">
      <c r="L653" s="34"/>
    </row>
    <row r="654" spans="12:12" ht="12.75" x14ac:dyDescent="0.2">
      <c r="L654" s="34"/>
    </row>
    <row r="655" spans="12:12" ht="12.75" x14ac:dyDescent="0.2">
      <c r="L655" s="34"/>
    </row>
    <row r="656" spans="12:12" ht="12.75" x14ac:dyDescent="0.2">
      <c r="L656" s="34"/>
    </row>
    <row r="657" spans="12:12" ht="12.75" x14ac:dyDescent="0.2">
      <c r="L657" s="34"/>
    </row>
    <row r="658" spans="12:12" ht="12.75" x14ac:dyDescent="0.2">
      <c r="L658" s="34"/>
    </row>
    <row r="659" spans="12:12" ht="12.75" x14ac:dyDescent="0.2">
      <c r="L659" s="34"/>
    </row>
    <row r="660" spans="12:12" ht="12.75" x14ac:dyDescent="0.2">
      <c r="L660" s="34"/>
    </row>
    <row r="661" spans="12:12" ht="12.75" x14ac:dyDescent="0.2">
      <c r="L661" s="34"/>
    </row>
    <row r="662" spans="12:12" ht="12.75" x14ac:dyDescent="0.2">
      <c r="L662" s="34"/>
    </row>
    <row r="663" spans="12:12" ht="12.75" x14ac:dyDescent="0.2">
      <c r="L663" s="34"/>
    </row>
    <row r="664" spans="12:12" ht="12.75" x14ac:dyDescent="0.2">
      <c r="L664" s="34"/>
    </row>
    <row r="665" spans="12:12" ht="12.75" x14ac:dyDescent="0.2">
      <c r="L665" s="34"/>
    </row>
    <row r="666" spans="12:12" ht="12.75" x14ac:dyDescent="0.2">
      <c r="L666" s="34"/>
    </row>
    <row r="667" spans="12:12" ht="12.75" x14ac:dyDescent="0.2">
      <c r="L667" s="34"/>
    </row>
    <row r="668" spans="12:12" ht="12.75" x14ac:dyDescent="0.2">
      <c r="L668" s="34"/>
    </row>
    <row r="669" spans="12:12" ht="12.75" x14ac:dyDescent="0.2">
      <c r="L669" s="34"/>
    </row>
    <row r="670" spans="12:12" ht="12.75" x14ac:dyDescent="0.2">
      <c r="L670" s="34"/>
    </row>
    <row r="671" spans="12:12" ht="12.75" x14ac:dyDescent="0.2">
      <c r="L671" s="34"/>
    </row>
    <row r="672" spans="12:12" ht="12.75" x14ac:dyDescent="0.2">
      <c r="L672" s="34"/>
    </row>
    <row r="673" spans="12:12" ht="12.75" x14ac:dyDescent="0.2">
      <c r="L673" s="34"/>
    </row>
    <row r="674" spans="12:12" ht="12.75" x14ac:dyDescent="0.2">
      <c r="L674" s="34"/>
    </row>
    <row r="675" spans="12:12" ht="12.75" x14ac:dyDescent="0.2">
      <c r="L675" s="34"/>
    </row>
    <row r="676" spans="12:12" ht="12.75" x14ac:dyDescent="0.2">
      <c r="L676" s="34"/>
    </row>
    <row r="677" spans="12:12" ht="12.75" x14ac:dyDescent="0.2">
      <c r="L677" s="34"/>
    </row>
    <row r="678" spans="12:12" ht="12.75" x14ac:dyDescent="0.2">
      <c r="L678" s="34"/>
    </row>
    <row r="679" spans="12:12" ht="12.75" x14ac:dyDescent="0.2">
      <c r="L679" s="34"/>
    </row>
    <row r="680" spans="12:12" ht="12.75" x14ac:dyDescent="0.2">
      <c r="L680" s="34"/>
    </row>
    <row r="681" spans="12:12" ht="12.75" x14ac:dyDescent="0.2">
      <c r="L681" s="34"/>
    </row>
    <row r="682" spans="12:12" ht="12.75" x14ac:dyDescent="0.2">
      <c r="L682" s="34"/>
    </row>
    <row r="683" spans="12:12" ht="12.75" x14ac:dyDescent="0.2">
      <c r="L683" s="34"/>
    </row>
    <row r="684" spans="12:12" ht="12.75" x14ac:dyDescent="0.2">
      <c r="L684" s="34"/>
    </row>
    <row r="685" spans="12:12" ht="12.75" x14ac:dyDescent="0.2">
      <c r="L685" s="34"/>
    </row>
    <row r="686" spans="12:12" ht="12.75" x14ac:dyDescent="0.2">
      <c r="L686" s="34"/>
    </row>
    <row r="687" spans="12:12" ht="12.75" x14ac:dyDescent="0.2">
      <c r="L687" s="34"/>
    </row>
    <row r="688" spans="12:12" ht="12.75" x14ac:dyDescent="0.2">
      <c r="L688" s="34"/>
    </row>
    <row r="689" spans="12:12" ht="12.75" x14ac:dyDescent="0.2">
      <c r="L689" s="34"/>
    </row>
    <row r="690" spans="12:12" ht="12.75" x14ac:dyDescent="0.2">
      <c r="L690" s="34"/>
    </row>
    <row r="691" spans="12:12" ht="12.75" x14ac:dyDescent="0.2">
      <c r="L691" s="34"/>
    </row>
    <row r="692" spans="12:12" ht="12.75" x14ac:dyDescent="0.2">
      <c r="L692" s="34"/>
    </row>
    <row r="693" spans="12:12" ht="12.75" x14ac:dyDescent="0.2">
      <c r="L693" s="34"/>
    </row>
    <row r="694" spans="12:12" ht="12.75" x14ac:dyDescent="0.2">
      <c r="L694" s="34"/>
    </row>
    <row r="695" spans="12:12" ht="12.75" x14ac:dyDescent="0.2">
      <c r="L695" s="34"/>
    </row>
    <row r="696" spans="12:12" ht="12.75" x14ac:dyDescent="0.2">
      <c r="L696" s="34"/>
    </row>
    <row r="697" spans="12:12" ht="12.75" x14ac:dyDescent="0.2">
      <c r="L697" s="34"/>
    </row>
    <row r="698" spans="12:12" ht="12.75" x14ac:dyDescent="0.2">
      <c r="L698" s="34"/>
    </row>
    <row r="699" spans="12:12" ht="12.75" x14ac:dyDescent="0.2">
      <c r="L699" s="34"/>
    </row>
    <row r="700" spans="12:12" ht="12.75" x14ac:dyDescent="0.2">
      <c r="L700" s="34"/>
    </row>
    <row r="701" spans="12:12" ht="12.75" x14ac:dyDescent="0.2">
      <c r="L701" s="34"/>
    </row>
    <row r="702" spans="12:12" ht="12.75" x14ac:dyDescent="0.2">
      <c r="L702" s="34"/>
    </row>
    <row r="703" spans="12:12" ht="12.75" x14ac:dyDescent="0.2">
      <c r="L703" s="34"/>
    </row>
    <row r="704" spans="12:12" ht="12.75" x14ac:dyDescent="0.2">
      <c r="L704" s="34"/>
    </row>
    <row r="705" spans="12:12" ht="12.75" x14ac:dyDescent="0.2">
      <c r="L705" s="34"/>
    </row>
    <row r="706" spans="12:12" ht="12.75" x14ac:dyDescent="0.2">
      <c r="L706" s="34"/>
    </row>
    <row r="707" spans="12:12" ht="12.75" x14ac:dyDescent="0.2">
      <c r="L707" s="34"/>
    </row>
    <row r="708" spans="12:12" ht="12.75" x14ac:dyDescent="0.2">
      <c r="L708" s="34"/>
    </row>
    <row r="709" spans="12:12" ht="12.75" x14ac:dyDescent="0.2">
      <c r="L709" s="34"/>
    </row>
    <row r="710" spans="12:12" ht="12.75" x14ac:dyDescent="0.2">
      <c r="L710" s="34"/>
    </row>
    <row r="711" spans="12:12" ht="12.75" x14ac:dyDescent="0.2">
      <c r="L711" s="34"/>
    </row>
    <row r="712" spans="12:12" ht="12.75" x14ac:dyDescent="0.2">
      <c r="L712" s="34"/>
    </row>
    <row r="713" spans="12:12" ht="12.75" x14ac:dyDescent="0.2">
      <c r="L713" s="34"/>
    </row>
    <row r="714" spans="12:12" ht="12.75" x14ac:dyDescent="0.2">
      <c r="L714" s="34"/>
    </row>
    <row r="715" spans="12:12" ht="12.75" x14ac:dyDescent="0.2">
      <c r="L715" s="34"/>
    </row>
    <row r="716" spans="12:12" ht="12.75" x14ac:dyDescent="0.2">
      <c r="L716" s="34"/>
    </row>
    <row r="717" spans="12:12" ht="12.75" x14ac:dyDescent="0.2">
      <c r="L717" s="34"/>
    </row>
    <row r="718" spans="12:12" ht="12.75" x14ac:dyDescent="0.2">
      <c r="L718" s="34"/>
    </row>
    <row r="719" spans="12:12" ht="12.75" x14ac:dyDescent="0.2">
      <c r="L719" s="34"/>
    </row>
    <row r="720" spans="12:12" ht="12.75" x14ac:dyDescent="0.2">
      <c r="L720" s="34"/>
    </row>
    <row r="721" spans="12:12" ht="12.75" x14ac:dyDescent="0.2">
      <c r="L721" s="34"/>
    </row>
    <row r="722" spans="12:12" ht="12.75" x14ac:dyDescent="0.2">
      <c r="L722" s="34"/>
    </row>
    <row r="723" spans="12:12" ht="12.75" x14ac:dyDescent="0.2">
      <c r="L723" s="34"/>
    </row>
    <row r="724" spans="12:12" ht="12.75" x14ac:dyDescent="0.2">
      <c r="L724" s="34"/>
    </row>
    <row r="725" spans="12:12" ht="12.75" x14ac:dyDescent="0.2">
      <c r="L725" s="34"/>
    </row>
    <row r="726" spans="12:12" ht="12.75" x14ac:dyDescent="0.2">
      <c r="L726" s="34"/>
    </row>
    <row r="727" spans="12:12" ht="12.75" x14ac:dyDescent="0.2">
      <c r="L727" s="34"/>
    </row>
    <row r="728" spans="12:12" ht="12.75" x14ac:dyDescent="0.2">
      <c r="L728" s="34"/>
    </row>
    <row r="729" spans="12:12" ht="12.75" x14ac:dyDescent="0.2">
      <c r="L729" s="34"/>
    </row>
    <row r="730" spans="12:12" ht="12.75" x14ac:dyDescent="0.2">
      <c r="L730" s="34"/>
    </row>
    <row r="731" spans="12:12" ht="12.75" x14ac:dyDescent="0.2">
      <c r="L731" s="34"/>
    </row>
    <row r="732" spans="12:12" ht="12.75" x14ac:dyDescent="0.2">
      <c r="L732" s="34"/>
    </row>
    <row r="733" spans="12:12" ht="12.75" x14ac:dyDescent="0.2">
      <c r="L733" s="34"/>
    </row>
    <row r="734" spans="12:12" ht="12.75" x14ac:dyDescent="0.2">
      <c r="L734" s="34"/>
    </row>
    <row r="735" spans="12:12" ht="12.75" x14ac:dyDescent="0.2">
      <c r="L735" s="34"/>
    </row>
    <row r="736" spans="12:12" ht="12.75" x14ac:dyDescent="0.2">
      <c r="L736" s="34"/>
    </row>
    <row r="737" spans="12:12" ht="12.75" x14ac:dyDescent="0.2">
      <c r="L737" s="34"/>
    </row>
    <row r="738" spans="12:12" ht="12.75" x14ac:dyDescent="0.2">
      <c r="L738" s="34"/>
    </row>
    <row r="739" spans="12:12" ht="12.75" x14ac:dyDescent="0.2">
      <c r="L739" s="34"/>
    </row>
    <row r="740" spans="12:12" ht="12.75" x14ac:dyDescent="0.2">
      <c r="L740" s="34"/>
    </row>
    <row r="741" spans="12:12" ht="12.75" x14ac:dyDescent="0.2">
      <c r="L741" s="34"/>
    </row>
    <row r="742" spans="12:12" ht="12.75" x14ac:dyDescent="0.2">
      <c r="L742" s="34"/>
    </row>
    <row r="743" spans="12:12" ht="12.75" x14ac:dyDescent="0.2">
      <c r="L743" s="34"/>
    </row>
    <row r="744" spans="12:12" ht="12.75" x14ac:dyDescent="0.2">
      <c r="L744" s="34"/>
    </row>
    <row r="745" spans="12:12" ht="12.75" x14ac:dyDescent="0.2">
      <c r="L745" s="34"/>
    </row>
    <row r="746" spans="12:12" ht="12.75" x14ac:dyDescent="0.2">
      <c r="L746" s="34"/>
    </row>
    <row r="747" spans="12:12" ht="12.75" x14ac:dyDescent="0.2">
      <c r="L747" s="34"/>
    </row>
    <row r="748" spans="12:12" ht="12.75" x14ac:dyDescent="0.2">
      <c r="L748" s="34"/>
    </row>
    <row r="749" spans="12:12" ht="12.75" x14ac:dyDescent="0.2">
      <c r="L749" s="34"/>
    </row>
    <row r="750" spans="12:12" ht="12.75" x14ac:dyDescent="0.2">
      <c r="L750" s="34"/>
    </row>
    <row r="751" spans="12:12" ht="12.75" x14ac:dyDescent="0.2">
      <c r="L751" s="34"/>
    </row>
    <row r="752" spans="12:12" ht="12.75" x14ac:dyDescent="0.2">
      <c r="L752" s="34"/>
    </row>
    <row r="753" spans="12:12" ht="12.75" x14ac:dyDescent="0.2">
      <c r="L753" s="34"/>
    </row>
    <row r="754" spans="12:12" ht="12.75" x14ac:dyDescent="0.2">
      <c r="L754" s="34"/>
    </row>
    <row r="755" spans="12:12" ht="12.75" x14ac:dyDescent="0.2">
      <c r="L755" s="34"/>
    </row>
    <row r="756" spans="12:12" ht="12.75" x14ac:dyDescent="0.2">
      <c r="L756" s="34"/>
    </row>
    <row r="757" spans="12:12" ht="12.75" x14ac:dyDescent="0.2">
      <c r="L757" s="34"/>
    </row>
    <row r="758" spans="12:12" ht="12.75" x14ac:dyDescent="0.2">
      <c r="L758" s="34"/>
    </row>
    <row r="759" spans="12:12" ht="12.75" x14ac:dyDescent="0.2">
      <c r="L759" s="34"/>
    </row>
    <row r="760" spans="12:12" ht="12.75" x14ac:dyDescent="0.2">
      <c r="L760" s="34"/>
    </row>
    <row r="761" spans="12:12" ht="12.75" x14ac:dyDescent="0.2">
      <c r="L761" s="34"/>
    </row>
    <row r="762" spans="12:12" ht="12.75" x14ac:dyDescent="0.2">
      <c r="L762" s="34"/>
    </row>
    <row r="763" spans="12:12" ht="12.75" x14ac:dyDescent="0.2">
      <c r="L763" s="34"/>
    </row>
    <row r="764" spans="12:12" ht="12.75" x14ac:dyDescent="0.2">
      <c r="L764" s="34"/>
    </row>
    <row r="765" spans="12:12" ht="12.75" x14ac:dyDescent="0.2">
      <c r="L765" s="34"/>
    </row>
    <row r="766" spans="12:12" ht="12.75" x14ac:dyDescent="0.2">
      <c r="L766" s="34"/>
    </row>
    <row r="767" spans="12:12" ht="12.75" x14ac:dyDescent="0.2">
      <c r="L767" s="34"/>
    </row>
    <row r="768" spans="12:12" ht="12.75" x14ac:dyDescent="0.2">
      <c r="L768" s="34"/>
    </row>
    <row r="769" spans="12:12" ht="12.75" x14ac:dyDescent="0.2">
      <c r="L769" s="34"/>
    </row>
    <row r="770" spans="12:12" ht="12.75" x14ac:dyDescent="0.2">
      <c r="L770" s="34"/>
    </row>
    <row r="771" spans="12:12" ht="12.75" x14ac:dyDescent="0.2">
      <c r="L771" s="34"/>
    </row>
    <row r="772" spans="12:12" ht="12.75" x14ac:dyDescent="0.2">
      <c r="L772" s="34"/>
    </row>
    <row r="773" spans="12:12" ht="12.75" x14ac:dyDescent="0.2">
      <c r="L773" s="34"/>
    </row>
    <row r="774" spans="12:12" ht="12.75" x14ac:dyDescent="0.2">
      <c r="L774" s="34"/>
    </row>
    <row r="775" spans="12:12" ht="12.75" x14ac:dyDescent="0.2">
      <c r="L775" s="34"/>
    </row>
    <row r="776" spans="12:12" ht="12.75" x14ac:dyDescent="0.2">
      <c r="L776" s="34"/>
    </row>
    <row r="777" spans="12:12" ht="12.75" x14ac:dyDescent="0.2">
      <c r="L777" s="34"/>
    </row>
    <row r="778" spans="12:12" ht="12.75" x14ac:dyDescent="0.2">
      <c r="L778" s="34"/>
    </row>
    <row r="779" spans="12:12" ht="12.75" x14ac:dyDescent="0.2">
      <c r="L779" s="34"/>
    </row>
    <row r="780" spans="12:12" ht="12.75" x14ac:dyDescent="0.2">
      <c r="L780" s="34"/>
    </row>
    <row r="781" spans="12:12" ht="12.75" x14ac:dyDescent="0.2">
      <c r="L781" s="34"/>
    </row>
    <row r="782" spans="12:12" ht="12.75" x14ac:dyDescent="0.2">
      <c r="L782" s="34"/>
    </row>
    <row r="783" spans="12:12" ht="12.75" x14ac:dyDescent="0.2">
      <c r="L783" s="34"/>
    </row>
    <row r="784" spans="12:12" ht="12.75" x14ac:dyDescent="0.2">
      <c r="L784" s="34"/>
    </row>
    <row r="785" spans="12:12" ht="12.75" x14ac:dyDescent="0.2">
      <c r="L785" s="34"/>
    </row>
    <row r="786" spans="12:12" ht="12.75" x14ac:dyDescent="0.2">
      <c r="L786" s="34"/>
    </row>
    <row r="787" spans="12:12" ht="12.75" x14ac:dyDescent="0.2">
      <c r="L787" s="34"/>
    </row>
    <row r="788" spans="12:12" ht="12.75" x14ac:dyDescent="0.2">
      <c r="L788" s="34"/>
    </row>
    <row r="789" spans="12:12" ht="12.75" x14ac:dyDescent="0.2">
      <c r="L789" s="34"/>
    </row>
    <row r="790" spans="12:12" ht="12.75" x14ac:dyDescent="0.2">
      <c r="L790" s="34"/>
    </row>
    <row r="791" spans="12:12" ht="12.75" x14ac:dyDescent="0.2">
      <c r="L791" s="34"/>
    </row>
    <row r="792" spans="12:12" ht="12.75" x14ac:dyDescent="0.2">
      <c r="L792" s="34"/>
    </row>
    <row r="793" spans="12:12" ht="12.75" x14ac:dyDescent="0.2">
      <c r="L793" s="34"/>
    </row>
    <row r="794" spans="12:12" ht="12.75" x14ac:dyDescent="0.2">
      <c r="L794" s="34"/>
    </row>
    <row r="795" spans="12:12" ht="12.75" x14ac:dyDescent="0.2">
      <c r="L795" s="34"/>
    </row>
    <row r="796" spans="12:12" ht="12.75" x14ac:dyDescent="0.2">
      <c r="L796" s="34"/>
    </row>
    <row r="797" spans="12:12" ht="12.75" x14ac:dyDescent="0.2">
      <c r="L797" s="34"/>
    </row>
    <row r="798" spans="12:12" ht="12.75" x14ac:dyDescent="0.2">
      <c r="L798" s="34"/>
    </row>
    <row r="799" spans="12:12" ht="12.75" x14ac:dyDescent="0.2">
      <c r="L799" s="34"/>
    </row>
    <row r="800" spans="12:12" ht="12.75" x14ac:dyDescent="0.2">
      <c r="L800" s="34"/>
    </row>
    <row r="801" spans="12:12" ht="12.75" x14ac:dyDescent="0.2">
      <c r="L801" s="34"/>
    </row>
    <row r="802" spans="12:12" ht="12.75" x14ac:dyDescent="0.2">
      <c r="L802" s="34"/>
    </row>
    <row r="803" spans="12:12" ht="12.75" x14ac:dyDescent="0.2">
      <c r="L803" s="34"/>
    </row>
    <row r="804" spans="12:12" ht="12.75" x14ac:dyDescent="0.2">
      <c r="L804" s="34"/>
    </row>
    <row r="805" spans="12:12" ht="12.75" x14ac:dyDescent="0.2">
      <c r="L805" s="34"/>
    </row>
    <row r="806" spans="12:12" ht="12.75" x14ac:dyDescent="0.2">
      <c r="L806" s="34"/>
    </row>
    <row r="807" spans="12:12" ht="12.75" x14ac:dyDescent="0.2">
      <c r="L807" s="34"/>
    </row>
    <row r="808" spans="12:12" ht="12.75" x14ac:dyDescent="0.2">
      <c r="L808" s="34"/>
    </row>
    <row r="809" spans="12:12" ht="12.75" x14ac:dyDescent="0.2">
      <c r="L809" s="34"/>
    </row>
    <row r="810" spans="12:12" ht="12.75" x14ac:dyDescent="0.2">
      <c r="L810" s="34"/>
    </row>
    <row r="811" spans="12:12" ht="12.75" x14ac:dyDescent="0.2">
      <c r="L811" s="34"/>
    </row>
    <row r="812" spans="12:12" ht="12.75" x14ac:dyDescent="0.2">
      <c r="L812" s="34"/>
    </row>
    <row r="813" spans="12:12" ht="12.75" x14ac:dyDescent="0.2">
      <c r="L813" s="34"/>
    </row>
    <row r="814" spans="12:12" ht="12.75" x14ac:dyDescent="0.2">
      <c r="L814" s="34"/>
    </row>
    <row r="815" spans="12:12" ht="12.75" x14ac:dyDescent="0.2">
      <c r="L815" s="34"/>
    </row>
    <row r="816" spans="12:12" ht="12.75" x14ac:dyDescent="0.2">
      <c r="L816" s="34"/>
    </row>
    <row r="817" spans="12:12" ht="12.75" x14ac:dyDescent="0.2">
      <c r="L817" s="34"/>
    </row>
    <row r="818" spans="12:12" ht="12.75" x14ac:dyDescent="0.2">
      <c r="L818" s="34"/>
    </row>
    <row r="819" spans="12:12" ht="12.75" x14ac:dyDescent="0.2">
      <c r="L819" s="34"/>
    </row>
    <row r="820" spans="12:12" ht="12.75" x14ac:dyDescent="0.2">
      <c r="L820" s="34"/>
    </row>
    <row r="821" spans="12:12" ht="12.75" x14ac:dyDescent="0.2">
      <c r="L821" s="34"/>
    </row>
    <row r="822" spans="12:12" ht="12.75" x14ac:dyDescent="0.2">
      <c r="L822" s="34"/>
    </row>
    <row r="823" spans="12:12" ht="12.75" x14ac:dyDescent="0.2">
      <c r="L823" s="34"/>
    </row>
    <row r="824" spans="12:12" ht="12.75" x14ac:dyDescent="0.2">
      <c r="L824" s="34"/>
    </row>
    <row r="825" spans="12:12" ht="12.75" x14ac:dyDescent="0.2">
      <c r="L825" s="34"/>
    </row>
    <row r="826" spans="12:12" ht="12.75" x14ac:dyDescent="0.2">
      <c r="L826" s="34"/>
    </row>
    <row r="827" spans="12:12" ht="12.75" x14ac:dyDescent="0.2">
      <c r="L827" s="34"/>
    </row>
    <row r="828" spans="12:12" ht="12.75" x14ac:dyDescent="0.2">
      <c r="L828" s="34"/>
    </row>
    <row r="829" spans="12:12" ht="12.75" x14ac:dyDescent="0.2">
      <c r="L829" s="34"/>
    </row>
    <row r="830" spans="12:12" ht="12.75" x14ac:dyDescent="0.2">
      <c r="L830" s="34"/>
    </row>
    <row r="831" spans="12:12" ht="12.75" x14ac:dyDescent="0.2">
      <c r="L831" s="34"/>
    </row>
    <row r="832" spans="12:12" ht="12.75" x14ac:dyDescent="0.2">
      <c r="L832" s="34"/>
    </row>
    <row r="833" spans="12:12" ht="12.75" x14ac:dyDescent="0.2">
      <c r="L833" s="34"/>
    </row>
    <row r="834" spans="12:12" ht="12.75" x14ac:dyDescent="0.2">
      <c r="L834" s="34"/>
    </row>
    <row r="835" spans="12:12" ht="12.75" x14ac:dyDescent="0.2">
      <c r="L835" s="34"/>
    </row>
    <row r="836" spans="12:12" ht="12.75" x14ac:dyDescent="0.2">
      <c r="L836" s="34"/>
    </row>
    <row r="837" spans="12:12" ht="12.75" x14ac:dyDescent="0.2">
      <c r="L837" s="34"/>
    </row>
    <row r="838" spans="12:12" ht="12.75" x14ac:dyDescent="0.2">
      <c r="L838" s="34"/>
    </row>
    <row r="839" spans="12:12" ht="12.75" x14ac:dyDescent="0.2">
      <c r="L839" s="34"/>
    </row>
    <row r="840" spans="12:12" ht="12.75" x14ac:dyDescent="0.2">
      <c r="L840" s="34"/>
    </row>
    <row r="841" spans="12:12" ht="12.75" x14ac:dyDescent="0.2">
      <c r="L841" s="34"/>
    </row>
    <row r="842" spans="12:12" ht="12.75" x14ac:dyDescent="0.2">
      <c r="L842" s="34"/>
    </row>
    <row r="843" spans="12:12" ht="12.75" x14ac:dyDescent="0.2">
      <c r="L843" s="34"/>
    </row>
    <row r="844" spans="12:12" ht="12.75" x14ac:dyDescent="0.2">
      <c r="L844" s="34"/>
    </row>
    <row r="845" spans="12:12" ht="12.75" x14ac:dyDescent="0.2">
      <c r="L845" s="34"/>
    </row>
    <row r="846" spans="12:12" ht="12.75" x14ac:dyDescent="0.2">
      <c r="L846" s="34"/>
    </row>
    <row r="847" spans="12:12" ht="12.75" x14ac:dyDescent="0.2">
      <c r="L847" s="34"/>
    </row>
    <row r="848" spans="12:12" ht="12.75" x14ac:dyDescent="0.2">
      <c r="L848" s="34"/>
    </row>
    <row r="849" spans="12:12" ht="12.75" x14ac:dyDescent="0.2">
      <c r="L849" s="34"/>
    </row>
    <row r="850" spans="12:12" ht="12.75" x14ac:dyDescent="0.2">
      <c r="L850" s="34"/>
    </row>
    <row r="851" spans="12:12" ht="12.75" x14ac:dyDescent="0.2">
      <c r="L851" s="34"/>
    </row>
    <row r="852" spans="12:12" ht="12.75" x14ac:dyDescent="0.2">
      <c r="L852" s="34"/>
    </row>
    <row r="853" spans="12:12" ht="12.75" x14ac:dyDescent="0.2">
      <c r="L853" s="34"/>
    </row>
    <row r="854" spans="12:12" ht="12.75" x14ac:dyDescent="0.2">
      <c r="L854" s="34"/>
    </row>
    <row r="855" spans="12:12" ht="12.75" x14ac:dyDescent="0.2">
      <c r="L855" s="34"/>
    </row>
    <row r="856" spans="12:12" ht="12.75" x14ac:dyDescent="0.2">
      <c r="L856" s="34"/>
    </row>
    <row r="857" spans="12:12" ht="12.75" x14ac:dyDescent="0.2">
      <c r="L857" s="34"/>
    </row>
    <row r="858" spans="12:12" ht="12.75" x14ac:dyDescent="0.2">
      <c r="L858" s="34"/>
    </row>
    <row r="859" spans="12:12" ht="12.75" x14ac:dyDescent="0.2">
      <c r="L859" s="34"/>
    </row>
    <row r="860" spans="12:12" ht="12.75" x14ac:dyDescent="0.2">
      <c r="L860" s="34"/>
    </row>
    <row r="861" spans="12:12" ht="12.75" x14ac:dyDescent="0.2">
      <c r="L861" s="34"/>
    </row>
    <row r="862" spans="12:12" ht="12.75" x14ac:dyDescent="0.2">
      <c r="L862" s="34"/>
    </row>
    <row r="863" spans="12:12" ht="12.75" x14ac:dyDescent="0.2">
      <c r="L863" s="34"/>
    </row>
    <row r="864" spans="12:12" ht="12.75" x14ac:dyDescent="0.2">
      <c r="L864" s="34"/>
    </row>
    <row r="865" spans="12:12" ht="12.75" x14ac:dyDescent="0.2">
      <c r="L865" s="34"/>
    </row>
    <row r="866" spans="12:12" ht="12.75" x14ac:dyDescent="0.2">
      <c r="L866" s="34"/>
    </row>
    <row r="867" spans="12:12" ht="12.75" x14ac:dyDescent="0.2">
      <c r="L867" s="34"/>
    </row>
    <row r="868" spans="12:12" ht="12.75" x14ac:dyDescent="0.2">
      <c r="L868" s="34"/>
    </row>
    <row r="869" spans="12:12" ht="12.75" x14ac:dyDescent="0.2">
      <c r="L869" s="34"/>
    </row>
    <row r="870" spans="12:12" ht="12.75" x14ac:dyDescent="0.2">
      <c r="L870" s="34"/>
    </row>
    <row r="871" spans="12:12" ht="12.75" x14ac:dyDescent="0.2">
      <c r="L871" s="34"/>
    </row>
    <row r="872" spans="12:12" ht="12.75" x14ac:dyDescent="0.2">
      <c r="L872" s="34"/>
    </row>
    <row r="873" spans="12:12" ht="12.75" x14ac:dyDescent="0.2">
      <c r="L873" s="34"/>
    </row>
    <row r="874" spans="12:12" ht="12.75" x14ac:dyDescent="0.2">
      <c r="L874" s="34"/>
    </row>
    <row r="875" spans="12:12" ht="12.75" x14ac:dyDescent="0.2">
      <c r="L875" s="34"/>
    </row>
    <row r="876" spans="12:12" ht="12.75" x14ac:dyDescent="0.2">
      <c r="L876" s="34"/>
    </row>
    <row r="877" spans="12:12" ht="12.75" x14ac:dyDescent="0.2">
      <c r="L877" s="34"/>
    </row>
    <row r="878" spans="12:12" ht="12.75" x14ac:dyDescent="0.2">
      <c r="L878" s="34"/>
    </row>
    <row r="879" spans="12:12" ht="12.75" x14ac:dyDescent="0.2">
      <c r="L879" s="34"/>
    </row>
    <row r="880" spans="12:12" ht="12.75" x14ac:dyDescent="0.2">
      <c r="L880" s="34"/>
    </row>
    <row r="881" spans="12:12" ht="12.75" x14ac:dyDescent="0.2">
      <c r="L881" s="34"/>
    </row>
    <row r="882" spans="12:12" ht="12.75" x14ac:dyDescent="0.2">
      <c r="L882" s="34"/>
    </row>
    <row r="883" spans="12:12" ht="12.75" x14ac:dyDescent="0.2">
      <c r="L883" s="34"/>
    </row>
    <row r="884" spans="12:12" ht="12.75" x14ac:dyDescent="0.2">
      <c r="L884" s="34"/>
    </row>
    <row r="885" spans="12:12" ht="12.75" x14ac:dyDescent="0.2">
      <c r="L885" s="34"/>
    </row>
    <row r="886" spans="12:12" ht="12.75" x14ac:dyDescent="0.2">
      <c r="L886" s="34"/>
    </row>
    <row r="887" spans="12:12" ht="12.75" x14ac:dyDescent="0.2">
      <c r="L887" s="34"/>
    </row>
    <row r="888" spans="12:12" ht="12.75" x14ac:dyDescent="0.2">
      <c r="L888" s="34"/>
    </row>
    <row r="889" spans="12:12" ht="12.75" x14ac:dyDescent="0.2">
      <c r="L889" s="34"/>
    </row>
    <row r="890" spans="12:12" ht="12.75" x14ac:dyDescent="0.2">
      <c r="L890" s="34"/>
    </row>
    <row r="891" spans="12:12" ht="12.75" x14ac:dyDescent="0.2">
      <c r="L891" s="34"/>
    </row>
    <row r="892" spans="12:12" ht="12.75" x14ac:dyDescent="0.2">
      <c r="L892" s="34"/>
    </row>
    <row r="893" spans="12:12" ht="12.75" x14ac:dyDescent="0.2">
      <c r="L893" s="34"/>
    </row>
    <row r="894" spans="12:12" ht="12.75" x14ac:dyDescent="0.2">
      <c r="L894" s="34"/>
    </row>
    <row r="895" spans="12:12" ht="12.75" x14ac:dyDescent="0.2">
      <c r="L895" s="34"/>
    </row>
    <row r="896" spans="12:12" ht="12.75" x14ac:dyDescent="0.2">
      <c r="L896" s="34"/>
    </row>
    <row r="897" spans="12:12" ht="12.75" x14ac:dyDescent="0.2">
      <c r="L897" s="34"/>
    </row>
    <row r="898" spans="12:12" ht="12.75" x14ac:dyDescent="0.2">
      <c r="L898" s="34"/>
    </row>
    <row r="899" spans="12:12" ht="12.75" x14ac:dyDescent="0.2">
      <c r="L899" s="34"/>
    </row>
    <row r="900" spans="12:12" ht="12.75" x14ac:dyDescent="0.2">
      <c r="L900" s="34"/>
    </row>
    <row r="901" spans="12:12" ht="12.75" x14ac:dyDescent="0.2">
      <c r="L901" s="34"/>
    </row>
    <row r="902" spans="12:12" ht="12.75" x14ac:dyDescent="0.2">
      <c r="L902" s="34"/>
    </row>
    <row r="903" spans="12:12" ht="12.75" x14ac:dyDescent="0.2">
      <c r="L903" s="34"/>
    </row>
    <row r="904" spans="12:12" ht="12.75" x14ac:dyDescent="0.2">
      <c r="L904" s="34"/>
    </row>
    <row r="905" spans="12:12" ht="12.75" x14ac:dyDescent="0.2">
      <c r="L905" s="34"/>
    </row>
    <row r="906" spans="12:12" ht="12.75" x14ac:dyDescent="0.2">
      <c r="L906" s="34"/>
    </row>
    <row r="907" spans="12:12" ht="12.75" x14ac:dyDescent="0.2">
      <c r="L907" s="34"/>
    </row>
    <row r="908" spans="12:12" ht="12.75" x14ac:dyDescent="0.2">
      <c r="L908" s="34"/>
    </row>
    <row r="909" spans="12:12" ht="12.75" x14ac:dyDescent="0.2">
      <c r="L909" s="34"/>
    </row>
    <row r="910" spans="12:12" ht="12.75" x14ac:dyDescent="0.2">
      <c r="L910" s="34"/>
    </row>
    <row r="911" spans="12:12" ht="12.75" x14ac:dyDescent="0.2">
      <c r="L911" s="34"/>
    </row>
    <row r="912" spans="12:12" ht="12.75" x14ac:dyDescent="0.2">
      <c r="L912" s="34"/>
    </row>
    <row r="913" spans="12:12" ht="12.75" x14ac:dyDescent="0.2">
      <c r="L913" s="34"/>
    </row>
    <row r="914" spans="12:12" ht="12.75" x14ac:dyDescent="0.2">
      <c r="L914" s="34"/>
    </row>
    <row r="915" spans="12:12" ht="12.75" x14ac:dyDescent="0.2">
      <c r="L915" s="34"/>
    </row>
    <row r="916" spans="12:12" ht="12.75" x14ac:dyDescent="0.2">
      <c r="L916" s="34"/>
    </row>
    <row r="917" spans="12:12" ht="12.75" x14ac:dyDescent="0.2">
      <c r="L917" s="34"/>
    </row>
    <row r="918" spans="12:12" ht="12.75" x14ac:dyDescent="0.2">
      <c r="L918" s="34"/>
    </row>
    <row r="919" spans="12:12" ht="12.75" x14ac:dyDescent="0.2">
      <c r="L919" s="34"/>
    </row>
    <row r="920" spans="12:12" ht="12.75" x14ac:dyDescent="0.2">
      <c r="L920" s="34"/>
    </row>
    <row r="921" spans="12:12" ht="12.75" x14ac:dyDescent="0.2">
      <c r="L921" s="34"/>
    </row>
    <row r="922" spans="12:12" ht="12.75" x14ac:dyDescent="0.2">
      <c r="L922" s="34"/>
    </row>
    <row r="923" spans="12:12" ht="12.75" x14ac:dyDescent="0.2">
      <c r="L923" s="34"/>
    </row>
    <row r="924" spans="12:12" ht="12.75" x14ac:dyDescent="0.2">
      <c r="L924" s="34"/>
    </row>
    <row r="925" spans="12:12" ht="12.75" x14ac:dyDescent="0.2">
      <c r="L925" s="34"/>
    </row>
    <row r="926" spans="12:12" ht="12.75" x14ac:dyDescent="0.2">
      <c r="L926" s="34"/>
    </row>
    <row r="927" spans="12:12" ht="12.75" x14ac:dyDescent="0.2">
      <c r="L927" s="34"/>
    </row>
    <row r="928" spans="12:12" ht="12.75" x14ac:dyDescent="0.2">
      <c r="L928" s="34"/>
    </row>
    <row r="929" spans="12:12" ht="12.75" x14ac:dyDescent="0.2">
      <c r="L929" s="34"/>
    </row>
    <row r="930" spans="12:12" ht="12.75" x14ac:dyDescent="0.2">
      <c r="L930" s="34"/>
    </row>
    <row r="931" spans="12:12" ht="12.75" x14ac:dyDescent="0.2">
      <c r="L931" s="34"/>
    </row>
    <row r="932" spans="12:12" ht="12.75" x14ac:dyDescent="0.2">
      <c r="L932" s="34"/>
    </row>
    <row r="933" spans="12:12" ht="12.75" x14ac:dyDescent="0.2">
      <c r="L933" s="34"/>
    </row>
    <row r="934" spans="12:12" ht="12.75" x14ac:dyDescent="0.2">
      <c r="L934" s="34"/>
    </row>
    <row r="935" spans="12:12" ht="12.75" x14ac:dyDescent="0.2">
      <c r="L935" s="34"/>
    </row>
    <row r="936" spans="12:12" ht="12.75" x14ac:dyDescent="0.2">
      <c r="L936" s="34"/>
    </row>
    <row r="937" spans="12:12" ht="12.75" x14ac:dyDescent="0.2">
      <c r="L937" s="34"/>
    </row>
    <row r="938" spans="12:12" ht="12.75" x14ac:dyDescent="0.2">
      <c r="L938" s="34"/>
    </row>
    <row r="939" spans="12:12" ht="12.75" x14ac:dyDescent="0.2">
      <c r="L939" s="34"/>
    </row>
    <row r="940" spans="12:12" ht="12.75" x14ac:dyDescent="0.2">
      <c r="L940" s="34"/>
    </row>
    <row r="941" spans="12:12" ht="12.75" x14ac:dyDescent="0.2">
      <c r="L941" s="34"/>
    </row>
    <row r="942" spans="12:12" ht="12.75" x14ac:dyDescent="0.2">
      <c r="L942" s="34"/>
    </row>
    <row r="943" spans="12:12" ht="12.75" x14ac:dyDescent="0.2">
      <c r="L943" s="34"/>
    </row>
    <row r="944" spans="12:12" ht="12.75" x14ac:dyDescent="0.2">
      <c r="L944" s="34"/>
    </row>
    <row r="945" spans="12:12" ht="12.75" x14ac:dyDescent="0.2">
      <c r="L945" s="34"/>
    </row>
    <row r="946" spans="12:12" ht="12.75" x14ac:dyDescent="0.2">
      <c r="L946" s="34"/>
    </row>
    <row r="947" spans="12:12" ht="12.75" x14ac:dyDescent="0.2">
      <c r="L947" s="34"/>
    </row>
    <row r="948" spans="12:12" ht="12.75" x14ac:dyDescent="0.2">
      <c r="L948" s="34"/>
    </row>
    <row r="949" spans="12:12" ht="12.75" x14ac:dyDescent="0.2">
      <c r="L949" s="34"/>
    </row>
    <row r="950" spans="12:12" ht="12.75" x14ac:dyDescent="0.2">
      <c r="L950" s="34"/>
    </row>
    <row r="951" spans="12:12" ht="12.75" x14ac:dyDescent="0.2">
      <c r="L951" s="34"/>
    </row>
    <row r="952" spans="12:12" ht="12.75" x14ac:dyDescent="0.2">
      <c r="L952" s="34"/>
    </row>
    <row r="953" spans="12:12" ht="12.75" x14ac:dyDescent="0.2">
      <c r="L953" s="34"/>
    </row>
    <row r="954" spans="12:12" ht="12.75" x14ac:dyDescent="0.2">
      <c r="L954" s="34"/>
    </row>
    <row r="955" spans="12:12" ht="12.75" x14ac:dyDescent="0.2">
      <c r="L955" s="34"/>
    </row>
    <row r="956" spans="12:12" ht="12.75" x14ac:dyDescent="0.2">
      <c r="L956" s="34"/>
    </row>
    <row r="957" spans="12:12" ht="12.75" x14ac:dyDescent="0.2">
      <c r="L957" s="34"/>
    </row>
    <row r="958" spans="12:12" ht="12.75" x14ac:dyDescent="0.2">
      <c r="L958" s="34"/>
    </row>
    <row r="959" spans="12:12" ht="12.75" x14ac:dyDescent="0.2">
      <c r="L959" s="34"/>
    </row>
    <row r="960" spans="12:12" ht="12.75" x14ac:dyDescent="0.2">
      <c r="L960" s="34"/>
    </row>
    <row r="961" spans="12:12" ht="12.75" x14ac:dyDescent="0.2">
      <c r="L961" s="34"/>
    </row>
    <row r="962" spans="12:12" ht="12.75" x14ac:dyDescent="0.2">
      <c r="L962" s="34"/>
    </row>
    <row r="963" spans="12:12" ht="12.75" x14ac:dyDescent="0.2">
      <c r="L963" s="34"/>
    </row>
    <row r="964" spans="12:12" ht="12.75" x14ac:dyDescent="0.2">
      <c r="L964" s="34"/>
    </row>
    <row r="965" spans="12:12" ht="12.75" x14ac:dyDescent="0.2">
      <c r="L965" s="34"/>
    </row>
    <row r="966" spans="12:12" ht="12.75" x14ac:dyDescent="0.2">
      <c r="L966" s="34"/>
    </row>
    <row r="967" spans="12:12" ht="12.75" x14ac:dyDescent="0.2">
      <c r="L967" s="34"/>
    </row>
    <row r="968" spans="12:12" ht="12.75" x14ac:dyDescent="0.2">
      <c r="L968" s="34"/>
    </row>
    <row r="969" spans="12:12" ht="12.75" x14ac:dyDescent="0.2">
      <c r="L969" s="34"/>
    </row>
    <row r="970" spans="12:12" ht="12.75" x14ac:dyDescent="0.2">
      <c r="L970" s="34"/>
    </row>
    <row r="971" spans="12:12" ht="12.75" x14ac:dyDescent="0.2">
      <c r="L971" s="34"/>
    </row>
    <row r="972" spans="12:12" ht="12.75" x14ac:dyDescent="0.2">
      <c r="L972" s="34"/>
    </row>
    <row r="973" spans="12:12" ht="12.75" x14ac:dyDescent="0.2">
      <c r="L973" s="34"/>
    </row>
    <row r="974" spans="12:12" ht="12.75" x14ac:dyDescent="0.2">
      <c r="L974" s="34"/>
    </row>
    <row r="975" spans="12:12" ht="12.75" x14ac:dyDescent="0.2">
      <c r="L975" s="34"/>
    </row>
    <row r="976" spans="12:12" ht="12.75" x14ac:dyDescent="0.2">
      <c r="L976" s="34"/>
    </row>
    <row r="977" spans="12:12" ht="12.75" x14ac:dyDescent="0.2">
      <c r="L977" s="34"/>
    </row>
    <row r="978" spans="12:12" ht="12.75" x14ac:dyDescent="0.2">
      <c r="L978" s="34"/>
    </row>
    <row r="979" spans="12:12" ht="12.75" x14ac:dyDescent="0.2">
      <c r="L979" s="34"/>
    </row>
    <row r="980" spans="12:12" ht="12.75" x14ac:dyDescent="0.2">
      <c r="L980" s="34"/>
    </row>
    <row r="981" spans="12:12" ht="12.75" x14ac:dyDescent="0.2">
      <c r="L981" s="34"/>
    </row>
    <row r="982" spans="12:12" ht="12.75" x14ac:dyDescent="0.2">
      <c r="L982" s="34"/>
    </row>
    <row r="983" spans="12:12" ht="12.75" x14ac:dyDescent="0.2">
      <c r="L983" s="34"/>
    </row>
    <row r="984" spans="12:12" ht="12.75" x14ac:dyDescent="0.2">
      <c r="L984" s="34"/>
    </row>
    <row r="985" spans="12:12" ht="12.75" x14ac:dyDescent="0.2">
      <c r="L985" s="34"/>
    </row>
    <row r="986" spans="12:12" ht="12.75" x14ac:dyDescent="0.2">
      <c r="L986" s="34"/>
    </row>
    <row r="987" spans="12:12" ht="12.75" x14ac:dyDescent="0.2">
      <c r="L987" s="34"/>
    </row>
    <row r="988" spans="12:12" ht="12.75" x14ac:dyDescent="0.2">
      <c r="L988" s="34"/>
    </row>
    <row r="989" spans="12:12" ht="12.75" x14ac:dyDescent="0.2">
      <c r="L989" s="34"/>
    </row>
    <row r="990" spans="12:12" ht="12.75" x14ac:dyDescent="0.2">
      <c r="L990" s="34"/>
    </row>
    <row r="991" spans="12:12" ht="12.75" x14ac:dyDescent="0.2">
      <c r="L991" s="34"/>
    </row>
    <row r="992" spans="12:12" ht="12.75" x14ac:dyDescent="0.2">
      <c r="L992" s="34"/>
    </row>
    <row r="993" spans="12:12" ht="12.75" x14ac:dyDescent="0.2">
      <c r="L993" s="34"/>
    </row>
    <row r="994" spans="12:12" ht="12.75" x14ac:dyDescent="0.2">
      <c r="L994" s="34"/>
    </row>
    <row r="995" spans="12:12" ht="12.75" x14ac:dyDescent="0.2">
      <c r="L995" s="34"/>
    </row>
    <row r="996" spans="12:12" ht="12.75" x14ac:dyDescent="0.2">
      <c r="L996" s="34"/>
    </row>
    <row r="997" spans="12:12" ht="12.75" x14ac:dyDescent="0.2">
      <c r="L997" s="34"/>
    </row>
    <row r="998" spans="12:12" ht="12.75" x14ac:dyDescent="0.2">
      <c r="L998" s="34"/>
    </row>
    <row r="999" spans="12:12" ht="12.75" x14ac:dyDescent="0.2">
      <c r="L999" s="34"/>
    </row>
    <row r="1000" spans="12:12" ht="12.75" x14ac:dyDescent="0.2">
      <c r="L1000" s="34"/>
    </row>
    <row r="1001" spans="12:12" ht="12.75" x14ac:dyDescent="0.2">
      <c r="L1001" s="34"/>
    </row>
    <row r="1002" spans="12:12" ht="12.75" x14ac:dyDescent="0.2">
      <c r="L1002" s="34"/>
    </row>
    <row r="1003" spans="12:12" ht="12.75" x14ac:dyDescent="0.2">
      <c r="L1003" s="34"/>
    </row>
    <row r="1004" spans="12:12" ht="12.75" x14ac:dyDescent="0.2">
      <c r="L1004" s="34"/>
    </row>
  </sheetData>
  <conditionalFormatting sqref="E2:E1048576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6423-69B3-4BC8-A235-D0AB89F9E897}">
  <sheetPr>
    <pageSetUpPr fitToPage="1"/>
  </sheetPr>
  <dimension ref="A5:U73"/>
  <sheetViews>
    <sheetView topLeftCell="A55" workbookViewId="0">
      <selection activeCell="C63" sqref="C63"/>
    </sheetView>
  </sheetViews>
  <sheetFormatPr defaultRowHeight="12.75" x14ac:dyDescent="0.2"/>
  <cols>
    <col min="1" max="1" width="19.42578125" customWidth="1"/>
    <col min="2" max="2" width="50.28515625" customWidth="1"/>
    <col min="3" max="3" width="9.7109375" bestFit="1" customWidth="1"/>
    <col min="4" max="4" width="10.42578125" bestFit="1" customWidth="1"/>
    <col min="5" max="6" width="12.85546875" customWidth="1"/>
    <col min="7" max="7" width="10.7109375" customWidth="1"/>
    <col min="8" max="8" width="14" bestFit="1" customWidth="1"/>
    <col min="12" max="12" width="11.28515625" bestFit="1" customWidth="1"/>
    <col min="14" max="14" width="10.28515625" style="98" bestFit="1" customWidth="1"/>
    <col min="18" max="18" width="10.28515625" bestFit="1" customWidth="1"/>
  </cols>
  <sheetData>
    <row r="5" spans="1:21" x14ac:dyDescent="0.2">
      <c r="A5" s="96" t="s">
        <v>199</v>
      </c>
      <c r="B5" s="96" t="s">
        <v>191</v>
      </c>
      <c r="C5" s="96" t="s">
        <v>182</v>
      </c>
      <c r="D5" s="96" t="s">
        <v>181</v>
      </c>
      <c r="E5" s="96" t="s">
        <v>180</v>
      </c>
      <c r="F5" s="96" t="s">
        <v>190</v>
      </c>
      <c r="G5" s="96" t="s">
        <v>192</v>
      </c>
      <c r="H5" s="96" t="s">
        <v>193</v>
      </c>
    </row>
    <row r="6" spans="1:21" x14ac:dyDescent="0.2">
      <c r="A6" s="103" t="s">
        <v>195</v>
      </c>
      <c r="B6" t="s">
        <v>15</v>
      </c>
      <c r="C6" s="98">
        <v>1</v>
      </c>
      <c r="D6" s="98">
        <v>52</v>
      </c>
      <c r="E6" s="97">
        <v>20</v>
      </c>
      <c r="F6" s="98">
        <f t="shared" ref="F6:F33" si="0">C6*D6*E6</f>
        <v>1040</v>
      </c>
      <c r="G6" s="100">
        <f>Table1[[#This Row],[Sum hours]]/SUM(Table1[Sum hours])</f>
        <v>9.654552678581374E-2</v>
      </c>
      <c r="H6" s="98">
        <f>Table1[[#This Row],[% of time]]*$H$34</f>
        <v>11966.818045101612</v>
      </c>
    </row>
    <row r="7" spans="1:21" x14ac:dyDescent="0.2">
      <c r="A7" s="103" t="s">
        <v>195</v>
      </c>
      <c r="B7" t="s">
        <v>179</v>
      </c>
      <c r="C7" s="98">
        <v>15</v>
      </c>
      <c r="D7" s="98">
        <v>13</v>
      </c>
      <c r="E7" s="97">
        <v>5</v>
      </c>
      <c r="F7" s="98">
        <f t="shared" si="0"/>
        <v>975</v>
      </c>
      <c r="G7" s="100">
        <f>Table1[[#This Row],[Sum hours]]/SUM(Table1[Sum hours])</f>
        <v>9.0511431361700381E-2</v>
      </c>
      <c r="H7" s="98">
        <f>Table1[[#This Row],[% of time]]*$H$34</f>
        <v>11218.891917282763</v>
      </c>
    </row>
    <row r="8" spans="1:21" x14ac:dyDescent="0.2">
      <c r="A8" s="103" t="s">
        <v>195</v>
      </c>
      <c r="B8" t="s">
        <v>25</v>
      </c>
      <c r="C8" s="98">
        <v>15</v>
      </c>
      <c r="D8" s="98">
        <v>22</v>
      </c>
      <c r="E8" s="97">
        <v>0.5</v>
      </c>
      <c r="F8" s="98">
        <f t="shared" si="0"/>
        <v>165</v>
      </c>
      <c r="G8" s="100">
        <f>Table1[[#This Row],[Sum hours]]/SUM(Table1[Sum hours])</f>
        <v>1.5317319153518527E-2</v>
      </c>
      <c r="H8" s="98">
        <f>Table1[[#This Row],[% of time]]*$H$34</f>
        <v>1898.5817090786215</v>
      </c>
    </row>
    <row r="9" spans="1:21" x14ac:dyDescent="0.2">
      <c r="A9" s="103" t="s">
        <v>195</v>
      </c>
      <c r="B9" t="s">
        <v>187</v>
      </c>
      <c r="C9" s="98">
        <v>50</v>
      </c>
      <c r="D9" s="98">
        <v>1</v>
      </c>
      <c r="E9" s="97">
        <v>2</v>
      </c>
      <c r="F9" s="98">
        <f t="shared" si="0"/>
        <v>100</v>
      </c>
      <c r="G9" s="100">
        <f>Table1[[#This Row],[Sum hours]]/SUM(Table1[Sum hours])</f>
        <v>9.2832237294051666E-3</v>
      </c>
      <c r="H9" s="98">
        <f>Table1[[#This Row],[% of time]]*$H$34</f>
        <v>1150.6555812597703</v>
      </c>
    </row>
    <row r="10" spans="1:21" x14ac:dyDescent="0.2">
      <c r="A10" s="103" t="s">
        <v>195</v>
      </c>
      <c r="B10" s="105" t="s">
        <v>207</v>
      </c>
      <c r="C10" s="98">
        <v>2</v>
      </c>
      <c r="D10" s="98">
        <v>12</v>
      </c>
      <c r="E10" s="97">
        <v>2</v>
      </c>
      <c r="F10" s="98">
        <f t="shared" si="0"/>
        <v>48</v>
      </c>
      <c r="G10" s="100">
        <f>Table1[[#This Row],[Sum hours]]/SUM(Table1[Sum hours])</f>
        <v>4.4559473901144807E-3</v>
      </c>
      <c r="H10" s="98">
        <f>Table1[[#This Row],[% of time]]*$H$34</f>
        <v>552.31467900468988</v>
      </c>
      <c r="J10" s="102">
        <f>SUM(F6:F10)</f>
        <v>2328</v>
      </c>
      <c r="K10" s="99">
        <f>J10/$F$34</f>
        <v>0.2161134484205523</v>
      </c>
      <c r="L10" s="98">
        <f>K10*$L$37</f>
        <v>22127.855983780351</v>
      </c>
      <c r="M10" t="s">
        <v>215</v>
      </c>
      <c r="N10" s="98">
        <f>SUMIF('Budget to Actual'!$A$40:$A$142,Sheet1!M10,'Budget to Actual'!$D$40:$D$142)</f>
        <v>2575</v>
      </c>
      <c r="O10" s="102">
        <f>L10+N10</f>
        <v>24702.855983780351</v>
      </c>
      <c r="P10" s="100">
        <f>O10/$O$37</f>
        <v>0.1992969421845934</v>
      </c>
      <c r="Q10">
        <v>20</v>
      </c>
      <c r="R10" s="98">
        <f>$O$37*Q10/100</f>
        <v>24790</v>
      </c>
      <c r="S10" s="102">
        <f>R10-L10</f>
        <v>2662.1440162196486</v>
      </c>
      <c r="U10" s="98">
        <f>P10*$U$37</f>
        <v>3.9859388436918679</v>
      </c>
    </row>
    <row r="11" spans="1:21" x14ac:dyDescent="0.2">
      <c r="A11" s="103" t="s">
        <v>196</v>
      </c>
      <c r="B11" t="s">
        <v>176</v>
      </c>
      <c r="C11" s="98">
        <v>29</v>
      </c>
      <c r="D11" s="98">
        <v>52</v>
      </c>
      <c r="E11" s="97">
        <v>0.99</v>
      </c>
      <c r="F11" s="98">
        <f t="shared" si="0"/>
        <v>1492.92</v>
      </c>
      <c r="G11" s="100">
        <f>Table1[[#This Row],[Sum hours]]/SUM(Table1[Sum hours])</f>
        <v>0.13859110370103564</v>
      </c>
      <c r="H11" s="98">
        <f>Table1[[#This Row],[% of time]]*$H$34</f>
        <v>17178.367303743369</v>
      </c>
      <c r="P11" s="100"/>
    </row>
    <row r="12" spans="1:21" x14ac:dyDescent="0.2">
      <c r="A12" s="103" t="s">
        <v>196</v>
      </c>
      <c r="B12" s="105" t="s">
        <v>185</v>
      </c>
      <c r="C12" s="98">
        <v>44</v>
      </c>
      <c r="D12" s="98">
        <v>1</v>
      </c>
      <c r="E12" s="97">
        <v>4</v>
      </c>
      <c r="F12" s="98">
        <f t="shared" si="0"/>
        <v>176</v>
      </c>
      <c r="G12" s="100">
        <f>Table1[[#This Row],[Sum hours]]/SUM(Table1[Sum hours])</f>
        <v>1.6338473763753095E-2</v>
      </c>
      <c r="H12" s="98">
        <f>Table1[[#This Row],[% of time]]*$H$34</f>
        <v>2025.1538230171961</v>
      </c>
      <c r="P12" s="100"/>
    </row>
    <row r="13" spans="1:21" x14ac:dyDescent="0.2">
      <c r="A13" s="103" t="s">
        <v>196</v>
      </c>
      <c r="B13" s="105" t="s">
        <v>208</v>
      </c>
      <c r="C13" s="98">
        <v>36</v>
      </c>
      <c r="D13" s="98">
        <v>1</v>
      </c>
      <c r="E13" s="97">
        <v>2.5</v>
      </c>
      <c r="F13" s="98">
        <f t="shared" si="0"/>
        <v>90</v>
      </c>
      <c r="G13" s="100">
        <f>Table1[[#This Row],[Sum hours]]/SUM(Table1[Sum hours])</f>
        <v>8.3549013564646508E-3</v>
      </c>
      <c r="H13" s="98">
        <f>Table1[[#This Row],[% of time]]*$H$34</f>
        <v>1035.5900231337935</v>
      </c>
      <c r="P13" s="100"/>
    </row>
    <row r="14" spans="1:21" x14ac:dyDescent="0.2">
      <c r="A14" s="103" t="s">
        <v>196</v>
      </c>
      <c r="B14" t="s">
        <v>177</v>
      </c>
      <c r="C14" s="98">
        <v>10</v>
      </c>
      <c r="D14" s="98">
        <v>1</v>
      </c>
      <c r="E14" s="97">
        <v>8</v>
      </c>
      <c r="F14" s="98">
        <f t="shared" si="0"/>
        <v>80</v>
      </c>
      <c r="G14" s="100">
        <f>Table1[[#This Row],[Sum hours]]/SUM(Table1[Sum hours])</f>
        <v>7.4265789835241342E-3</v>
      </c>
      <c r="H14" s="98">
        <f>Table1[[#This Row],[% of time]]*$H$34</f>
        <v>920.52446500781639</v>
      </c>
      <c r="J14" s="102">
        <f>SUM(F11:F14)</f>
        <v>1838.92</v>
      </c>
      <c r="K14" s="99">
        <f>J14/$F$34</f>
        <v>0.17071105780477752</v>
      </c>
      <c r="L14" s="98">
        <f>K14*$L$37</f>
        <v>17479.105208631172</v>
      </c>
      <c r="M14" t="s">
        <v>213</v>
      </c>
      <c r="N14" s="98">
        <f>SUMIF('Budget to Actual'!$A$40:$A$142,Sheet1!M14,'Budget to Actual'!$D$40:$D$142)</f>
        <v>1175</v>
      </c>
      <c r="O14" s="102">
        <f>L14+N14</f>
        <v>18654.105208631172</v>
      </c>
      <c r="P14" s="100">
        <f>O14/$O$37</f>
        <v>0.1504970166085613</v>
      </c>
      <c r="Q14">
        <v>15</v>
      </c>
      <c r="R14" s="98">
        <f>$O$37*Q14/100</f>
        <v>18592.5</v>
      </c>
      <c r="S14" s="102">
        <f>R14-L14</f>
        <v>1113.394791368828</v>
      </c>
      <c r="U14" s="98">
        <f>P14*$U$37</f>
        <v>3.0099403321712259</v>
      </c>
    </row>
    <row r="15" spans="1:21" x14ac:dyDescent="0.2">
      <c r="A15" s="103" t="s">
        <v>198</v>
      </c>
      <c r="B15" t="s">
        <v>174</v>
      </c>
      <c r="C15" s="98">
        <v>10</v>
      </c>
      <c r="D15" s="98">
        <v>36</v>
      </c>
      <c r="E15" s="97">
        <v>2.5</v>
      </c>
      <c r="F15" s="98">
        <f t="shared" si="0"/>
        <v>900</v>
      </c>
      <c r="G15" s="100">
        <f>Table1[[#This Row],[Sum hours]]/SUM(Table1[Sum hours])</f>
        <v>8.3549013564646502E-2</v>
      </c>
      <c r="H15" s="98">
        <f>Table1[[#This Row],[% of time]]*$H$34</f>
        <v>10355.900231337933</v>
      </c>
      <c r="P15" s="100"/>
    </row>
    <row r="16" spans="1:21" x14ac:dyDescent="0.2">
      <c r="A16" s="103" t="s">
        <v>198</v>
      </c>
      <c r="B16" t="s">
        <v>175</v>
      </c>
      <c r="C16" s="98">
        <v>8</v>
      </c>
      <c r="D16" s="98">
        <v>52</v>
      </c>
      <c r="E16" s="97">
        <v>1</v>
      </c>
      <c r="F16" s="98">
        <f t="shared" si="0"/>
        <v>416</v>
      </c>
      <c r="G16" s="100">
        <f>Table1[[#This Row],[Sum hours]]/SUM(Table1[Sum hours])</f>
        <v>3.8618210714325495E-2</v>
      </c>
      <c r="H16" s="98">
        <f>Table1[[#This Row],[% of time]]*$H$34</f>
        <v>4786.7272180406453</v>
      </c>
      <c r="P16" s="100"/>
    </row>
    <row r="17" spans="1:21" x14ac:dyDescent="0.2">
      <c r="A17" s="103" t="s">
        <v>198</v>
      </c>
      <c r="B17" t="s">
        <v>188</v>
      </c>
      <c r="C17" s="98">
        <v>6</v>
      </c>
      <c r="D17" s="98">
        <v>30</v>
      </c>
      <c r="E17" s="97">
        <v>2</v>
      </c>
      <c r="F17" s="98">
        <f t="shared" si="0"/>
        <v>360</v>
      </c>
      <c r="G17" s="100">
        <f>Table1[[#This Row],[Sum hours]]/SUM(Table1[Sum hours])</f>
        <v>3.3419605425858603E-2</v>
      </c>
      <c r="H17" s="98">
        <f>Table1[[#This Row],[% of time]]*$H$34</f>
        <v>4142.3600925351739</v>
      </c>
      <c r="P17" s="100"/>
    </row>
    <row r="18" spans="1:21" x14ac:dyDescent="0.2">
      <c r="A18" s="103" t="s">
        <v>198</v>
      </c>
      <c r="B18" t="s">
        <v>178</v>
      </c>
      <c r="C18" s="98">
        <v>7</v>
      </c>
      <c r="D18" s="98">
        <v>12</v>
      </c>
      <c r="E18" s="97">
        <v>1.25</v>
      </c>
      <c r="F18" s="98">
        <f t="shared" si="0"/>
        <v>105</v>
      </c>
      <c r="G18" s="100">
        <f>Table1[[#This Row],[Sum hours]]/SUM(Table1[Sum hours])</f>
        <v>9.7473849158754254E-3</v>
      </c>
      <c r="H18" s="98">
        <f>Table1[[#This Row],[% of time]]*$H$34</f>
        <v>1208.1883603227591</v>
      </c>
      <c r="P18" s="100"/>
    </row>
    <row r="19" spans="1:21" x14ac:dyDescent="0.2">
      <c r="A19" s="103" t="s">
        <v>198</v>
      </c>
      <c r="B19" t="s">
        <v>189</v>
      </c>
      <c r="C19" s="98">
        <v>6</v>
      </c>
      <c r="D19" s="98">
        <v>10</v>
      </c>
      <c r="E19" s="97">
        <v>1.5</v>
      </c>
      <c r="F19" s="98">
        <f t="shared" si="0"/>
        <v>90</v>
      </c>
      <c r="G19" s="100">
        <f>Table1[[#This Row],[Sum hours]]/SUM(Table1[Sum hours])</f>
        <v>8.3549013564646508E-3</v>
      </c>
      <c r="H19" s="98">
        <f>Table1[[#This Row],[% of time]]*$H$34</f>
        <v>1035.5900231337935</v>
      </c>
      <c r="J19" s="102">
        <f>SUM(F15:F19)</f>
        <v>1871</v>
      </c>
      <c r="K19" s="99">
        <f>J19/$F$34</f>
        <v>0.17368911597717068</v>
      </c>
      <c r="L19" s="98">
        <f>K19*$L$37</f>
        <v>17784.028584902506</v>
      </c>
      <c r="M19" t="s">
        <v>212</v>
      </c>
      <c r="N19" s="98">
        <f>SUMIF('Budget to Actual'!$A$40:$A$142,Sheet1!M19,'Budget to Actual'!$D$40:$D$142)</f>
        <v>1000</v>
      </c>
      <c r="O19" s="102">
        <f>L19+N19</f>
        <v>18784.028584902506</v>
      </c>
      <c r="P19" s="100">
        <f>O19/$O$37</f>
        <v>0.15154520843003233</v>
      </c>
      <c r="Q19">
        <v>15</v>
      </c>
      <c r="R19" s="98">
        <f>$O$37*Q19/100</f>
        <v>18592.5</v>
      </c>
      <c r="S19" s="102">
        <f>R19-L19</f>
        <v>808.47141509749417</v>
      </c>
      <c r="U19" s="98">
        <f>P19*$U$37</f>
        <v>3.0309041686006468</v>
      </c>
    </row>
    <row r="20" spans="1:21" x14ac:dyDescent="0.2">
      <c r="A20" s="103" t="s">
        <v>197</v>
      </c>
      <c r="B20" t="s">
        <v>19</v>
      </c>
      <c r="C20" s="98">
        <v>4</v>
      </c>
      <c r="D20" s="98">
        <v>40</v>
      </c>
      <c r="E20" s="97">
        <v>3</v>
      </c>
      <c r="F20" s="98">
        <f t="shared" si="0"/>
        <v>480</v>
      </c>
      <c r="G20" s="100">
        <f>Table1[[#This Row],[Sum hours]]/SUM(Table1[Sum hours])</f>
        <v>4.4559473901144807E-2</v>
      </c>
      <c r="H20" s="98">
        <f>Table1[[#This Row],[% of time]]*$H$34</f>
        <v>5523.1467900468988</v>
      </c>
      <c r="P20" s="100"/>
    </row>
    <row r="21" spans="1:21" x14ac:dyDescent="0.2">
      <c r="A21" s="103" t="s">
        <v>197</v>
      </c>
      <c r="B21" t="s">
        <v>200</v>
      </c>
      <c r="C21" s="98">
        <v>3</v>
      </c>
      <c r="D21" s="98">
        <v>52</v>
      </c>
      <c r="E21" s="97">
        <v>1.75</v>
      </c>
      <c r="F21" s="98">
        <f t="shared" si="0"/>
        <v>273</v>
      </c>
      <c r="G21" s="100">
        <f>Table1[[#This Row],[Sum hours]]/SUM(Table1[Sum hours])</f>
        <v>2.5343200781276106E-2</v>
      </c>
      <c r="H21" s="98">
        <f>Table1[[#This Row],[% of time]]*$H$34</f>
        <v>3141.2897368391732</v>
      </c>
      <c r="P21" s="100"/>
    </row>
    <row r="22" spans="1:21" x14ac:dyDescent="0.2">
      <c r="A22" s="103" t="s">
        <v>197</v>
      </c>
      <c r="B22" t="s">
        <v>186</v>
      </c>
      <c r="C22" s="98">
        <v>10</v>
      </c>
      <c r="D22" s="98">
        <v>1</v>
      </c>
      <c r="E22" s="97">
        <v>8</v>
      </c>
      <c r="F22" s="98">
        <f t="shared" si="0"/>
        <v>80</v>
      </c>
      <c r="G22" s="100">
        <f>Table1[[#This Row],[Sum hours]]/SUM(Table1[Sum hours])</f>
        <v>7.4265789835241342E-3</v>
      </c>
      <c r="H22" s="98">
        <f>Table1[[#This Row],[% of time]]*$H$34</f>
        <v>920.52446500781639</v>
      </c>
      <c r="P22" s="100"/>
    </row>
    <row r="23" spans="1:21" x14ac:dyDescent="0.2">
      <c r="A23" s="103" t="s">
        <v>197</v>
      </c>
      <c r="B23" s="105" t="s">
        <v>209</v>
      </c>
      <c r="C23" s="98">
        <v>2</v>
      </c>
      <c r="D23" s="98">
        <v>10</v>
      </c>
      <c r="E23" s="97">
        <v>2</v>
      </c>
      <c r="F23" s="98">
        <f t="shared" si="0"/>
        <v>40</v>
      </c>
      <c r="G23" s="100">
        <f>Table1[[#This Row],[Sum hours]]/SUM(Table1[Sum hours])</f>
        <v>3.7132894917620671E-3</v>
      </c>
      <c r="H23" s="98">
        <f>Table1[[#This Row],[% of time]]*$H$34</f>
        <v>460.26223250390819</v>
      </c>
      <c r="J23" s="102">
        <f>SUM(F20:F23)</f>
        <v>873</v>
      </c>
      <c r="K23" s="99">
        <f>J23/$F$34</f>
        <v>8.1042543157707106E-2</v>
      </c>
      <c r="L23" s="98">
        <f>K23*$L$37</f>
        <v>8297.9459939176304</v>
      </c>
      <c r="M23" t="s">
        <v>214</v>
      </c>
      <c r="N23" s="98">
        <f>SUMIF('Budget to Actual'!$A$40:$A$142,Sheet1!M23,'Budget to Actual'!$D$40:$D$142)</f>
        <v>4100</v>
      </c>
      <c r="O23" s="102">
        <f>L23+N23</f>
        <v>12397.94599391763</v>
      </c>
      <c r="P23" s="100">
        <f>O23/$O$37</f>
        <v>0.10002376759917411</v>
      </c>
      <c r="Q23">
        <v>10</v>
      </c>
      <c r="R23" s="98">
        <f>$O$37*Q23/100</f>
        <v>12395</v>
      </c>
      <c r="S23" s="102">
        <f>R23-L23</f>
        <v>4097.0540060823696</v>
      </c>
      <c r="U23" s="98">
        <f>P23*$U$37</f>
        <v>2.0004753519834821</v>
      </c>
    </row>
    <row r="24" spans="1:21" x14ac:dyDescent="0.2">
      <c r="A24" s="103" t="s">
        <v>194</v>
      </c>
      <c r="B24" t="s">
        <v>172</v>
      </c>
      <c r="C24" s="98">
        <v>46</v>
      </c>
      <c r="D24" s="98">
        <v>52</v>
      </c>
      <c r="E24" s="97">
        <v>1.2250000000000001</v>
      </c>
      <c r="F24" s="98">
        <f t="shared" si="0"/>
        <v>2930.2000000000003</v>
      </c>
      <c r="G24" s="100">
        <f>Table1[[#This Row],[Sum hours]]/SUM(Table1[Sum hours])</f>
        <v>0.27201702171903025</v>
      </c>
      <c r="H24" s="98">
        <f>Table1[[#This Row],[% of time]]*$H$34</f>
        <v>33716.5098420738</v>
      </c>
      <c r="P24" s="100"/>
    </row>
    <row r="25" spans="1:21" x14ac:dyDescent="0.2">
      <c r="A25" s="103" t="s">
        <v>194</v>
      </c>
      <c r="B25" t="s">
        <v>183</v>
      </c>
      <c r="C25" s="98">
        <v>8</v>
      </c>
      <c r="D25" s="98">
        <v>16</v>
      </c>
      <c r="E25" s="97">
        <v>2</v>
      </c>
      <c r="F25" s="98">
        <f t="shared" si="0"/>
        <v>256</v>
      </c>
      <c r="G25" s="100">
        <f>Table1[[#This Row],[Sum hours]]/SUM(Table1[Sum hours])</f>
        <v>2.3765052747277228E-2</v>
      </c>
      <c r="H25" s="98">
        <f>Table1[[#This Row],[% of time]]*$H$34</f>
        <v>2945.6782880250125</v>
      </c>
      <c r="P25" s="100"/>
    </row>
    <row r="26" spans="1:21" x14ac:dyDescent="0.2">
      <c r="A26" s="103" t="s">
        <v>194</v>
      </c>
      <c r="B26" t="s">
        <v>173</v>
      </c>
      <c r="C26" s="98">
        <v>5</v>
      </c>
      <c r="D26" s="98">
        <v>48</v>
      </c>
      <c r="E26" s="97">
        <v>1</v>
      </c>
      <c r="F26" s="98">
        <f t="shared" si="0"/>
        <v>240</v>
      </c>
      <c r="G26" s="100">
        <f>Table1[[#This Row],[Sum hours]]/SUM(Table1[Sum hours])</f>
        <v>2.2279736950572403E-2</v>
      </c>
      <c r="H26" s="98">
        <f>Table1[[#This Row],[% of time]]*$H$34</f>
        <v>2761.5733950234494</v>
      </c>
      <c r="P26" s="100"/>
    </row>
    <row r="27" spans="1:21" x14ac:dyDescent="0.2">
      <c r="A27" s="103" t="s">
        <v>194</v>
      </c>
      <c r="B27" t="s">
        <v>205</v>
      </c>
      <c r="C27" s="98">
        <v>90</v>
      </c>
      <c r="D27" s="98">
        <v>2</v>
      </c>
      <c r="E27" s="97">
        <v>1</v>
      </c>
      <c r="F27" s="98">
        <f t="shared" si="0"/>
        <v>180</v>
      </c>
      <c r="G27" s="100">
        <f>Table1[[#This Row],[Sum hours]]/SUM(Table1[Sum hours])</f>
        <v>1.6709802712929302E-2</v>
      </c>
      <c r="H27" s="98">
        <f>Table1[[#This Row],[% of time]]*$H$34</f>
        <v>2071.1800462675869</v>
      </c>
      <c r="P27" s="100"/>
    </row>
    <row r="28" spans="1:21" x14ac:dyDescent="0.2">
      <c r="A28" s="103" t="s">
        <v>194</v>
      </c>
      <c r="B28" t="s">
        <v>204</v>
      </c>
      <c r="C28" s="98">
        <v>80</v>
      </c>
      <c r="D28" s="98">
        <v>1</v>
      </c>
      <c r="E28" s="97">
        <v>1</v>
      </c>
      <c r="F28" s="98">
        <f t="shared" si="0"/>
        <v>80</v>
      </c>
      <c r="G28" s="100">
        <f>Table1[[#This Row],[Sum hours]]/SUM(Table1[Sum hours])</f>
        <v>7.4265789835241342E-3</v>
      </c>
      <c r="H28" s="98">
        <f>Table1[[#This Row],[% of time]]*$H$34</f>
        <v>920.52446500781639</v>
      </c>
      <c r="P28" s="100"/>
    </row>
    <row r="29" spans="1:21" x14ac:dyDescent="0.2">
      <c r="A29" s="103" t="s">
        <v>194</v>
      </c>
      <c r="B29" t="s">
        <v>201</v>
      </c>
      <c r="C29" s="98">
        <v>45</v>
      </c>
      <c r="D29" s="98">
        <v>1</v>
      </c>
      <c r="E29" s="97">
        <v>1</v>
      </c>
      <c r="F29" s="98">
        <f t="shared" si="0"/>
        <v>45</v>
      </c>
      <c r="G29" s="100">
        <f>Table1[[#This Row],[Sum hours]]/SUM(Table1[Sum hours])</f>
        <v>4.1774506782323254E-3</v>
      </c>
      <c r="H29" s="98">
        <f>Table1[[#This Row],[% of time]]*$H$34</f>
        <v>517.79501156689673</v>
      </c>
      <c r="P29" s="100"/>
    </row>
    <row r="30" spans="1:21" x14ac:dyDescent="0.2">
      <c r="A30" s="103" t="s">
        <v>194</v>
      </c>
      <c r="B30" t="s">
        <v>203</v>
      </c>
      <c r="C30" s="98">
        <v>40</v>
      </c>
      <c r="D30" s="98">
        <v>1</v>
      </c>
      <c r="E30" s="97">
        <v>1</v>
      </c>
      <c r="F30" s="98">
        <f t="shared" si="0"/>
        <v>40</v>
      </c>
      <c r="G30" s="100">
        <f>Table1[[#This Row],[Sum hours]]/SUM(Table1[Sum hours])</f>
        <v>3.7132894917620671E-3</v>
      </c>
      <c r="H30" s="98">
        <f>Table1[[#This Row],[% of time]]*$H$34</f>
        <v>460.26223250390819</v>
      </c>
      <c r="P30" s="100"/>
    </row>
    <row r="31" spans="1:21" x14ac:dyDescent="0.2">
      <c r="A31" s="103" t="s">
        <v>194</v>
      </c>
      <c r="B31" t="s">
        <v>206</v>
      </c>
      <c r="C31" s="98">
        <v>10</v>
      </c>
      <c r="D31" s="98">
        <v>4</v>
      </c>
      <c r="E31" s="97">
        <v>1</v>
      </c>
      <c r="F31" s="98">
        <f t="shared" si="0"/>
        <v>40</v>
      </c>
      <c r="G31" s="100">
        <f>Table1[[#This Row],[Sum hours]]/SUM(Table1[Sum hours])</f>
        <v>3.7132894917620671E-3</v>
      </c>
      <c r="H31" s="98">
        <f>Table1[[#This Row],[% of time]]*$H$34</f>
        <v>460.26223250390819</v>
      </c>
      <c r="P31" s="100"/>
    </row>
    <row r="32" spans="1:21" x14ac:dyDescent="0.2">
      <c r="A32" s="103" t="s">
        <v>194</v>
      </c>
      <c r="B32" t="s">
        <v>202</v>
      </c>
      <c r="C32" s="98">
        <v>35</v>
      </c>
      <c r="D32" s="98">
        <v>1</v>
      </c>
      <c r="E32" s="97">
        <v>1</v>
      </c>
      <c r="F32" s="98">
        <f t="shared" si="0"/>
        <v>35</v>
      </c>
      <c r="G32" s="100">
        <f>Table1[[#This Row],[Sum hours]]/SUM(Table1[Sum hours])</f>
        <v>3.2491283052918088E-3</v>
      </c>
      <c r="H32" s="98">
        <f>Table1[[#This Row],[% of time]]*$H$34</f>
        <v>402.72945344091971</v>
      </c>
      <c r="P32" s="100"/>
    </row>
    <row r="33" spans="1:21" x14ac:dyDescent="0.2">
      <c r="A33" s="103" t="s">
        <v>194</v>
      </c>
      <c r="B33" t="s">
        <v>184</v>
      </c>
      <c r="C33" s="98">
        <v>15</v>
      </c>
      <c r="D33" s="98">
        <v>1</v>
      </c>
      <c r="E33" s="97">
        <v>1</v>
      </c>
      <c r="F33" s="98">
        <f t="shared" si="0"/>
        <v>15</v>
      </c>
      <c r="G33" s="100">
        <f>Table1[[#This Row],[Sum hours]]/SUM(Table1[Sum hours])</f>
        <v>1.3924835594107752E-3</v>
      </c>
      <c r="H33" s="98">
        <f>Table1[[#This Row],[% of time]]*$H$34</f>
        <v>172.59833718896559</v>
      </c>
      <c r="J33" s="102">
        <f>SUM(F24:F33)</f>
        <v>3861.2000000000003</v>
      </c>
      <c r="K33" s="99">
        <f>J33/$F$34</f>
        <v>0.35844383463979235</v>
      </c>
      <c r="L33" s="98">
        <f>K33*$L$37</f>
        <v>36701.064228768337</v>
      </c>
      <c r="M33" t="s">
        <v>211</v>
      </c>
      <c r="N33" s="98">
        <f>SUMIF('Budget to Actual'!$A$40:$A$142,Sheet1!M33,'Budget to Actual'!$D$40:$D$142)</f>
        <v>12710</v>
      </c>
      <c r="O33" s="102">
        <f>L33+N33</f>
        <v>49411.064228768337</v>
      </c>
      <c r="P33" s="100">
        <f>O33/$O$37</f>
        <v>0.39863706517763886</v>
      </c>
      <c r="Q33">
        <v>40</v>
      </c>
      <c r="R33" s="98">
        <f>$O$37*Q33/100</f>
        <v>49580</v>
      </c>
      <c r="S33" s="102">
        <f>R33-L33</f>
        <v>12878.935771231663</v>
      </c>
      <c r="U33" s="98">
        <f>P33*$U$37</f>
        <v>7.9727413035527768</v>
      </c>
    </row>
    <row r="34" spans="1:21" x14ac:dyDescent="0.2">
      <c r="F34" s="102">
        <f>SUM(Table1[Sum hours])</f>
        <v>10772.12</v>
      </c>
      <c r="H34" s="101">
        <f>'Budget to Actual'!D145</f>
        <v>123950</v>
      </c>
    </row>
    <row r="35" spans="1:21" x14ac:dyDescent="0.2">
      <c r="O35" s="101"/>
    </row>
    <row r="36" spans="1:21" x14ac:dyDescent="0.2">
      <c r="F36" s="97">
        <f>H34/F34</f>
        <v>11.506555812597705</v>
      </c>
      <c r="L36" t="s">
        <v>210</v>
      </c>
    </row>
    <row r="37" spans="1:21" x14ac:dyDescent="0.2">
      <c r="L37" s="98">
        <f>SUMIF('Budget to Actual'!$A$40:$A$142,Sheet1!L36,'Budget to Actual'!$D$40:$D$142)</f>
        <v>102390</v>
      </c>
      <c r="O37" s="102">
        <f>SUM(O10:O33)</f>
        <v>123950</v>
      </c>
      <c r="U37">
        <v>20</v>
      </c>
    </row>
    <row r="38" spans="1:21" x14ac:dyDescent="0.2">
      <c r="L38" s="98"/>
      <c r="O38" s="102"/>
    </row>
    <row r="39" spans="1:21" x14ac:dyDescent="0.2">
      <c r="L39" s="98"/>
      <c r="O39" s="102"/>
    </row>
    <row r="40" spans="1:21" x14ac:dyDescent="0.2">
      <c r="L40" s="98"/>
      <c r="O40" s="102"/>
    </row>
    <row r="41" spans="1:21" x14ac:dyDescent="0.2">
      <c r="L41" s="98"/>
      <c r="O41" s="102"/>
    </row>
    <row r="42" spans="1:21" x14ac:dyDescent="0.2">
      <c r="L42" s="98"/>
      <c r="O42" s="102"/>
    </row>
    <row r="43" spans="1:21" x14ac:dyDescent="0.2">
      <c r="L43" s="98"/>
      <c r="O43" s="102"/>
    </row>
    <row r="44" spans="1:21" x14ac:dyDescent="0.2">
      <c r="L44" s="98"/>
      <c r="O44" s="102"/>
    </row>
    <row r="45" spans="1:21" x14ac:dyDescent="0.2">
      <c r="L45" s="98"/>
      <c r="O45" s="102"/>
    </row>
    <row r="47" spans="1:21" ht="18" x14ac:dyDescent="0.25">
      <c r="A47" s="126" t="s">
        <v>247</v>
      </c>
      <c r="B47" s="126"/>
      <c r="C47" s="126"/>
      <c r="D47" s="126"/>
      <c r="E47" s="126"/>
    </row>
    <row r="48" spans="1:21" s="119" customFormat="1" x14ac:dyDescent="0.2">
      <c r="A48" s="118" t="s">
        <v>228</v>
      </c>
      <c r="B48" s="118" t="s">
        <v>221</v>
      </c>
      <c r="C48" s="118" t="s">
        <v>193</v>
      </c>
      <c r="D48" s="118" t="s">
        <v>229</v>
      </c>
      <c r="N48" s="120"/>
    </row>
    <row r="49" spans="1:14" ht="25.5" x14ac:dyDescent="0.2">
      <c r="A49" s="106" t="s">
        <v>232</v>
      </c>
      <c r="B49" s="107" t="s">
        <v>237</v>
      </c>
      <c r="C49" s="122">
        <f>'Budget to Actual'!D3</f>
        <v>43200</v>
      </c>
      <c r="D49" s="112">
        <f>C49/$C$55</f>
        <v>0.34754905510100642</v>
      </c>
    </row>
    <row r="50" spans="1:14" x14ac:dyDescent="0.2">
      <c r="A50" s="106" t="s">
        <v>233</v>
      </c>
      <c r="B50" s="107" t="s">
        <v>234</v>
      </c>
      <c r="C50" s="114">
        <f>'Budget to Actual'!D4</f>
        <v>4375</v>
      </c>
      <c r="D50" s="112">
        <f t="shared" ref="D50:D54" si="1">C50/$C$55</f>
        <v>3.5197386945993128E-2</v>
      </c>
    </row>
    <row r="51" spans="1:14" ht="25.5" x14ac:dyDescent="0.2">
      <c r="A51" s="107" t="s">
        <v>238</v>
      </c>
      <c r="B51" s="107" t="s">
        <v>235</v>
      </c>
      <c r="C51" s="114">
        <f>'Budget to Actual'!D12</f>
        <v>12200</v>
      </c>
      <c r="D51" s="112">
        <f t="shared" si="1"/>
        <v>9.8150427597969409E-2</v>
      </c>
    </row>
    <row r="52" spans="1:14" ht="25.5" x14ac:dyDescent="0.2">
      <c r="A52" s="106" t="s">
        <v>18</v>
      </c>
      <c r="B52" s="107" t="s">
        <v>236</v>
      </c>
      <c r="C52" s="114">
        <f>'Budget to Actual'!D14</f>
        <v>52155</v>
      </c>
      <c r="D52" s="112">
        <f t="shared" si="1"/>
        <v>0.41959307798131923</v>
      </c>
    </row>
    <row r="53" spans="1:14" ht="51" x14ac:dyDescent="0.2">
      <c r="A53" s="107" t="s">
        <v>239</v>
      </c>
      <c r="B53" s="107" t="s">
        <v>240</v>
      </c>
      <c r="C53" s="114">
        <f>'Budget to Actual'!D21+'Budget to Actual'!D31</f>
        <v>6000</v>
      </c>
      <c r="D53" s="112">
        <f t="shared" si="1"/>
        <v>4.8270702097362006E-2</v>
      </c>
    </row>
    <row r="54" spans="1:14" ht="25.5" x14ac:dyDescent="0.2">
      <c r="A54" s="107" t="s">
        <v>29</v>
      </c>
      <c r="B54" s="107" t="s">
        <v>241</v>
      </c>
      <c r="C54" s="114">
        <v>6369</v>
      </c>
      <c r="D54" s="112">
        <f t="shared" si="1"/>
        <v>5.1239350276349772E-2</v>
      </c>
    </row>
    <row r="55" spans="1:14" x14ac:dyDescent="0.2">
      <c r="A55" s="113" t="s">
        <v>222</v>
      </c>
      <c r="C55" s="115">
        <f>SUM(C49:C54)</f>
        <v>124299</v>
      </c>
      <c r="D55" s="104">
        <f>SUM(D49:D54)</f>
        <v>1</v>
      </c>
    </row>
    <row r="57" spans="1:14" ht="36" customHeight="1" x14ac:dyDescent="0.25">
      <c r="A57" s="125" t="s">
        <v>248</v>
      </c>
      <c r="B57" s="125"/>
      <c r="C57" s="125"/>
      <c r="D57" s="125"/>
      <c r="E57" s="125"/>
    </row>
    <row r="58" spans="1:14" s="119" customFormat="1" ht="25.5" x14ac:dyDescent="0.2">
      <c r="A58" s="118" t="s">
        <v>227</v>
      </c>
      <c r="B58" s="118" t="s">
        <v>221</v>
      </c>
      <c r="C58" s="121" t="s">
        <v>193</v>
      </c>
      <c r="D58" s="118" t="s">
        <v>245</v>
      </c>
      <c r="E58" s="118" t="s">
        <v>242</v>
      </c>
      <c r="N58" s="120"/>
    </row>
    <row r="59" spans="1:14" ht="38.25" x14ac:dyDescent="0.2">
      <c r="A59" s="106" t="s">
        <v>194</v>
      </c>
      <c r="B59" s="107" t="s">
        <v>220</v>
      </c>
      <c r="C59" s="123">
        <f>O33</f>
        <v>49411.064228768337</v>
      </c>
      <c r="D59" s="108">
        <v>0.4</v>
      </c>
      <c r="E59" s="109">
        <v>3861</v>
      </c>
    </row>
    <row r="60" spans="1:14" ht="25.5" x14ac:dyDescent="0.2">
      <c r="A60" s="106" t="s">
        <v>195</v>
      </c>
      <c r="B60" s="107" t="s">
        <v>216</v>
      </c>
      <c r="C60" s="124">
        <f>O10</f>
        <v>24702.855983780351</v>
      </c>
      <c r="D60" s="108">
        <v>0.2</v>
      </c>
      <c r="E60" s="109">
        <v>2328</v>
      </c>
    </row>
    <row r="61" spans="1:14" ht="38.25" x14ac:dyDescent="0.2">
      <c r="A61" s="106" t="s">
        <v>196</v>
      </c>
      <c r="B61" s="107" t="s">
        <v>217</v>
      </c>
      <c r="C61" s="123">
        <f>O14</f>
        <v>18654.105208631172</v>
      </c>
      <c r="D61" s="108">
        <v>0.15</v>
      </c>
      <c r="E61" s="109">
        <v>1839</v>
      </c>
    </row>
    <row r="62" spans="1:14" ht="25.5" x14ac:dyDescent="0.2">
      <c r="A62" s="106" t="s">
        <v>198</v>
      </c>
      <c r="B62" s="107" t="s">
        <v>218</v>
      </c>
      <c r="C62" s="124">
        <f>O19</f>
        <v>18784.028584902506</v>
      </c>
      <c r="D62" s="108">
        <v>0.15</v>
      </c>
      <c r="E62" s="109">
        <v>1871</v>
      </c>
    </row>
    <row r="63" spans="1:14" ht="38.25" x14ac:dyDescent="0.2">
      <c r="A63" s="106" t="s">
        <v>197</v>
      </c>
      <c r="B63" s="107" t="s">
        <v>219</v>
      </c>
      <c r="C63" s="123">
        <f>O23</f>
        <v>12397.94599391763</v>
      </c>
      <c r="D63" s="108">
        <v>0.1</v>
      </c>
      <c r="E63" s="109">
        <v>873</v>
      </c>
    </row>
    <row r="64" spans="1:14" x14ac:dyDescent="0.2">
      <c r="A64" s="111" t="s">
        <v>222</v>
      </c>
      <c r="C64" s="116">
        <f>SUM(C59:C63)</f>
        <v>123950</v>
      </c>
      <c r="D64" s="104">
        <f>SUM(D59:D63)</f>
        <v>1.0000000000000002</v>
      </c>
      <c r="E64" s="110">
        <f>SUM(E59:E63)</f>
        <v>10772</v>
      </c>
    </row>
    <row r="66" spans="1:14" ht="36" customHeight="1" x14ac:dyDescent="0.25">
      <c r="A66" s="125" t="s">
        <v>246</v>
      </c>
      <c r="B66" s="125"/>
      <c r="C66" s="125"/>
      <c r="D66" s="125"/>
      <c r="E66" s="125"/>
    </row>
    <row r="67" spans="1:14" s="119" customFormat="1" x14ac:dyDescent="0.2">
      <c r="A67" s="118" t="s">
        <v>228</v>
      </c>
      <c r="B67" s="118" t="s">
        <v>221</v>
      </c>
      <c r="C67" s="118" t="s">
        <v>193</v>
      </c>
      <c r="M67" s="120"/>
    </row>
    <row r="68" spans="1:14" ht="25.5" x14ac:dyDescent="0.2">
      <c r="A68" s="106" t="s">
        <v>223</v>
      </c>
      <c r="B68" s="107" t="s">
        <v>231</v>
      </c>
      <c r="C68" s="114">
        <f>'Budget to Actual'!D52-'Budget to Actual'!D41-'Budget to Actual'!D49</f>
        <v>43240</v>
      </c>
      <c r="M68" s="98"/>
      <c r="N68"/>
    </row>
    <row r="69" spans="1:14" ht="38.25" x14ac:dyDescent="0.2">
      <c r="A69" s="106" t="s">
        <v>230</v>
      </c>
      <c r="B69" s="107" t="s">
        <v>243</v>
      </c>
      <c r="C69" s="114">
        <f>'Budget to Actual'!D85</f>
        <v>20450</v>
      </c>
      <c r="M69" s="98"/>
      <c r="N69"/>
    </row>
    <row r="70" spans="1:14" ht="38.25" x14ac:dyDescent="0.2">
      <c r="A70" s="106" t="s">
        <v>46</v>
      </c>
      <c r="B70" s="107" t="s">
        <v>244</v>
      </c>
      <c r="C70" s="114">
        <f>'Budget to Actual'!D70-'Budget to Actual'!D59</f>
        <v>19250</v>
      </c>
      <c r="M70" s="98"/>
      <c r="N70"/>
    </row>
    <row r="71" spans="1:14" x14ac:dyDescent="0.2">
      <c r="A71" s="106" t="s">
        <v>72</v>
      </c>
      <c r="B71" s="107" t="s">
        <v>224</v>
      </c>
      <c r="C71" s="114">
        <f>'Budget to Actual'!D92</f>
        <v>14000</v>
      </c>
      <c r="M71" s="98"/>
      <c r="N71"/>
    </row>
    <row r="72" spans="1:14" x14ac:dyDescent="0.2">
      <c r="A72" s="106" t="s">
        <v>225</v>
      </c>
      <c r="B72" s="106" t="s">
        <v>226</v>
      </c>
      <c r="C72" s="114">
        <f>'Budget to Actual'!D41+'Budget to Actual'!D49</f>
        <v>5450</v>
      </c>
      <c r="M72" s="98"/>
      <c r="N72"/>
    </row>
    <row r="73" spans="1:14" x14ac:dyDescent="0.2">
      <c r="A73" s="111" t="s">
        <v>222</v>
      </c>
      <c r="B73" s="111"/>
      <c r="C73" s="117">
        <f>SUM(C68:C72)</f>
        <v>102390</v>
      </c>
      <c r="M73" s="98"/>
      <c r="N73"/>
    </row>
  </sheetData>
  <sortState xmlns:xlrd2="http://schemas.microsoft.com/office/spreadsheetml/2017/richdata2" ref="L11:L122">
    <sortCondition ref="L11"/>
  </sortState>
  <mergeCells count="3">
    <mergeCell ref="A57:E57"/>
    <mergeCell ref="A66:E66"/>
    <mergeCell ref="A47:E47"/>
  </mergeCells>
  <pageMargins left="0.7" right="0.7" top="0.75" bottom="0.75" header="0.3" footer="0.3"/>
  <pageSetup scale="35" orientation="portrait" horizontalDpi="90" verticalDpi="90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102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2" max="2" width="46" customWidth="1"/>
    <col min="10" max="10" width="46" customWidth="1"/>
    <col min="12" max="12" width="46" customWidth="1"/>
  </cols>
  <sheetData>
    <row r="1" spans="1:30" ht="15.75" customHeight="1" x14ac:dyDescent="0.2">
      <c r="A1" s="1"/>
      <c r="C1" s="2" t="s">
        <v>0</v>
      </c>
      <c r="D1" s="2" t="s">
        <v>7</v>
      </c>
      <c r="E1" s="2" t="s">
        <v>2</v>
      </c>
      <c r="F1" s="2" t="s">
        <v>8</v>
      </c>
      <c r="G1" s="2" t="s">
        <v>4</v>
      </c>
      <c r="H1" s="2" t="s">
        <v>5</v>
      </c>
      <c r="I1" s="3" t="s">
        <v>6</v>
      </c>
      <c r="J1" s="2" t="s">
        <v>10</v>
      </c>
    </row>
    <row r="2" spans="1:30" ht="18" x14ac:dyDescent="0.25">
      <c r="A2" s="4" t="s">
        <v>9</v>
      </c>
      <c r="B2" s="5"/>
      <c r="C2" s="5"/>
      <c r="D2" s="5"/>
      <c r="E2" s="5"/>
      <c r="F2" s="5"/>
      <c r="G2" s="5"/>
      <c r="H2" s="5"/>
      <c r="I2" s="7"/>
      <c r="J2" s="8"/>
    </row>
    <row r="3" spans="1:30" ht="15" x14ac:dyDescent="0.25">
      <c r="A3" s="6" t="s">
        <v>11</v>
      </c>
      <c r="B3" s="9"/>
      <c r="C3" s="11">
        <f>(D3-G3)/G3</f>
        <v>-0.1004566210045662</v>
      </c>
      <c r="D3" s="10">
        <f t="shared" ref="D3:I3" si="0">D4+D5</f>
        <v>39400</v>
      </c>
      <c r="E3" s="10">
        <f t="shared" si="0"/>
        <v>36573.348571428571</v>
      </c>
      <c r="F3" s="10">
        <f t="shared" si="0"/>
        <v>20320.620000000003</v>
      </c>
      <c r="G3" s="10">
        <f t="shared" si="0"/>
        <v>43800</v>
      </c>
      <c r="H3" s="10">
        <f t="shared" si="0"/>
        <v>42392.49</v>
      </c>
      <c r="I3" s="10">
        <f t="shared" si="0"/>
        <v>37414.449999999997</v>
      </c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15.75" customHeight="1" x14ac:dyDescent="0.2">
      <c r="A4" s="12">
        <v>4000</v>
      </c>
      <c r="B4" s="13" t="s">
        <v>12</v>
      </c>
      <c r="C4" s="14"/>
      <c r="D4" s="14">
        <v>36000</v>
      </c>
      <c r="E4" s="14">
        <f>(F4/7*12)+1820-82</f>
        <v>33176.971428571429</v>
      </c>
      <c r="F4" s="14">
        <v>18339.400000000001</v>
      </c>
      <c r="G4" s="14">
        <v>39000</v>
      </c>
      <c r="H4" s="14">
        <v>38566.42</v>
      </c>
      <c r="I4" s="14">
        <v>34896.879999999997</v>
      </c>
      <c r="J4" s="17"/>
    </row>
    <row r="5" spans="1:30" ht="15.75" customHeight="1" x14ac:dyDescent="0.2">
      <c r="A5" s="12">
        <v>4010</v>
      </c>
      <c r="B5" s="13" t="s">
        <v>13</v>
      </c>
      <c r="C5" s="14"/>
      <c r="D5" s="14">
        <v>3400</v>
      </c>
      <c r="E5" s="14">
        <f>F5/7*12</f>
        <v>3396.3771428571431</v>
      </c>
      <c r="F5" s="14">
        <v>1981.22</v>
      </c>
      <c r="G5" s="14">
        <v>4800</v>
      </c>
      <c r="H5" s="14">
        <v>3826.07</v>
      </c>
      <c r="I5" s="14">
        <v>2517.5700000000002</v>
      </c>
      <c r="J5" s="8"/>
    </row>
    <row r="6" spans="1:30" ht="15.75" customHeight="1" x14ac:dyDescent="0.2">
      <c r="I6" s="7"/>
      <c r="J6" s="8"/>
    </row>
    <row r="7" spans="1:30" ht="15" x14ac:dyDescent="0.25">
      <c r="A7" s="6" t="s">
        <v>14</v>
      </c>
      <c r="B7" s="9"/>
      <c r="C7" s="11">
        <f>(D7-G7)/G7</f>
        <v>-5.5555555555555552E-2</v>
      </c>
      <c r="D7" s="10">
        <f t="shared" ref="D7:I7" si="1">SUM(D8:D11)</f>
        <v>10200</v>
      </c>
      <c r="E7" s="10">
        <f t="shared" si="1"/>
        <v>11615.765714285713</v>
      </c>
      <c r="F7" s="10">
        <f t="shared" si="1"/>
        <v>6936.28</v>
      </c>
      <c r="G7" s="10">
        <f t="shared" si="1"/>
        <v>10800</v>
      </c>
      <c r="H7" s="10">
        <f t="shared" si="1"/>
        <v>10323.48</v>
      </c>
      <c r="I7" s="10">
        <f t="shared" si="1"/>
        <v>7207.37</v>
      </c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ht="15.75" customHeight="1" x14ac:dyDescent="0.2">
      <c r="A8" s="12">
        <v>4020</v>
      </c>
      <c r="B8" s="13" t="s">
        <v>29</v>
      </c>
      <c r="C8" s="14"/>
      <c r="D8" s="14">
        <v>0</v>
      </c>
      <c r="E8" s="14">
        <f>F8</f>
        <v>385</v>
      </c>
      <c r="F8" s="14">
        <v>385</v>
      </c>
      <c r="G8" s="14">
        <v>0</v>
      </c>
      <c r="H8" s="14">
        <v>0</v>
      </c>
      <c r="I8" s="14">
        <v>785.91</v>
      </c>
      <c r="J8" s="8"/>
    </row>
    <row r="9" spans="1:30" ht="15.75" customHeight="1" x14ac:dyDescent="0.2">
      <c r="A9" s="12">
        <v>4020.1</v>
      </c>
      <c r="B9" s="13" t="s">
        <v>15</v>
      </c>
      <c r="C9" s="14"/>
      <c r="D9" s="14">
        <v>9000</v>
      </c>
      <c r="E9" s="14">
        <f t="shared" ref="E9:E11" si="2">F9/7*12</f>
        <v>10202.194285714286</v>
      </c>
      <c r="F9" s="14">
        <v>5951.28</v>
      </c>
      <c r="G9" s="14">
        <v>9600</v>
      </c>
      <c r="H9" s="14">
        <v>9123.48</v>
      </c>
      <c r="I9" s="14">
        <v>6356.46</v>
      </c>
      <c r="J9" s="8"/>
    </row>
    <row r="10" spans="1:30" ht="15.75" customHeight="1" x14ac:dyDescent="0.2">
      <c r="A10" s="12">
        <v>4020.15</v>
      </c>
      <c r="B10" s="13" t="s">
        <v>16</v>
      </c>
      <c r="C10" s="14"/>
      <c r="D10" s="14">
        <v>1200</v>
      </c>
      <c r="E10" s="14">
        <f t="shared" si="2"/>
        <v>1028.5714285714284</v>
      </c>
      <c r="F10" s="14">
        <v>600</v>
      </c>
      <c r="G10" s="14">
        <v>1200</v>
      </c>
      <c r="H10" s="14">
        <v>1200</v>
      </c>
      <c r="I10" s="14">
        <v>0</v>
      </c>
      <c r="J10" s="8"/>
    </row>
    <row r="11" spans="1:30" ht="15.75" customHeight="1" x14ac:dyDescent="0.2">
      <c r="A11" s="12">
        <v>4020.2</v>
      </c>
      <c r="B11" s="13" t="s">
        <v>33</v>
      </c>
      <c r="C11" s="13"/>
      <c r="D11" s="13">
        <v>0</v>
      </c>
      <c r="E11" s="14">
        <f t="shared" si="2"/>
        <v>0</v>
      </c>
      <c r="F11" s="13">
        <v>0</v>
      </c>
      <c r="G11" s="13">
        <v>0</v>
      </c>
      <c r="H11" s="13">
        <v>0</v>
      </c>
      <c r="I11" s="14">
        <v>65</v>
      </c>
      <c r="J11" s="8"/>
    </row>
    <row r="12" spans="1:30" ht="15.75" customHeight="1" x14ac:dyDescent="0.2">
      <c r="I12" s="7"/>
      <c r="J12" s="8"/>
    </row>
    <row r="13" spans="1:30" ht="15" x14ac:dyDescent="0.25">
      <c r="A13" s="6" t="s">
        <v>17</v>
      </c>
      <c r="B13" s="9"/>
      <c r="C13" s="11">
        <f>(D13-G13)/G13</f>
        <v>-0.1</v>
      </c>
      <c r="D13" s="10">
        <f t="shared" ref="D13:I13" si="3">D14</f>
        <v>54900</v>
      </c>
      <c r="E13" s="10">
        <f t="shared" si="3"/>
        <v>60999.96</v>
      </c>
      <c r="F13" s="10">
        <f t="shared" si="3"/>
        <v>35583.31</v>
      </c>
      <c r="G13" s="10">
        <f t="shared" si="3"/>
        <v>61000</v>
      </c>
      <c r="H13" s="10">
        <f t="shared" si="3"/>
        <v>62282.04</v>
      </c>
      <c r="I13" s="10">
        <f t="shared" si="3"/>
        <v>60999.96</v>
      </c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ht="15.75" customHeight="1" x14ac:dyDescent="0.2">
      <c r="A14" s="12">
        <v>4100</v>
      </c>
      <c r="B14" s="13" t="s">
        <v>18</v>
      </c>
      <c r="C14" s="14"/>
      <c r="D14" s="14">
        <f>0.9*G14</f>
        <v>54900</v>
      </c>
      <c r="E14" s="14">
        <f>F14/7*12</f>
        <v>60999.96</v>
      </c>
      <c r="F14" s="14">
        <v>35583.31</v>
      </c>
      <c r="G14" s="14">
        <v>61000</v>
      </c>
      <c r="H14" s="14">
        <v>62282.04</v>
      </c>
      <c r="I14" s="14">
        <v>60999.96</v>
      </c>
      <c r="J14" s="17" t="s">
        <v>49</v>
      </c>
    </row>
    <row r="15" spans="1:30" ht="15.75" customHeight="1" x14ac:dyDescent="0.2">
      <c r="I15" s="7"/>
      <c r="J15" s="8"/>
    </row>
    <row r="16" spans="1:30" ht="29.25" x14ac:dyDescent="0.25">
      <c r="A16" s="6" t="s">
        <v>19</v>
      </c>
      <c r="B16" s="9"/>
      <c r="C16" s="11">
        <f>(D16-G16)/G16</f>
        <v>6.6666666666666666E-2</v>
      </c>
      <c r="D16" s="10">
        <f t="shared" ref="D16:I16" si="4">SUM(D17:D20)</f>
        <v>3200</v>
      </c>
      <c r="E16" s="10">
        <f t="shared" si="4"/>
        <v>1645.7142857142858</v>
      </c>
      <c r="F16" s="10">
        <f t="shared" si="4"/>
        <v>960</v>
      </c>
      <c r="G16" s="10">
        <f t="shared" si="4"/>
        <v>3000</v>
      </c>
      <c r="H16" s="10">
        <f t="shared" si="4"/>
        <v>7205</v>
      </c>
      <c r="I16" s="10">
        <f t="shared" si="4"/>
        <v>10895</v>
      </c>
      <c r="J16" s="22" t="s">
        <v>20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5.75" customHeight="1" x14ac:dyDescent="0.2">
      <c r="A17" s="12">
        <v>4140</v>
      </c>
      <c r="B17" s="13" t="s">
        <v>21</v>
      </c>
      <c r="C17" s="14"/>
      <c r="D17" s="14">
        <v>0</v>
      </c>
      <c r="E17" s="14">
        <f>F17/7*12</f>
        <v>1645.7142857142858</v>
      </c>
      <c r="F17" s="14">
        <v>960</v>
      </c>
      <c r="G17" s="14">
        <v>0</v>
      </c>
      <c r="H17" s="14">
        <v>0</v>
      </c>
      <c r="I17" s="14">
        <v>10895</v>
      </c>
      <c r="J17" s="17"/>
    </row>
    <row r="18" spans="1:30" ht="15.75" customHeight="1" x14ac:dyDescent="0.2">
      <c r="A18" s="12">
        <v>4140.1000000000004</v>
      </c>
      <c r="B18" s="13" t="s">
        <v>70</v>
      </c>
      <c r="C18" s="14"/>
      <c r="D18" s="14">
        <v>0</v>
      </c>
      <c r="E18" s="14">
        <v>0</v>
      </c>
      <c r="F18" s="14">
        <v>0</v>
      </c>
      <c r="G18" s="14">
        <v>0</v>
      </c>
      <c r="H18" s="14">
        <v>2000</v>
      </c>
      <c r="I18" s="14">
        <v>0</v>
      </c>
      <c r="J18" s="17"/>
    </row>
    <row r="19" spans="1:30" ht="15.75" customHeight="1" x14ac:dyDescent="0.2">
      <c r="A19" s="12">
        <v>4140.1099999999997</v>
      </c>
      <c r="B19" s="13" t="s">
        <v>64</v>
      </c>
      <c r="C19" s="14"/>
      <c r="D19" s="14">
        <v>1200</v>
      </c>
      <c r="E19" s="14">
        <v>0</v>
      </c>
      <c r="F19" s="14">
        <v>0</v>
      </c>
      <c r="G19" s="14">
        <v>1200</v>
      </c>
      <c r="H19" s="14">
        <v>2205</v>
      </c>
      <c r="I19" s="14">
        <v>0</v>
      </c>
      <c r="J19" s="8"/>
    </row>
    <row r="20" spans="1:30" ht="15.75" customHeight="1" x14ac:dyDescent="0.2">
      <c r="A20" s="12">
        <v>4140.12</v>
      </c>
      <c r="B20" s="13" t="s">
        <v>61</v>
      </c>
      <c r="C20" s="14"/>
      <c r="D20" s="14">
        <v>2000</v>
      </c>
      <c r="E20" s="14">
        <v>0</v>
      </c>
      <c r="F20" s="14">
        <v>0</v>
      </c>
      <c r="G20" s="14">
        <v>1800</v>
      </c>
      <c r="H20" s="14">
        <v>3000</v>
      </c>
      <c r="I20" s="14">
        <v>0</v>
      </c>
      <c r="J20" s="8"/>
    </row>
    <row r="21" spans="1:30" ht="15.75" customHeight="1" x14ac:dyDescent="0.2">
      <c r="I21" s="7"/>
      <c r="J21" s="8"/>
    </row>
    <row r="22" spans="1:30" ht="15" x14ac:dyDescent="0.25">
      <c r="A22" s="6" t="s">
        <v>22</v>
      </c>
      <c r="B22" s="9"/>
      <c r="C22" s="11">
        <f>(D22-G22)/G22</f>
        <v>-0.1394658753709199</v>
      </c>
      <c r="D22" s="10">
        <f t="shared" ref="D22:I22" si="5">SUM(D23:D29)</f>
        <v>2900</v>
      </c>
      <c r="E22" s="10">
        <f t="shared" si="5"/>
        <v>4594.1899999999996</v>
      </c>
      <c r="F22" s="10">
        <f t="shared" si="5"/>
        <v>3193.24</v>
      </c>
      <c r="G22" s="10">
        <f t="shared" si="5"/>
        <v>3370</v>
      </c>
      <c r="H22" s="10">
        <f t="shared" si="5"/>
        <v>12016.3</v>
      </c>
      <c r="I22" s="10">
        <f t="shared" si="5"/>
        <v>7957.37</v>
      </c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ht="15.75" customHeight="1" x14ac:dyDescent="0.2">
      <c r="A23" s="12">
        <v>4150</v>
      </c>
      <c r="B23" s="13" t="s">
        <v>85</v>
      </c>
      <c r="C23" s="14"/>
      <c r="D23" s="14">
        <v>0</v>
      </c>
      <c r="E23" s="14">
        <f>F23</f>
        <v>289.8</v>
      </c>
      <c r="F23" s="14">
        <v>289.8</v>
      </c>
      <c r="G23" s="14">
        <v>0</v>
      </c>
      <c r="H23" s="14">
        <v>0</v>
      </c>
      <c r="I23" s="14">
        <v>0</v>
      </c>
      <c r="J23" s="8"/>
    </row>
    <row r="24" spans="1:30" ht="15.75" customHeight="1" x14ac:dyDescent="0.2">
      <c r="A24" s="12">
        <v>4170</v>
      </c>
      <c r="B24" s="13" t="s">
        <v>89</v>
      </c>
      <c r="C24" s="14"/>
      <c r="D24" s="14">
        <v>0</v>
      </c>
      <c r="E24" s="14">
        <v>0</v>
      </c>
      <c r="F24" s="14">
        <v>0</v>
      </c>
      <c r="G24" s="14">
        <v>0</v>
      </c>
      <c r="H24" s="14">
        <v>5000</v>
      </c>
      <c r="I24" s="14">
        <v>0</v>
      </c>
      <c r="J24" s="8"/>
    </row>
    <row r="25" spans="1:30" ht="15.75" customHeight="1" x14ac:dyDescent="0.2">
      <c r="A25" s="12">
        <v>4190</v>
      </c>
      <c r="B25" s="13" t="s">
        <v>25</v>
      </c>
      <c r="C25" s="14"/>
      <c r="D25" s="14">
        <v>400</v>
      </c>
      <c r="E25" s="14">
        <v>0</v>
      </c>
      <c r="F25" s="14">
        <v>0</v>
      </c>
      <c r="G25" s="14">
        <v>370</v>
      </c>
      <c r="H25" s="14">
        <v>370</v>
      </c>
      <c r="I25" s="14">
        <v>5000</v>
      </c>
      <c r="J25" s="17" t="s">
        <v>79</v>
      </c>
    </row>
    <row r="26" spans="1:30" ht="15.75" customHeight="1" x14ac:dyDescent="0.2">
      <c r="A26" s="12">
        <v>4950.2020000000002</v>
      </c>
      <c r="B26" s="13" t="s">
        <v>23</v>
      </c>
      <c r="C26" s="14"/>
      <c r="D26" s="14">
        <v>1200</v>
      </c>
      <c r="E26" s="14">
        <f>F26/7*12</f>
        <v>2402.2799999999997</v>
      </c>
      <c r="F26" s="14">
        <v>1401.33</v>
      </c>
      <c r="G26" s="14">
        <v>1800</v>
      </c>
      <c r="H26" s="14">
        <v>1791.7</v>
      </c>
      <c r="I26" s="14">
        <v>1085.17</v>
      </c>
      <c r="J26" s="17" t="s">
        <v>79</v>
      </c>
    </row>
    <row r="27" spans="1:30" ht="15.75" customHeight="1" x14ac:dyDescent="0.2">
      <c r="A27" s="12">
        <v>4950.2039999999997</v>
      </c>
      <c r="B27" s="13" t="s">
        <v>91</v>
      </c>
      <c r="C27" s="14"/>
      <c r="D27" s="14">
        <v>0</v>
      </c>
      <c r="E27" s="14">
        <f>F27</f>
        <v>125</v>
      </c>
      <c r="F27" s="14">
        <v>125</v>
      </c>
      <c r="G27" s="14">
        <v>0</v>
      </c>
      <c r="H27" s="14">
        <v>753</v>
      </c>
      <c r="I27" s="14">
        <v>817.2</v>
      </c>
      <c r="J27" s="8"/>
    </row>
    <row r="28" spans="1:30" ht="15.75" customHeight="1" x14ac:dyDescent="0.2">
      <c r="A28" s="12">
        <v>4950.299</v>
      </c>
      <c r="B28" s="13" t="s">
        <v>24</v>
      </c>
      <c r="C28" s="14"/>
      <c r="D28" s="14">
        <v>1300</v>
      </c>
      <c r="E28" s="14">
        <f>F28+400</f>
        <v>1777.11</v>
      </c>
      <c r="F28" s="14">
        <v>1377.11</v>
      </c>
      <c r="G28" s="14">
        <v>1200</v>
      </c>
      <c r="H28" s="14">
        <v>861.6</v>
      </c>
      <c r="I28" s="14">
        <v>1055</v>
      </c>
      <c r="J28" s="17" t="s">
        <v>79</v>
      </c>
    </row>
    <row r="29" spans="1:30" ht="15.75" customHeight="1" x14ac:dyDescent="0.2">
      <c r="A29" s="13">
        <v>4950.607</v>
      </c>
      <c r="B29" s="13" t="s">
        <v>95</v>
      </c>
      <c r="C29" s="13"/>
      <c r="D29" s="13">
        <v>0</v>
      </c>
      <c r="E29" s="13">
        <v>0</v>
      </c>
      <c r="F29" s="13">
        <v>0</v>
      </c>
      <c r="G29" s="13">
        <v>0</v>
      </c>
      <c r="H29" s="13">
        <v>3240</v>
      </c>
      <c r="I29" s="14">
        <v>0</v>
      </c>
      <c r="J29" s="8"/>
    </row>
    <row r="30" spans="1:30" ht="15.75" customHeight="1" x14ac:dyDescent="0.2">
      <c r="I30" s="7"/>
      <c r="J30" s="8"/>
    </row>
    <row r="31" spans="1:30" ht="15" x14ac:dyDescent="0.25">
      <c r="A31" s="6" t="s">
        <v>26</v>
      </c>
      <c r="B31" s="9"/>
      <c r="C31" s="11"/>
      <c r="D31" s="10">
        <f t="shared" ref="D31:I31" si="6">SUM(D32:D33)</f>
        <v>3012</v>
      </c>
      <c r="E31" s="10">
        <f t="shared" si="6"/>
        <v>10.44</v>
      </c>
      <c r="F31" s="10">
        <f t="shared" si="6"/>
        <v>6.09</v>
      </c>
      <c r="G31" s="10">
        <f t="shared" si="6"/>
        <v>12</v>
      </c>
      <c r="H31" s="10">
        <f t="shared" si="6"/>
        <v>11.51</v>
      </c>
      <c r="I31" s="10">
        <f t="shared" si="6"/>
        <v>10004.49</v>
      </c>
      <c r="J31" s="15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1:30" ht="15.75" customHeight="1" x14ac:dyDescent="0.2">
      <c r="A32" s="12">
        <v>4200</v>
      </c>
      <c r="B32" s="13" t="s">
        <v>27</v>
      </c>
      <c r="C32" s="14"/>
      <c r="D32" s="14">
        <v>12</v>
      </c>
      <c r="E32" s="14">
        <f>F32/7*12</f>
        <v>10.44</v>
      </c>
      <c r="F32" s="14">
        <v>6.09</v>
      </c>
      <c r="G32" s="14">
        <v>12</v>
      </c>
      <c r="H32" s="14">
        <v>11.51</v>
      </c>
      <c r="I32" s="14">
        <v>4.49</v>
      </c>
      <c r="J32" s="8"/>
    </row>
    <row r="33" spans="1:30" ht="15.75" customHeight="1" x14ac:dyDescent="0.2">
      <c r="A33" s="12">
        <v>4950.5</v>
      </c>
      <c r="B33" s="13" t="s">
        <v>104</v>
      </c>
      <c r="C33" s="14"/>
      <c r="D33" s="20">
        <v>3000</v>
      </c>
      <c r="E33" s="14"/>
      <c r="F33" s="14">
        <v>0</v>
      </c>
      <c r="G33" s="14">
        <v>0</v>
      </c>
      <c r="H33" s="14">
        <v>0</v>
      </c>
      <c r="I33" s="14">
        <v>10000</v>
      </c>
      <c r="J33" s="17" t="s">
        <v>105</v>
      </c>
    </row>
    <row r="34" spans="1:30" ht="15.75" customHeight="1" x14ac:dyDescent="0.2">
      <c r="A34" s="12"/>
      <c r="B34" s="13"/>
      <c r="C34" s="14"/>
      <c r="D34" s="14"/>
      <c r="E34" s="14"/>
      <c r="F34" s="14"/>
      <c r="G34" s="14"/>
      <c r="H34" s="14"/>
      <c r="I34" s="7"/>
      <c r="J34" s="8"/>
    </row>
    <row r="35" spans="1:30" x14ac:dyDescent="0.25">
      <c r="A35" s="18" t="s">
        <v>28</v>
      </c>
      <c r="B35" s="1"/>
      <c r="C35" s="23">
        <f>(D35-G35)/G35</f>
        <v>-6.8616681149677825E-2</v>
      </c>
      <c r="D35" s="19">
        <f t="shared" ref="D35:I35" si="7">D3+D7+D13+D16+D22+D31</f>
        <v>113612</v>
      </c>
      <c r="E35" s="19">
        <f t="shared" si="7"/>
        <v>115439.41857142857</v>
      </c>
      <c r="F35" s="19">
        <f t="shared" si="7"/>
        <v>66999.539999999994</v>
      </c>
      <c r="G35" s="19">
        <f t="shared" si="7"/>
        <v>121982</v>
      </c>
      <c r="H35" s="19">
        <f t="shared" si="7"/>
        <v>134230.82</v>
      </c>
      <c r="I35" s="19">
        <f t="shared" si="7"/>
        <v>134478.63999999998</v>
      </c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 x14ac:dyDescent="0.2">
      <c r="H36" s="13"/>
      <c r="I36" s="7"/>
      <c r="J36" s="8"/>
    </row>
    <row r="37" spans="1:30" ht="18" x14ac:dyDescent="0.25">
      <c r="A37" s="4" t="s">
        <v>30</v>
      </c>
      <c r="I37" s="7"/>
      <c r="J37" s="8"/>
    </row>
    <row r="38" spans="1:30" ht="15" x14ac:dyDescent="0.25">
      <c r="A38" s="6" t="s">
        <v>108</v>
      </c>
      <c r="B38" s="9"/>
      <c r="C38" s="11">
        <f>(D38-G38)/G38</f>
        <v>-0.33019918023126382</v>
      </c>
      <c r="D38" s="10">
        <f t="shared" ref="D38:I38" si="8">SUM(D39:D51)</f>
        <v>51148</v>
      </c>
      <c r="E38" s="10">
        <f t="shared" si="8"/>
        <v>56480.136190476194</v>
      </c>
      <c r="F38" s="10">
        <f t="shared" si="8"/>
        <v>40963.580000000009</v>
      </c>
      <c r="G38" s="10">
        <f t="shared" si="8"/>
        <v>76363</v>
      </c>
      <c r="H38" s="10">
        <f t="shared" si="8"/>
        <v>67971.649999999994</v>
      </c>
      <c r="I38" s="10">
        <f t="shared" si="8"/>
        <v>68026.070000000007</v>
      </c>
      <c r="J38" s="15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0" ht="12.75" x14ac:dyDescent="0.2">
      <c r="A39" s="12">
        <v>5210.1009999999997</v>
      </c>
      <c r="B39" s="13" t="s">
        <v>32</v>
      </c>
      <c r="C39" s="14"/>
      <c r="D39" s="20">
        <f>15000/6*5</f>
        <v>12500</v>
      </c>
      <c r="E39" s="14">
        <f>G39/12*7</f>
        <v>20073.083333333336</v>
      </c>
      <c r="F39" s="14">
        <v>20072.990000000002</v>
      </c>
      <c r="G39" s="14">
        <v>34411</v>
      </c>
      <c r="H39" s="14">
        <v>34354.61</v>
      </c>
      <c r="I39" s="14">
        <v>33736.080000000002</v>
      </c>
      <c r="J39" s="27" t="s">
        <v>110</v>
      </c>
    </row>
    <row r="40" spans="1:30" ht="12.75" x14ac:dyDescent="0.2">
      <c r="A40" s="12">
        <v>5210.201</v>
      </c>
      <c r="B40" s="13" t="s">
        <v>47</v>
      </c>
      <c r="C40" s="14"/>
      <c r="D40" s="14">
        <v>9200</v>
      </c>
      <c r="E40" s="14">
        <f>F40+(13*14*26)</f>
        <v>8137.75</v>
      </c>
      <c r="F40" s="14">
        <v>3405.75</v>
      </c>
      <c r="G40" s="14">
        <v>6000</v>
      </c>
      <c r="H40" s="14">
        <v>3248.84</v>
      </c>
      <c r="I40" s="14">
        <v>7869.85</v>
      </c>
      <c r="J40" s="17" t="s">
        <v>111</v>
      </c>
    </row>
    <row r="41" spans="1:30" ht="12.75" x14ac:dyDescent="0.2">
      <c r="A41" s="12">
        <v>5210.3010000000004</v>
      </c>
      <c r="B41" s="13" t="s">
        <v>80</v>
      </c>
      <c r="C41" s="14"/>
      <c r="D41" s="14">
        <v>5300</v>
      </c>
      <c r="E41" s="14">
        <v>5400</v>
      </c>
      <c r="F41" s="14">
        <v>3015</v>
      </c>
      <c r="G41" s="14">
        <v>6600</v>
      </c>
      <c r="H41" s="14">
        <v>5005</v>
      </c>
      <c r="I41" s="14">
        <f>4387+225</f>
        <v>4612</v>
      </c>
      <c r="J41" s="17" t="s">
        <v>112</v>
      </c>
    </row>
    <row r="42" spans="1:30" ht="12.75" x14ac:dyDescent="0.2">
      <c r="A42" s="12">
        <v>5210.5010000000002</v>
      </c>
      <c r="B42" s="13" t="s">
        <v>60</v>
      </c>
      <c r="C42" s="14"/>
      <c r="D42" s="14">
        <v>12168</v>
      </c>
      <c r="E42" s="14">
        <v>10800</v>
      </c>
      <c r="F42" s="14">
        <v>6080</v>
      </c>
      <c r="G42" s="14">
        <v>10800</v>
      </c>
      <c r="H42" s="14">
        <v>10081.25</v>
      </c>
      <c r="I42" s="14">
        <v>11147.44</v>
      </c>
      <c r="J42" s="17" t="s">
        <v>109</v>
      </c>
    </row>
    <row r="43" spans="1:30" ht="12.75" x14ac:dyDescent="0.2">
      <c r="A43" s="12">
        <v>5210.6009999999997</v>
      </c>
      <c r="B43" s="13" t="s">
        <v>102</v>
      </c>
      <c r="C43" s="14"/>
      <c r="D43" s="14">
        <v>3200</v>
      </c>
      <c r="E43" s="14">
        <v>2500</v>
      </c>
      <c r="F43" s="14">
        <v>1100</v>
      </c>
      <c r="G43" s="14">
        <v>3600</v>
      </c>
      <c r="H43" s="14">
        <v>2214.7199999999998</v>
      </c>
      <c r="I43" s="14">
        <v>2475.35</v>
      </c>
      <c r="J43" s="17" t="s">
        <v>116</v>
      </c>
    </row>
    <row r="44" spans="1:30" ht="12.75" x14ac:dyDescent="0.2">
      <c r="A44" s="12">
        <v>5210.701</v>
      </c>
      <c r="B44" s="13" t="s">
        <v>117</v>
      </c>
      <c r="C44" s="14"/>
      <c r="D44" s="14">
        <v>0</v>
      </c>
      <c r="E44" s="14">
        <v>0</v>
      </c>
      <c r="F44" s="14">
        <v>0</v>
      </c>
      <c r="G44" s="14">
        <v>1800</v>
      </c>
      <c r="H44" s="14">
        <v>1890</v>
      </c>
      <c r="I44" s="14">
        <v>200</v>
      </c>
      <c r="J44" s="17" t="s">
        <v>118</v>
      </c>
    </row>
    <row r="45" spans="1:30" ht="12.75" x14ac:dyDescent="0.2">
      <c r="A45" s="12">
        <v>5210.9009999999998</v>
      </c>
      <c r="B45" s="13" t="s">
        <v>50</v>
      </c>
      <c r="C45" s="14"/>
      <c r="D45" s="14">
        <v>2800</v>
      </c>
      <c r="E45" s="14">
        <f>F45/7*12</f>
        <v>1937.1428571428569</v>
      </c>
      <c r="F45" s="14">
        <v>1130</v>
      </c>
      <c r="G45" s="14">
        <v>3600</v>
      </c>
      <c r="H45" s="14">
        <v>1250</v>
      </c>
      <c r="I45" s="14">
        <v>880</v>
      </c>
      <c r="J45" s="17" t="s">
        <v>119</v>
      </c>
    </row>
    <row r="46" spans="1:30" ht="12.75" x14ac:dyDescent="0.2">
      <c r="A46" s="12">
        <v>5211.1009999999997</v>
      </c>
      <c r="B46" s="13" t="s">
        <v>37</v>
      </c>
      <c r="C46" s="14"/>
      <c r="D46" s="14">
        <f>3000/6*5</f>
        <v>2500</v>
      </c>
      <c r="E46" s="14">
        <f t="shared" ref="E46:E47" si="9">F46</f>
        <v>4554.3599999999997</v>
      </c>
      <c r="F46" s="14">
        <v>4554.3599999999997</v>
      </c>
      <c r="G46" s="14">
        <v>6072</v>
      </c>
      <c r="H46" s="14">
        <v>7522.48</v>
      </c>
      <c r="I46" s="14">
        <v>4554.3599999999997</v>
      </c>
      <c r="J46" s="17" t="s">
        <v>120</v>
      </c>
    </row>
    <row r="47" spans="1:30" ht="12.75" x14ac:dyDescent="0.2">
      <c r="A47" s="12">
        <v>5212</v>
      </c>
      <c r="B47" s="13" t="s">
        <v>121</v>
      </c>
      <c r="C47" s="14"/>
      <c r="D47" s="14">
        <v>0</v>
      </c>
      <c r="E47" s="14">
        <f t="shared" si="9"/>
        <v>-542.20000000000005</v>
      </c>
      <c r="F47" s="14">
        <v>-542.20000000000005</v>
      </c>
      <c r="G47" s="14">
        <v>0</v>
      </c>
      <c r="H47" s="14">
        <v>-535.20000000000005</v>
      </c>
      <c r="I47" s="14">
        <v>-6</v>
      </c>
      <c r="J47" s="8"/>
    </row>
    <row r="48" spans="1:30" ht="12.75" x14ac:dyDescent="0.2">
      <c r="A48" s="12">
        <v>5213</v>
      </c>
      <c r="B48" s="13" t="s">
        <v>54</v>
      </c>
      <c r="C48" s="14"/>
      <c r="D48" s="14">
        <v>900</v>
      </c>
      <c r="E48" s="14">
        <f>G48</f>
        <v>900</v>
      </c>
      <c r="F48" s="14">
        <v>693</v>
      </c>
      <c r="G48" s="14">
        <v>900</v>
      </c>
      <c r="H48" s="14">
        <v>200.78</v>
      </c>
      <c r="I48" s="14">
        <v>0</v>
      </c>
      <c r="J48" s="8"/>
    </row>
    <row r="49" spans="1:30" ht="12.75" x14ac:dyDescent="0.2">
      <c r="A49" s="12">
        <v>5217</v>
      </c>
      <c r="B49" s="13" t="s">
        <v>51</v>
      </c>
      <c r="C49" s="14"/>
      <c r="D49" s="14">
        <v>2000</v>
      </c>
      <c r="E49" s="14">
        <v>2000</v>
      </c>
      <c r="F49" s="14">
        <v>1119.29</v>
      </c>
      <c r="G49" s="14">
        <v>2100</v>
      </c>
      <c r="H49" s="14">
        <v>1812.36</v>
      </c>
      <c r="I49" s="14">
        <v>2062.4899999999998</v>
      </c>
      <c r="J49" s="17" t="s">
        <v>122</v>
      </c>
    </row>
    <row r="50" spans="1:30" ht="12.75" x14ac:dyDescent="0.2">
      <c r="A50" s="12">
        <v>5218</v>
      </c>
      <c r="B50" s="13" t="s">
        <v>55</v>
      </c>
      <c r="C50" s="14"/>
      <c r="D50" s="14">
        <v>580</v>
      </c>
      <c r="E50" s="14">
        <v>520</v>
      </c>
      <c r="F50" s="14">
        <v>335.39</v>
      </c>
      <c r="G50" s="14">
        <v>480</v>
      </c>
      <c r="H50" s="14">
        <v>483.81</v>
      </c>
      <c r="I50" s="14">
        <v>494.5</v>
      </c>
      <c r="J50" s="8"/>
    </row>
    <row r="51" spans="1:30" ht="12.75" x14ac:dyDescent="0.2">
      <c r="A51" s="12">
        <v>5220</v>
      </c>
      <c r="B51" s="13" t="s">
        <v>123</v>
      </c>
      <c r="C51" s="13"/>
      <c r="D51" s="13">
        <v>0</v>
      </c>
      <c r="E51" s="13">
        <v>200</v>
      </c>
      <c r="F51" s="13">
        <v>0</v>
      </c>
      <c r="G51" s="13">
        <v>0</v>
      </c>
      <c r="H51" s="13">
        <v>443</v>
      </c>
      <c r="I51" s="14">
        <v>0</v>
      </c>
      <c r="J51" s="17"/>
    </row>
    <row r="52" spans="1:30" ht="12.75" x14ac:dyDescent="0.2">
      <c r="I52" s="7"/>
      <c r="J52" s="8"/>
    </row>
    <row r="53" spans="1:30" ht="15" x14ac:dyDescent="0.25">
      <c r="A53" s="6" t="s">
        <v>72</v>
      </c>
      <c r="B53" s="9"/>
      <c r="C53" s="11">
        <f>(D53-G53)/G53</f>
        <v>-4.8353909465020578E-2</v>
      </c>
      <c r="D53" s="10">
        <f t="shared" ref="D53:I53" si="10">SUM(D54:D58)</f>
        <v>13875</v>
      </c>
      <c r="E53" s="10">
        <f t="shared" si="10"/>
        <v>13428.045714285714</v>
      </c>
      <c r="F53" s="10">
        <f t="shared" si="10"/>
        <v>8210.65</v>
      </c>
      <c r="G53" s="10">
        <f t="shared" si="10"/>
        <v>14580</v>
      </c>
      <c r="H53" s="10">
        <f t="shared" si="10"/>
        <v>13248.13</v>
      </c>
      <c r="I53" s="10">
        <f t="shared" si="10"/>
        <v>13345.47</v>
      </c>
      <c r="J53" s="15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</row>
    <row r="54" spans="1:30" ht="12.75" x14ac:dyDescent="0.2">
      <c r="A54" s="12">
        <v>5820.1</v>
      </c>
      <c r="B54" s="13" t="s">
        <v>126</v>
      </c>
      <c r="C54" s="14"/>
      <c r="D54" s="14">
        <v>1700</v>
      </c>
      <c r="E54" s="14">
        <f>F54/7*12</f>
        <v>1288.0457142857144</v>
      </c>
      <c r="F54" s="14">
        <v>751.36</v>
      </c>
      <c r="G54" s="14">
        <v>1680</v>
      </c>
      <c r="H54" s="14">
        <v>1560.24</v>
      </c>
      <c r="I54" s="14">
        <v>2802.27</v>
      </c>
      <c r="J54" s="8"/>
    </row>
    <row r="55" spans="1:30" ht="12.75" x14ac:dyDescent="0.2">
      <c r="A55" s="12">
        <v>5860</v>
      </c>
      <c r="B55" s="13" t="s">
        <v>127</v>
      </c>
      <c r="C55" s="14"/>
      <c r="D55" s="14">
        <v>3600</v>
      </c>
      <c r="E55" s="14">
        <v>3600</v>
      </c>
      <c r="F55" s="14">
        <v>1655.17</v>
      </c>
      <c r="G55" s="14">
        <v>3960</v>
      </c>
      <c r="H55" s="14">
        <v>3390.56</v>
      </c>
      <c r="I55" s="14">
        <v>3109</v>
      </c>
      <c r="J55" s="17"/>
    </row>
    <row r="56" spans="1:30" ht="12.75" x14ac:dyDescent="0.2">
      <c r="A56" s="12">
        <v>5860.1</v>
      </c>
      <c r="B56" s="13" t="s">
        <v>73</v>
      </c>
      <c r="C56" s="14"/>
      <c r="D56" s="14">
        <v>5000</v>
      </c>
      <c r="E56" s="14">
        <v>5000</v>
      </c>
      <c r="F56" s="14">
        <v>2796.62</v>
      </c>
      <c r="G56" s="14">
        <v>5400</v>
      </c>
      <c r="H56" s="14">
        <v>4911.7299999999996</v>
      </c>
      <c r="I56" s="14">
        <v>4273.2299999999996</v>
      </c>
      <c r="J56" s="8"/>
    </row>
    <row r="57" spans="1:30" ht="12.75" x14ac:dyDescent="0.2">
      <c r="A57" s="12">
        <v>5860.2</v>
      </c>
      <c r="B57" s="13" t="s">
        <v>75</v>
      </c>
      <c r="C57" s="14"/>
      <c r="D57" s="14">
        <v>3000</v>
      </c>
      <c r="E57" s="14">
        <f t="shared" ref="E57:E58" si="11">G57</f>
        <v>3000</v>
      </c>
      <c r="F57" s="14">
        <v>2671.37</v>
      </c>
      <c r="G57" s="14">
        <v>3000</v>
      </c>
      <c r="H57" s="14">
        <v>2833.98</v>
      </c>
      <c r="I57" s="14">
        <v>2640.08</v>
      </c>
      <c r="J57" s="8"/>
    </row>
    <row r="58" spans="1:30" ht="12.75" x14ac:dyDescent="0.2">
      <c r="A58" s="12">
        <v>5860.3</v>
      </c>
      <c r="B58" s="13" t="s">
        <v>77</v>
      </c>
      <c r="C58" s="14"/>
      <c r="D58" s="14">
        <v>575</v>
      </c>
      <c r="E58" s="14">
        <f t="shared" si="11"/>
        <v>540</v>
      </c>
      <c r="F58" s="14">
        <v>336.13</v>
      </c>
      <c r="G58" s="14">
        <v>540</v>
      </c>
      <c r="H58" s="14">
        <v>551.62</v>
      </c>
      <c r="I58" s="14">
        <v>520.89</v>
      </c>
      <c r="J58" s="8"/>
    </row>
    <row r="59" spans="1:30" ht="12.75" x14ac:dyDescent="0.2">
      <c r="I59" s="7"/>
      <c r="J59" s="8"/>
    </row>
    <row r="60" spans="1:30" ht="15" x14ac:dyDescent="0.25">
      <c r="A60" s="6" t="s">
        <v>59</v>
      </c>
      <c r="B60" s="9"/>
      <c r="C60" s="11">
        <f>(D60-G60)/G60</f>
        <v>6.1504550625711037E-2</v>
      </c>
      <c r="D60" s="10">
        <f t="shared" ref="D60:I60" si="12">SUM(D61:D69)</f>
        <v>14929</v>
      </c>
      <c r="E60" s="10">
        <f t="shared" si="12"/>
        <v>12182.331428571428</v>
      </c>
      <c r="F60" s="10">
        <f t="shared" si="12"/>
        <v>7861.11</v>
      </c>
      <c r="G60" s="10">
        <f t="shared" si="12"/>
        <v>14064</v>
      </c>
      <c r="H60" s="10">
        <f t="shared" si="12"/>
        <v>12686.77</v>
      </c>
      <c r="I60" s="10">
        <f t="shared" si="12"/>
        <v>24437.320000000003</v>
      </c>
      <c r="J60" s="15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1:30" ht="12.75" x14ac:dyDescent="0.2">
      <c r="A61" s="12">
        <v>5575</v>
      </c>
      <c r="B61" s="13" t="s">
        <v>114</v>
      </c>
      <c r="C61" s="14"/>
      <c r="D61" s="14">
        <v>0</v>
      </c>
      <c r="E61" s="14">
        <v>0</v>
      </c>
      <c r="F61" s="14">
        <v>0</v>
      </c>
      <c r="G61" s="14">
        <v>900</v>
      </c>
      <c r="H61" s="14">
        <v>0</v>
      </c>
      <c r="I61" s="14">
        <v>0</v>
      </c>
      <c r="J61" s="17"/>
    </row>
    <row r="62" spans="1:30" ht="12.75" x14ac:dyDescent="0.2">
      <c r="A62" s="12">
        <v>5575.1</v>
      </c>
      <c r="B62" s="13" t="s">
        <v>66</v>
      </c>
      <c r="C62" s="14"/>
      <c r="D62" s="14">
        <v>600</v>
      </c>
      <c r="E62" s="14">
        <f>F62/7*12</f>
        <v>369.42857142857144</v>
      </c>
      <c r="F62" s="14">
        <v>215.5</v>
      </c>
      <c r="G62" s="14">
        <v>600</v>
      </c>
      <c r="H62" s="14">
        <v>575.03</v>
      </c>
      <c r="I62" s="14">
        <v>1317.38</v>
      </c>
      <c r="J62" s="8"/>
    </row>
    <row r="63" spans="1:30" ht="12.75" x14ac:dyDescent="0.2">
      <c r="A63" s="12">
        <v>5575.11</v>
      </c>
      <c r="B63" s="13" t="s">
        <v>67</v>
      </c>
      <c r="C63" s="14"/>
      <c r="D63" s="14">
        <v>600</v>
      </c>
      <c r="E63" s="14">
        <f>G63</f>
        <v>600</v>
      </c>
      <c r="F63" s="14">
        <v>0</v>
      </c>
      <c r="G63" s="14">
        <v>600</v>
      </c>
      <c r="H63" s="14">
        <v>41.96</v>
      </c>
      <c r="I63" s="14">
        <v>611</v>
      </c>
      <c r="J63" s="17"/>
    </row>
    <row r="64" spans="1:30" ht="12.75" x14ac:dyDescent="0.2">
      <c r="A64" s="12">
        <v>5575.12</v>
      </c>
      <c r="B64" s="13" t="s">
        <v>63</v>
      </c>
      <c r="C64" s="14"/>
      <c r="D64" s="14">
        <v>1500</v>
      </c>
      <c r="E64" s="14">
        <f>F64/7*12</f>
        <v>2166.6171428571424</v>
      </c>
      <c r="F64" s="14">
        <v>1263.8599999999999</v>
      </c>
      <c r="G64" s="14">
        <v>480</v>
      </c>
      <c r="H64" s="14">
        <v>93.42</v>
      </c>
      <c r="I64" s="14">
        <v>2519.41</v>
      </c>
      <c r="J64" s="17"/>
    </row>
    <row r="65" spans="1:30" ht="12.75" x14ac:dyDescent="0.2">
      <c r="A65" s="12">
        <v>5575.13</v>
      </c>
      <c r="B65" s="13" t="s">
        <v>69</v>
      </c>
      <c r="C65" s="14"/>
      <c r="D65" s="14">
        <v>400</v>
      </c>
      <c r="E65" s="14">
        <v>550</v>
      </c>
      <c r="F65" s="14">
        <v>442.5</v>
      </c>
      <c r="G65" s="14">
        <v>720</v>
      </c>
      <c r="H65" s="14">
        <v>290</v>
      </c>
      <c r="I65" s="14">
        <v>430</v>
      </c>
      <c r="J65" s="17"/>
    </row>
    <row r="66" spans="1:30" ht="12.75" x14ac:dyDescent="0.2">
      <c r="A66" s="12">
        <v>5575.14</v>
      </c>
      <c r="B66" s="13" t="s">
        <v>68</v>
      </c>
      <c r="C66" s="14"/>
      <c r="D66" s="14">
        <v>500</v>
      </c>
      <c r="E66" s="14">
        <v>450</v>
      </c>
      <c r="F66" s="14">
        <v>0</v>
      </c>
      <c r="G66" s="14">
        <v>480</v>
      </c>
      <c r="H66" s="14">
        <v>442.8</v>
      </c>
      <c r="I66" s="14">
        <v>331.29</v>
      </c>
      <c r="J66" s="8"/>
    </row>
    <row r="67" spans="1:30" ht="51" x14ac:dyDescent="0.2">
      <c r="A67" s="12">
        <v>5575.2</v>
      </c>
      <c r="B67" s="13" t="s">
        <v>71</v>
      </c>
      <c r="C67" s="14"/>
      <c r="D67" s="14">
        <v>5229</v>
      </c>
      <c r="E67" s="14">
        <v>3500</v>
      </c>
      <c r="F67" s="20">
        <v>3287.25</v>
      </c>
      <c r="G67" s="14">
        <v>4800</v>
      </c>
      <c r="H67" s="14">
        <v>5263</v>
      </c>
      <c r="I67" s="14">
        <v>13442.86</v>
      </c>
      <c r="J67" s="17" t="s">
        <v>113</v>
      </c>
    </row>
    <row r="68" spans="1:30" ht="12.75" x14ac:dyDescent="0.2">
      <c r="A68" s="12">
        <v>5390</v>
      </c>
      <c r="B68" s="13" t="s">
        <v>62</v>
      </c>
      <c r="C68" s="14"/>
      <c r="D68" s="14">
        <v>5100</v>
      </c>
      <c r="E68" s="14">
        <f t="shared" ref="E68:E69" si="13">F68/7*12</f>
        <v>4083.4285714285716</v>
      </c>
      <c r="F68" s="14">
        <v>2382</v>
      </c>
      <c r="G68" s="14">
        <v>4764</v>
      </c>
      <c r="H68" s="14">
        <v>5105.5600000000004</v>
      </c>
      <c r="I68" s="14">
        <v>4483.38</v>
      </c>
      <c r="J68" s="8"/>
    </row>
    <row r="69" spans="1:30" ht="12.75" x14ac:dyDescent="0.2">
      <c r="A69" s="12">
        <v>5575.5</v>
      </c>
      <c r="B69" s="13" t="s">
        <v>83</v>
      </c>
      <c r="C69" s="14"/>
      <c r="D69" s="14">
        <v>1000</v>
      </c>
      <c r="E69" s="14">
        <f t="shared" si="13"/>
        <v>462.85714285714283</v>
      </c>
      <c r="F69" s="14">
        <v>270</v>
      </c>
      <c r="G69" s="14">
        <v>720</v>
      </c>
      <c r="H69" s="14">
        <v>875</v>
      </c>
      <c r="I69" s="14">
        <v>1302</v>
      </c>
      <c r="J69" s="8"/>
    </row>
    <row r="70" spans="1:30" ht="12.75" x14ac:dyDescent="0.2">
      <c r="I70" s="7"/>
      <c r="J70" s="8"/>
    </row>
    <row r="71" spans="1:30" ht="15" x14ac:dyDescent="0.25">
      <c r="A71" s="6" t="s">
        <v>46</v>
      </c>
      <c r="B71" s="9"/>
      <c r="C71" s="11">
        <f>(D71-G71)/G71</f>
        <v>-0.14035087719298245</v>
      </c>
      <c r="D71" s="10">
        <f t="shared" ref="D71:I71" si="14">SUM(D72:D78)</f>
        <v>4900</v>
      </c>
      <c r="E71" s="10">
        <f t="shared" si="14"/>
        <v>5102.4742857142855</v>
      </c>
      <c r="F71" s="10">
        <f t="shared" si="14"/>
        <v>3132.46</v>
      </c>
      <c r="G71" s="10">
        <f t="shared" si="14"/>
        <v>5700</v>
      </c>
      <c r="H71" s="10">
        <f t="shared" si="14"/>
        <v>4652.46</v>
      </c>
      <c r="I71" s="10">
        <f t="shared" si="14"/>
        <v>5052.4400000000005</v>
      </c>
      <c r="J71" s="15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1:30" ht="12.75" x14ac:dyDescent="0.2">
      <c r="A72" s="12">
        <v>5050</v>
      </c>
      <c r="B72" s="13" t="s">
        <v>57</v>
      </c>
      <c r="C72" s="14"/>
      <c r="D72" s="14">
        <v>200</v>
      </c>
      <c r="E72" s="14">
        <v>828</v>
      </c>
      <c r="F72" s="20">
        <v>827.93</v>
      </c>
      <c r="G72" s="14">
        <v>240</v>
      </c>
      <c r="H72" s="14">
        <v>49.6</v>
      </c>
      <c r="I72" s="14">
        <v>0</v>
      </c>
      <c r="J72" s="17" t="s">
        <v>124</v>
      </c>
    </row>
    <row r="73" spans="1:30" ht="12.75" x14ac:dyDescent="0.2">
      <c r="A73" s="12">
        <v>5475</v>
      </c>
      <c r="B73" s="13" t="s">
        <v>58</v>
      </c>
      <c r="C73" s="14"/>
      <c r="D73" s="14">
        <v>200</v>
      </c>
      <c r="E73" s="14">
        <v>180</v>
      </c>
      <c r="F73" s="14">
        <v>0</v>
      </c>
      <c r="G73" s="14">
        <v>300</v>
      </c>
      <c r="H73" s="14">
        <v>156.66</v>
      </c>
      <c r="I73" s="14">
        <v>95.06</v>
      </c>
      <c r="J73" s="8"/>
    </row>
    <row r="74" spans="1:30" ht="12.75" x14ac:dyDescent="0.2">
      <c r="A74" s="12">
        <v>5550.1</v>
      </c>
      <c r="B74" s="13" t="s">
        <v>48</v>
      </c>
      <c r="C74" s="14"/>
      <c r="D74" s="14">
        <v>3000</v>
      </c>
      <c r="E74" s="14">
        <f>F74/7*12</f>
        <v>3005.4171428571431</v>
      </c>
      <c r="F74" s="14">
        <v>1753.16</v>
      </c>
      <c r="G74" s="14">
        <v>3300</v>
      </c>
      <c r="H74" s="14">
        <v>2948.21</v>
      </c>
      <c r="I74" s="14">
        <v>2566.98</v>
      </c>
      <c r="J74" s="17"/>
    </row>
    <row r="75" spans="1:30" ht="12.75" x14ac:dyDescent="0.2">
      <c r="A75" s="12">
        <v>5575.3</v>
      </c>
      <c r="B75" s="13" t="s">
        <v>125</v>
      </c>
      <c r="C75" s="14"/>
      <c r="D75" s="14">
        <v>0</v>
      </c>
      <c r="E75" s="14">
        <v>0</v>
      </c>
      <c r="F75" s="14">
        <v>0</v>
      </c>
      <c r="G75" s="14">
        <v>360</v>
      </c>
      <c r="H75" s="14">
        <v>0</v>
      </c>
      <c r="I75" s="14">
        <v>163.28</v>
      </c>
      <c r="J75" s="8"/>
    </row>
    <row r="76" spans="1:30" ht="12.75" x14ac:dyDescent="0.2">
      <c r="A76" s="12">
        <v>5625</v>
      </c>
      <c r="B76" s="13" t="s">
        <v>52</v>
      </c>
      <c r="C76" s="14"/>
      <c r="D76" s="14">
        <v>1000</v>
      </c>
      <c r="E76" s="14">
        <f>F76/7*12</f>
        <v>659.05714285714282</v>
      </c>
      <c r="F76" s="14">
        <v>384.45</v>
      </c>
      <c r="G76" s="14">
        <v>1080</v>
      </c>
      <c r="H76" s="14">
        <v>1023.99</v>
      </c>
      <c r="I76" s="14">
        <v>805.93</v>
      </c>
      <c r="J76" s="17"/>
    </row>
    <row r="77" spans="1:30" ht="12.75" x14ac:dyDescent="0.2">
      <c r="A77" s="12">
        <v>5720</v>
      </c>
      <c r="B77" s="13" t="s">
        <v>56</v>
      </c>
      <c r="C77" s="14"/>
      <c r="D77" s="14">
        <v>500</v>
      </c>
      <c r="E77" s="14">
        <f>G77</f>
        <v>420</v>
      </c>
      <c r="F77" s="14">
        <f>35.16+121.76</f>
        <v>156.92000000000002</v>
      </c>
      <c r="G77" s="14">
        <v>420</v>
      </c>
      <c r="H77" s="14">
        <f>371.91+102.09</f>
        <v>474</v>
      </c>
      <c r="I77" s="7">
        <f>949.43+451.76</f>
        <v>1401.19</v>
      </c>
      <c r="J77" s="17"/>
    </row>
    <row r="78" spans="1:30" ht="12.75" x14ac:dyDescent="0.2">
      <c r="A78" s="12">
        <v>5950.5</v>
      </c>
      <c r="B78" s="13" t="s">
        <v>115</v>
      </c>
      <c r="C78" s="13"/>
      <c r="D78" s="13">
        <v>0</v>
      </c>
      <c r="E78" s="13">
        <f>F78</f>
        <v>10</v>
      </c>
      <c r="F78" s="13">
        <v>10</v>
      </c>
      <c r="G78" s="13">
        <v>0</v>
      </c>
      <c r="H78" s="13">
        <v>0</v>
      </c>
      <c r="I78" s="14">
        <v>20</v>
      </c>
      <c r="J78" s="8"/>
    </row>
    <row r="79" spans="1:30" ht="12.75" x14ac:dyDescent="0.2">
      <c r="I79" s="7"/>
      <c r="J79" s="8"/>
    </row>
    <row r="80" spans="1:30" ht="15" x14ac:dyDescent="0.25">
      <c r="A80" s="6" t="s">
        <v>136</v>
      </c>
      <c r="B80" s="9"/>
      <c r="C80" s="11">
        <f>(D80-G80)/G80</f>
        <v>-6.2998405103668262E-2</v>
      </c>
      <c r="D80" s="10">
        <f t="shared" ref="D80:I80" si="15">SUM(D81:D95)</f>
        <v>9400</v>
      </c>
      <c r="E80" s="10">
        <f t="shared" si="15"/>
        <v>11409.76</v>
      </c>
      <c r="F80" s="10">
        <f t="shared" si="15"/>
        <v>6956.47</v>
      </c>
      <c r="G80" s="10">
        <f t="shared" si="15"/>
        <v>10032</v>
      </c>
      <c r="H80" s="10">
        <f t="shared" si="15"/>
        <v>8897.1899999999987</v>
      </c>
      <c r="I80" s="10">
        <f t="shared" si="15"/>
        <v>7161.0400000000009</v>
      </c>
      <c r="J80" s="15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</row>
    <row r="81" spans="1:10" ht="12.75" x14ac:dyDescent="0.2">
      <c r="A81" s="12">
        <v>5025</v>
      </c>
      <c r="B81" s="13" t="s">
        <v>34</v>
      </c>
      <c r="C81" s="14"/>
      <c r="D81" s="14">
        <v>4500</v>
      </c>
      <c r="E81" s="14">
        <f>G81</f>
        <v>4464</v>
      </c>
      <c r="F81" s="14">
        <v>2603.16</v>
      </c>
      <c r="G81" s="14">
        <v>4464</v>
      </c>
      <c r="H81" s="14">
        <v>5251.44</v>
      </c>
      <c r="I81" s="14">
        <v>4773.96</v>
      </c>
      <c r="J81" s="8"/>
    </row>
    <row r="82" spans="1:10" ht="12.75" x14ac:dyDescent="0.2">
      <c r="A82" s="12">
        <v>5075.1000000000004</v>
      </c>
      <c r="B82" s="13" t="s">
        <v>42</v>
      </c>
      <c r="C82" s="14"/>
      <c r="D82" s="14">
        <v>600</v>
      </c>
      <c r="E82" s="14">
        <f>F82</f>
        <v>567</v>
      </c>
      <c r="F82" s="14">
        <v>567</v>
      </c>
      <c r="G82" s="14">
        <v>300</v>
      </c>
      <c r="H82" s="14">
        <v>250</v>
      </c>
      <c r="I82" s="14">
        <v>300</v>
      </c>
      <c r="J82" s="8"/>
    </row>
    <row r="83" spans="1:10" ht="12.75" x14ac:dyDescent="0.2">
      <c r="A83" s="12">
        <v>5035</v>
      </c>
      <c r="B83" s="13" t="s">
        <v>38</v>
      </c>
      <c r="C83" s="14"/>
      <c r="D83" s="14">
        <v>750</v>
      </c>
      <c r="E83" s="14">
        <v>500</v>
      </c>
      <c r="F83" s="14">
        <v>259.25</v>
      </c>
      <c r="G83" s="14">
        <v>750</v>
      </c>
      <c r="H83" s="14">
        <v>753</v>
      </c>
      <c r="I83" s="14">
        <v>769.56</v>
      </c>
      <c r="J83" s="17"/>
    </row>
    <row r="84" spans="1:10" ht="12.75" x14ac:dyDescent="0.2">
      <c r="A84" s="12">
        <v>5035.1000000000004</v>
      </c>
      <c r="B84" s="13" t="s">
        <v>39</v>
      </c>
      <c r="C84" s="14"/>
      <c r="D84" s="14">
        <v>750</v>
      </c>
      <c r="E84" s="14">
        <f>G84</f>
        <v>750</v>
      </c>
      <c r="F84" s="14">
        <v>0</v>
      </c>
      <c r="G84" s="14">
        <v>750</v>
      </c>
      <c r="H84" s="14">
        <v>0</v>
      </c>
      <c r="I84" s="14">
        <v>0</v>
      </c>
      <c r="J84" s="8"/>
    </row>
    <row r="85" spans="1:10" ht="12.75" x14ac:dyDescent="0.2">
      <c r="A85" s="12">
        <v>5100</v>
      </c>
      <c r="B85" s="13" t="s">
        <v>40</v>
      </c>
      <c r="C85" s="14"/>
      <c r="D85" s="14">
        <v>600</v>
      </c>
      <c r="E85" s="14">
        <v>600</v>
      </c>
      <c r="F85" s="14">
        <v>0</v>
      </c>
      <c r="G85" s="14">
        <v>600</v>
      </c>
      <c r="H85" s="14">
        <v>0</v>
      </c>
      <c r="I85" s="14">
        <v>0</v>
      </c>
      <c r="J85" s="17"/>
    </row>
    <row r="86" spans="1:10" ht="12.75" x14ac:dyDescent="0.2">
      <c r="A86" s="12">
        <v>5216</v>
      </c>
      <c r="B86" s="13" t="s">
        <v>41</v>
      </c>
      <c r="C86" s="14"/>
      <c r="D86" s="14">
        <v>600</v>
      </c>
      <c r="E86" s="14">
        <f>G86</f>
        <v>600</v>
      </c>
      <c r="F86" s="14">
        <v>0</v>
      </c>
      <c r="G86" s="14">
        <v>600</v>
      </c>
      <c r="H86" s="14">
        <v>0</v>
      </c>
      <c r="I86" s="14">
        <v>0</v>
      </c>
      <c r="J86" s="8"/>
    </row>
    <row r="87" spans="1:10" ht="12.75" x14ac:dyDescent="0.2">
      <c r="A87" s="12">
        <v>5075</v>
      </c>
      <c r="B87" s="13" t="s">
        <v>139</v>
      </c>
      <c r="C87" s="14"/>
      <c r="D87" s="14">
        <v>600</v>
      </c>
      <c r="E87" s="14">
        <v>0</v>
      </c>
      <c r="F87" s="14">
        <v>0</v>
      </c>
      <c r="G87" s="14">
        <v>1200</v>
      </c>
      <c r="H87" s="14">
        <v>1787.34</v>
      </c>
      <c r="I87" s="14">
        <v>0</v>
      </c>
      <c r="J87" s="17" t="s">
        <v>140</v>
      </c>
    </row>
    <row r="88" spans="1:10" ht="12.75" x14ac:dyDescent="0.2">
      <c r="A88" s="12">
        <v>5425</v>
      </c>
      <c r="B88" s="13" t="s">
        <v>141</v>
      </c>
      <c r="C88" s="14"/>
      <c r="D88" s="14">
        <v>250</v>
      </c>
      <c r="E88" s="14">
        <f t="shared" ref="E88:E89" si="16">F88</f>
        <v>50</v>
      </c>
      <c r="F88" s="14">
        <v>50</v>
      </c>
      <c r="G88" s="14">
        <v>240</v>
      </c>
      <c r="H88" s="14">
        <v>220.5</v>
      </c>
      <c r="I88" s="14">
        <v>198.93</v>
      </c>
      <c r="J88" s="8"/>
    </row>
    <row r="89" spans="1:10" ht="12.75" x14ac:dyDescent="0.2">
      <c r="A89" s="12">
        <v>5400</v>
      </c>
      <c r="B89" s="13" t="s">
        <v>43</v>
      </c>
      <c r="C89" s="14"/>
      <c r="D89" s="14">
        <v>400</v>
      </c>
      <c r="E89" s="14">
        <f t="shared" si="16"/>
        <v>228.76</v>
      </c>
      <c r="F89" s="14">
        <v>228.76</v>
      </c>
      <c r="G89" s="14">
        <v>600</v>
      </c>
      <c r="H89" s="14">
        <v>94.4</v>
      </c>
      <c r="I89" s="14">
        <v>407.09</v>
      </c>
      <c r="J89" s="17"/>
    </row>
    <row r="90" spans="1:10" ht="12.75" x14ac:dyDescent="0.2">
      <c r="A90" s="12">
        <v>5400.1</v>
      </c>
      <c r="B90" s="13" t="s">
        <v>45</v>
      </c>
      <c r="C90" s="14"/>
      <c r="D90" s="14">
        <v>50</v>
      </c>
      <c r="E90" s="14">
        <v>50</v>
      </c>
      <c r="F90" s="14">
        <v>0</v>
      </c>
      <c r="G90" s="14">
        <v>48</v>
      </c>
      <c r="H90" s="14">
        <v>0</v>
      </c>
      <c r="I90" s="14">
        <v>50</v>
      </c>
      <c r="J90" s="8"/>
    </row>
    <row r="91" spans="1:10" ht="12.75" x14ac:dyDescent="0.2">
      <c r="A91" s="12">
        <v>5840</v>
      </c>
      <c r="B91" s="13" t="s">
        <v>142</v>
      </c>
      <c r="C91" s="14"/>
      <c r="D91" s="14">
        <v>0</v>
      </c>
      <c r="E91" s="14">
        <v>0</v>
      </c>
      <c r="F91" s="14">
        <v>0</v>
      </c>
      <c r="G91" s="14">
        <v>300</v>
      </c>
      <c r="H91" s="14">
        <v>0</v>
      </c>
      <c r="I91" s="14">
        <v>0</v>
      </c>
      <c r="J91" s="17"/>
    </row>
    <row r="92" spans="1:10" ht="12.75" x14ac:dyDescent="0.2">
      <c r="A92" s="12">
        <v>5730.7</v>
      </c>
      <c r="B92" s="13" t="s">
        <v>44</v>
      </c>
      <c r="C92" s="14"/>
      <c r="D92" s="14">
        <v>300</v>
      </c>
      <c r="E92" s="14">
        <v>3400</v>
      </c>
      <c r="F92" s="20">
        <v>3248.3</v>
      </c>
      <c r="G92" s="14">
        <v>180</v>
      </c>
      <c r="H92" s="14">
        <v>140.51</v>
      </c>
      <c r="I92" s="14">
        <v>0</v>
      </c>
      <c r="J92" s="17" t="s">
        <v>131</v>
      </c>
    </row>
    <row r="93" spans="1:10" ht="12.75" x14ac:dyDescent="0.2">
      <c r="A93" s="12">
        <v>5600</v>
      </c>
      <c r="B93" s="13" t="s">
        <v>143</v>
      </c>
      <c r="C93" s="14"/>
      <c r="D93" s="14">
        <v>0</v>
      </c>
      <c r="E93" s="13">
        <v>200</v>
      </c>
      <c r="F93" s="13">
        <v>0</v>
      </c>
      <c r="G93" s="13">
        <v>0</v>
      </c>
      <c r="H93" s="13">
        <v>400</v>
      </c>
      <c r="I93" s="14">
        <v>0</v>
      </c>
      <c r="J93" s="17" t="s">
        <v>144</v>
      </c>
    </row>
    <row r="94" spans="1:10" ht="12.75" x14ac:dyDescent="0.2">
      <c r="A94" s="12">
        <v>5125</v>
      </c>
      <c r="B94" s="13" t="s">
        <v>128</v>
      </c>
      <c r="C94" s="14"/>
      <c r="D94" s="14">
        <v>0</v>
      </c>
      <c r="E94" s="13">
        <v>0</v>
      </c>
      <c r="F94" s="13">
        <v>0</v>
      </c>
      <c r="G94" s="13">
        <v>0</v>
      </c>
      <c r="H94" s="13">
        <v>0</v>
      </c>
      <c r="I94" s="14">
        <v>540</v>
      </c>
      <c r="J94" s="17"/>
    </row>
    <row r="95" spans="1:10" ht="12.75" x14ac:dyDescent="0.2">
      <c r="A95" s="12">
        <v>5525</v>
      </c>
      <c r="B95" s="13" t="s">
        <v>129</v>
      </c>
      <c r="C95" s="14"/>
      <c r="D95" s="14">
        <v>0</v>
      </c>
      <c r="E95" s="13">
        <v>0</v>
      </c>
      <c r="F95" s="13">
        <v>0</v>
      </c>
      <c r="G95" s="13">
        <v>0</v>
      </c>
      <c r="H95" s="13">
        <v>0</v>
      </c>
      <c r="I95" s="14">
        <v>121.5</v>
      </c>
      <c r="J95" s="17"/>
    </row>
    <row r="96" spans="1:10" ht="12.75" x14ac:dyDescent="0.2">
      <c r="I96" s="7"/>
      <c r="J96" s="8"/>
    </row>
    <row r="97" spans="1:30" ht="15" x14ac:dyDescent="0.25">
      <c r="A97" s="6" t="s">
        <v>84</v>
      </c>
      <c r="B97" s="9"/>
      <c r="C97" s="11">
        <f>(D97-G97)/G97</f>
        <v>0.48888888888888887</v>
      </c>
      <c r="D97" s="10">
        <f t="shared" ref="D97:I97" si="17">SUM(D98:D105)</f>
        <v>5360</v>
      </c>
      <c r="E97" s="10">
        <f t="shared" si="17"/>
        <v>4696.17</v>
      </c>
      <c r="F97" s="10">
        <f t="shared" si="17"/>
        <v>1304.03</v>
      </c>
      <c r="G97" s="10">
        <f t="shared" si="17"/>
        <v>3600</v>
      </c>
      <c r="H97" s="10">
        <f t="shared" si="17"/>
        <v>1557.9299999999998</v>
      </c>
      <c r="I97" s="10">
        <f t="shared" si="17"/>
        <v>2336.38</v>
      </c>
      <c r="J97" s="15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</row>
    <row r="98" spans="1:30" ht="12.75" x14ac:dyDescent="0.2">
      <c r="A98" s="12">
        <v>5740</v>
      </c>
      <c r="B98" s="13" t="s">
        <v>86</v>
      </c>
      <c r="C98" s="14"/>
      <c r="D98" s="14">
        <v>360</v>
      </c>
      <c r="E98" s="14">
        <v>300</v>
      </c>
      <c r="F98" s="14">
        <v>0</v>
      </c>
      <c r="G98" s="14">
        <v>360</v>
      </c>
      <c r="H98" s="14">
        <v>317.24</v>
      </c>
      <c r="I98" s="14">
        <v>503.97</v>
      </c>
      <c r="J98" s="8"/>
    </row>
    <row r="99" spans="1:30" ht="12.75" x14ac:dyDescent="0.2">
      <c r="A99" s="12">
        <v>5740.1</v>
      </c>
      <c r="B99" s="13" t="s">
        <v>133</v>
      </c>
      <c r="C99" s="14"/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8"/>
    </row>
    <row r="100" spans="1:30" ht="12.75" x14ac:dyDescent="0.2">
      <c r="A100" s="12">
        <v>5740.3</v>
      </c>
      <c r="B100" s="13" t="s">
        <v>134</v>
      </c>
      <c r="C100" s="14"/>
      <c r="D100" s="14">
        <v>0</v>
      </c>
      <c r="E100" s="14">
        <v>0</v>
      </c>
      <c r="F100" s="14">
        <v>0</v>
      </c>
      <c r="G100" s="14">
        <v>180</v>
      </c>
      <c r="H100" s="14">
        <v>0</v>
      </c>
      <c r="I100" s="14">
        <v>0</v>
      </c>
      <c r="J100" s="8"/>
    </row>
    <row r="101" spans="1:30" ht="12.75" x14ac:dyDescent="0.2">
      <c r="A101" s="12">
        <v>5740.32</v>
      </c>
      <c r="B101" s="13" t="s">
        <v>87</v>
      </c>
      <c r="C101" s="14"/>
      <c r="D101" s="14">
        <v>400</v>
      </c>
      <c r="E101" s="14">
        <f>F101</f>
        <v>296.16999999999996</v>
      </c>
      <c r="F101" s="14">
        <f>224.7+71.47</f>
        <v>296.16999999999996</v>
      </c>
      <c r="G101" s="14">
        <v>540</v>
      </c>
      <c r="H101" s="14">
        <f>227.26+130</f>
        <v>357.26</v>
      </c>
      <c r="I101" s="7">
        <f>82.41+138</f>
        <v>220.41</v>
      </c>
      <c r="J101" s="8"/>
    </row>
    <row r="102" spans="1:30" ht="12.75" x14ac:dyDescent="0.2">
      <c r="A102" s="12">
        <v>5740.33</v>
      </c>
      <c r="B102" s="13" t="s">
        <v>88</v>
      </c>
      <c r="C102" s="14"/>
      <c r="D102" s="14">
        <v>500</v>
      </c>
      <c r="E102" s="14">
        <v>500</v>
      </c>
      <c r="F102" s="14">
        <v>140</v>
      </c>
      <c r="G102" s="14">
        <v>600</v>
      </c>
      <c r="H102" s="14">
        <v>534.83000000000004</v>
      </c>
      <c r="I102" s="7">
        <f>143.31</f>
        <v>143.31</v>
      </c>
      <c r="J102" s="8"/>
    </row>
    <row r="103" spans="1:30" ht="12.75" x14ac:dyDescent="0.2">
      <c r="A103" s="12">
        <v>5740.4</v>
      </c>
      <c r="B103" s="13" t="s">
        <v>132</v>
      </c>
      <c r="C103" s="14"/>
      <c r="D103" s="14">
        <v>300</v>
      </c>
      <c r="E103" s="14">
        <v>0</v>
      </c>
      <c r="F103" s="14">
        <v>0</v>
      </c>
      <c r="G103" s="14">
        <v>300</v>
      </c>
      <c r="H103" s="14">
        <v>0</v>
      </c>
      <c r="I103" s="14">
        <v>302.25</v>
      </c>
      <c r="J103" s="17"/>
    </row>
    <row r="104" spans="1:30" ht="12.75" x14ac:dyDescent="0.2">
      <c r="A104" s="12">
        <v>5740.6</v>
      </c>
      <c r="B104" s="13" t="s">
        <v>135</v>
      </c>
      <c r="C104" s="14"/>
      <c r="D104" s="14">
        <v>0</v>
      </c>
      <c r="E104" s="14">
        <v>0</v>
      </c>
      <c r="F104" s="14">
        <v>0</v>
      </c>
      <c r="G104" s="14">
        <v>420</v>
      </c>
      <c r="H104" s="14">
        <v>0</v>
      </c>
      <c r="I104" s="14">
        <v>0</v>
      </c>
      <c r="J104" s="17"/>
    </row>
    <row r="105" spans="1:30" ht="12.75" x14ac:dyDescent="0.2">
      <c r="A105" s="12">
        <v>5800</v>
      </c>
      <c r="B105" s="13" t="s">
        <v>35</v>
      </c>
      <c r="C105" s="14"/>
      <c r="D105" s="14">
        <v>3800</v>
      </c>
      <c r="E105" s="14">
        <v>3600</v>
      </c>
      <c r="F105" s="14">
        <v>867.86</v>
      </c>
      <c r="G105" s="14">
        <v>1200</v>
      </c>
      <c r="H105" s="14">
        <v>348.6</v>
      </c>
      <c r="I105" s="14">
        <v>1166.44</v>
      </c>
      <c r="J105" s="17" t="s">
        <v>152</v>
      </c>
    </row>
    <row r="106" spans="1:30" ht="12.75" x14ac:dyDescent="0.2">
      <c r="I106" s="7"/>
      <c r="J106" s="8"/>
    </row>
    <row r="107" spans="1:30" ht="15" x14ac:dyDescent="0.25">
      <c r="A107" s="6" t="s">
        <v>78</v>
      </c>
      <c r="B107" s="9"/>
      <c r="C107" s="11">
        <f>(D107-G107)/G107</f>
        <v>-0.46153846153846156</v>
      </c>
      <c r="D107" s="10">
        <f t="shared" ref="D107:I107" si="18">SUM(D108:D111)</f>
        <v>4200</v>
      </c>
      <c r="E107" s="10">
        <f t="shared" si="18"/>
        <v>3525</v>
      </c>
      <c r="F107" s="10">
        <f t="shared" si="18"/>
        <v>2330</v>
      </c>
      <c r="G107" s="10">
        <f t="shared" si="18"/>
        <v>7800</v>
      </c>
      <c r="H107" s="10">
        <f t="shared" si="18"/>
        <v>4302.33</v>
      </c>
      <c r="I107" s="10">
        <f t="shared" si="18"/>
        <v>5870.23</v>
      </c>
      <c r="J107" s="15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ht="12.75" x14ac:dyDescent="0.2">
      <c r="A108" s="12">
        <v>5740.2</v>
      </c>
      <c r="B108" s="13" t="s">
        <v>137</v>
      </c>
      <c r="C108" s="14"/>
      <c r="D108" s="14">
        <v>0</v>
      </c>
      <c r="E108" s="14">
        <f>F108</f>
        <v>125</v>
      </c>
      <c r="F108" s="14">
        <v>125</v>
      </c>
      <c r="G108" s="14">
        <v>3000</v>
      </c>
      <c r="H108" s="14">
        <v>1342.12</v>
      </c>
      <c r="I108" s="14">
        <v>1480</v>
      </c>
      <c r="J108" s="17"/>
    </row>
    <row r="109" spans="1:30" ht="12.75" x14ac:dyDescent="0.2">
      <c r="A109" s="12">
        <v>5740.5</v>
      </c>
      <c r="B109" s="13" t="s">
        <v>81</v>
      </c>
      <c r="C109" s="14"/>
      <c r="D109" s="14">
        <v>3000</v>
      </c>
      <c r="E109" s="14">
        <v>2000</v>
      </c>
      <c r="F109" s="14">
        <v>1250</v>
      </c>
      <c r="G109" s="14">
        <v>2400</v>
      </c>
      <c r="H109" s="14">
        <v>1735</v>
      </c>
      <c r="I109" s="14">
        <v>590</v>
      </c>
      <c r="J109" s="8"/>
    </row>
    <row r="110" spans="1:30" ht="12.75" x14ac:dyDescent="0.2">
      <c r="A110" s="12">
        <v>5810.1</v>
      </c>
      <c r="B110" s="13" t="s">
        <v>82</v>
      </c>
      <c r="C110" s="14"/>
      <c r="D110" s="14">
        <v>1200</v>
      </c>
      <c r="E110" s="14">
        <v>1400</v>
      </c>
      <c r="F110" s="14">
        <f>65+890</f>
        <v>955</v>
      </c>
      <c r="G110" s="14">
        <v>2400</v>
      </c>
      <c r="H110" s="14">
        <f>235.21+990</f>
        <v>1225.21</v>
      </c>
      <c r="I110" s="7">
        <f>103.5+2020</f>
        <v>2123.5</v>
      </c>
      <c r="J110" s="17"/>
    </row>
    <row r="111" spans="1:30" ht="12.75" x14ac:dyDescent="0.2">
      <c r="A111" s="13">
        <v>5950.6019999999999</v>
      </c>
      <c r="B111" s="13" t="s">
        <v>138</v>
      </c>
      <c r="C111" s="13"/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4">
        <v>1676.73</v>
      </c>
      <c r="J111" s="8"/>
    </row>
    <row r="112" spans="1:30" ht="12.75" x14ac:dyDescent="0.2">
      <c r="I112" s="7"/>
      <c r="J112" s="8"/>
    </row>
    <row r="113" spans="1:30" ht="15" x14ac:dyDescent="0.25">
      <c r="A113" s="6" t="s">
        <v>90</v>
      </c>
      <c r="B113" s="9"/>
      <c r="C113" s="11">
        <f>(D113-G113)/G113</f>
        <v>-0.25925925925925924</v>
      </c>
      <c r="D113" s="10">
        <f t="shared" ref="D113:I113" si="19">SUM(D114:D117)</f>
        <v>800</v>
      </c>
      <c r="E113" s="10">
        <f t="shared" si="19"/>
        <v>100</v>
      </c>
      <c r="F113" s="10">
        <f t="shared" si="19"/>
        <v>64.95</v>
      </c>
      <c r="G113" s="10">
        <f t="shared" si="19"/>
        <v>1080</v>
      </c>
      <c r="H113" s="10">
        <f t="shared" si="19"/>
        <v>621.4</v>
      </c>
      <c r="I113" s="10">
        <f t="shared" si="19"/>
        <v>182.52</v>
      </c>
      <c r="J113" s="15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</row>
    <row r="114" spans="1:30" ht="12.75" x14ac:dyDescent="0.2">
      <c r="A114" s="12">
        <v>5730.1</v>
      </c>
      <c r="B114" s="13" t="s">
        <v>145</v>
      </c>
      <c r="C114" s="14"/>
      <c r="D114" s="14">
        <v>100</v>
      </c>
      <c r="E114" s="14">
        <v>0</v>
      </c>
      <c r="F114" s="14">
        <v>0</v>
      </c>
      <c r="G114" s="14">
        <v>240</v>
      </c>
      <c r="H114" s="14">
        <v>0</v>
      </c>
      <c r="I114" s="14">
        <v>41.46</v>
      </c>
      <c r="J114" s="17"/>
    </row>
    <row r="115" spans="1:30" ht="12.75" x14ac:dyDescent="0.2">
      <c r="A115" s="12">
        <v>5730.2</v>
      </c>
      <c r="B115" s="13" t="s">
        <v>93</v>
      </c>
      <c r="C115" s="14"/>
      <c r="D115" s="14">
        <v>400</v>
      </c>
      <c r="E115" s="14">
        <v>100</v>
      </c>
      <c r="F115" s="14">
        <v>64.95</v>
      </c>
      <c r="G115" s="14">
        <v>600</v>
      </c>
      <c r="H115" s="14">
        <v>621.4</v>
      </c>
      <c r="I115" s="14">
        <v>141.06</v>
      </c>
      <c r="J115" s="17"/>
    </row>
    <row r="116" spans="1:30" ht="12.75" x14ac:dyDescent="0.2">
      <c r="A116" s="12">
        <v>5730.4</v>
      </c>
      <c r="B116" s="13" t="s">
        <v>146</v>
      </c>
      <c r="C116" s="14"/>
      <c r="D116" s="14">
        <v>100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8"/>
    </row>
    <row r="117" spans="1:30" ht="12.75" x14ac:dyDescent="0.2">
      <c r="A117" s="12">
        <v>5730.5</v>
      </c>
      <c r="B117" s="13" t="s">
        <v>94</v>
      </c>
      <c r="C117" s="14"/>
      <c r="D117" s="14">
        <v>200</v>
      </c>
      <c r="E117" s="14">
        <v>0</v>
      </c>
      <c r="F117" s="14">
        <v>0</v>
      </c>
      <c r="G117" s="14">
        <v>240</v>
      </c>
      <c r="H117" s="14">
        <v>0</v>
      </c>
      <c r="I117" s="14">
        <v>0</v>
      </c>
      <c r="J117" s="8"/>
    </row>
    <row r="118" spans="1:30" ht="12.75" x14ac:dyDescent="0.2">
      <c r="I118" s="7"/>
      <c r="J118" s="8"/>
    </row>
    <row r="119" spans="1:30" ht="15" x14ac:dyDescent="0.25">
      <c r="A119" s="6" t="s">
        <v>97</v>
      </c>
      <c r="B119" s="9"/>
      <c r="C119" s="11">
        <f>(D119-G119)/G119</f>
        <v>-0.16666666666666666</v>
      </c>
      <c r="D119" s="10">
        <f t="shared" ref="D119:I119" si="20">SUM(D120:D125)</f>
        <v>2850</v>
      </c>
      <c r="E119" s="10">
        <f t="shared" si="20"/>
        <v>2350</v>
      </c>
      <c r="F119" s="10">
        <f t="shared" si="20"/>
        <v>1502.03</v>
      </c>
      <c r="G119" s="10">
        <f t="shared" si="20"/>
        <v>3420</v>
      </c>
      <c r="H119" s="10">
        <f t="shared" si="20"/>
        <v>2267.2599999999998</v>
      </c>
      <c r="I119" s="10">
        <f t="shared" si="20"/>
        <v>2307.33</v>
      </c>
      <c r="J119" s="15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</row>
    <row r="120" spans="1:30" ht="12.75" x14ac:dyDescent="0.2">
      <c r="A120" s="12">
        <v>5710</v>
      </c>
      <c r="B120" s="13" t="s">
        <v>65</v>
      </c>
      <c r="C120" s="14"/>
      <c r="D120" s="14">
        <v>1800</v>
      </c>
      <c r="E120" s="14">
        <v>1900</v>
      </c>
      <c r="F120" s="14">
        <v>1479.25</v>
      </c>
      <c r="G120" s="14">
        <v>2400</v>
      </c>
      <c r="H120" s="14">
        <v>1439.43</v>
      </c>
      <c r="I120" s="14">
        <v>1691.79</v>
      </c>
      <c r="J120" s="17"/>
    </row>
    <row r="121" spans="1:30" ht="12.75" x14ac:dyDescent="0.2">
      <c r="A121" s="12">
        <v>5350.1</v>
      </c>
      <c r="B121" s="13" t="s">
        <v>98</v>
      </c>
      <c r="C121" s="14"/>
      <c r="D121" s="14">
        <v>600</v>
      </c>
      <c r="E121" s="14">
        <v>100</v>
      </c>
      <c r="F121" s="14">
        <v>22.78</v>
      </c>
      <c r="G121" s="14">
        <v>600</v>
      </c>
      <c r="H121" s="14">
        <v>552.49</v>
      </c>
      <c r="I121" s="14">
        <f>-16+144.08</f>
        <v>128.08000000000001</v>
      </c>
      <c r="J121" s="8"/>
    </row>
    <row r="122" spans="1:30" ht="12.75" x14ac:dyDescent="0.2">
      <c r="A122" s="12">
        <v>5350.2</v>
      </c>
      <c r="B122" s="13" t="s">
        <v>99</v>
      </c>
      <c r="C122" s="14"/>
      <c r="D122" s="14">
        <v>350</v>
      </c>
      <c r="E122" s="14">
        <v>350</v>
      </c>
      <c r="F122" s="14">
        <v>0</v>
      </c>
      <c r="G122" s="14">
        <v>300</v>
      </c>
      <c r="H122" s="14">
        <v>224.35</v>
      </c>
      <c r="I122" s="14">
        <v>309.20999999999998</v>
      </c>
      <c r="J122" s="8"/>
    </row>
    <row r="123" spans="1:30" ht="12.75" x14ac:dyDescent="0.2">
      <c r="A123" s="12">
        <v>5350.4</v>
      </c>
      <c r="B123" s="13" t="s">
        <v>148</v>
      </c>
      <c r="C123" s="14"/>
      <c r="D123" s="14">
        <v>0</v>
      </c>
      <c r="E123" s="14">
        <v>0</v>
      </c>
      <c r="F123" s="14">
        <v>0</v>
      </c>
      <c r="G123" s="14">
        <v>0</v>
      </c>
      <c r="H123" s="14">
        <v>49.91</v>
      </c>
      <c r="I123" s="14">
        <v>87.25</v>
      </c>
      <c r="J123" s="8"/>
    </row>
    <row r="124" spans="1:30" ht="12.75" x14ac:dyDescent="0.2">
      <c r="A124" s="12">
        <v>5350.6</v>
      </c>
      <c r="B124" s="13" t="s">
        <v>100</v>
      </c>
      <c r="C124" s="14"/>
      <c r="D124" s="14">
        <v>100</v>
      </c>
      <c r="E124" s="14">
        <v>0</v>
      </c>
      <c r="F124" s="14">
        <v>0</v>
      </c>
      <c r="G124" s="14">
        <v>0</v>
      </c>
      <c r="H124" s="14">
        <v>1.08</v>
      </c>
      <c r="I124" s="14">
        <v>91</v>
      </c>
      <c r="J124" s="8"/>
    </row>
    <row r="125" spans="1:30" ht="12.75" x14ac:dyDescent="0.2">
      <c r="A125" s="12">
        <v>5950.2089999999998</v>
      </c>
      <c r="B125" s="13" t="s">
        <v>150</v>
      </c>
      <c r="C125" s="14"/>
      <c r="D125" s="14">
        <v>0</v>
      </c>
      <c r="E125" s="14">
        <v>0</v>
      </c>
      <c r="F125" s="14">
        <v>0</v>
      </c>
      <c r="G125" s="14">
        <v>120</v>
      </c>
      <c r="H125" s="14">
        <v>0</v>
      </c>
      <c r="I125" s="14">
        <v>0</v>
      </c>
      <c r="J125" s="8"/>
    </row>
    <row r="126" spans="1:30" ht="12.75" x14ac:dyDescent="0.2">
      <c r="I126" s="7"/>
      <c r="J126" s="8"/>
    </row>
    <row r="127" spans="1:30" ht="15" x14ac:dyDescent="0.25">
      <c r="A127" s="6" t="s">
        <v>158</v>
      </c>
      <c r="B127" s="9"/>
      <c r="C127" s="11">
        <f>(D127-G127)/G127</f>
        <v>-0.13793103448275862</v>
      </c>
      <c r="D127" s="10">
        <f t="shared" ref="D127:I127" si="21">SUM(D128:D129)</f>
        <v>3000</v>
      </c>
      <c r="E127" s="10">
        <f t="shared" si="21"/>
        <v>2400</v>
      </c>
      <c r="F127" s="10">
        <f t="shared" si="21"/>
        <v>1327.77</v>
      </c>
      <c r="G127" s="10">
        <f t="shared" si="21"/>
        <v>3480</v>
      </c>
      <c r="H127" s="10">
        <f t="shared" si="21"/>
        <v>3257.55</v>
      </c>
      <c r="I127" s="10">
        <f t="shared" si="21"/>
        <v>1607.6</v>
      </c>
      <c r="J127" s="15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</row>
    <row r="128" spans="1:30" ht="12.75" x14ac:dyDescent="0.2">
      <c r="A128" s="12">
        <v>5000</v>
      </c>
      <c r="B128" s="13" t="s">
        <v>53</v>
      </c>
      <c r="C128" s="14"/>
      <c r="D128" s="14">
        <v>1000</v>
      </c>
      <c r="E128" s="14">
        <v>400</v>
      </c>
      <c r="F128" s="14">
        <v>166.27</v>
      </c>
      <c r="G128" s="14">
        <v>480</v>
      </c>
      <c r="H128" s="14">
        <v>20.05</v>
      </c>
      <c r="I128" s="14">
        <v>193</v>
      </c>
      <c r="J128" s="17"/>
    </row>
    <row r="129" spans="1:30" ht="12.75" x14ac:dyDescent="0.2">
      <c r="A129" s="12">
        <v>5740.4139999999998</v>
      </c>
      <c r="B129" s="13" t="s">
        <v>19</v>
      </c>
      <c r="C129" s="14"/>
      <c r="D129" s="14">
        <v>2000</v>
      </c>
      <c r="E129" s="14">
        <v>2000</v>
      </c>
      <c r="F129" s="14">
        <v>1161.5</v>
      </c>
      <c r="G129" s="14">
        <v>3000</v>
      </c>
      <c r="H129" s="14">
        <v>3237.5</v>
      </c>
      <c r="I129" s="14">
        <v>1414.6</v>
      </c>
      <c r="J129" s="17"/>
    </row>
    <row r="130" spans="1:30" ht="12.75" x14ac:dyDescent="0.2">
      <c r="I130" s="7"/>
      <c r="J130" s="8"/>
    </row>
    <row r="131" spans="1:30" ht="15" x14ac:dyDescent="0.25">
      <c r="A131" s="6" t="s">
        <v>103</v>
      </c>
      <c r="B131" s="9"/>
      <c r="C131" s="11">
        <f>(D131-G131)/G131</f>
        <v>-0.22043010752688172</v>
      </c>
      <c r="D131" s="10">
        <f t="shared" ref="D131:I131" si="22">SUM(D132:D134)</f>
        <v>2900</v>
      </c>
      <c r="E131" s="10">
        <f t="shared" si="22"/>
        <v>3465.1899999999996</v>
      </c>
      <c r="F131" s="10">
        <f t="shared" si="22"/>
        <v>1842.64</v>
      </c>
      <c r="G131" s="10">
        <f t="shared" si="22"/>
        <v>3720</v>
      </c>
      <c r="H131" s="10">
        <f t="shared" si="22"/>
        <v>5527.4999999999991</v>
      </c>
      <c r="I131" s="10">
        <f t="shared" si="22"/>
        <v>2300.7200000000003</v>
      </c>
      <c r="J131" s="15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</row>
    <row r="132" spans="1:30" ht="25.5" x14ac:dyDescent="0.2">
      <c r="A132" s="12">
        <v>5950.2020000000002</v>
      </c>
      <c r="B132" s="13" t="s">
        <v>23</v>
      </c>
      <c r="C132" s="14"/>
      <c r="D132" s="14">
        <f t="shared" ref="D132:E132" si="23">D26</f>
        <v>1200</v>
      </c>
      <c r="E132" s="14">
        <f t="shared" si="23"/>
        <v>2402.2799999999997</v>
      </c>
      <c r="F132" s="14">
        <v>370</v>
      </c>
      <c r="G132" s="14">
        <v>1800</v>
      </c>
      <c r="H132" s="14">
        <v>4107.03</v>
      </c>
      <c r="I132" s="14">
        <v>327.86</v>
      </c>
      <c r="J132" s="17" t="s">
        <v>79</v>
      </c>
    </row>
    <row r="133" spans="1:30" ht="25.5" x14ac:dyDescent="0.2">
      <c r="A133" s="12">
        <v>5950.299</v>
      </c>
      <c r="B133" s="13" t="s">
        <v>24</v>
      </c>
      <c r="C133" s="14"/>
      <c r="D133" s="14">
        <f>D28</f>
        <v>1300</v>
      </c>
      <c r="E133" s="14">
        <v>1000</v>
      </c>
      <c r="F133" s="14">
        <v>1409.73</v>
      </c>
      <c r="G133" s="14">
        <v>1200</v>
      </c>
      <c r="H133" s="14">
        <v>768.9</v>
      </c>
      <c r="I133" s="14">
        <v>579.48</v>
      </c>
      <c r="J133" s="17" t="s">
        <v>79</v>
      </c>
    </row>
    <row r="134" spans="1:30" ht="25.5" x14ac:dyDescent="0.2">
      <c r="A134" s="12">
        <v>5954</v>
      </c>
      <c r="B134" s="13" t="s">
        <v>25</v>
      </c>
      <c r="C134" s="14"/>
      <c r="D134" s="14">
        <f>D25</f>
        <v>400</v>
      </c>
      <c r="E134" s="14">
        <f>F134</f>
        <v>62.91</v>
      </c>
      <c r="F134" s="14">
        <v>62.91</v>
      </c>
      <c r="G134" s="14">
        <v>720</v>
      </c>
      <c r="H134" s="14">
        <v>651.57000000000005</v>
      </c>
      <c r="I134" s="14">
        <v>1393.38</v>
      </c>
      <c r="J134" s="17" t="s">
        <v>79</v>
      </c>
    </row>
    <row r="135" spans="1:30" ht="12.75" x14ac:dyDescent="0.2">
      <c r="I135" s="7"/>
      <c r="J135" s="8"/>
    </row>
    <row r="136" spans="1:30" ht="15" x14ac:dyDescent="0.25">
      <c r="A136" s="28" t="s">
        <v>154</v>
      </c>
      <c r="B136" s="6"/>
      <c r="C136" s="11">
        <f>(D136-G136)/G136</f>
        <v>-0.58333333333333337</v>
      </c>
      <c r="D136" s="10">
        <f t="shared" ref="D136:I136" si="24">SUM(D137:D140)</f>
        <v>250</v>
      </c>
      <c r="E136" s="10">
        <f t="shared" si="24"/>
        <v>300</v>
      </c>
      <c r="F136" s="10">
        <f t="shared" si="24"/>
        <v>299.3</v>
      </c>
      <c r="G136" s="10">
        <f t="shared" si="24"/>
        <v>600</v>
      </c>
      <c r="H136" s="10">
        <f t="shared" si="24"/>
        <v>172.96</v>
      </c>
      <c r="I136" s="10">
        <f t="shared" si="24"/>
        <v>737.71</v>
      </c>
      <c r="J136" s="15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</row>
    <row r="137" spans="1:30" ht="12.75" x14ac:dyDescent="0.2">
      <c r="A137" s="12">
        <v>5375</v>
      </c>
      <c r="B137" s="13" t="s">
        <v>155</v>
      </c>
      <c r="C137" s="14"/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128</v>
      </c>
      <c r="J137" s="17"/>
    </row>
    <row r="138" spans="1:30" ht="12.75" x14ac:dyDescent="0.2">
      <c r="A138" s="12">
        <v>5020.1000000000004</v>
      </c>
      <c r="B138" s="13" t="s">
        <v>156</v>
      </c>
      <c r="C138" s="14"/>
      <c r="D138" s="14">
        <v>250</v>
      </c>
      <c r="E138" s="14">
        <v>300</v>
      </c>
      <c r="F138" s="14">
        <v>299.3</v>
      </c>
      <c r="G138" s="14">
        <v>0</v>
      </c>
      <c r="H138" s="14">
        <v>172.96</v>
      </c>
      <c r="I138" s="14">
        <v>300.35000000000002</v>
      </c>
      <c r="J138" s="17"/>
    </row>
    <row r="139" spans="1:30" ht="12.75" x14ac:dyDescent="0.2">
      <c r="A139" s="12">
        <v>5450</v>
      </c>
      <c r="B139" s="13" t="s">
        <v>154</v>
      </c>
      <c r="C139" s="14"/>
      <c r="D139" s="14">
        <v>0</v>
      </c>
      <c r="E139" s="14">
        <v>0</v>
      </c>
      <c r="F139" s="14">
        <v>0</v>
      </c>
      <c r="G139" s="14">
        <v>600</v>
      </c>
      <c r="H139" s="14">
        <v>0</v>
      </c>
      <c r="I139" s="14">
        <v>309.36</v>
      </c>
      <c r="J139" s="17"/>
    </row>
    <row r="140" spans="1:30" ht="12.75" x14ac:dyDescent="0.2">
      <c r="A140" s="12">
        <v>5950.5</v>
      </c>
      <c r="B140" s="13" t="s">
        <v>157</v>
      </c>
      <c r="C140" s="13"/>
      <c r="D140" s="13">
        <v>0</v>
      </c>
      <c r="E140" s="13">
        <v>0</v>
      </c>
      <c r="F140" s="14">
        <v>0</v>
      </c>
      <c r="G140" s="13">
        <v>0</v>
      </c>
      <c r="H140" s="13">
        <v>0</v>
      </c>
      <c r="I140" s="14">
        <v>0</v>
      </c>
      <c r="J140" s="8"/>
    </row>
    <row r="141" spans="1:30" ht="12.75" x14ac:dyDescent="0.2">
      <c r="I141" s="7"/>
      <c r="J141" s="8"/>
    </row>
    <row r="142" spans="1:30" x14ac:dyDescent="0.25">
      <c r="A142" s="18" t="s">
        <v>106</v>
      </c>
      <c r="B142" s="1"/>
      <c r="C142" s="23">
        <f>(D142-G142)/G142</f>
        <v>-0.21342573681623384</v>
      </c>
      <c r="D142" s="19">
        <f t="shared" ref="D142:I142" si="25">D38+D53+D60+D71+D80+D97+D107+D113+D119+D127+D131+D136</f>
        <v>113612</v>
      </c>
      <c r="E142" s="19">
        <f t="shared" si="25"/>
        <v>115439.10761904762</v>
      </c>
      <c r="F142" s="19">
        <f t="shared" si="25"/>
        <v>75794.990000000005</v>
      </c>
      <c r="G142" s="19">
        <f t="shared" si="25"/>
        <v>144439</v>
      </c>
      <c r="H142" s="19">
        <f t="shared" si="25"/>
        <v>125163.13</v>
      </c>
      <c r="I142" s="19">
        <f t="shared" si="25"/>
        <v>133364.83000000002</v>
      </c>
      <c r="J142" s="2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x14ac:dyDescent="0.2">
      <c r="I143" s="7"/>
      <c r="J143" s="8"/>
    </row>
    <row r="144" spans="1:30" ht="26.25" x14ac:dyDescent="0.25">
      <c r="A144" s="4" t="s">
        <v>107</v>
      </c>
      <c r="B144" s="24"/>
      <c r="C144" s="29"/>
      <c r="D144" s="25">
        <f t="shared" ref="D144:I144" si="26">D35-D142</f>
        <v>0</v>
      </c>
      <c r="E144" s="25">
        <f t="shared" si="26"/>
        <v>0.31095238095440436</v>
      </c>
      <c r="F144" s="25">
        <f t="shared" si="26"/>
        <v>-8795.4500000000116</v>
      </c>
      <c r="G144" s="25">
        <f t="shared" si="26"/>
        <v>-22457</v>
      </c>
      <c r="H144" s="25">
        <f t="shared" si="26"/>
        <v>9067.6900000000023</v>
      </c>
      <c r="I144" s="25">
        <f t="shared" si="26"/>
        <v>1113.8099999999686</v>
      </c>
      <c r="J144" s="21" t="s">
        <v>159</v>
      </c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9:10" ht="12.75" x14ac:dyDescent="0.2">
      <c r="I145" s="7"/>
      <c r="J145" s="8"/>
    </row>
    <row r="146" spans="9:10" ht="12.75" x14ac:dyDescent="0.2">
      <c r="I146" s="7"/>
      <c r="J146" s="8"/>
    </row>
    <row r="147" spans="9:10" ht="12.75" x14ac:dyDescent="0.2">
      <c r="I147" s="7"/>
      <c r="J147" s="8"/>
    </row>
    <row r="148" spans="9:10" ht="12.75" x14ac:dyDescent="0.2">
      <c r="I148" s="7"/>
      <c r="J148" s="8"/>
    </row>
    <row r="149" spans="9:10" ht="12.75" x14ac:dyDescent="0.2">
      <c r="I149" s="7"/>
      <c r="J149" s="8"/>
    </row>
    <row r="150" spans="9:10" ht="12.75" x14ac:dyDescent="0.2">
      <c r="I150" s="7"/>
      <c r="J150" s="8"/>
    </row>
    <row r="151" spans="9:10" ht="12.75" x14ac:dyDescent="0.2">
      <c r="I151" s="7"/>
      <c r="J151" s="8"/>
    </row>
    <row r="152" spans="9:10" ht="12.75" x14ac:dyDescent="0.2">
      <c r="I152" s="7"/>
      <c r="J152" s="8"/>
    </row>
    <row r="153" spans="9:10" ht="12.75" x14ac:dyDescent="0.2">
      <c r="I153" s="7"/>
      <c r="J153" s="8"/>
    </row>
    <row r="154" spans="9:10" ht="12.75" x14ac:dyDescent="0.2">
      <c r="I154" s="7"/>
      <c r="J154" s="8"/>
    </row>
    <row r="155" spans="9:10" ht="12.75" x14ac:dyDescent="0.2">
      <c r="I155" s="7"/>
      <c r="J155" s="8"/>
    </row>
    <row r="156" spans="9:10" ht="12.75" x14ac:dyDescent="0.2">
      <c r="I156" s="7"/>
      <c r="J156" s="8"/>
    </row>
    <row r="157" spans="9:10" ht="12.75" x14ac:dyDescent="0.2">
      <c r="I157" s="7"/>
      <c r="J157" s="8"/>
    </row>
    <row r="158" spans="9:10" ht="12.75" x14ac:dyDescent="0.2">
      <c r="I158" s="7"/>
      <c r="J158" s="8"/>
    </row>
    <row r="159" spans="9:10" ht="12.75" x14ac:dyDescent="0.2">
      <c r="I159" s="7"/>
      <c r="J159" s="8"/>
    </row>
    <row r="160" spans="9:10" ht="12.75" x14ac:dyDescent="0.2">
      <c r="I160" s="7"/>
      <c r="J160" s="8"/>
    </row>
    <row r="161" spans="9:10" ht="12.75" x14ac:dyDescent="0.2">
      <c r="I161" s="7"/>
      <c r="J161" s="8"/>
    </row>
    <row r="162" spans="9:10" ht="12.75" x14ac:dyDescent="0.2">
      <c r="I162" s="7"/>
      <c r="J162" s="8"/>
    </row>
    <row r="163" spans="9:10" ht="12.75" x14ac:dyDescent="0.2">
      <c r="I163" s="7"/>
      <c r="J163" s="8"/>
    </row>
    <row r="164" spans="9:10" ht="12.75" x14ac:dyDescent="0.2">
      <c r="I164" s="7"/>
      <c r="J164" s="8"/>
    </row>
    <row r="165" spans="9:10" ht="12.75" x14ac:dyDescent="0.2">
      <c r="I165" s="7"/>
      <c r="J165" s="8"/>
    </row>
    <row r="166" spans="9:10" ht="12.75" x14ac:dyDescent="0.2">
      <c r="I166" s="7"/>
      <c r="J166" s="8"/>
    </row>
    <row r="167" spans="9:10" ht="12.75" x14ac:dyDescent="0.2">
      <c r="I167" s="7"/>
      <c r="J167" s="8"/>
    </row>
    <row r="168" spans="9:10" ht="12.75" x14ac:dyDescent="0.2">
      <c r="I168" s="7"/>
      <c r="J168" s="8"/>
    </row>
    <row r="169" spans="9:10" ht="12.75" x14ac:dyDescent="0.2">
      <c r="I169" s="7"/>
      <c r="J169" s="8"/>
    </row>
    <row r="170" spans="9:10" ht="12.75" x14ac:dyDescent="0.2">
      <c r="I170" s="7"/>
      <c r="J170" s="8"/>
    </row>
    <row r="171" spans="9:10" ht="12.75" x14ac:dyDescent="0.2">
      <c r="I171" s="7"/>
      <c r="J171" s="8"/>
    </row>
    <row r="172" spans="9:10" ht="12.75" x14ac:dyDescent="0.2">
      <c r="I172" s="7"/>
      <c r="J172" s="8"/>
    </row>
    <row r="173" spans="9:10" ht="12.75" x14ac:dyDescent="0.2">
      <c r="I173" s="7"/>
      <c r="J173" s="8"/>
    </row>
    <row r="174" spans="9:10" ht="12.75" x14ac:dyDescent="0.2">
      <c r="I174" s="7"/>
      <c r="J174" s="8"/>
    </row>
    <row r="175" spans="9:10" ht="12.75" x14ac:dyDescent="0.2">
      <c r="I175" s="7"/>
      <c r="J175" s="8"/>
    </row>
    <row r="176" spans="9:10" ht="12.75" x14ac:dyDescent="0.2">
      <c r="I176" s="7"/>
      <c r="J176" s="8"/>
    </row>
    <row r="177" spans="9:10" ht="12.75" x14ac:dyDescent="0.2">
      <c r="I177" s="7"/>
      <c r="J177" s="8"/>
    </row>
    <row r="178" spans="9:10" ht="12.75" x14ac:dyDescent="0.2">
      <c r="I178" s="7"/>
      <c r="J178" s="8"/>
    </row>
    <row r="179" spans="9:10" ht="12.75" x14ac:dyDescent="0.2">
      <c r="I179" s="7"/>
      <c r="J179" s="8"/>
    </row>
    <row r="180" spans="9:10" ht="12.75" x14ac:dyDescent="0.2">
      <c r="I180" s="7"/>
      <c r="J180" s="8"/>
    </row>
    <row r="181" spans="9:10" ht="12.75" x14ac:dyDescent="0.2">
      <c r="I181" s="7"/>
      <c r="J181" s="8"/>
    </row>
    <row r="182" spans="9:10" ht="12.75" x14ac:dyDescent="0.2">
      <c r="I182" s="7"/>
      <c r="J182" s="8"/>
    </row>
    <row r="183" spans="9:10" ht="12.75" x14ac:dyDescent="0.2">
      <c r="I183" s="7"/>
      <c r="J183" s="8"/>
    </row>
    <row r="184" spans="9:10" ht="12.75" x14ac:dyDescent="0.2">
      <c r="I184" s="7"/>
      <c r="J184" s="8"/>
    </row>
    <row r="185" spans="9:10" ht="12.75" x14ac:dyDescent="0.2">
      <c r="I185" s="7"/>
      <c r="J185" s="8"/>
    </row>
    <row r="186" spans="9:10" ht="12.75" x14ac:dyDescent="0.2">
      <c r="I186" s="7"/>
      <c r="J186" s="8"/>
    </row>
    <row r="187" spans="9:10" ht="12.75" x14ac:dyDescent="0.2">
      <c r="I187" s="7"/>
      <c r="J187" s="8"/>
    </row>
    <row r="188" spans="9:10" ht="12.75" x14ac:dyDescent="0.2">
      <c r="I188" s="7"/>
      <c r="J188" s="8"/>
    </row>
    <row r="189" spans="9:10" ht="12.75" x14ac:dyDescent="0.2">
      <c r="I189" s="7"/>
      <c r="J189" s="8"/>
    </row>
    <row r="190" spans="9:10" ht="12.75" x14ac:dyDescent="0.2">
      <c r="I190" s="7"/>
      <c r="J190" s="8"/>
    </row>
    <row r="191" spans="9:10" ht="12.75" x14ac:dyDescent="0.2">
      <c r="I191" s="7"/>
      <c r="J191" s="8"/>
    </row>
    <row r="192" spans="9:10" ht="12.75" x14ac:dyDescent="0.2">
      <c r="I192" s="7"/>
      <c r="J192" s="8"/>
    </row>
    <row r="193" spans="9:10" ht="12.75" x14ac:dyDescent="0.2">
      <c r="I193" s="7"/>
      <c r="J193" s="8"/>
    </row>
    <row r="194" spans="9:10" ht="12.75" x14ac:dyDescent="0.2">
      <c r="I194" s="7"/>
      <c r="J194" s="8"/>
    </row>
    <row r="195" spans="9:10" ht="12.75" x14ac:dyDescent="0.2">
      <c r="I195" s="7"/>
      <c r="J195" s="8"/>
    </row>
    <row r="196" spans="9:10" ht="12.75" x14ac:dyDescent="0.2">
      <c r="I196" s="7"/>
      <c r="J196" s="8"/>
    </row>
    <row r="197" spans="9:10" ht="12.75" x14ac:dyDescent="0.2">
      <c r="I197" s="7"/>
      <c r="J197" s="8"/>
    </row>
    <row r="198" spans="9:10" ht="12.75" x14ac:dyDescent="0.2">
      <c r="I198" s="7"/>
      <c r="J198" s="8"/>
    </row>
    <row r="199" spans="9:10" ht="12.75" x14ac:dyDescent="0.2">
      <c r="I199" s="7"/>
      <c r="J199" s="8"/>
    </row>
    <row r="200" spans="9:10" ht="12.75" x14ac:dyDescent="0.2">
      <c r="I200" s="7"/>
      <c r="J200" s="8"/>
    </row>
    <row r="201" spans="9:10" ht="12.75" x14ac:dyDescent="0.2">
      <c r="I201" s="7"/>
      <c r="J201" s="8"/>
    </row>
    <row r="202" spans="9:10" ht="12.75" x14ac:dyDescent="0.2">
      <c r="I202" s="7"/>
      <c r="J202" s="8"/>
    </row>
    <row r="203" spans="9:10" ht="12.75" x14ac:dyDescent="0.2">
      <c r="I203" s="7"/>
      <c r="J203" s="8"/>
    </row>
    <row r="204" spans="9:10" ht="12.75" x14ac:dyDescent="0.2">
      <c r="I204" s="7"/>
      <c r="J204" s="8"/>
    </row>
    <row r="205" spans="9:10" ht="12.75" x14ac:dyDescent="0.2">
      <c r="I205" s="7"/>
      <c r="J205" s="8"/>
    </row>
    <row r="206" spans="9:10" ht="12.75" x14ac:dyDescent="0.2">
      <c r="I206" s="7"/>
      <c r="J206" s="8"/>
    </row>
    <row r="207" spans="9:10" ht="12.75" x14ac:dyDescent="0.2">
      <c r="I207" s="7"/>
      <c r="J207" s="8"/>
    </row>
    <row r="208" spans="9:10" ht="12.75" x14ac:dyDescent="0.2">
      <c r="I208" s="7"/>
      <c r="J208" s="8"/>
    </row>
    <row r="209" spans="9:10" ht="12.75" x14ac:dyDescent="0.2">
      <c r="I209" s="7"/>
      <c r="J209" s="8"/>
    </row>
    <row r="210" spans="9:10" ht="12.75" x14ac:dyDescent="0.2">
      <c r="I210" s="7"/>
      <c r="J210" s="8"/>
    </row>
    <row r="211" spans="9:10" ht="12.75" x14ac:dyDescent="0.2">
      <c r="I211" s="7"/>
      <c r="J211" s="8"/>
    </row>
    <row r="212" spans="9:10" ht="12.75" x14ac:dyDescent="0.2">
      <c r="I212" s="7"/>
      <c r="J212" s="8"/>
    </row>
    <row r="213" spans="9:10" ht="12.75" x14ac:dyDescent="0.2">
      <c r="I213" s="7"/>
      <c r="J213" s="8"/>
    </row>
    <row r="214" spans="9:10" ht="12.75" x14ac:dyDescent="0.2">
      <c r="I214" s="7"/>
      <c r="J214" s="8"/>
    </row>
    <row r="215" spans="9:10" ht="12.75" x14ac:dyDescent="0.2">
      <c r="I215" s="7"/>
      <c r="J215" s="8"/>
    </row>
    <row r="216" spans="9:10" ht="12.75" x14ac:dyDescent="0.2">
      <c r="I216" s="7"/>
      <c r="J216" s="8"/>
    </row>
    <row r="217" spans="9:10" ht="12.75" x14ac:dyDescent="0.2">
      <c r="I217" s="7"/>
      <c r="J217" s="8"/>
    </row>
    <row r="218" spans="9:10" ht="12.75" x14ac:dyDescent="0.2">
      <c r="I218" s="7"/>
      <c r="J218" s="8"/>
    </row>
    <row r="219" spans="9:10" ht="12.75" x14ac:dyDescent="0.2">
      <c r="I219" s="7"/>
      <c r="J219" s="8"/>
    </row>
    <row r="220" spans="9:10" ht="12.75" x14ac:dyDescent="0.2">
      <c r="I220" s="7"/>
      <c r="J220" s="8"/>
    </row>
    <row r="221" spans="9:10" ht="12.75" x14ac:dyDescent="0.2">
      <c r="I221" s="7"/>
      <c r="J221" s="8"/>
    </row>
    <row r="222" spans="9:10" ht="12.75" x14ac:dyDescent="0.2">
      <c r="I222" s="7"/>
      <c r="J222" s="8"/>
    </row>
    <row r="223" spans="9:10" ht="12.75" x14ac:dyDescent="0.2">
      <c r="I223" s="7"/>
      <c r="J223" s="8"/>
    </row>
    <row r="224" spans="9:10" ht="12.75" x14ac:dyDescent="0.2">
      <c r="I224" s="7"/>
      <c r="J224" s="8"/>
    </row>
    <row r="225" spans="9:10" ht="12.75" x14ac:dyDescent="0.2">
      <c r="I225" s="7"/>
      <c r="J225" s="8"/>
    </row>
    <row r="226" spans="9:10" ht="12.75" x14ac:dyDescent="0.2">
      <c r="I226" s="7"/>
      <c r="J226" s="8"/>
    </row>
    <row r="227" spans="9:10" ht="12.75" x14ac:dyDescent="0.2">
      <c r="I227" s="7"/>
      <c r="J227" s="8"/>
    </row>
    <row r="228" spans="9:10" ht="12.75" x14ac:dyDescent="0.2">
      <c r="I228" s="7"/>
      <c r="J228" s="8"/>
    </row>
    <row r="229" spans="9:10" ht="12.75" x14ac:dyDescent="0.2">
      <c r="I229" s="7"/>
      <c r="J229" s="8"/>
    </row>
    <row r="230" spans="9:10" ht="12.75" x14ac:dyDescent="0.2">
      <c r="I230" s="7"/>
      <c r="J230" s="8"/>
    </row>
    <row r="231" spans="9:10" ht="12.75" x14ac:dyDescent="0.2">
      <c r="I231" s="7"/>
      <c r="J231" s="8"/>
    </row>
    <row r="232" spans="9:10" ht="12.75" x14ac:dyDescent="0.2">
      <c r="I232" s="7"/>
      <c r="J232" s="8"/>
    </row>
    <row r="233" spans="9:10" ht="12.75" x14ac:dyDescent="0.2">
      <c r="I233" s="7"/>
      <c r="J233" s="8"/>
    </row>
    <row r="234" spans="9:10" ht="12.75" x14ac:dyDescent="0.2">
      <c r="I234" s="7"/>
      <c r="J234" s="8"/>
    </row>
    <row r="235" spans="9:10" ht="12.75" x14ac:dyDescent="0.2">
      <c r="I235" s="7"/>
      <c r="J235" s="8"/>
    </row>
    <row r="236" spans="9:10" ht="12.75" x14ac:dyDescent="0.2">
      <c r="I236" s="7"/>
      <c r="J236" s="8"/>
    </row>
    <row r="237" spans="9:10" ht="12.75" x14ac:dyDescent="0.2">
      <c r="I237" s="7"/>
      <c r="J237" s="8"/>
    </row>
    <row r="238" spans="9:10" ht="12.75" x14ac:dyDescent="0.2">
      <c r="I238" s="7"/>
      <c r="J238" s="8"/>
    </row>
    <row r="239" spans="9:10" ht="12.75" x14ac:dyDescent="0.2">
      <c r="I239" s="7"/>
      <c r="J239" s="8"/>
    </row>
    <row r="240" spans="9:10" ht="12.75" x14ac:dyDescent="0.2">
      <c r="I240" s="7"/>
      <c r="J240" s="8"/>
    </row>
    <row r="241" spans="9:10" ht="12.75" x14ac:dyDescent="0.2">
      <c r="I241" s="7"/>
      <c r="J241" s="8"/>
    </row>
    <row r="242" spans="9:10" ht="12.75" x14ac:dyDescent="0.2">
      <c r="I242" s="7"/>
      <c r="J242" s="8"/>
    </row>
    <row r="243" spans="9:10" ht="12.75" x14ac:dyDescent="0.2">
      <c r="I243" s="7"/>
      <c r="J243" s="8"/>
    </row>
    <row r="244" spans="9:10" ht="12.75" x14ac:dyDescent="0.2">
      <c r="I244" s="7"/>
      <c r="J244" s="8"/>
    </row>
    <row r="245" spans="9:10" ht="12.75" x14ac:dyDescent="0.2">
      <c r="I245" s="7"/>
      <c r="J245" s="8"/>
    </row>
    <row r="246" spans="9:10" ht="12.75" x14ac:dyDescent="0.2">
      <c r="I246" s="7"/>
      <c r="J246" s="8"/>
    </row>
    <row r="247" spans="9:10" ht="12.75" x14ac:dyDescent="0.2">
      <c r="I247" s="7"/>
      <c r="J247" s="8"/>
    </row>
    <row r="248" spans="9:10" ht="12.75" x14ac:dyDescent="0.2">
      <c r="I248" s="7"/>
      <c r="J248" s="8"/>
    </row>
    <row r="249" spans="9:10" ht="12.75" x14ac:dyDescent="0.2">
      <c r="I249" s="7"/>
      <c r="J249" s="8"/>
    </row>
    <row r="250" spans="9:10" ht="12.75" x14ac:dyDescent="0.2">
      <c r="I250" s="7"/>
      <c r="J250" s="8"/>
    </row>
    <row r="251" spans="9:10" ht="12.75" x14ac:dyDescent="0.2">
      <c r="I251" s="7"/>
      <c r="J251" s="8"/>
    </row>
    <row r="252" spans="9:10" ht="12.75" x14ac:dyDescent="0.2">
      <c r="I252" s="7"/>
      <c r="J252" s="8"/>
    </row>
    <row r="253" spans="9:10" ht="12.75" x14ac:dyDescent="0.2">
      <c r="I253" s="7"/>
      <c r="J253" s="8"/>
    </row>
    <row r="254" spans="9:10" ht="12.75" x14ac:dyDescent="0.2">
      <c r="I254" s="7"/>
      <c r="J254" s="8"/>
    </row>
    <row r="255" spans="9:10" ht="12.75" x14ac:dyDescent="0.2">
      <c r="I255" s="7"/>
      <c r="J255" s="8"/>
    </row>
    <row r="256" spans="9:10" ht="12.75" x14ac:dyDescent="0.2">
      <c r="I256" s="7"/>
      <c r="J256" s="8"/>
    </row>
    <row r="257" spans="9:10" ht="12.75" x14ac:dyDescent="0.2">
      <c r="I257" s="7"/>
      <c r="J257" s="8"/>
    </row>
    <row r="258" spans="9:10" ht="12.75" x14ac:dyDescent="0.2">
      <c r="I258" s="7"/>
      <c r="J258" s="8"/>
    </row>
    <row r="259" spans="9:10" ht="12.75" x14ac:dyDescent="0.2">
      <c r="I259" s="7"/>
      <c r="J259" s="8"/>
    </row>
    <row r="260" spans="9:10" ht="12.75" x14ac:dyDescent="0.2">
      <c r="I260" s="7"/>
      <c r="J260" s="8"/>
    </row>
    <row r="261" spans="9:10" ht="12.75" x14ac:dyDescent="0.2">
      <c r="I261" s="7"/>
      <c r="J261" s="8"/>
    </row>
    <row r="262" spans="9:10" ht="12.75" x14ac:dyDescent="0.2">
      <c r="I262" s="7"/>
      <c r="J262" s="8"/>
    </row>
    <row r="263" spans="9:10" ht="12.75" x14ac:dyDescent="0.2">
      <c r="I263" s="7"/>
      <c r="J263" s="8"/>
    </row>
    <row r="264" spans="9:10" ht="12.75" x14ac:dyDescent="0.2">
      <c r="I264" s="7"/>
      <c r="J264" s="8"/>
    </row>
    <row r="265" spans="9:10" ht="12.75" x14ac:dyDescent="0.2">
      <c r="I265" s="7"/>
      <c r="J265" s="8"/>
    </row>
    <row r="266" spans="9:10" ht="12.75" x14ac:dyDescent="0.2">
      <c r="I266" s="7"/>
      <c r="J266" s="8"/>
    </row>
    <row r="267" spans="9:10" ht="12.75" x14ac:dyDescent="0.2">
      <c r="I267" s="7"/>
      <c r="J267" s="8"/>
    </row>
    <row r="268" spans="9:10" ht="12.75" x14ac:dyDescent="0.2">
      <c r="I268" s="7"/>
      <c r="J268" s="8"/>
    </row>
    <row r="269" spans="9:10" ht="12.75" x14ac:dyDescent="0.2">
      <c r="I269" s="7"/>
      <c r="J269" s="8"/>
    </row>
    <row r="270" spans="9:10" ht="12.75" x14ac:dyDescent="0.2">
      <c r="I270" s="7"/>
      <c r="J270" s="8"/>
    </row>
    <row r="271" spans="9:10" ht="12.75" x14ac:dyDescent="0.2">
      <c r="I271" s="7"/>
      <c r="J271" s="8"/>
    </row>
    <row r="272" spans="9:10" ht="12.75" x14ac:dyDescent="0.2">
      <c r="I272" s="7"/>
      <c r="J272" s="8"/>
    </row>
    <row r="273" spans="9:10" ht="12.75" x14ac:dyDescent="0.2">
      <c r="I273" s="7"/>
      <c r="J273" s="8"/>
    </row>
    <row r="274" spans="9:10" ht="12.75" x14ac:dyDescent="0.2">
      <c r="I274" s="7"/>
      <c r="J274" s="8"/>
    </row>
    <row r="275" spans="9:10" ht="12.75" x14ac:dyDescent="0.2">
      <c r="I275" s="7"/>
      <c r="J275" s="8"/>
    </row>
    <row r="276" spans="9:10" ht="12.75" x14ac:dyDescent="0.2">
      <c r="I276" s="7"/>
      <c r="J276" s="8"/>
    </row>
    <row r="277" spans="9:10" ht="12.75" x14ac:dyDescent="0.2">
      <c r="I277" s="7"/>
      <c r="J277" s="8"/>
    </row>
    <row r="278" spans="9:10" ht="12.75" x14ac:dyDescent="0.2">
      <c r="I278" s="7"/>
      <c r="J278" s="8"/>
    </row>
    <row r="279" spans="9:10" ht="12.75" x14ac:dyDescent="0.2">
      <c r="I279" s="7"/>
      <c r="J279" s="8"/>
    </row>
    <row r="280" spans="9:10" ht="12.75" x14ac:dyDescent="0.2">
      <c r="I280" s="7"/>
      <c r="J280" s="8"/>
    </row>
    <row r="281" spans="9:10" ht="12.75" x14ac:dyDescent="0.2">
      <c r="I281" s="7"/>
      <c r="J281" s="8"/>
    </row>
    <row r="282" spans="9:10" ht="12.75" x14ac:dyDescent="0.2">
      <c r="I282" s="7"/>
      <c r="J282" s="8"/>
    </row>
    <row r="283" spans="9:10" ht="12.75" x14ac:dyDescent="0.2">
      <c r="I283" s="7"/>
      <c r="J283" s="8"/>
    </row>
    <row r="284" spans="9:10" ht="12.75" x14ac:dyDescent="0.2">
      <c r="I284" s="7"/>
      <c r="J284" s="8"/>
    </row>
    <row r="285" spans="9:10" ht="12.75" x14ac:dyDescent="0.2">
      <c r="I285" s="7"/>
      <c r="J285" s="8"/>
    </row>
    <row r="286" spans="9:10" ht="12.75" x14ac:dyDescent="0.2">
      <c r="I286" s="7"/>
      <c r="J286" s="8"/>
    </row>
    <row r="287" spans="9:10" ht="12.75" x14ac:dyDescent="0.2">
      <c r="I287" s="7"/>
      <c r="J287" s="8"/>
    </row>
    <row r="288" spans="9:10" ht="12.75" x14ac:dyDescent="0.2">
      <c r="I288" s="7"/>
      <c r="J288" s="8"/>
    </row>
    <row r="289" spans="9:10" ht="12.75" x14ac:dyDescent="0.2">
      <c r="I289" s="7"/>
      <c r="J289" s="8"/>
    </row>
    <row r="290" spans="9:10" ht="12.75" x14ac:dyDescent="0.2">
      <c r="I290" s="7"/>
      <c r="J290" s="8"/>
    </row>
    <row r="291" spans="9:10" ht="12.75" x14ac:dyDescent="0.2">
      <c r="I291" s="7"/>
      <c r="J291" s="8"/>
    </row>
    <row r="292" spans="9:10" ht="12.75" x14ac:dyDescent="0.2">
      <c r="I292" s="7"/>
      <c r="J292" s="8"/>
    </row>
    <row r="293" spans="9:10" ht="12.75" x14ac:dyDescent="0.2">
      <c r="I293" s="7"/>
      <c r="J293" s="8"/>
    </row>
    <row r="294" spans="9:10" ht="12.75" x14ac:dyDescent="0.2">
      <c r="I294" s="7"/>
      <c r="J294" s="8"/>
    </row>
    <row r="295" spans="9:10" ht="12.75" x14ac:dyDescent="0.2">
      <c r="I295" s="7"/>
      <c r="J295" s="8"/>
    </row>
    <row r="296" spans="9:10" ht="12.75" x14ac:dyDescent="0.2">
      <c r="I296" s="7"/>
      <c r="J296" s="8"/>
    </row>
    <row r="297" spans="9:10" ht="12.75" x14ac:dyDescent="0.2">
      <c r="I297" s="7"/>
      <c r="J297" s="8"/>
    </row>
    <row r="298" spans="9:10" ht="12.75" x14ac:dyDescent="0.2">
      <c r="I298" s="7"/>
      <c r="J298" s="8"/>
    </row>
    <row r="299" spans="9:10" ht="12.75" x14ac:dyDescent="0.2">
      <c r="I299" s="7"/>
      <c r="J299" s="8"/>
    </row>
    <row r="300" spans="9:10" ht="12.75" x14ac:dyDescent="0.2">
      <c r="I300" s="7"/>
      <c r="J300" s="8"/>
    </row>
    <row r="301" spans="9:10" ht="12.75" x14ac:dyDescent="0.2">
      <c r="I301" s="7"/>
      <c r="J301" s="8"/>
    </row>
    <row r="302" spans="9:10" ht="12.75" x14ac:dyDescent="0.2">
      <c r="I302" s="7"/>
      <c r="J302" s="8"/>
    </row>
    <row r="303" spans="9:10" ht="12.75" x14ac:dyDescent="0.2">
      <c r="I303" s="7"/>
      <c r="J303" s="8"/>
    </row>
    <row r="304" spans="9:10" ht="12.75" x14ac:dyDescent="0.2">
      <c r="I304" s="7"/>
      <c r="J304" s="8"/>
    </row>
    <row r="305" spans="9:10" ht="12.75" x14ac:dyDescent="0.2">
      <c r="I305" s="7"/>
      <c r="J305" s="8"/>
    </row>
    <row r="306" spans="9:10" ht="12.75" x14ac:dyDescent="0.2">
      <c r="I306" s="7"/>
      <c r="J306" s="8"/>
    </row>
    <row r="307" spans="9:10" ht="12.75" x14ac:dyDescent="0.2">
      <c r="I307" s="7"/>
      <c r="J307" s="8"/>
    </row>
    <row r="308" spans="9:10" ht="12.75" x14ac:dyDescent="0.2">
      <c r="I308" s="7"/>
      <c r="J308" s="8"/>
    </row>
    <row r="309" spans="9:10" ht="12.75" x14ac:dyDescent="0.2">
      <c r="I309" s="7"/>
      <c r="J309" s="8"/>
    </row>
    <row r="310" spans="9:10" ht="12.75" x14ac:dyDescent="0.2">
      <c r="I310" s="7"/>
      <c r="J310" s="8"/>
    </row>
    <row r="311" spans="9:10" ht="12.75" x14ac:dyDescent="0.2">
      <c r="I311" s="7"/>
      <c r="J311" s="8"/>
    </row>
    <row r="312" spans="9:10" ht="12.75" x14ac:dyDescent="0.2">
      <c r="I312" s="7"/>
      <c r="J312" s="8"/>
    </row>
    <row r="313" spans="9:10" ht="12.75" x14ac:dyDescent="0.2">
      <c r="I313" s="7"/>
      <c r="J313" s="8"/>
    </row>
    <row r="314" spans="9:10" ht="12.75" x14ac:dyDescent="0.2">
      <c r="I314" s="7"/>
      <c r="J314" s="8"/>
    </row>
    <row r="315" spans="9:10" ht="12.75" x14ac:dyDescent="0.2">
      <c r="I315" s="7"/>
      <c r="J315" s="8"/>
    </row>
    <row r="316" spans="9:10" ht="12.75" x14ac:dyDescent="0.2">
      <c r="I316" s="7"/>
      <c r="J316" s="8"/>
    </row>
    <row r="317" spans="9:10" ht="12.75" x14ac:dyDescent="0.2">
      <c r="I317" s="7"/>
      <c r="J317" s="8"/>
    </row>
    <row r="318" spans="9:10" ht="12.75" x14ac:dyDescent="0.2">
      <c r="I318" s="7"/>
      <c r="J318" s="8"/>
    </row>
    <row r="319" spans="9:10" ht="12.75" x14ac:dyDescent="0.2">
      <c r="I319" s="7"/>
      <c r="J319" s="8"/>
    </row>
    <row r="320" spans="9:10" ht="12.75" x14ac:dyDescent="0.2">
      <c r="I320" s="7"/>
      <c r="J320" s="8"/>
    </row>
    <row r="321" spans="9:10" ht="12.75" x14ac:dyDescent="0.2">
      <c r="I321" s="7"/>
      <c r="J321" s="8"/>
    </row>
    <row r="322" spans="9:10" ht="12.75" x14ac:dyDescent="0.2">
      <c r="I322" s="7"/>
      <c r="J322" s="8"/>
    </row>
    <row r="323" spans="9:10" ht="12.75" x14ac:dyDescent="0.2">
      <c r="I323" s="7"/>
      <c r="J323" s="8"/>
    </row>
    <row r="324" spans="9:10" ht="12.75" x14ac:dyDescent="0.2">
      <c r="I324" s="7"/>
      <c r="J324" s="8"/>
    </row>
    <row r="325" spans="9:10" ht="12.75" x14ac:dyDescent="0.2">
      <c r="I325" s="7"/>
      <c r="J325" s="8"/>
    </row>
    <row r="326" spans="9:10" ht="12.75" x14ac:dyDescent="0.2">
      <c r="I326" s="7"/>
      <c r="J326" s="8"/>
    </row>
    <row r="327" spans="9:10" ht="12.75" x14ac:dyDescent="0.2">
      <c r="I327" s="7"/>
      <c r="J327" s="8"/>
    </row>
    <row r="328" spans="9:10" ht="12.75" x14ac:dyDescent="0.2">
      <c r="I328" s="7"/>
      <c r="J328" s="8"/>
    </row>
    <row r="329" spans="9:10" ht="12.75" x14ac:dyDescent="0.2">
      <c r="I329" s="7"/>
      <c r="J329" s="8"/>
    </row>
    <row r="330" spans="9:10" ht="12.75" x14ac:dyDescent="0.2">
      <c r="I330" s="7"/>
      <c r="J330" s="8"/>
    </row>
    <row r="331" spans="9:10" ht="12.75" x14ac:dyDescent="0.2">
      <c r="I331" s="7"/>
      <c r="J331" s="8"/>
    </row>
    <row r="332" spans="9:10" ht="12.75" x14ac:dyDescent="0.2">
      <c r="I332" s="7"/>
      <c r="J332" s="8"/>
    </row>
    <row r="333" spans="9:10" ht="12.75" x14ac:dyDescent="0.2">
      <c r="I333" s="7"/>
      <c r="J333" s="8"/>
    </row>
    <row r="334" spans="9:10" ht="12.75" x14ac:dyDescent="0.2">
      <c r="I334" s="7"/>
      <c r="J334" s="8"/>
    </row>
    <row r="335" spans="9:10" ht="12.75" x14ac:dyDescent="0.2">
      <c r="I335" s="7"/>
      <c r="J335" s="8"/>
    </row>
    <row r="336" spans="9:10" ht="12.75" x14ac:dyDescent="0.2">
      <c r="I336" s="7"/>
      <c r="J336" s="8"/>
    </row>
    <row r="337" spans="9:10" ht="12.75" x14ac:dyDescent="0.2">
      <c r="I337" s="7"/>
      <c r="J337" s="8"/>
    </row>
    <row r="338" spans="9:10" ht="12.75" x14ac:dyDescent="0.2">
      <c r="I338" s="7"/>
      <c r="J338" s="8"/>
    </row>
    <row r="339" spans="9:10" ht="12.75" x14ac:dyDescent="0.2">
      <c r="I339" s="7"/>
      <c r="J339" s="8"/>
    </row>
    <row r="340" spans="9:10" ht="12.75" x14ac:dyDescent="0.2">
      <c r="I340" s="7"/>
      <c r="J340" s="8"/>
    </row>
    <row r="341" spans="9:10" ht="12.75" x14ac:dyDescent="0.2">
      <c r="I341" s="7"/>
      <c r="J341" s="8"/>
    </row>
    <row r="342" spans="9:10" ht="12.75" x14ac:dyDescent="0.2">
      <c r="I342" s="7"/>
      <c r="J342" s="8"/>
    </row>
    <row r="343" spans="9:10" ht="12.75" x14ac:dyDescent="0.2">
      <c r="I343" s="7"/>
      <c r="J343" s="8"/>
    </row>
    <row r="344" spans="9:10" ht="12.75" x14ac:dyDescent="0.2">
      <c r="I344" s="7"/>
      <c r="J344" s="8"/>
    </row>
    <row r="345" spans="9:10" ht="12.75" x14ac:dyDescent="0.2">
      <c r="I345" s="7"/>
      <c r="J345" s="8"/>
    </row>
    <row r="346" spans="9:10" ht="12.75" x14ac:dyDescent="0.2">
      <c r="I346" s="7"/>
      <c r="J346" s="8"/>
    </row>
    <row r="347" spans="9:10" ht="12.75" x14ac:dyDescent="0.2">
      <c r="I347" s="7"/>
      <c r="J347" s="8"/>
    </row>
    <row r="348" spans="9:10" ht="12.75" x14ac:dyDescent="0.2">
      <c r="I348" s="7"/>
      <c r="J348" s="8"/>
    </row>
    <row r="349" spans="9:10" ht="12.75" x14ac:dyDescent="0.2">
      <c r="I349" s="7"/>
      <c r="J349" s="8"/>
    </row>
    <row r="350" spans="9:10" ht="12.75" x14ac:dyDescent="0.2">
      <c r="I350" s="7"/>
      <c r="J350" s="8"/>
    </row>
    <row r="351" spans="9:10" ht="12.75" x14ac:dyDescent="0.2">
      <c r="I351" s="7"/>
      <c r="J351" s="8"/>
    </row>
    <row r="352" spans="9:10" ht="12.75" x14ac:dyDescent="0.2">
      <c r="I352" s="7"/>
      <c r="J352" s="8"/>
    </row>
    <row r="353" spans="9:10" ht="12.75" x14ac:dyDescent="0.2">
      <c r="I353" s="7"/>
      <c r="J353" s="8"/>
    </row>
    <row r="354" spans="9:10" ht="12.75" x14ac:dyDescent="0.2">
      <c r="I354" s="7"/>
      <c r="J354" s="8"/>
    </row>
    <row r="355" spans="9:10" ht="12.75" x14ac:dyDescent="0.2">
      <c r="I355" s="7"/>
      <c r="J355" s="8"/>
    </row>
    <row r="356" spans="9:10" ht="12.75" x14ac:dyDescent="0.2">
      <c r="I356" s="7"/>
      <c r="J356" s="8"/>
    </row>
    <row r="357" spans="9:10" ht="12.75" x14ac:dyDescent="0.2">
      <c r="I357" s="7"/>
      <c r="J357" s="8"/>
    </row>
    <row r="358" spans="9:10" ht="12.75" x14ac:dyDescent="0.2">
      <c r="I358" s="7"/>
      <c r="J358" s="8"/>
    </row>
    <row r="359" spans="9:10" ht="12.75" x14ac:dyDescent="0.2">
      <c r="I359" s="7"/>
      <c r="J359" s="8"/>
    </row>
    <row r="360" spans="9:10" ht="12.75" x14ac:dyDescent="0.2">
      <c r="I360" s="7"/>
      <c r="J360" s="8"/>
    </row>
    <row r="361" spans="9:10" ht="12.75" x14ac:dyDescent="0.2">
      <c r="I361" s="7"/>
      <c r="J361" s="8"/>
    </row>
    <row r="362" spans="9:10" ht="12.75" x14ac:dyDescent="0.2">
      <c r="I362" s="7"/>
      <c r="J362" s="8"/>
    </row>
    <row r="363" spans="9:10" ht="12.75" x14ac:dyDescent="0.2">
      <c r="I363" s="7"/>
      <c r="J363" s="8"/>
    </row>
    <row r="364" spans="9:10" ht="12.75" x14ac:dyDescent="0.2">
      <c r="I364" s="7"/>
      <c r="J364" s="8"/>
    </row>
    <row r="365" spans="9:10" ht="12.75" x14ac:dyDescent="0.2">
      <c r="I365" s="7"/>
      <c r="J365" s="8"/>
    </row>
    <row r="366" spans="9:10" ht="12.75" x14ac:dyDescent="0.2">
      <c r="I366" s="7"/>
      <c r="J366" s="8"/>
    </row>
    <row r="367" spans="9:10" ht="12.75" x14ac:dyDescent="0.2">
      <c r="I367" s="7"/>
      <c r="J367" s="8"/>
    </row>
    <row r="368" spans="9:10" ht="12.75" x14ac:dyDescent="0.2">
      <c r="I368" s="7"/>
      <c r="J368" s="8"/>
    </row>
    <row r="369" spans="9:10" ht="12.75" x14ac:dyDescent="0.2">
      <c r="I369" s="7"/>
      <c r="J369" s="8"/>
    </row>
    <row r="370" spans="9:10" ht="12.75" x14ac:dyDescent="0.2">
      <c r="I370" s="7"/>
      <c r="J370" s="8"/>
    </row>
    <row r="371" spans="9:10" ht="12.75" x14ac:dyDescent="0.2">
      <c r="I371" s="7"/>
      <c r="J371" s="8"/>
    </row>
    <row r="372" spans="9:10" ht="12.75" x14ac:dyDescent="0.2">
      <c r="I372" s="7"/>
      <c r="J372" s="8"/>
    </row>
    <row r="373" spans="9:10" ht="12.75" x14ac:dyDescent="0.2">
      <c r="I373" s="7"/>
      <c r="J373" s="8"/>
    </row>
    <row r="374" spans="9:10" ht="12.75" x14ac:dyDescent="0.2">
      <c r="I374" s="7"/>
      <c r="J374" s="8"/>
    </row>
    <row r="375" spans="9:10" ht="12.75" x14ac:dyDescent="0.2">
      <c r="I375" s="7"/>
      <c r="J375" s="8"/>
    </row>
    <row r="376" spans="9:10" ht="12.75" x14ac:dyDescent="0.2">
      <c r="I376" s="7"/>
      <c r="J376" s="8"/>
    </row>
    <row r="377" spans="9:10" ht="12.75" x14ac:dyDescent="0.2">
      <c r="I377" s="7"/>
      <c r="J377" s="8"/>
    </row>
    <row r="378" spans="9:10" ht="12.75" x14ac:dyDescent="0.2">
      <c r="I378" s="7"/>
      <c r="J378" s="8"/>
    </row>
    <row r="379" spans="9:10" ht="12.75" x14ac:dyDescent="0.2">
      <c r="I379" s="7"/>
      <c r="J379" s="8"/>
    </row>
    <row r="380" spans="9:10" ht="12.75" x14ac:dyDescent="0.2">
      <c r="I380" s="7"/>
      <c r="J380" s="8"/>
    </row>
    <row r="381" spans="9:10" ht="12.75" x14ac:dyDescent="0.2">
      <c r="I381" s="7"/>
      <c r="J381" s="8"/>
    </row>
    <row r="382" spans="9:10" ht="12.75" x14ac:dyDescent="0.2">
      <c r="I382" s="7"/>
      <c r="J382" s="8"/>
    </row>
    <row r="383" spans="9:10" ht="12.75" x14ac:dyDescent="0.2">
      <c r="I383" s="7"/>
      <c r="J383" s="8"/>
    </row>
    <row r="384" spans="9:10" ht="12.75" x14ac:dyDescent="0.2">
      <c r="I384" s="7"/>
      <c r="J384" s="8"/>
    </row>
    <row r="385" spans="9:10" ht="12.75" x14ac:dyDescent="0.2">
      <c r="I385" s="7"/>
      <c r="J385" s="8"/>
    </row>
    <row r="386" spans="9:10" ht="12.75" x14ac:dyDescent="0.2">
      <c r="I386" s="7"/>
      <c r="J386" s="8"/>
    </row>
    <row r="387" spans="9:10" ht="12.75" x14ac:dyDescent="0.2">
      <c r="I387" s="7"/>
      <c r="J387" s="8"/>
    </row>
    <row r="388" spans="9:10" ht="12.75" x14ac:dyDescent="0.2">
      <c r="I388" s="7"/>
      <c r="J388" s="8"/>
    </row>
    <row r="389" spans="9:10" ht="12.75" x14ac:dyDescent="0.2">
      <c r="I389" s="7"/>
      <c r="J389" s="8"/>
    </row>
    <row r="390" spans="9:10" ht="12.75" x14ac:dyDescent="0.2">
      <c r="I390" s="7"/>
      <c r="J390" s="8"/>
    </row>
    <row r="391" spans="9:10" ht="12.75" x14ac:dyDescent="0.2">
      <c r="I391" s="7"/>
      <c r="J391" s="8"/>
    </row>
    <row r="392" spans="9:10" ht="12.75" x14ac:dyDescent="0.2">
      <c r="I392" s="7"/>
      <c r="J392" s="8"/>
    </row>
    <row r="393" spans="9:10" ht="12.75" x14ac:dyDescent="0.2">
      <c r="I393" s="7"/>
      <c r="J393" s="8"/>
    </row>
    <row r="394" spans="9:10" ht="12.75" x14ac:dyDescent="0.2">
      <c r="I394" s="7"/>
      <c r="J394" s="8"/>
    </row>
    <row r="395" spans="9:10" ht="12.75" x14ac:dyDescent="0.2">
      <c r="I395" s="7"/>
      <c r="J395" s="8"/>
    </row>
    <row r="396" spans="9:10" ht="12.75" x14ac:dyDescent="0.2">
      <c r="I396" s="7"/>
      <c r="J396" s="8"/>
    </row>
    <row r="397" spans="9:10" ht="12.75" x14ac:dyDescent="0.2">
      <c r="I397" s="7"/>
      <c r="J397" s="8"/>
    </row>
    <row r="398" spans="9:10" ht="12.75" x14ac:dyDescent="0.2">
      <c r="I398" s="7"/>
      <c r="J398" s="8"/>
    </row>
    <row r="399" spans="9:10" ht="12.75" x14ac:dyDescent="0.2">
      <c r="I399" s="7"/>
      <c r="J399" s="8"/>
    </row>
    <row r="400" spans="9:10" ht="12.75" x14ac:dyDescent="0.2">
      <c r="I400" s="7"/>
      <c r="J400" s="8"/>
    </row>
    <row r="401" spans="9:10" ht="12.75" x14ac:dyDescent="0.2">
      <c r="I401" s="7"/>
      <c r="J401" s="8"/>
    </row>
    <row r="402" spans="9:10" ht="12.75" x14ac:dyDescent="0.2">
      <c r="I402" s="7"/>
      <c r="J402" s="8"/>
    </row>
    <row r="403" spans="9:10" ht="12.75" x14ac:dyDescent="0.2">
      <c r="I403" s="7"/>
      <c r="J403" s="8"/>
    </row>
    <row r="404" spans="9:10" ht="12.75" x14ac:dyDescent="0.2">
      <c r="I404" s="7"/>
      <c r="J404" s="8"/>
    </row>
    <row r="405" spans="9:10" ht="12.75" x14ac:dyDescent="0.2">
      <c r="I405" s="7"/>
      <c r="J405" s="8"/>
    </row>
    <row r="406" spans="9:10" ht="12.75" x14ac:dyDescent="0.2">
      <c r="I406" s="7"/>
      <c r="J406" s="8"/>
    </row>
    <row r="407" spans="9:10" ht="12.75" x14ac:dyDescent="0.2">
      <c r="I407" s="7"/>
      <c r="J407" s="8"/>
    </row>
    <row r="408" spans="9:10" ht="12.75" x14ac:dyDescent="0.2">
      <c r="I408" s="7"/>
      <c r="J408" s="8"/>
    </row>
    <row r="409" spans="9:10" ht="12.75" x14ac:dyDescent="0.2">
      <c r="I409" s="7"/>
      <c r="J409" s="8"/>
    </row>
    <row r="410" spans="9:10" ht="12.75" x14ac:dyDescent="0.2">
      <c r="I410" s="7"/>
      <c r="J410" s="8"/>
    </row>
    <row r="411" spans="9:10" ht="12.75" x14ac:dyDescent="0.2">
      <c r="I411" s="7"/>
      <c r="J411" s="8"/>
    </row>
    <row r="412" spans="9:10" ht="12.75" x14ac:dyDescent="0.2">
      <c r="I412" s="7"/>
      <c r="J412" s="8"/>
    </row>
    <row r="413" spans="9:10" ht="12.75" x14ac:dyDescent="0.2">
      <c r="I413" s="7"/>
      <c r="J413" s="8"/>
    </row>
    <row r="414" spans="9:10" ht="12.75" x14ac:dyDescent="0.2">
      <c r="I414" s="7"/>
      <c r="J414" s="8"/>
    </row>
    <row r="415" spans="9:10" ht="12.75" x14ac:dyDescent="0.2">
      <c r="I415" s="7"/>
      <c r="J415" s="8"/>
    </row>
    <row r="416" spans="9:10" ht="12.75" x14ac:dyDescent="0.2">
      <c r="I416" s="7"/>
      <c r="J416" s="8"/>
    </row>
    <row r="417" spans="9:10" ht="12.75" x14ac:dyDescent="0.2">
      <c r="I417" s="7"/>
      <c r="J417" s="8"/>
    </row>
    <row r="418" spans="9:10" ht="12.75" x14ac:dyDescent="0.2">
      <c r="I418" s="7"/>
      <c r="J418" s="8"/>
    </row>
    <row r="419" spans="9:10" ht="12.75" x14ac:dyDescent="0.2">
      <c r="I419" s="7"/>
      <c r="J419" s="8"/>
    </row>
    <row r="420" spans="9:10" ht="12.75" x14ac:dyDescent="0.2">
      <c r="I420" s="7"/>
      <c r="J420" s="8"/>
    </row>
    <row r="421" spans="9:10" ht="12.75" x14ac:dyDescent="0.2">
      <c r="I421" s="7"/>
      <c r="J421" s="8"/>
    </row>
    <row r="422" spans="9:10" ht="12.75" x14ac:dyDescent="0.2">
      <c r="I422" s="7"/>
      <c r="J422" s="8"/>
    </row>
    <row r="423" spans="9:10" ht="12.75" x14ac:dyDescent="0.2">
      <c r="I423" s="7"/>
      <c r="J423" s="8"/>
    </row>
    <row r="424" spans="9:10" ht="12.75" x14ac:dyDescent="0.2">
      <c r="I424" s="7"/>
      <c r="J424" s="8"/>
    </row>
    <row r="425" spans="9:10" ht="12.75" x14ac:dyDescent="0.2">
      <c r="I425" s="7"/>
      <c r="J425" s="8"/>
    </row>
    <row r="426" spans="9:10" ht="12.75" x14ac:dyDescent="0.2">
      <c r="I426" s="7"/>
      <c r="J426" s="8"/>
    </row>
    <row r="427" spans="9:10" ht="12.75" x14ac:dyDescent="0.2">
      <c r="I427" s="7"/>
      <c r="J427" s="8"/>
    </row>
    <row r="428" spans="9:10" ht="12.75" x14ac:dyDescent="0.2">
      <c r="I428" s="7"/>
      <c r="J428" s="8"/>
    </row>
    <row r="429" spans="9:10" ht="12.75" x14ac:dyDescent="0.2">
      <c r="I429" s="7"/>
      <c r="J429" s="8"/>
    </row>
    <row r="430" spans="9:10" ht="12.75" x14ac:dyDescent="0.2">
      <c r="I430" s="7"/>
      <c r="J430" s="8"/>
    </row>
    <row r="431" spans="9:10" ht="12.75" x14ac:dyDescent="0.2">
      <c r="I431" s="7"/>
      <c r="J431" s="8"/>
    </row>
    <row r="432" spans="9:10" ht="12.75" x14ac:dyDescent="0.2">
      <c r="I432" s="7"/>
      <c r="J432" s="8"/>
    </row>
    <row r="433" spans="9:10" ht="12.75" x14ac:dyDescent="0.2">
      <c r="I433" s="7"/>
      <c r="J433" s="8"/>
    </row>
    <row r="434" spans="9:10" ht="12.75" x14ac:dyDescent="0.2">
      <c r="I434" s="7"/>
      <c r="J434" s="8"/>
    </row>
    <row r="435" spans="9:10" ht="12.75" x14ac:dyDescent="0.2">
      <c r="I435" s="7"/>
      <c r="J435" s="8"/>
    </row>
    <row r="436" spans="9:10" ht="12.75" x14ac:dyDescent="0.2">
      <c r="I436" s="7"/>
      <c r="J436" s="8"/>
    </row>
    <row r="437" spans="9:10" ht="12.75" x14ac:dyDescent="0.2">
      <c r="I437" s="7"/>
      <c r="J437" s="8"/>
    </row>
    <row r="438" spans="9:10" ht="12.75" x14ac:dyDescent="0.2">
      <c r="I438" s="7"/>
      <c r="J438" s="8"/>
    </row>
    <row r="439" spans="9:10" ht="12.75" x14ac:dyDescent="0.2">
      <c r="I439" s="7"/>
      <c r="J439" s="8"/>
    </row>
    <row r="440" spans="9:10" ht="12.75" x14ac:dyDescent="0.2">
      <c r="I440" s="7"/>
      <c r="J440" s="8"/>
    </row>
    <row r="441" spans="9:10" ht="12.75" x14ac:dyDescent="0.2">
      <c r="I441" s="7"/>
      <c r="J441" s="8"/>
    </row>
    <row r="442" spans="9:10" ht="12.75" x14ac:dyDescent="0.2">
      <c r="I442" s="7"/>
      <c r="J442" s="8"/>
    </row>
    <row r="443" spans="9:10" ht="12.75" x14ac:dyDescent="0.2">
      <c r="I443" s="7"/>
      <c r="J443" s="8"/>
    </row>
    <row r="444" spans="9:10" ht="12.75" x14ac:dyDescent="0.2">
      <c r="I444" s="7"/>
      <c r="J444" s="8"/>
    </row>
    <row r="445" spans="9:10" ht="12.75" x14ac:dyDescent="0.2">
      <c r="I445" s="7"/>
      <c r="J445" s="8"/>
    </row>
    <row r="446" spans="9:10" ht="12.75" x14ac:dyDescent="0.2">
      <c r="I446" s="7"/>
      <c r="J446" s="8"/>
    </row>
    <row r="447" spans="9:10" ht="12.75" x14ac:dyDescent="0.2">
      <c r="I447" s="7"/>
      <c r="J447" s="8"/>
    </row>
    <row r="448" spans="9:10" ht="12.75" x14ac:dyDescent="0.2">
      <c r="I448" s="7"/>
      <c r="J448" s="8"/>
    </row>
    <row r="449" spans="9:10" ht="12.75" x14ac:dyDescent="0.2">
      <c r="I449" s="7"/>
      <c r="J449" s="8"/>
    </row>
    <row r="450" spans="9:10" ht="12.75" x14ac:dyDescent="0.2">
      <c r="I450" s="7"/>
      <c r="J450" s="8"/>
    </row>
    <row r="451" spans="9:10" ht="12.75" x14ac:dyDescent="0.2">
      <c r="I451" s="7"/>
      <c r="J451" s="8"/>
    </row>
    <row r="452" spans="9:10" ht="12.75" x14ac:dyDescent="0.2">
      <c r="I452" s="7"/>
      <c r="J452" s="8"/>
    </row>
    <row r="453" spans="9:10" ht="12.75" x14ac:dyDescent="0.2">
      <c r="I453" s="7"/>
      <c r="J453" s="8"/>
    </row>
    <row r="454" spans="9:10" ht="12.75" x14ac:dyDescent="0.2">
      <c r="I454" s="7"/>
      <c r="J454" s="8"/>
    </row>
    <row r="455" spans="9:10" ht="12.75" x14ac:dyDescent="0.2">
      <c r="I455" s="7"/>
      <c r="J455" s="8"/>
    </row>
    <row r="456" spans="9:10" ht="12.75" x14ac:dyDescent="0.2">
      <c r="I456" s="7"/>
      <c r="J456" s="8"/>
    </row>
    <row r="457" spans="9:10" ht="12.75" x14ac:dyDescent="0.2">
      <c r="I457" s="7"/>
      <c r="J457" s="8"/>
    </row>
    <row r="458" spans="9:10" ht="12.75" x14ac:dyDescent="0.2">
      <c r="I458" s="7"/>
      <c r="J458" s="8"/>
    </row>
    <row r="459" spans="9:10" ht="12.75" x14ac:dyDescent="0.2">
      <c r="I459" s="7"/>
      <c r="J459" s="8"/>
    </row>
    <row r="460" spans="9:10" ht="12.75" x14ac:dyDescent="0.2">
      <c r="I460" s="7"/>
      <c r="J460" s="8"/>
    </row>
    <row r="461" spans="9:10" ht="12.75" x14ac:dyDescent="0.2">
      <c r="I461" s="7"/>
      <c r="J461" s="8"/>
    </row>
    <row r="462" spans="9:10" ht="12.75" x14ac:dyDescent="0.2">
      <c r="I462" s="7"/>
      <c r="J462" s="8"/>
    </row>
    <row r="463" spans="9:10" ht="12.75" x14ac:dyDescent="0.2">
      <c r="I463" s="7"/>
      <c r="J463" s="8"/>
    </row>
    <row r="464" spans="9:10" ht="12.75" x14ac:dyDescent="0.2">
      <c r="I464" s="7"/>
      <c r="J464" s="8"/>
    </row>
    <row r="465" spans="9:10" ht="12.75" x14ac:dyDescent="0.2">
      <c r="I465" s="7"/>
      <c r="J465" s="8"/>
    </row>
    <row r="466" spans="9:10" ht="12.75" x14ac:dyDescent="0.2">
      <c r="I466" s="7"/>
      <c r="J466" s="8"/>
    </row>
    <row r="467" spans="9:10" ht="12.75" x14ac:dyDescent="0.2">
      <c r="I467" s="7"/>
      <c r="J467" s="8"/>
    </row>
    <row r="468" spans="9:10" ht="12.75" x14ac:dyDescent="0.2">
      <c r="I468" s="7"/>
      <c r="J468" s="8"/>
    </row>
    <row r="469" spans="9:10" ht="12.75" x14ac:dyDescent="0.2">
      <c r="I469" s="7"/>
      <c r="J469" s="8"/>
    </row>
    <row r="470" spans="9:10" ht="12.75" x14ac:dyDescent="0.2">
      <c r="I470" s="7"/>
      <c r="J470" s="8"/>
    </row>
    <row r="471" spans="9:10" ht="12.75" x14ac:dyDescent="0.2">
      <c r="I471" s="7"/>
      <c r="J471" s="8"/>
    </row>
    <row r="472" spans="9:10" ht="12.75" x14ac:dyDescent="0.2">
      <c r="I472" s="7"/>
      <c r="J472" s="8"/>
    </row>
    <row r="473" spans="9:10" ht="12.75" x14ac:dyDescent="0.2">
      <c r="I473" s="7"/>
      <c r="J473" s="8"/>
    </row>
    <row r="474" spans="9:10" ht="12.75" x14ac:dyDescent="0.2">
      <c r="I474" s="7"/>
      <c r="J474" s="8"/>
    </row>
    <row r="475" spans="9:10" ht="12.75" x14ac:dyDescent="0.2">
      <c r="I475" s="7"/>
      <c r="J475" s="8"/>
    </row>
    <row r="476" spans="9:10" ht="12.75" x14ac:dyDescent="0.2">
      <c r="I476" s="7"/>
      <c r="J476" s="8"/>
    </row>
    <row r="477" spans="9:10" ht="12.75" x14ac:dyDescent="0.2">
      <c r="I477" s="7"/>
      <c r="J477" s="8"/>
    </row>
    <row r="478" spans="9:10" ht="12.75" x14ac:dyDescent="0.2">
      <c r="I478" s="7"/>
      <c r="J478" s="8"/>
    </row>
    <row r="479" spans="9:10" ht="12.75" x14ac:dyDescent="0.2">
      <c r="I479" s="7"/>
      <c r="J479" s="8"/>
    </row>
    <row r="480" spans="9:10" ht="12.75" x14ac:dyDescent="0.2">
      <c r="I480" s="7"/>
      <c r="J480" s="8"/>
    </row>
    <row r="481" spans="9:10" ht="12.75" x14ac:dyDescent="0.2">
      <c r="I481" s="7"/>
      <c r="J481" s="8"/>
    </row>
    <row r="482" spans="9:10" ht="12.75" x14ac:dyDescent="0.2">
      <c r="I482" s="7"/>
      <c r="J482" s="8"/>
    </row>
    <row r="483" spans="9:10" ht="12.75" x14ac:dyDescent="0.2">
      <c r="I483" s="7"/>
      <c r="J483" s="8"/>
    </row>
    <row r="484" spans="9:10" ht="12.75" x14ac:dyDescent="0.2">
      <c r="I484" s="7"/>
      <c r="J484" s="8"/>
    </row>
    <row r="485" spans="9:10" ht="12.75" x14ac:dyDescent="0.2">
      <c r="I485" s="7"/>
      <c r="J485" s="8"/>
    </row>
    <row r="486" spans="9:10" ht="12.75" x14ac:dyDescent="0.2">
      <c r="I486" s="7"/>
      <c r="J486" s="8"/>
    </row>
    <row r="487" spans="9:10" ht="12.75" x14ac:dyDescent="0.2">
      <c r="I487" s="7"/>
      <c r="J487" s="8"/>
    </row>
    <row r="488" spans="9:10" ht="12.75" x14ac:dyDescent="0.2">
      <c r="I488" s="7"/>
      <c r="J488" s="8"/>
    </row>
    <row r="489" spans="9:10" ht="12.75" x14ac:dyDescent="0.2">
      <c r="I489" s="7"/>
      <c r="J489" s="8"/>
    </row>
    <row r="490" spans="9:10" ht="12.75" x14ac:dyDescent="0.2">
      <c r="I490" s="7"/>
      <c r="J490" s="8"/>
    </row>
    <row r="491" spans="9:10" ht="12.75" x14ac:dyDescent="0.2">
      <c r="I491" s="7"/>
      <c r="J491" s="8"/>
    </row>
    <row r="492" spans="9:10" ht="12.75" x14ac:dyDescent="0.2">
      <c r="I492" s="7"/>
      <c r="J492" s="8"/>
    </row>
    <row r="493" spans="9:10" ht="12.75" x14ac:dyDescent="0.2">
      <c r="I493" s="7"/>
      <c r="J493" s="8"/>
    </row>
    <row r="494" spans="9:10" ht="12.75" x14ac:dyDescent="0.2">
      <c r="I494" s="7"/>
      <c r="J494" s="8"/>
    </row>
    <row r="495" spans="9:10" ht="12.75" x14ac:dyDescent="0.2">
      <c r="I495" s="7"/>
      <c r="J495" s="8"/>
    </row>
    <row r="496" spans="9:10" ht="12.75" x14ac:dyDescent="0.2">
      <c r="I496" s="7"/>
      <c r="J496" s="8"/>
    </row>
    <row r="497" spans="9:10" ht="12.75" x14ac:dyDescent="0.2">
      <c r="I497" s="7"/>
      <c r="J497" s="8"/>
    </row>
    <row r="498" spans="9:10" ht="12.75" x14ac:dyDescent="0.2">
      <c r="I498" s="7"/>
      <c r="J498" s="8"/>
    </row>
    <row r="499" spans="9:10" ht="12.75" x14ac:dyDescent="0.2">
      <c r="I499" s="7"/>
      <c r="J499" s="8"/>
    </row>
    <row r="500" spans="9:10" ht="12.75" x14ac:dyDescent="0.2">
      <c r="I500" s="7"/>
      <c r="J500" s="8"/>
    </row>
    <row r="501" spans="9:10" ht="12.75" x14ac:dyDescent="0.2">
      <c r="I501" s="7"/>
      <c r="J501" s="8"/>
    </row>
    <row r="502" spans="9:10" ht="12.75" x14ac:dyDescent="0.2">
      <c r="I502" s="7"/>
      <c r="J502" s="8"/>
    </row>
    <row r="503" spans="9:10" ht="12.75" x14ac:dyDescent="0.2">
      <c r="I503" s="7"/>
      <c r="J503" s="8"/>
    </row>
    <row r="504" spans="9:10" ht="12.75" x14ac:dyDescent="0.2">
      <c r="I504" s="7"/>
      <c r="J504" s="8"/>
    </row>
    <row r="505" spans="9:10" ht="12.75" x14ac:dyDescent="0.2">
      <c r="I505" s="7"/>
      <c r="J505" s="8"/>
    </row>
    <row r="506" spans="9:10" ht="12.75" x14ac:dyDescent="0.2">
      <c r="I506" s="7"/>
      <c r="J506" s="8"/>
    </row>
    <row r="507" spans="9:10" ht="12.75" x14ac:dyDescent="0.2">
      <c r="I507" s="7"/>
      <c r="J507" s="8"/>
    </row>
    <row r="508" spans="9:10" ht="12.75" x14ac:dyDescent="0.2">
      <c r="I508" s="7"/>
      <c r="J508" s="8"/>
    </row>
    <row r="509" spans="9:10" ht="12.75" x14ac:dyDescent="0.2">
      <c r="I509" s="7"/>
      <c r="J509" s="8"/>
    </row>
    <row r="510" spans="9:10" ht="12.75" x14ac:dyDescent="0.2">
      <c r="I510" s="7"/>
      <c r="J510" s="8"/>
    </row>
    <row r="511" spans="9:10" ht="12.75" x14ac:dyDescent="0.2">
      <c r="I511" s="7"/>
      <c r="J511" s="8"/>
    </row>
    <row r="512" spans="9:10" ht="12.75" x14ac:dyDescent="0.2">
      <c r="I512" s="7"/>
      <c r="J512" s="8"/>
    </row>
    <row r="513" spans="9:10" ht="12.75" x14ac:dyDescent="0.2">
      <c r="I513" s="7"/>
      <c r="J513" s="8"/>
    </row>
    <row r="514" spans="9:10" ht="12.75" x14ac:dyDescent="0.2">
      <c r="I514" s="7"/>
      <c r="J514" s="8"/>
    </row>
    <row r="515" spans="9:10" ht="12.75" x14ac:dyDescent="0.2">
      <c r="I515" s="7"/>
      <c r="J515" s="8"/>
    </row>
    <row r="516" spans="9:10" ht="12.75" x14ac:dyDescent="0.2">
      <c r="I516" s="7"/>
      <c r="J516" s="8"/>
    </row>
    <row r="517" spans="9:10" ht="12.75" x14ac:dyDescent="0.2">
      <c r="I517" s="7"/>
      <c r="J517" s="8"/>
    </row>
    <row r="518" spans="9:10" ht="12.75" x14ac:dyDescent="0.2">
      <c r="I518" s="7"/>
      <c r="J518" s="8"/>
    </row>
    <row r="519" spans="9:10" ht="12.75" x14ac:dyDescent="0.2">
      <c r="I519" s="7"/>
      <c r="J519" s="8"/>
    </row>
    <row r="520" spans="9:10" ht="12.75" x14ac:dyDescent="0.2">
      <c r="I520" s="7"/>
      <c r="J520" s="8"/>
    </row>
    <row r="521" spans="9:10" ht="12.75" x14ac:dyDescent="0.2">
      <c r="I521" s="7"/>
      <c r="J521" s="8"/>
    </row>
    <row r="522" spans="9:10" ht="12.75" x14ac:dyDescent="0.2">
      <c r="I522" s="7"/>
      <c r="J522" s="8"/>
    </row>
    <row r="523" spans="9:10" ht="12.75" x14ac:dyDescent="0.2">
      <c r="I523" s="7"/>
      <c r="J523" s="8"/>
    </row>
    <row r="524" spans="9:10" ht="12.75" x14ac:dyDescent="0.2">
      <c r="I524" s="7"/>
      <c r="J524" s="8"/>
    </row>
    <row r="525" spans="9:10" ht="12.75" x14ac:dyDescent="0.2">
      <c r="I525" s="7"/>
      <c r="J525" s="8"/>
    </row>
    <row r="526" spans="9:10" ht="12.75" x14ac:dyDescent="0.2">
      <c r="I526" s="7"/>
      <c r="J526" s="8"/>
    </row>
    <row r="527" spans="9:10" ht="12.75" x14ac:dyDescent="0.2">
      <c r="I527" s="7"/>
      <c r="J527" s="8"/>
    </row>
    <row r="528" spans="9:10" ht="12.75" x14ac:dyDescent="0.2">
      <c r="I528" s="7"/>
      <c r="J528" s="8"/>
    </row>
    <row r="529" spans="9:10" ht="12.75" x14ac:dyDescent="0.2">
      <c r="I529" s="7"/>
      <c r="J529" s="8"/>
    </row>
    <row r="530" spans="9:10" ht="12.75" x14ac:dyDescent="0.2">
      <c r="I530" s="7"/>
      <c r="J530" s="8"/>
    </row>
    <row r="531" spans="9:10" ht="12.75" x14ac:dyDescent="0.2">
      <c r="I531" s="7"/>
      <c r="J531" s="8"/>
    </row>
    <row r="532" spans="9:10" ht="12.75" x14ac:dyDescent="0.2">
      <c r="I532" s="7"/>
      <c r="J532" s="8"/>
    </row>
    <row r="533" spans="9:10" ht="12.75" x14ac:dyDescent="0.2">
      <c r="I533" s="7"/>
      <c r="J533" s="8"/>
    </row>
    <row r="534" spans="9:10" ht="12.75" x14ac:dyDescent="0.2">
      <c r="I534" s="7"/>
      <c r="J534" s="8"/>
    </row>
    <row r="535" spans="9:10" ht="12.75" x14ac:dyDescent="0.2">
      <c r="I535" s="7"/>
      <c r="J535" s="8"/>
    </row>
    <row r="536" spans="9:10" ht="12.75" x14ac:dyDescent="0.2">
      <c r="I536" s="7"/>
      <c r="J536" s="8"/>
    </row>
    <row r="537" spans="9:10" ht="12.75" x14ac:dyDescent="0.2">
      <c r="I537" s="7"/>
      <c r="J537" s="8"/>
    </row>
    <row r="538" spans="9:10" ht="12.75" x14ac:dyDescent="0.2">
      <c r="I538" s="7"/>
      <c r="J538" s="8"/>
    </row>
    <row r="539" spans="9:10" ht="12.75" x14ac:dyDescent="0.2">
      <c r="I539" s="7"/>
      <c r="J539" s="8"/>
    </row>
    <row r="540" spans="9:10" ht="12.75" x14ac:dyDescent="0.2">
      <c r="I540" s="7"/>
      <c r="J540" s="8"/>
    </row>
    <row r="541" spans="9:10" ht="12.75" x14ac:dyDescent="0.2">
      <c r="I541" s="7"/>
      <c r="J541" s="8"/>
    </row>
    <row r="542" spans="9:10" ht="12.75" x14ac:dyDescent="0.2">
      <c r="I542" s="7"/>
      <c r="J542" s="8"/>
    </row>
    <row r="543" spans="9:10" ht="12.75" x14ac:dyDescent="0.2">
      <c r="I543" s="7"/>
      <c r="J543" s="8"/>
    </row>
    <row r="544" spans="9:10" ht="12.75" x14ac:dyDescent="0.2">
      <c r="I544" s="7"/>
      <c r="J544" s="8"/>
    </row>
    <row r="545" spans="9:10" ht="12.75" x14ac:dyDescent="0.2">
      <c r="I545" s="7"/>
      <c r="J545" s="8"/>
    </row>
    <row r="546" spans="9:10" ht="12.75" x14ac:dyDescent="0.2">
      <c r="I546" s="7"/>
      <c r="J546" s="8"/>
    </row>
    <row r="547" spans="9:10" ht="12.75" x14ac:dyDescent="0.2">
      <c r="I547" s="7"/>
      <c r="J547" s="8"/>
    </row>
    <row r="548" spans="9:10" ht="12.75" x14ac:dyDescent="0.2">
      <c r="I548" s="7"/>
      <c r="J548" s="8"/>
    </row>
    <row r="549" spans="9:10" ht="12.75" x14ac:dyDescent="0.2">
      <c r="I549" s="7"/>
      <c r="J549" s="8"/>
    </row>
    <row r="550" spans="9:10" ht="12.75" x14ac:dyDescent="0.2">
      <c r="I550" s="7"/>
      <c r="J550" s="8"/>
    </row>
    <row r="551" spans="9:10" ht="12.75" x14ac:dyDescent="0.2">
      <c r="I551" s="7"/>
      <c r="J551" s="8"/>
    </row>
    <row r="552" spans="9:10" ht="12.75" x14ac:dyDescent="0.2">
      <c r="I552" s="7"/>
      <c r="J552" s="8"/>
    </row>
    <row r="553" spans="9:10" ht="12.75" x14ac:dyDescent="0.2">
      <c r="I553" s="7"/>
      <c r="J553" s="8"/>
    </row>
    <row r="554" spans="9:10" ht="12.75" x14ac:dyDescent="0.2">
      <c r="I554" s="7"/>
      <c r="J554" s="8"/>
    </row>
    <row r="555" spans="9:10" ht="12.75" x14ac:dyDescent="0.2">
      <c r="I555" s="7"/>
      <c r="J555" s="8"/>
    </row>
    <row r="556" spans="9:10" ht="12.75" x14ac:dyDescent="0.2">
      <c r="I556" s="7"/>
      <c r="J556" s="8"/>
    </row>
    <row r="557" spans="9:10" ht="12.75" x14ac:dyDescent="0.2">
      <c r="I557" s="7"/>
      <c r="J557" s="8"/>
    </row>
    <row r="558" spans="9:10" ht="12.75" x14ac:dyDescent="0.2">
      <c r="I558" s="7"/>
      <c r="J558" s="8"/>
    </row>
    <row r="559" spans="9:10" ht="12.75" x14ac:dyDescent="0.2">
      <c r="I559" s="7"/>
      <c r="J559" s="8"/>
    </row>
    <row r="560" spans="9:10" ht="12.75" x14ac:dyDescent="0.2">
      <c r="I560" s="7"/>
      <c r="J560" s="8"/>
    </row>
    <row r="561" spans="9:10" ht="12.75" x14ac:dyDescent="0.2">
      <c r="I561" s="7"/>
      <c r="J561" s="8"/>
    </row>
    <row r="562" spans="9:10" ht="12.75" x14ac:dyDescent="0.2">
      <c r="I562" s="7"/>
      <c r="J562" s="8"/>
    </row>
    <row r="563" spans="9:10" ht="12.75" x14ac:dyDescent="0.2">
      <c r="I563" s="7"/>
      <c r="J563" s="8"/>
    </row>
    <row r="564" spans="9:10" ht="12.75" x14ac:dyDescent="0.2">
      <c r="I564" s="7"/>
      <c r="J564" s="8"/>
    </row>
    <row r="565" spans="9:10" ht="12.75" x14ac:dyDescent="0.2">
      <c r="I565" s="7"/>
      <c r="J565" s="8"/>
    </row>
    <row r="566" spans="9:10" ht="12.75" x14ac:dyDescent="0.2">
      <c r="I566" s="7"/>
      <c r="J566" s="8"/>
    </row>
    <row r="567" spans="9:10" ht="12.75" x14ac:dyDescent="0.2">
      <c r="I567" s="7"/>
      <c r="J567" s="8"/>
    </row>
    <row r="568" spans="9:10" ht="12.75" x14ac:dyDescent="0.2">
      <c r="I568" s="7"/>
      <c r="J568" s="8"/>
    </row>
    <row r="569" spans="9:10" ht="12.75" x14ac:dyDescent="0.2">
      <c r="I569" s="7"/>
      <c r="J569" s="8"/>
    </row>
    <row r="570" spans="9:10" ht="12.75" x14ac:dyDescent="0.2">
      <c r="I570" s="7"/>
      <c r="J570" s="8"/>
    </row>
    <row r="571" spans="9:10" ht="12.75" x14ac:dyDescent="0.2">
      <c r="I571" s="7"/>
      <c r="J571" s="8"/>
    </row>
    <row r="572" spans="9:10" ht="12.75" x14ac:dyDescent="0.2">
      <c r="I572" s="7"/>
      <c r="J572" s="8"/>
    </row>
    <row r="573" spans="9:10" ht="12.75" x14ac:dyDescent="0.2">
      <c r="I573" s="7"/>
      <c r="J573" s="8"/>
    </row>
    <row r="574" spans="9:10" ht="12.75" x14ac:dyDescent="0.2">
      <c r="I574" s="7"/>
      <c r="J574" s="8"/>
    </row>
    <row r="575" spans="9:10" ht="12.75" x14ac:dyDescent="0.2">
      <c r="I575" s="7"/>
      <c r="J575" s="8"/>
    </row>
    <row r="576" spans="9:10" ht="12.75" x14ac:dyDescent="0.2">
      <c r="I576" s="7"/>
      <c r="J576" s="8"/>
    </row>
    <row r="577" spans="9:10" ht="12.75" x14ac:dyDescent="0.2">
      <c r="I577" s="7"/>
      <c r="J577" s="8"/>
    </row>
    <row r="578" spans="9:10" ht="12.75" x14ac:dyDescent="0.2">
      <c r="I578" s="7"/>
      <c r="J578" s="8"/>
    </row>
    <row r="579" spans="9:10" ht="12.75" x14ac:dyDescent="0.2">
      <c r="I579" s="7"/>
      <c r="J579" s="8"/>
    </row>
    <row r="580" spans="9:10" ht="12.75" x14ac:dyDescent="0.2">
      <c r="I580" s="7"/>
      <c r="J580" s="8"/>
    </row>
    <row r="581" spans="9:10" ht="12.75" x14ac:dyDescent="0.2">
      <c r="I581" s="7"/>
      <c r="J581" s="8"/>
    </row>
    <row r="582" spans="9:10" ht="12.75" x14ac:dyDescent="0.2">
      <c r="I582" s="7"/>
      <c r="J582" s="8"/>
    </row>
    <row r="583" spans="9:10" ht="12.75" x14ac:dyDescent="0.2">
      <c r="I583" s="7"/>
      <c r="J583" s="8"/>
    </row>
    <row r="584" spans="9:10" ht="12.75" x14ac:dyDescent="0.2">
      <c r="I584" s="7"/>
      <c r="J584" s="8"/>
    </row>
    <row r="585" spans="9:10" ht="12.75" x14ac:dyDescent="0.2">
      <c r="I585" s="7"/>
      <c r="J585" s="8"/>
    </row>
    <row r="586" spans="9:10" ht="12.75" x14ac:dyDescent="0.2">
      <c r="I586" s="7"/>
      <c r="J586" s="8"/>
    </row>
    <row r="587" spans="9:10" ht="12.75" x14ac:dyDescent="0.2">
      <c r="I587" s="7"/>
      <c r="J587" s="8"/>
    </row>
    <row r="588" spans="9:10" ht="12.75" x14ac:dyDescent="0.2">
      <c r="I588" s="7"/>
      <c r="J588" s="8"/>
    </row>
    <row r="589" spans="9:10" ht="12.75" x14ac:dyDescent="0.2">
      <c r="I589" s="7"/>
      <c r="J589" s="8"/>
    </row>
    <row r="590" spans="9:10" ht="12.75" x14ac:dyDescent="0.2">
      <c r="I590" s="7"/>
      <c r="J590" s="8"/>
    </row>
    <row r="591" spans="9:10" ht="12.75" x14ac:dyDescent="0.2">
      <c r="I591" s="7"/>
      <c r="J591" s="8"/>
    </row>
    <row r="592" spans="9:10" ht="12.75" x14ac:dyDescent="0.2">
      <c r="I592" s="7"/>
      <c r="J592" s="8"/>
    </row>
    <row r="593" spans="9:10" ht="12.75" x14ac:dyDescent="0.2">
      <c r="I593" s="7"/>
      <c r="J593" s="8"/>
    </row>
    <row r="594" spans="9:10" ht="12.75" x14ac:dyDescent="0.2">
      <c r="I594" s="7"/>
      <c r="J594" s="8"/>
    </row>
    <row r="595" spans="9:10" ht="12.75" x14ac:dyDescent="0.2">
      <c r="I595" s="7"/>
      <c r="J595" s="8"/>
    </row>
    <row r="596" spans="9:10" ht="12.75" x14ac:dyDescent="0.2">
      <c r="I596" s="7"/>
      <c r="J596" s="8"/>
    </row>
    <row r="597" spans="9:10" ht="12.75" x14ac:dyDescent="0.2">
      <c r="I597" s="7"/>
      <c r="J597" s="8"/>
    </row>
    <row r="598" spans="9:10" ht="12.75" x14ac:dyDescent="0.2">
      <c r="I598" s="7"/>
      <c r="J598" s="8"/>
    </row>
    <row r="599" spans="9:10" ht="12.75" x14ac:dyDescent="0.2">
      <c r="I599" s="7"/>
      <c r="J599" s="8"/>
    </row>
    <row r="600" spans="9:10" ht="12.75" x14ac:dyDescent="0.2">
      <c r="I600" s="7"/>
      <c r="J600" s="8"/>
    </row>
    <row r="601" spans="9:10" ht="12.75" x14ac:dyDescent="0.2">
      <c r="I601" s="7"/>
      <c r="J601" s="8"/>
    </row>
    <row r="602" spans="9:10" ht="12.75" x14ac:dyDescent="0.2">
      <c r="I602" s="7"/>
      <c r="J602" s="8"/>
    </row>
    <row r="603" spans="9:10" ht="12.75" x14ac:dyDescent="0.2">
      <c r="I603" s="7"/>
      <c r="J603" s="8"/>
    </row>
    <row r="604" spans="9:10" ht="12.75" x14ac:dyDescent="0.2">
      <c r="I604" s="7"/>
      <c r="J604" s="8"/>
    </row>
    <row r="605" spans="9:10" ht="12.75" x14ac:dyDescent="0.2">
      <c r="I605" s="7"/>
      <c r="J605" s="8"/>
    </row>
    <row r="606" spans="9:10" ht="12.75" x14ac:dyDescent="0.2">
      <c r="I606" s="7"/>
      <c r="J606" s="8"/>
    </row>
    <row r="607" spans="9:10" ht="12.75" x14ac:dyDescent="0.2">
      <c r="I607" s="7"/>
      <c r="J607" s="8"/>
    </row>
    <row r="608" spans="9:10" ht="12.75" x14ac:dyDescent="0.2">
      <c r="I608" s="7"/>
      <c r="J608" s="8"/>
    </row>
    <row r="609" spans="9:10" ht="12.75" x14ac:dyDescent="0.2">
      <c r="I609" s="7"/>
      <c r="J609" s="8"/>
    </row>
    <row r="610" spans="9:10" ht="12.75" x14ac:dyDescent="0.2">
      <c r="I610" s="7"/>
      <c r="J610" s="8"/>
    </row>
    <row r="611" spans="9:10" ht="12.75" x14ac:dyDescent="0.2">
      <c r="I611" s="7"/>
      <c r="J611" s="8"/>
    </row>
    <row r="612" spans="9:10" ht="12.75" x14ac:dyDescent="0.2">
      <c r="I612" s="7"/>
      <c r="J612" s="8"/>
    </row>
    <row r="613" spans="9:10" ht="12.75" x14ac:dyDescent="0.2">
      <c r="I613" s="7"/>
      <c r="J613" s="8"/>
    </row>
    <row r="614" spans="9:10" ht="12.75" x14ac:dyDescent="0.2">
      <c r="I614" s="7"/>
      <c r="J614" s="8"/>
    </row>
    <row r="615" spans="9:10" ht="12.75" x14ac:dyDescent="0.2">
      <c r="I615" s="7"/>
      <c r="J615" s="8"/>
    </row>
    <row r="616" spans="9:10" ht="12.75" x14ac:dyDescent="0.2">
      <c r="I616" s="7"/>
      <c r="J616" s="8"/>
    </row>
    <row r="617" spans="9:10" ht="12.75" x14ac:dyDescent="0.2">
      <c r="I617" s="7"/>
      <c r="J617" s="8"/>
    </row>
    <row r="618" spans="9:10" ht="12.75" x14ac:dyDescent="0.2">
      <c r="I618" s="7"/>
      <c r="J618" s="8"/>
    </row>
    <row r="619" spans="9:10" ht="12.75" x14ac:dyDescent="0.2">
      <c r="I619" s="7"/>
      <c r="J619" s="8"/>
    </row>
    <row r="620" spans="9:10" ht="12.75" x14ac:dyDescent="0.2">
      <c r="I620" s="7"/>
      <c r="J620" s="8"/>
    </row>
    <row r="621" spans="9:10" ht="12.75" x14ac:dyDescent="0.2">
      <c r="I621" s="7"/>
      <c r="J621" s="8"/>
    </row>
    <row r="622" spans="9:10" ht="12.75" x14ac:dyDescent="0.2">
      <c r="I622" s="7"/>
      <c r="J622" s="8"/>
    </row>
    <row r="623" spans="9:10" ht="12.75" x14ac:dyDescent="0.2">
      <c r="I623" s="7"/>
      <c r="J623" s="8"/>
    </row>
    <row r="624" spans="9:10" ht="12.75" x14ac:dyDescent="0.2">
      <c r="I624" s="7"/>
      <c r="J624" s="8"/>
    </row>
    <row r="625" spans="9:10" ht="12.75" x14ac:dyDescent="0.2">
      <c r="I625" s="7"/>
      <c r="J625" s="8"/>
    </row>
    <row r="626" spans="9:10" ht="12.75" x14ac:dyDescent="0.2">
      <c r="I626" s="7"/>
      <c r="J626" s="8"/>
    </row>
    <row r="627" spans="9:10" ht="12.75" x14ac:dyDescent="0.2">
      <c r="I627" s="7"/>
      <c r="J627" s="8"/>
    </row>
    <row r="628" spans="9:10" ht="12.75" x14ac:dyDescent="0.2">
      <c r="I628" s="7"/>
      <c r="J628" s="8"/>
    </row>
    <row r="629" spans="9:10" ht="12.75" x14ac:dyDescent="0.2">
      <c r="I629" s="7"/>
      <c r="J629" s="8"/>
    </row>
    <row r="630" spans="9:10" ht="12.75" x14ac:dyDescent="0.2">
      <c r="I630" s="7"/>
      <c r="J630" s="8"/>
    </row>
    <row r="631" spans="9:10" ht="12.75" x14ac:dyDescent="0.2">
      <c r="I631" s="7"/>
      <c r="J631" s="8"/>
    </row>
    <row r="632" spans="9:10" ht="12.75" x14ac:dyDescent="0.2">
      <c r="I632" s="7"/>
      <c r="J632" s="8"/>
    </row>
    <row r="633" spans="9:10" ht="12.75" x14ac:dyDescent="0.2">
      <c r="I633" s="7"/>
      <c r="J633" s="8"/>
    </row>
    <row r="634" spans="9:10" ht="12.75" x14ac:dyDescent="0.2">
      <c r="I634" s="7"/>
      <c r="J634" s="8"/>
    </row>
    <row r="635" spans="9:10" ht="12.75" x14ac:dyDescent="0.2">
      <c r="I635" s="7"/>
      <c r="J635" s="8"/>
    </row>
    <row r="636" spans="9:10" ht="12.75" x14ac:dyDescent="0.2">
      <c r="I636" s="7"/>
      <c r="J636" s="8"/>
    </row>
    <row r="637" spans="9:10" ht="12.75" x14ac:dyDescent="0.2">
      <c r="I637" s="7"/>
      <c r="J637" s="8"/>
    </row>
    <row r="638" spans="9:10" ht="12.75" x14ac:dyDescent="0.2">
      <c r="I638" s="7"/>
      <c r="J638" s="8"/>
    </row>
    <row r="639" spans="9:10" ht="12.75" x14ac:dyDescent="0.2">
      <c r="I639" s="7"/>
      <c r="J639" s="8"/>
    </row>
    <row r="640" spans="9:10" ht="12.75" x14ac:dyDescent="0.2">
      <c r="I640" s="7"/>
      <c r="J640" s="8"/>
    </row>
    <row r="641" spans="9:10" ht="12.75" x14ac:dyDescent="0.2">
      <c r="I641" s="7"/>
      <c r="J641" s="8"/>
    </row>
    <row r="642" spans="9:10" ht="12.75" x14ac:dyDescent="0.2">
      <c r="I642" s="7"/>
      <c r="J642" s="8"/>
    </row>
    <row r="643" spans="9:10" ht="12.75" x14ac:dyDescent="0.2">
      <c r="I643" s="7"/>
      <c r="J643" s="8"/>
    </row>
    <row r="644" spans="9:10" ht="12.75" x14ac:dyDescent="0.2">
      <c r="I644" s="7"/>
      <c r="J644" s="8"/>
    </row>
    <row r="645" spans="9:10" ht="12.75" x14ac:dyDescent="0.2">
      <c r="I645" s="7"/>
      <c r="J645" s="8"/>
    </row>
    <row r="646" spans="9:10" ht="12.75" x14ac:dyDescent="0.2">
      <c r="I646" s="7"/>
      <c r="J646" s="8"/>
    </row>
    <row r="647" spans="9:10" ht="12.75" x14ac:dyDescent="0.2">
      <c r="I647" s="7"/>
      <c r="J647" s="8"/>
    </row>
    <row r="648" spans="9:10" ht="12.75" x14ac:dyDescent="0.2">
      <c r="I648" s="7"/>
      <c r="J648" s="8"/>
    </row>
    <row r="649" spans="9:10" ht="12.75" x14ac:dyDescent="0.2">
      <c r="I649" s="7"/>
      <c r="J649" s="8"/>
    </row>
    <row r="650" spans="9:10" ht="12.75" x14ac:dyDescent="0.2">
      <c r="I650" s="7"/>
      <c r="J650" s="8"/>
    </row>
    <row r="651" spans="9:10" ht="12.75" x14ac:dyDescent="0.2">
      <c r="I651" s="7"/>
      <c r="J651" s="8"/>
    </row>
    <row r="652" spans="9:10" ht="12.75" x14ac:dyDescent="0.2">
      <c r="I652" s="7"/>
      <c r="J652" s="8"/>
    </row>
    <row r="653" spans="9:10" ht="12.75" x14ac:dyDescent="0.2">
      <c r="I653" s="7"/>
      <c r="J653" s="8"/>
    </row>
    <row r="654" spans="9:10" ht="12.75" x14ac:dyDescent="0.2">
      <c r="I654" s="7"/>
      <c r="J654" s="8"/>
    </row>
    <row r="655" spans="9:10" ht="12.75" x14ac:dyDescent="0.2">
      <c r="I655" s="7"/>
      <c r="J655" s="8"/>
    </row>
    <row r="656" spans="9:10" ht="12.75" x14ac:dyDescent="0.2">
      <c r="I656" s="7"/>
      <c r="J656" s="8"/>
    </row>
    <row r="657" spans="9:10" ht="12.75" x14ac:dyDescent="0.2">
      <c r="I657" s="7"/>
      <c r="J657" s="8"/>
    </row>
    <row r="658" spans="9:10" ht="12.75" x14ac:dyDescent="0.2">
      <c r="I658" s="7"/>
      <c r="J658" s="8"/>
    </row>
    <row r="659" spans="9:10" ht="12.75" x14ac:dyDescent="0.2">
      <c r="I659" s="7"/>
      <c r="J659" s="8"/>
    </row>
    <row r="660" spans="9:10" ht="12.75" x14ac:dyDescent="0.2">
      <c r="I660" s="7"/>
      <c r="J660" s="8"/>
    </row>
    <row r="661" spans="9:10" ht="12.75" x14ac:dyDescent="0.2">
      <c r="I661" s="7"/>
      <c r="J661" s="8"/>
    </row>
    <row r="662" spans="9:10" ht="12.75" x14ac:dyDescent="0.2">
      <c r="I662" s="7"/>
      <c r="J662" s="8"/>
    </row>
    <row r="663" spans="9:10" ht="12.75" x14ac:dyDescent="0.2">
      <c r="I663" s="7"/>
      <c r="J663" s="8"/>
    </row>
    <row r="664" spans="9:10" ht="12.75" x14ac:dyDescent="0.2">
      <c r="I664" s="7"/>
      <c r="J664" s="8"/>
    </row>
    <row r="665" spans="9:10" ht="12.75" x14ac:dyDescent="0.2">
      <c r="I665" s="7"/>
      <c r="J665" s="8"/>
    </row>
    <row r="666" spans="9:10" ht="12.75" x14ac:dyDescent="0.2">
      <c r="I666" s="7"/>
      <c r="J666" s="8"/>
    </row>
    <row r="667" spans="9:10" ht="12.75" x14ac:dyDescent="0.2">
      <c r="I667" s="7"/>
      <c r="J667" s="8"/>
    </row>
    <row r="668" spans="9:10" ht="12.75" x14ac:dyDescent="0.2">
      <c r="I668" s="7"/>
      <c r="J668" s="8"/>
    </row>
    <row r="669" spans="9:10" ht="12.75" x14ac:dyDescent="0.2">
      <c r="I669" s="7"/>
      <c r="J669" s="8"/>
    </row>
    <row r="670" spans="9:10" ht="12.75" x14ac:dyDescent="0.2">
      <c r="I670" s="7"/>
      <c r="J670" s="8"/>
    </row>
    <row r="671" spans="9:10" ht="12.75" x14ac:dyDescent="0.2">
      <c r="I671" s="7"/>
      <c r="J671" s="8"/>
    </row>
    <row r="672" spans="9:10" ht="12.75" x14ac:dyDescent="0.2">
      <c r="I672" s="7"/>
      <c r="J672" s="8"/>
    </row>
    <row r="673" spans="9:10" ht="12.75" x14ac:dyDescent="0.2">
      <c r="I673" s="7"/>
      <c r="J673" s="8"/>
    </row>
    <row r="674" spans="9:10" ht="12.75" x14ac:dyDescent="0.2">
      <c r="I674" s="7"/>
      <c r="J674" s="8"/>
    </row>
    <row r="675" spans="9:10" ht="12.75" x14ac:dyDescent="0.2">
      <c r="I675" s="7"/>
      <c r="J675" s="8"/>
    </row>
    <row r="676" spans="9:10" ht="12.75" x14ac:dyDescent="0.2">
      <c r="I676" s="7"/>
      <c r="J676" s="8"/>
    </row>
    <row r="677" spans="9:10" ht="12.75" x14ac:dyDescent="0.2">
      <c r="I677" s="7"/>
      <c r="J677" s="8"/>
    </row>
    <row r="678" spans="9:10" ht="12.75" x14ac:dyDescent="0.2">
      <c r="I678" s="7"/>
      <c r="J678" s="8"/>
    </row>
    <row r="679" spans="9:10" ht="12.75" x14ac:dyDescent="0.2">
      <c r="I679" s="7"/>
      <c r="J679" s="8"/>
    </row>
    <row r="680" spans="9:10" ht="12.75" x14ac:dyDescent="0.2">
      <c r="I680" s="7"/>
      <c r="J680" s="8"/>
    </row>
    <row r="681" spans="9:10" ht="12.75" x14ac:dyDescent="0.2">
      <c r="I681" s="7"/>
      <c r="J681" s="8"/>
    </row>
    <row r="682" spans="9:10" ht="12.75" x14ac:dyDescent="0.2">
      <c r="I682" s="7"/>
      <c r="J682" s="8"/>
    </row>
    <row r="683" spans="9:10" ht="12.75" x14ac:dyDescent="0.2">
      <c r="I683" s="7"/>
      <c r="J683" s="8"/>
    </row>
    <row r="684" spans="9:10" ht="12.75" x14ac:dyDescent="0.2">
      <c r="I684" s="7"/>
      <c r="J684" s="8"/>
    </row>
    <row r="685" spans="9:10" ht="12.75" x14ac:dyDescent="0.2">
      <c r="I685" s="7"/>
      <c r="J685" s="8"/>
    </row>
    <row r="686" spans="9:10" ht="12.75" x14ac:dyDescent="0.2">
      <c r="I686" s="7"/>
      <c r="J686" s="8"/>
    </row>
    <row r="687" spans="9:10" ht="12.75" x14ac:dyDescent="0.2">
      <c r="I687" s="7"/>
      <c r="J687" s="8"/>
    </row>
    <row r="688" spans="9:10" ht="12.75" x14ac:dyDescent="0.2">
      <c r="I688" s="7"/>
      <c r="J688" s="8"/>
    </row>
    <row r="689" spans="9:10" ht="12.75" x14ac:dyDescent="0.2">
      <c r="I689" s="7"/>
      <c r="J689" s="8"/>
    </row>
    <row r="690" spans="9:10" ht="12.75" x14ac:dyDescent="0.2">
      <c r="I690" s="7"/>
      <c r="J690" s="8"/>
    </row>
    <row r="691" spans="9:10" ht="12.75" x14ac:dyDescent="0.2">
      <c r="I691" s="7"/>
      <c r="J691" s="8"/>
    </row>
    <row r="692" spans="9:10" ht="12.75" x14ac:dyDescent="0.2">
      <c r="I692" s="7"/>
      <c r="J692" s="8"/>
    </row>
    <row r="693" spans="9:10" ht="12.75" x14ac:dyDescent="0.2">
      <c r="I693" s="7"/>
      <c r="J693" s="8"/>
    </row>
    <row r="694" spans="9:10" ht="12.75" x14ac:dyDescent="0.2">
      <c r="I694" s="7"/>
      <c r="J694" s="8"/>
    </row>
    <row r="695" spans="9:10" ht="12.75" x14ac:dyDescent="0.2">
      <c r="I695" s="7"/>
      <c r="J695" s="8"/>
    </row>
    <row r="696" spans="9:10" ht="12.75" x14ac:dyDescent="0.2">
      <c r="I696" s="7"/>
      <c r="J696" s="8"/>
    </row>
    <row r="697" spans="9:10" ht="12.75" x14ac:dyDescent="0.2">
      <c r="I697" s="7"/>
      <c r="J697" s="8"/>
    </row>
    <row r="698" spans="9:10" ht="12.75" x14ac:dyDescent="0.2">
      <c r="I698" s="7"/>
      <c r="J698" s="8"/>
    </row>
    <row r="699" spans="9:10" ht="12.75" x14ac:dyDescent="0.2">
      <c r="I699" s="7"/>
      <c r="J699" s="8"/>
    </row>
    <row r="700" spans="9:10" ht="12.75" x14ac:dyDescent="0.2">
      <c r="I700" s="7"/>
      <c r="J700" s="8"/>
    </row>
    <row r="701" spans="9:10" ht="12.75" x14ac:dyDescent="0.2">
      <c r="I701" s="7"/>
      <c r="J701" s="8"/>
    </row>
    <row r="702" spans="9:10" ht="12.75" x14ac:dyDescent="0.2">
      <c r="I702" s="7"/>
      <c r="J702" s="8"/>
    </row>
    <row r="703" spans="9:10" ht="12.75" x14ac:dyDescent="0.2">
      <c r="I703" s="7"/>
      <c r="J703" s="8"/>
    </row>
    <row r="704" spans="9:10" ht="12.75" x14ac:dyDescent="0.2">
      <c r="I704" s="7"/>
      <c r="J704" s="8"/>
    </row>
    <row r="705" spans="9:10" ht="12.75" x14ac:dyDescent="0.2">
      <c r="I705" s="7"/>
      <c r="J705" s="8"/>
    </row>
    <row r="706" spans="9:10" ht="12.75" x14ac:dyDescent="0.2">
      <c r="I706" s="7"/>
      <c r="J706" s="8"/>
    </row>
    <row r="707" spans="9:10" ht="12.75" x14ac:dyDescent="0.2">
      <c r="I707" s="7"/>
      <c r="J707" s="8"/>
    </row>
    <row r="708" spans="9:10" ht="12.75" x14ac:dyDescent="0.2">
      <c r="I708" s="7"/>
      <c r="J708" s="8"/>
    </row>
    <row r="709" spans="9:10" ht="12.75" x14ac:dyDescent="0.2">
      <c r="I709" s="7"/>
      <c r="J709" s="8"/>
    </row>
    <row r="710" spans="9:10" ht="12.75" x14ac:dyDescent="0.2">
      <c r="I710" s="7"/>
      <c r="J710" s="8"/>
    </row>
    <row r="711" spans="9:10" ht="12.75" x14ac:dyDescent="0.2">
      <c r="I711" s="7"/>
      <c r="J711" s="8"/>
    </row>
    <row r="712" spans="9:10" ht="12.75" x14ac:dyDescent="0.2">
      <c r="I712" s="7"/>
      <c r="J712" s="8"/>
    </row>
    <row r="713" spans="9:10" ht="12.75" x14ac:dyDescent="0.2">
      <c r="I713" s="7"/>
      <c r="J713" s="8"/>
    </row>
    <row r="714" spans="9:10" ht="12.75" x14ac:dyDescent="0.2">
      <c r="I714" s="7"/>
      <c r="J714" s="8"/>
    </row>
    <row r="715" spans="9:10" ht="12.75" x14ac:dyDescent="0.2">
      <c r="I715" s="7"/>
      <c r="J715" s="8"/>
    </row>
    <row r="716" spans="9:10" ht="12.75" x14ac:dyDescent="0.2">
      <c r="I716" s="7"/>
      <c r="J716" s="8"/>
    </row>
    <row r="717" spans="9:10" ht="12.75" x14ac:dyDescent="0.2">
      <c r="I717" s="7"/>
      <c r="J717" s="8"/>
    </row>
    <row r="718" spans="9:10" ht="12.75" x14ac:dyDescent="0.2">
      <c r="I718" s="7"/>
      <c r="J718" s="8"/>
    </row>
    <row r="719" spans="9:10" ht="12.75" x14ac:dyDescent="0.2">
      <c r="I719" s="7"/>
      <c r="J719" s="8"/>
    </row>
    <row r="720" spans="9:10" ht="12.75" x14ac:dyDescent="0.2">
      <c r="I720" s="7"/>
      <c r="J720" s="8"/>
    </row>
    <row r="721" spans="9:10" ht="12.75" x14ac:dyDescent="0.2">
      <c r="I721" s="7"/>
      <c r="J721" s="8"/>
    </row>
    <row r="722" spans="9:10" ht="12.75" x14ac:dyDescent="0.2">
      <c r="I722" s="7"/>
      <c r="J722" s="8"/>
    </row>
    <row r="723" spans="9:10" ht="12.75" x14ac:dyDescent="0.2">
      <c r="I723" s="7"/>
      <c r="J723" s="8"/>
    </row>
    <row r="724" spans="9:10" ht="12.75" x14ac:dyDescent="0.2">
      <c r="I724" s="7"/>
      <c r="J724" s="8"/>
    </row>
    <row r="725" spans="9:10" ht="12.75" x14ac:dyDescent="0.2">
      <c r="I725" s="7"/>
      <c r="J725" s="8"/>
    </row>
    <row r="726" spans="9:10" ht="12.75" x14ac:dyDescent="0.2">
      <c r="I726" s="7"/>
      <c r="J726" s="8"/>
    </row>
    <row r="727" spans="9:10" ht="12.75" x14ac:dyDescent="0.2">
      <c r="I727" s="7"/>
      <c r="J727" s="8"/>
    </row>
    <row r="728" spans="9:10" ht="12.75" x14ac:dyDescent="0.2">
      <c r="I728" s="7"/>
      <c r="J728" s="8"/>
    </row>
    <row r="729" spans="9:10" ht="12.75" x14ac:dyDescent="0.2">
      <c r="I729" s="7"/>
      <c r="J729" s="8"/>
    </row>
    <row r="730" spans="9:10" ht="12.75" x14ac:dyDescent="0.2">
      <c r="I730" s="7"/>
      <c r="J730" s="8"/>
    </row>
    <row r="731" spans="9:10" ht="12.75" x14ac:dyDescent="0.2">
      <c r="I731" s="7"/>
      <c r="J731" s="8"/>
    </row>
    <row r="732" spans="9:10" ht="12.75" x14ac:dyDescent="0.2">
      <c r="I732" s="7"/>
      <c r="J732" s="8"/>
    </row>
    <row r="733" spans="9:10" ht="12.75" x14ac:dyDescent="0.2">
      <c r="I733" s="7"/>
      <c r="J733" s="8"/>
    </row>
    <row r="734" spans="9:10" ht="12.75" x14ac:dyDescent="0.2">
      <c r="I734" s="7"/>
      <c r="J734" s="8"/>
    </row>
    <row r="735" spans="9:10" ht="12.75" x14ac:dyDescent="0.2">
      <c r="I735" s="7"/>
      <c r="J735" s="8"/>
    </row>
    <row r="736" spans="9:10" ht="12.75" x14ac:dyDescent="0.2">
      <c r="I736" s="7"/>
      <c r="J736" s="8"/>
    </row>
    <row r="737" spans="9:10" ht="12.75" x14ac:dyDescent="0.2">
      <c r="I737" s="7"/>
      <c r="J737" s="8"/>
    </row>
    <row r="738" spans="9:10" ht="12.75" x14ac:dyDescent="0.2">
      <c r="I738" s="7"/>
      <c r="J738" s="8"/>
    </row>
    <row r="739" spans="9:10" ht="12.75" x14ac:dyDescent="0.2">
      <c r="I739" s="7"/>
      <c r="J739" s="8"/>
    </row>
    <row r="740" spans="9:10" ht="12.75" x14ac:dyDescent="0.2">
      <c r="I740" s="7"/>
      <c r="J740" s="8"/>
    </row>
    <row r="741" spans="9:10" ht="12.75" x14ac:dyDescent="0.2">
      <c r="I741" s="7"/>
      <c r="J741" s="8"/>
    </row>
    <row r="742" spans="9:10" ht="12.75" x14ac:dyDescent="0.2">
      <c r="I742" s="7"/>
      <c r="J742" s="8"/>
    </row>
    <row r="743" spans="9:10" ht="12.75" x14ac:dyDescent="0.2">
      <c r="I743" s="7"/>
      <c r="J743" s="8"/>
    </row>
    <row r="744" spans="9:10" ht="12.75" x14ac:dyDescent="0.2">
      <c r="I744" s="7"/>
      <c r="J744" s="8"/>
    </row>
    <row r="745" spans="9:10" ht="12.75" x14ac:dyDescent="0.2">
      <c r="I745" s="7"/>
      <c r="J745" s="8"/>
    </row>
    <row r="746" spans="9:10" ht="12.75" x14ac:dyDescent="0.2">
      <c r="I746" s="7"/>
      <c r="J746" s="8"/>
    </row>
    <row r="747" spans="9:10" ht="12.75" x14ac:dyDescent="0.2">
      <c r="I747" s="7"/>
      <c r="J747" s="8"/>
    </row>
    <row r="748" spans="9:10" ht="12.75" x14ac:dyDescent="0.2">
      <c r="I748" s="7"/>
      <c r="J748" s="8"/>
    </row>
    <row r="749" spans="9:10" ht="12.75" x14ac:dyDescent="0.2">
      <c r="I749" s="7"/>
      <c r="J749" s="8"/>
    </row>
    <row r="750" spans="9:10" ht="12.75" x14ac:dyDescent="0.2">
      <c r="I750" s="7"/>
      <c r="J750" s="8"/>
    </row>
    <row r="751" spans="9:10" ht="12.75" x14ac:dyDescent="0.2">
      <c r="I751" s="7"/>
      <c r="J751" s="8"/>
    </row>
    <row r="752" spans="9:10" ht="12.75" x14ac:dyDescent="0.2">
      <c r="I752" s="7"/>
      <c r="J752" s="8"/>
    </row>
    <row r="753" spans="9:10" ht="12.75" x14ac:dyDescent="0.2">
      <c r="I753" s="7"/>
      <c r="J753" s="8"/>
    </row>
    <row r="754" spans="9:10" ht="12.75" x14ac:dyDescent="0.2">
      <c r="I754" s="7"/>
      <c r="J754" s="8"/>
    </row>
    <row r="755" spans="9:10" ht="12.75" x14ac:dyDescent="0.2">
      <c r="I755" s="7"/>
      <c r="J755" s="8"/>
    </row>
    <row r="756" spans="9:10" ht="12.75" x14ac:dyDescent="0.2">
      <c r="I756" s="7"/>
      <c r="J756" s="8"/>
    </row>
    <row r="757" spans="9:10" ht="12.75" x14ac:dyDescent="0.2">
      <c r="I757" s="7"/>
      <c r="J757" s="8"/>
    </row>
    <row r="758" spans="9:10" ht="12.75" x14ac:dyDescent="0.2">
      <c r="I758" s="7"/>
      <c r="J758" s="8"/>
    </row>
    <row r="759" spans="9:10" ht="12.75" x14ac:dyDescent="0.2">
      <c r="I759" s="7"/>
      <c r="J759" s="8"/>
    </row>
    <row r="760" spans="9:10" ht="12.75" x14ac:dyDescent="0.2">
      <c r="I760" s="7"/>
      <c r="J760" s="8"/>
    </row>
    <row r="761" spans="9:10" ht="12.75" x14ac:dyDescent="0.2">
      <c r="I761" s="7"/>
      <c r="J761" s="8"/>
    </row>
    <row r="762" spans="9:10" ht="12.75" x14ac:dyDescent="0.2">
      <c r="I762" s="7"/>
      <c r="J762" s="8"/>
    </row>
    <row r="763" spans="9:10" ht="12.75" x14ac:dyDescent="0.2">
      <c r="I763" s="7"/>
      <c r="J763" s="8"/>
    </row>
    <row r="764" spans="9:10" ht="12.75" x14ac:dyDescent="0.2">
      <c r="I764" s="7"/>
      <c r="J764" s="8"/>
    </row>
    <row r="765" spans="9:10" ht="12.75" x14ac:dyDescent="0.2">
      <c r="I765" s="7"/>
      <c r="J765" s="8"/>
    </row>
    <row r="766" spans="9:10" ht="12.75" x14ac:dyDescent="0.2">
      <c r="I766" s="7"/>
      <c r="J766" s="8"/>
    </row>
    <row r="767" spans="9:10" ht="12.75" x14ac:dyDescent="0.2">
      <c r="I767" s="7"/>
      <c r="J767" s="8"/>
    </row>
    <row r="768" spans="9:10" ht="12.75" x14ac:dyDescent="0.2">
      <c r="I768" s="7"/>
      <c r="J768" s="8"/>
    </row>
    <row r="769" spans="9:10" ht="12.75" x14ac:dyDescent="0.2">
      <c r="I769" s="7"/>
      <c r="J769" s="8"/>
    </row>
    <row r="770" spans="9:10" ht="12.75" x14ac:dyDescent="0.2">
      <c r="I770" s="7"/>
      <c r="J770" s="8"/>
    </row>
    <row r="771" spans="9:10" ht="12.75" x14ac:dyDescent="0.2">
      <c r="I771" s="7"/>
      <c r="J771" s="8"/>
    </row>
    <row r="772" spans="9:10" ht="12.75" x14ac:dyDescent="0.2">
      <c r="I772" s="7"/>
      <c r="J772" s="8"/>
    </row>
    <row r="773" spans="9:10" ht="12.75" x14ac:dyDescent="0.2">
      <c r="I773" s="7"/>
      <c r="J773" s="8"/>
    </row>
    <row r="774" spans="9:10" ht="12.75" x14ac:dyDescent="0.2">
      <c r="I774" s="7"/>
      <c r="J774" s="8"/>
    </row>
    <row r="775" spans="9:10" ht="12.75" x14ac:dyDescent="0.2">
      <c r="I775" s="7"/>
      <c r="J775" s="8"/>
    </row>
    <row r="776" spans="9:10" ht="12.75" x14ac:dyDescent="0.2">
      <c r="I776" s="7"/>
      <c r="J776" s="8"/>
    </row>
    <row r="777" spans="9:10" ht="12.75" x14ac:dyDescent="0.2">
      <c r="I777" s="7"/>
      <c r="J777" s="8"/>
    </row>
    <row r="778" spans="9:10" ht="12.75" x14ac:dyDescent="0.2">
      <c r="I778" s="7"/>
      <c r="J778" s="8"/>
    </row>
    <row r="779" spans="9:10" ht="12.75" x14ac:dyDescent="0.2">
      <c r="I779" s="7"/>
      <c r="J779" s="8"/>
    </row>
    <row r="780" spans="9:10" ht="12.75" x14ac:dyDescent="0.2">
      <c r="I780" s="7"/>
      <c r="J780" s="8"/>
    </row>
    <row r="781" spans="9:10" ht="12.75" x14ac:dyDescent="0.2">
      <c r="I781" s="7"/>
      <c r="J781" s="8"/>
    </row>
    <row r="782" spans="9:10" ht="12.75" x14ac:dyDescent="0.2">
      <c r="I782" s="7"/>
      <c r="J782" s="8"/>
    </row>
    <row r="783" spans="9:10" ht="12.75" x14ac:dyDescent="0.2">
      <c r="I783" s="7"/>
      <c r="J783" s="8"/>
    </row>
    <row r="784" spans="9:10" ht="12.75" x14ac:dyDescent="0.2">
      <c r="I784" s="7"/>
      <c r="J784" s="8"/>
    </row>
    <row r="785" spans="9:10" ht="12.75" x14ac:dyDescent="0.2">
      <c r="I785" s="7"/>
      <c r="J785" s="8"/>
    </row>
    <row r="786" spans="9:10" ht="12.75" x14ac:dyDescent="0.2">
      <c r="I786" s="7"/>
      <c r="J786" s="8"/>
    </row>
    <row r="787" spans="9:10" ht="12.75" x14ac:dyDescent="0.2">
      <c r="I787" s="7"/>
      <c r="J787" s="8"/>
    </row>
    <row r="788" spans="9:10" ht="12.75" x14ac:dyDescent="0.2">
      <c r="I788" s="7"/>
      <c r="J788" s="8"/>
    </row>
    <row r="789" spans="9:10" ht="12.75" x14ac:dyDescent="0.2">
      <c r="I789" s="7"/>
      <c r="J789" s="8"/>
    </row>
    <row r="790" spans="9:10" ht="12.75" x14ac:dyDescent="0.2">
      <c r="I790" s="7"/>
      <c r="J790" s="8"/>
    </row>
    <row r="791" spans="9:10" ht="12.75" x14ac:dyDescent="0.2">
      <c r="I791" s="7"/>
      <c r="J791" s="8"/>
    </row>
    <row r="792" spans="9:10" ht="12.75" x14ac:dyDescent="0.2">
      <c r="I792" s="7"/>
      <c r="J792" s="8"/>
    </row>
    <row r="793" spans="9:10" ht="12.75" x14ac:dyDescent="0.2">
      <c r="I793" s="7"/>
      <c r="J793" s="8"/>
    </row>
    <row r="794" spans="9:10" ht="12.75" x14ac:dyDescent="0.2">
      <c r="I794" s="7"/>
      <c r="J794" s="8"/>
    </row>
    <row r="795" spans="9:10" ht="12.75" x14ac:dyDescent="0.2">
      <c r="I795" s="7"/>
      <c r="J795" s="8"/>
    </row>
    <row r="796" spans="9:10" ht="12.75" x14ac:dyDescent="0.2">
      <c r="I796" s="7"/>
      <c r="J796" s="8"/>
    </row>
    <row r="797" spans="9:10" ht="12.75" x14ac:dyDescent="0.2">
      <c r="I797" s="7"/>
      <c r="J797" s="8"/>
    </row>
    <row r="798" spans="9:10" ht="12.75" x14ac:dyDescent="0.2">
      <c r="I798" s="7"/>
      <c r="J798" s="8"/>
    </row>
    <row r="799" spans="9:10" ht="12.75" x14ac:dyDescent="0.2">
      <c r="I799" s="7"/>
      <c r="J799" s="8"/>
    </row>
    <row r="800" spans="9:10" ht="12.75" x14ac:dyDescent="0.2">
      <c r="I800" s="7"/>
      <c r="J800" s="8"/>
    </row>
    <row r="801" spans="9:10" ht="12.75" x14ac:dyDescent="0.2">
      <c r="I801" s="7"/>
      <c r="J801" s="8"/>
    </row>
    <row r="802" spans="9:10" ht="12.75" x14ac:dyDescent="0.2">
      <c r="I802" s="7"/>
      <c r="J802" s="8"/>
    </row>
    <row r="803" spans="9:10" ht="12.75" x14ac:dyDescent="0.2">
      <c r="I803" s="7"/>
      <c r="J803" s="8"/>
    </row>
    <row r="804" spans="9:10" ht="12.75" x14ac:dyDescent="0.2">
      <c r="I804" s="7"/>
      <c r="J804" s="8"/>
    </row>
    <row r="805" spans="9:10" ht="12.75" x14ac:dyDescent="0.2">
      <c r="I805" s="7"/>
      <c r="J805" s="8"/>
    </row>
    <row r="806" spans="9:10" ht="12.75" x14ac:dyDescent="0.2">
      <c r="I806" s="7"/>
      <c r="J806" s="8"/>
    </row>
    <row r="807" spans="9:10" ht="12.75" x14ac:dyDescent="0.2">
      <c r="I807" s="7"/>
      <c r="J807" s="8"/>
    </row>
    <row r="808" spans="9:10" ht="12.75" x14ac:dyDescent="0.2">
      <c r="I808" s="7"/>
      <c r="J808" s="8"/>
    </row>
    <row r="809" spans="9:10" ht="12.75" x14ac:dyDescent="0.2">
      <c r="I809" s="7"/>
      <c r="J809" s="8"/>
    </row>
    <row r="810" spans="9:10" ht="12.75" x14ac:dyDescent="0.2">
      <c r="I810" s="7"/>
      <c r="J810" s="8"/>
    </row>
    <row r="811" spans="9:10" ht="12.75" x14ac:dyDescent="0.2">
      <c r="I811" s="7"/>
      <c r="J811" s="8"/>
    </row>
    <row r="812" spans="9:10" ht="12.75" x14ac:dyDescent="0.2">
      <c r="I812" s="7"/>
      <c r="J812" s="8"/>
    </row>
    <row r="813" spans="9:10" ht="12.75" x14ac:dyDescent="0.2">
      <c r="I813" s="7"/>
      <c r="J813" s="8"/>
    </row>
    <row r="814" spans="9:10" ht="12.75" x14ac:dyDescent="0.2">
      <c r="I814" s="7"/>
      <c r="J814" s="8"/>
    </row>
    <row r="815" spans="9:10" ht="12.75" x14ac:dyDescent="0.2">
      <c r="I815" s="7"/>
      <c r="J815" s="8"/>
    </row>
    <row r="816" spans="9:10" ht="12.75" x14ac:dyDescent="0.2">
      <c r="I816" s="7"/>
      <c r="J816" s="8"/>
    </row>
    <row r="817" spans="9:10" ht="12.75" x14ac:dyDescent="0.2">
      <c r="I817" s="7"/>
      <c r="J817" s="8"/>
    </row>
    <row r="818" spans="9:10" ht="12.75" x14ac:dyDescent="0.2">
      <c r="I818" s="7"/>
      <c r="J818" s="8"/>
    </row>
    <row r="819" spans="9:10" ht="12.75" x14ac:dyDescent="0.2">
      <c r="I819" s="7"/>
      <c r="J819" s="8"/>
    </row>
    <row r="820" spans="9:10" ht="12.75" x14ac:dyDescent="0.2">
      <c r="I820" s="7"/>
      <c r="J820" s="8"/>
    </row>
    <row r="821" spans="9:10" ht="12.75" x14ac:dyDescent="0.2">
      <c r="I821" s="7"/>
      <c r="J821" s="8"/>
    </row>
    <row r="822" spans="9:10" ht="12.75" x14ac:dyDescent="0.2">
      <c r="I822" s="7"/>
      <c r="J822" s="8"/>
    </row>
    <row r="823" spans="9:10" ht="12.75" x14ac:dyDescent="0.2">
      <c r="I823" s="7"/>
      <c r="J823" s="8"/>
    </row>
    <row r="824" spans="9:10" ht="12.75" x14ac:dyDescent="0.2">
      <c r="I824" s="7"/>
      <c r="J824" s="8"/>
    </row>
    <row r="825" spans="9:10" ht="12.75" x14ac:dyDescent="0.2">
      <c r="I825" s="7"/>
      <c r="J825" s="8"/>
    </row>
    <row r="826" spans="9:10" ht="12.75" x14ac:dyDescent="0.2">
      <c r="I826" s="7"/>
      <c r="J826" s="8"/>
    </row>
    <row r="827" spans="9:10" ht="12.75" x14ac:dyDescent="0.2">
      <c r="I827" s="7"/>
      <c r="J827" s="8"/>
    </row>
    <row r="828" spans="9:10" ht="12.75" x14ac:dyDescent="0.2">
      <c r="I828" s="7"/>
      <c r="J828" s="8"/>
    </row>
    <row r="829" spans="9:10" ht="12.75" x14ac:dyDescent="0.2">
      <c r="I829" s="7"/>
      <c r="J829" s="8"/>
    </row>
    <row r="830" spans="9:10" ht="12.75" x14ac:dyDescent="0.2">
      <c r="I830" s="7"/>
      <c r="J830" s="8"/>
    </row>
    <row r="831" spans="9:10" ht="12.75" x14ac:dyDescent="0.2">
      <c r="I831" s="7"/>
      <c r="J831" s="8"/>
    </row>
    <row r="832" spans="9:10" ht="12.75" x14ac:dyDescent="0.2">
      <c r="I832" s="7"/>
      <c r="J832" s="8"/>
    </row>
    <row r="833" spans="9:10" ht="12.75" x14ac:dyDescent="0.2">
      <c r="I833" s="7"/>
      <c r="J833" s="8"/>
    </row>
    <row r="834" spans="9:10" ht="12.75" x14ac:dyDescent="0.2">
      <c r="I834" s="7"/>
      <c r="J834" s="8"/>
    </row>
    <row r="835" spans="9:10" ht="12.75" x14ac:dyDescent="0.2">
      <c r="I835" s="7"/>
      <c r="J835" s="8"/>
    </row>
    <row r="836" spans="9:10" ht="12.75" x14ac:dyDescent="0.2">
      <c r="I836" s="7"/>
      <c r="J836" s="8"/>
    </row>
    <row r="837" spans="9:10" ht="12.75" x14ac:dyDescent="0.2">
      <c r="I837" s="7"/>
      <c r="J837" s="8"/>
    </row>
    <row r="838" spans="9:10" ht="12.75" x14ac:dyDescent="0.2">
      <c r="I838" s="7"/>
      <c r="J838" s="8"/>
    </row>
    <row r="839" spans="9:10" ht="12.75" x14ac:dyDescent="0.2">
      <c r="I839" s="7"/>
      <c r="J839" s="8"/>
    </row>
    <row r="840" spans="9:10" ht="12.75" x14ac:dyDescent="0.2">
      <c r="I840" s="7"/>
      <c r="J840" s="8"/>
    </row>
    <row r="841" spans="9:10" ht="12.75" x14ac:dyDescent="0.2">
      <c r="I841" s="7"/>
      <c r="J841" s="8"/>
    </row>
    <row r="842" spans="9:10" ht="12.75" x14ac:dyDescent="0.2">
      <c r="I842" s="7"/>
      <c r="J842" s="8"/>
    </row>
    <row r="843" spans="9:10" ht="12.75" x14ac:dyDescent="0.2">
      <c r="I843" s="7"/>
      <c r="J843" s="8"/>
    </row>
    <row r="844" spans="9:10" ht="12.75" x14ac:dyDescent="0.2">
      <c r="I844" s="7"/>
      <c r="J844" s="8"/>
    </row>
    <row r="845" spans="9:10" ht="12.75" x14ac:dyDescent="0.2">
      <c r="I845" s="7"/>
      <c r="J845" s="8"/>
    </row>
    <row r="846" spans="9:10" ht="12.75" x14ac:dyDescent="0.2">
      <c r="I846" s="7"/>
      <c r="J846" s="8"/>
    </row>
    <row r="847" spans="9:10" ht="12.75" x14ac:dyDescent="0.2">
      <c r="I847" s="7"/>
      <c r="J847" s="8"/>
    </row>
    <row r="848" spans="9:10" ht="12.75" x14ac:dyDescent="0.2">
      <c r="I848" s="7"/>
      <c r="J848" s="8"/>
    </row>
    <row r="849" spans="9:10" ht="12.75" x14ac:dyDescent="0.2">
      <c r="I849" s="7"/>
      <c r="J849" s="8"/>
    </row>
    <row r="850" spans="9:10" ht="12.75" x14ac:dyDescent="0.2">
      <c r="I850" s="7"/>
      <c r="J850" s="8"/>
    </row>
    <row r="851" spans="9:10" ht="12.75" x14ac:dyDescent="0.2">
      <c r="I851" s="7"/>
      <c r="J851" s="8"/>
    </row>
    <row r="852" spans="9:10" ht="12.75" x14ac:dyDescent="0.2">
      <c r="I852" s="7"/>
      <c r="J852" s="8"/>
    </row>
    <row r="853" spans="9:10" ht="12.75" x14ac:dyDescent="0.2">
      <c r="I853" s="7"/>
      <c r="J853" s="8"/>
    </row>
    <row r="854" spans="9:10" ht="12.75" x14ac:dyDescent="0.2">
      <c r="I854" s="7"/>
      <c r="J854" s="8"/>
    </row>
    <row r="855" spans="9:10" ht="12.75" x14ac:dyDescent="0.2">
      <c r="I855" s="7"/>
      <c r="J855" s="8"/>
    </row>
    <row r="856" spans="9:10" ht="12.75" x14ac:dyDescent="0.2">
      <c r="I856" s="7"/>
      <c r="J856" s="8"/>
    </row>
    <row r="857" spans="9:10" ht="12.75" x14ac:dyDescent="0.2">
      <c r="I857" s="7"/>
      <c r="J857" s="8"/>
    </row>
    <row r="858" spans="9:10" ht="12.75" x14ac:dyDescent="0.2">
      <c r="I858" s="7"/>
      <c r="J858" s="8"/>
    </row>
    <row r="859" spans="9:10" ht="12.75" x14ac:dyDescent="0.2">
      <c r="I859" s="7"/>
      <c r="J859" s="8"/>
    </row>
    <row r="860" spans="9:10" ht="12.75" x14ac:dyDescent="0.2">
      <c r="I860" s="7"/>
      <c r="J860" s="8"/>
    </row>
    <row r="861" spans="9:10" ht="12.75" x14ac:dyDescent="0.2">
      <c r="I861" s="7"/>
      <c r="J861" s="8"/>
    </row>
    <row r="862" spans="9:10" ht="12.75" x14ac:dyDescent="0.2">
      <c r="I862" s="7"/>
      <c r="J862" s="8"/>
    </row>
    <row r="863" spans="9:10" ht="12.75" x14ac:dyDescent="0.2">
      <c r="I863" s="7"/>
      <c r="J863" s="8"/>
    </row>
    <row r="864" spans="9:10" ht="12.75" x14ac:dyDescent="0.2">
      <c r="I864" s="7"/>
      <c r="J864" s="8"/>
    </row>
    <row r="865" spans="9:10" ht="12.75" x14ac:dyDescent="0.2">
      <c r="I865" s="7"/>
      <c r="J865" s="8"/>
    </row>
    <row r="866" spans="9:10" ht="12.75" x14ac:dyDescent="0.2">
      <c r="I866" s="7"/>
      <c r="J866" s="8"/>
    </row>
    <row r="867" spans="9:10" ht="12.75" x14ac:dyDescent="0.2">
      <c r="I867" s="7"/>
      <c r="J867" s="8"/>
    </row>
    <row r="868" spans="9:10" ht="12.75" x14ac:dyDescent="0.2">
      <c r="I868" s="7"/>
      <c r="J868" s="8"/>
    </row>
    <row r="869" spans="9:10" ht="12.75" x14ac:dyDescent="0.2">
      <c r="I869" s="7"/>
      <c r="J869" s="8"/>
    </row>
    <row r="870" spans="9:10" ht="12.75" x14ac:dyDescent="0.2">
      <c r="I870" s="7"/>
      <c r="J870" s="8"/>
    </row>
    <row r="871" spans="9:10" ht="12.75" x14ac:dyDescent="0.2">
      <c r="I871" s="7"/>
      <c r="J871" s="8"/>
    </row>
    <row r="872" spans="9:10" ht="12.75" x14ac:dyDescent="0.2">
      <c r="I872" s="7"/>
      <c r="J872" s="8"/>
    </row>
    <row r="873" spans="9:10" ht="12.75" x14ac:dyDescent="0.2">
      <c r="I873" s="7"/>
      <c r="J873" s="8"/>
    </row>
    <row r="874" spans="9:10" ht="12.75" x14ac:dyDescent="0.2">
      <c r="I874" s="7"/>
      <c r="J874" s="8"/>
    </row>
    <row r="875" spans="9:10" ht="12.75" x14ac:dyDescent="0.2">
      <c r="I875" s="7"/>
      <c r="J875" s="8"/>
    </row>
    <row r="876" spans="9:10" ht="12.75" x14ac:dyDescent="0.2">
      <c r="I876" s="7"/>
      <c r="J876" s="8"/>
    </row>
    <row r="877" spans="9:10" ht="12.75" x14ac:dyDescent="0.2">
      <c r="I877" s="7"/>
      <c r="J877" s="8"/>
    </row>
    <row r="878" spans="9:10" ht="12.75" x14ac:dyDescent="0.2">
      <c r="I878" s="7"/>
      <c r="J878" s="8"/>
    </row>
    <row r="879" spans="9:10" ht="12.75" x14ac:dyDescent="0.2">
      <c r="I879" s="7"/>
      <c r="J879" s="8"/>
    </row>
    <row r="880" spans="9:10" ht="12.75" x14ac:dyDescent="0.2">
      <c r="I880" s="7"/>
      <c r="J880" s="8"/>
    </row>
    <row r="881" spans="9:10" ht="12.75" x14ac:dyDescent="0.2">
      <c r="I881" s="7"/>
      <c r="J881" s="8"/>
    </row>
    <row r="882" spans="9:10" ht="12.75" x14ac:dyDescent="0.2">
      <c r="I882" s="7"/>
      <c r="J882" s="8"/>
    </row>
    <row r="883" spans="9:10" ht="12.75" x14ac:dyDescent="0.2">
      <c r="I883" s="7"/>
      <c r="J883" s="8"/>
    </row>
    <row r="884" spans="9:10" ht="12.75" x14ac:dyDescent="0.2">
      <c r="I884" s="7"/>
      <c r="J884" s="8"/>
    </row>
    <row r="885" spans="9:10" ht="12.75" x14ac:dyDescent="0.2">
      <c r="I885" s="7"/>
      <c r="J885" s="8"/>
    </row>
    <row r="886" spans="9:10" ht="12.75" x14ac:dyDescent="0.2">
      <c r="I886" s="7"/>
      <c r="J886" s="8"/>
    </row>
    <row r="887" spans="9:10" ht="12.75" x14ac:dyDescent="0.2">
      <c r="I887" s="7"/>
      <c r="J887" s="8"/>
    </row>
    <row r="888" spans="9:10" ht="12.75" x14ac:dyDescent="0.2">
      <c r="I888" s="7"/>
      <c r="J888" s="8"/>
    </row>
    <row r="889" spans="9:10" ht="12.75" x14ac:dyDescent="0.2">
      <c r="I889" s="7"/>
      <c r="J889" s="8"/>
    </row>
    <row r="890" spans="9:10" ht="12.75" x14ac:dyDescent="0.2">
      <c r="I890" s="7"/>
      <c r="J890" s="8"/>
    </row>
    <row r="891" spans="9:10" ht="12.75" x14ac:dyDescent="0.2">
      <c r="I891" s="7"/>
      <c r="J891" s="8"/>
    </row>
    <row r="892" spans="9:10" ht="12.75" x14ac:dyDescent="0.2">
      <c r="I892" s="7"/>
      <c r="J892" s="8"/>
    </row>
    <row r="893" spans="9:10" ht="12.75" x14ac:dyDescent="0.2">
      <c r="I893" s="7"/>
      <c r="J893" s="8"/>
    </row>
    <row r="894" spans="9:10" ht="12.75" x14ac:dyDescent="0.2">
      <c r="I894" s="7"/>
      <c r="J894" s="8"/>
    </row>
    <row r="895" spans="9:10" ht="12.75" x14ac:dyDescent="0.2">
      <c r="I895" s="7"/>
      <c r="J895" s="8"/>
    </row>
    <row r="896" spans="9:10" ht="12.75" x14ac:dyDescent="0.2">
      <c r="I896" s="7"/>
      <c r="J896" s="8"/>
    </row>
    <row r="897" spans="9:10" ht="12.75" x14ac:dyDescent="0.2">
      <c r="I897" s="7"/>
      <c r="J897" s="8"/>
    </row>
    <row r="898" spans="9:10" ht="12.75" x14ac:dyDescent="0.2">
      <c r="I898" s="7"/>
      <c r="J898" s="8"/>
    </row>
    <row r="899" spans="9:10" ht="12.75" x14ac:dyDescent="0.2">
      <c r="I899" s="7"/>
      <c r="J899" s="8"/>
    </row>
    <row r="900" spans="9:10" ht="12.75" x14ac:dyDescent="0.2">
      <c r="I900" s="7"/>
      <c r="J900" s="8"/>
    </row>
    <row r="901" spans="9:10" ht="12.75" x14ac:dyDescent="0.2">
      <c r="I901" s="7"/>
      <c r="J901" s="8"/>
    </row>
    <row r="902" spans="9:10" ht="12.75" x14ac:dyDescent="0.2">
      <c r="I902" s="7"/>
      <c r="J902" s="8"/>
    </row>
    <row r="903" spans="9:10" ht="12.75" x14ac:dyDescent="0.2">
      <c r="I903" s="7"/>
      <c r="J903" s="8"/>
    </row>
    <row r="904" spans="9:10" ht="12.75" x14ac:dyDescent="0.2">
      <c r="I904" s="7"/>
      <c r="J904" s="8"/>
    </row>
    <row r="905" spans="9:10" ht="12.75" x14ac:dyDescent="0.2">
      <c r="I905" s="7"/>
      <c r="J905" s="8"/>
    </row>
    <row r="906" spans="9:10" ht="12.75" x14ac:dyDescent="0.2">
      <c r="I906" s="7"/>
      <c r="J906" s="8"/>
    </row>
    <row r="907" spans="9:10" ht="12.75" x14ac:dyDescent="0.2">
      <c r="I907" s="7"/>
      <c r="J907" s="8"/>
    </row>
    <row r="908" spans="9:10" ht="12.75" x14ac:dyDescent="0.2">
      <c r="I908" s="7"/>
      <c r="J908" s="8"/>
    </row>
    <row r="909" spans="9:10" ht="12.75" x14ac:dyDescent="0.2">
      <c r="I909" s="7"/>
      <c r="J909" s="8"/>
    </row>
    <row r="910" spans="9:10" ht="12.75" x14ac:dyDescent="0.2">
      <c r="I910" s="7"/>
      <c r="J910" s="8"/>
    </row>
    <row r="911" spans="9:10" ht="12.75" x14ac:dyDescent="0.2">
      <c r="I911" s="7"/>
      <c r="J911" s="8"/>
    </row>
    <row r="912" spans="9:10" ht="12.75" x14ac:dyDescent="0.2">
      <c r="I912" s="7"/>
      <c r="J912" s="8"/>
    </row>
    <row r="913" spans="9:10" ht="12.75" x14ac:dyDescent="0.2">
      <c r="I913" s="7"/>
      <c r="J913" s="8"/>
    </row>
    <row r="914" spans="9:10" ht="12.75" x14ac:dyDescent="0.2">
      <c r="I914" s="7"/>
      <c r="J914" s="8"/>
    </row>
    <row r="915" spans="9:10" ht="12.75" x14ac:dyDescent="0.2">
      <c r="I915" s="7"/>
      <c r="J915" s="8"/>
    </row>
    <row r="916" spans="9:10" ht="12.75" x14ac:dyDescent="0.2">
      <c r="I916" s="7"/>
      <c r="J916" s="8"/>
    </row>
    <row r="917" spans="9:10" ht="12.75" x14ac:dyDescent="0.2">
      <c r="I917" s="7"/>
      <c r="J917" s="8"/>
    </row>
    <row r="918" spans="9:10" ht="12.75" x14ac:dyDescent="0.2">
      <c r="I918" s="7"/>
      <c r="J918" s="8"/>
    </row>
    <row r="919" spans="9:10" ht="12.75" x14ac:dyDescent="0.2">
      <c r="I919" s="7"/>
      <c r="J919" s="8"/>
    </row>
    <row r="920" spans="9:10" ht="12.75" x14ac:dyDescent="0.2">
      <c r="I920" s="7"/>
      <c r="J920" s="8"/>
    </row>
    <row r="921" spans="9:10" ht="12.75" x14ac:dyDescent="0.2">
      <c r="I921" s="7"/>
      <c r="J921" s="8"/>
    </row>
    <row r="922" spans="9:10" ht="12.75" x14ac:dyDescent="0.2">
      <c r="I922" s="7"/>
      <c r="J922" s="8"/>
    </row>
    <row r="923" spans="9:10" ht="12.75" x14ac:dyDescent="0.2">
      <c r="I923" s="7"/>
      <c r="J923" s="8"/>
    </row>
    <row r="924" spans="9:10" ht="12.75" x14ac:dyDescent="0.2">
      <c r="I924" s="7"/>
      <c r="J924" s="8"/>
    </row>
    <row r="925" spans="9:10" ht="12.75" x14ac:dyDescent="0.2">
      <c r="I925" s="7"/>
      <c r="J925" s="8"/>
    </row>
    <row r="926" spans="9:10" ht="12.75" x14ac:dyDescent="0.2">
      <c r="I926" s="7"/>
      <c r="J926" s="8"/>
    </row>
    <row r="927" spans="9:10" ht="12.75" x14ac:dyDescent="0.2">
      <c r="I927" s="7"/>
      <c r="J927" s="8"/>
    </row>
    <row r="928" spans="9:10" ht="12.75" x14ac:dyDescent="0.2">
      <c r="I928" s="7"/>
      <c r="J928" s="8"/>
    </row>
    <row r="929" spans="9:10" ht="12.75" x14ac:dyDescent="0.2">
      <c r="I929" s="7"/>
      <c r="J929" s="8"/>
    </row>
    <row r="930" spans="9:10" ht="12.75" x14ac:dyDescent="0.2">
      <c r="I930" s="7"/>
      <c r="J930" s="8"/>
    </row>
    <row r="931" spans="9:10" ht="12.75" x14ac:dyDescent="0.2">
      <c r="I931" s="7"/>
      <c r="J931" s="8"/>
    </row>
    <row r="932" spans="9:10" ht="12.75" x14ac:dyDescent="0.2">
      <c r="I932" s="7"/>
      <c r="J932" s="8"/>
    </row>
    <row r="933" spans="9:10" ht="12.75" x14ac:dyDescent="0.2">
      <c r="I933" s="7"/>
      <c r="J933" s="8"/>
    </row>
    <row r="934" spans="9:10" ht="12.75" x14ac:dyDescent="0.2">
      <c r="I934" s="7"/>
      <c r="J934" s="8"/>
    </row>
    <row r="935" spans="9:10" ht="12.75" x14ac:dyDescent="0.2">
      <c r="I935" s="7"/>
      <c r="J935" s="8"/>
    </row>
    <row r="936" spans="9:10" ht="12.75" x14ac:dyDescent="0.2">
      <c r="I936" s="7"/>
      <c r="J936" s="8"/>
    </row>
    <row r="937" spans="9:10" ht="12.75" x14ac:dyDescent="0.2">
      <c r="I937" s="7"/>
      <c r="J937" s="8"/>
    </row>
    <row r="938" spans="9:10" ht="12.75" x14ac:dyDescent="0.2">
      <c r="I938" s="7"/>
      <c r="J938" s="8"/>
    </row>
    <row r="939" spans="9:10" ht="12.75" x14ac:dyDescent="0.2">
      <c r="I939" s="7"/>
      <c r="J939" s="8"/>
    </row>
    <row r="940" spans="9:10" ht="12.75" x14ac:dyDescent="0.2">
      <c r="I940" s="7"/>
      <c r="J940" s="8"/>
    </row>
    <row r="941" spans="9:10" ht="12.75" x14ac:dyDescent="0.2">
      <c r="I941" s="7"/>
      <c r="J941" s="8"/>
    </row>
    <row r="942" spans="9:10" ht="12.75" x14ac:dyDescent="0.2">
      <c r="I942" s="7"/>
      <c r="J942" s="8"/>
    </row>
    <row r="943" spans="9:10" ht="12.75" x14ac:dyDescent="0.2">
      <c r="I943" s="7"/>
      <c r="J943" s="8"/>
    </row>
    <row r="944" spans="9:10" ht="12.75" x14ac:dyDescent="0.2">
      <c r="I944" s="7"/>
      <c r="J944" s="8"/>
    </row>
    <row r="945" spans="9:10" ht="12.75" x14ac:dyDescent="0.2">
      <c r="I945" s="7"/>
      <c r="J945" s="8"/>
    </row>
    <row r="946" spans="9:10" ht="12.75" x14ac:dyDescent="0.2">
      <c r="I946" s="7"/>
      <c r="J946" s="8"/>
    </row>
    <row r="947" spans="9:10" ht="12.75" x14ac:dyDescent="0.2">
      <c r="I947" s="7"/>
      <c r="J947" s="8"/>
    </row>
    <row r="948" spans="9:10" ht="12.75" x14ac:dyDescent="0.2">
      <c r="I948" s="7"/>
      <c r="J948" s="8"/>
    </row>
    <row r="949" spans="9:10" ht="12.75" x14ac:dyDescent="0.2">
      <c r="I949" s="7"/>
      <c r="J949" s="8"/>
    </row>
    <row r="950" spans="9:10" ht="12.75" x14ac:dyDescent="0.2">
      <c r="I950" s="7"/>
      <c r="J950" s="8"/>
    </row>
    <row r="951" spans="9:10" ht="12.75" x14ac:dyDescent="0.2">
      <c r="I951" s="7"/>
      <c r="J951" s="8"/>
    </row>
    <row r="952" spans="9:10" ht="12.75" x14ac:dyDescent="0.2">
      <c r="I952" s="7"/>
      <c r="J952" s="8"/>
    </row>
    <row r="953" spans="9:10" ht="12.75" x14ac:dyDescent="0.2">
      <c r="I953" s="7"/>
      <c r="J953" s="8"/>
    </row>
    <row r="954" spans="9:10" ht="12.75" x14ac:dyDescent="0.2">
      <c r="I954" s="7"/>
      <c r="J954" s="8"/>
    </row>
    <row r="955" spans="9:10" ht="12.75" x14ac:dyDescent="0.2">
      <c r="I955" s="7"/>
      <c r="J955" s="8"/>
    </row>
    <row r="956" spans="9:10" ht="12.75" x14ac:dyDescent="0.2">
      <c r="I956" s="7"/>
      <c r="J956" s="8"/>
    </row>
    <row r="957" spans="9:10" ht="12.75" x14ac:dyDescent="0.2">
      <c r="I957" s="7"/>
      <c r="J957" s="8"/>
    </row>
    <row r="958" spans="9:10" ht="12.75" x14ac:dyDescent="0.2">
      <c r="I958" s="7"/>
      <c r="J958" s="8"/>
    </row>
    <row r="959" spans="9:10" ht="12.75" x14ac:dyDescent="0.2">
      <c r="I959" s="7"/>
      <c r="J959" s="8"/>
    </row>
    <row r="960" spans="9:10" ht="12.75" x14ac:dyDescent="0.2">
      <c r="I960" s="7"/>
      <c r="J960" s="8"/>
    </row>
    <row r="961" spans="9:10" ht="12.75" x14ac:dyDescent="0.2">
      <c r="I961" s="7"/>
      <c r="J961" s="8"/>
    </row>
    <row r="962" spans="9:10" ht="12.75" x14ac:dyDescent="0.2">
      <c r="I962" s="7"/>
      <c r="J962" s="8"/>
    </row>
    <row r="963" spans="9:10" ht="12.75" x14ac:dyDescent="0.2">
      <c r="I963" s="7"/>
      <c r="J963" s="8"/>
    </row>
    <row r="964" spans="9:10" ht="12.75" x14ac:dyDescent="0.2">
      <c r="I964" s="7"/>
      <c r="J964" s="8"/>
    </row>
    <row r="965" spans="9:10" ht="12.75" x14ac:dyDescent="0.2">
      <c r="I965" s="7"/>
      <c r="J965" s="8"/>
    </row>
    <row r="966" spans="9:10" ht="12.75" x14ac:dyDescent="0.2">
      <c r="I966" s="7"/>
      <c r="J966" s="8"/>
    </row>
    <row r="967" spans="9:10" ht="12.75" x14ac:dyDescent="0.2">
      <c r="I967" s="7"/>
      <c r="J967" s="8"/>
    </row>
    <row r="968" spans="9:10" ht="12.75" x14ac:dyDescent="0.2">
      <c r="I968" s="7"/>
      <c r="J968" s="8"/>
    </row>
    <row r="969" spans="9:10" ht="12.75" x14ac:dyDescent="0.2">
      <c r="I969" s="7"/>
      <c r="J969" s="8"/>
    </row>
    <row r="970" spans="9:10" ht="12.75" x14ac:dyDescent="0.2">
      <c r="I970" s="7"/>
      <c r="J970" s="8"/>
    </row>
    <row r="971" spans="9:10" ht="12.75" x14ac:dyDescent="0.2">
      <c r="I971" s="7"/>
      <c r="J971" s="8"/>
    </row>
    <row r="972" spans="9:10" ht="12.75" x14ac:dyDescent="0.2">
      <c r="I972" s="7"/>
      <c r="J972" s="8"/>
    </row>
    <row r="973" spans="9:10" ht="12.75" x14ac:dyDescent="0.2">
      <c r="I973" s="7"/>
      <c r="J973" s="8"/>
    </row>
    <row r="974" spans="9:10" ht="12.75" x14ac:dyDescent="0.2">
      <c r="I974" s="7"/>
      <c r="J974" s="8"/>
    </row>
    <row r="975" spans="9:10" ht="12.75" x14ac:dyDescent="0.2">
      <c r="I975" s="7"/>
      <c r="J975" s="8"/>
    </row>
    <row r="976" spans="9:10" ht="12.75" x14ac:dyDescent="0.2">
      <c r="I976" s="7"/>
      <c r="J976" s="8"/>
    </row>
    <row r="977" spans="9:10" ht="12.75" x14ac:dyDescent="0.2">
      <c r="I977" s="7"/>
      <c r="J977" s="8"/>
    </row>
    <row r="978" spans="9:10" ht="12.75" x14ac:dyDescent="0.2">
      <c r="I978" s="7"/>
      <c r="J978" s="8"/>
    </row>
    <row r="979" spans="9:10" ht="12.75" x14ac:dyDescent="0.2">
      <c r="I979" s="7"/>
      <c r="J979" s="8"/>
    </row>
    <row r="980" spans="9:10" ht="12.75" x14ac:dyDescent="0.2">
      <c r="I980" s="7"/>
      <c r="J980" s="8"/>
    </row>
    <row r="981" spans="9:10" ht="12.75" x14ac:dyDescent="0.2">
      <c r="I981" s="7"/>
      <c r="J981" s="8"/>
    </row>
    <row r="982" spans="9:10" ht="12.75" x14ac:dyDescent="0.2">
      <c r="I982" s="7"/>
      <c r="J982" s="8"/>
    </row>
    <row r="983" spans="9:10" ht="12.75" x14ac:dyDescent="0.2">
      <c r="I983" s="7"/>
      <c r="J983" s="8"/>
    </row>
    <row r="984" spans="9:10" ht="12.75" x14ac:dyDescent="0.2">
      <c r="I984" s="7"/>
      <c r="J984" s="8"/>
    </row>
    <row r="985" spans="9:10" ht="12.75" x14ac:dyDescent="0.2">
      <c r="I985" s="7"/>
      <c r="J985" s="8"/>
    </row>
    <row r="986" spans="9:10" ht="12.75" x14ac:dyDescent="0.2">
      <c r="I986" s="7"/>
      <c r="J986" s="8"/>
    </row>
    <row r="987" spans="9:10" ht="12.75" x14ac:dyDescent="0.2">
      <c r="I987" s="7"/>
      <c r="J987" s="8"/>
    </row>
    <row r="988" spans="9:10" ht="12.75" x14ac:dyDescent="0.2">
      <c r="I988" s="7"/>
      <c r="J988" s="8"/>
    </row>
    <row r="989" spans="9:10" ht="12.75" x14ac:dyDescent="0.2">
      <c r="I989" s="7"/>
      <c r="J989" s="8"/>
    </row>
    <row r="990" spans="9:10" ht="12.75" x14ac:dyDescent="0.2">
      <c r="I990" s="7"/>
      <c r="J990" s="8"/>
    </row>
    <row r="991" spans="9:10" ht="12.75" x14ac:dyDescent="0.2">
      <c r="I991" s="7"/>
      <c r="J991" s="8"/>
    </row>
    <row r="992" spans="9:10" ht="12.75" x14ac:dyDescent="0.2">
      <c r="I992" s="7"/>
      <c r="J992" s="8"/>
    </row>
    <row r="993" spans="9:10" ht="12.75" x14ac:dyDescent="0.2">
      <c r="I993" s="7"/>
      <c r="J993" s="8"/>
    </row>
    <row r="994" spans="9:10" ht="12.75" x14ac:dyDescent="0.2">
      <c r="I994" s="7"/>
      <c r="J994" s="8"/>
    </row>
    <row r="995" spans="9:10" ht="12.75" x14ac:dyDescent="0.2">
      <c r="I995" s="7"/>
      <c r="J995" s="8"/>
    </row>
    <row r="996" spans="9:10" ht="12.75" x14ac:dyDescent="0.2">
      <c r="I996" s="7"/>
      <c r="J996" s="8"/>
    </row>
    <row r="997" spans="9:10" ht="12.75" x14ac:dyDescent="0.2">
      <c r="I997" s="7"/>
      <c r="J997" s="8"/>
    </row>
    <row r="998" spans="9:10" ht="12.75" x14ac:dyDescent="0.2">
      <c r="I998" s="7"/>
      <c r="J998" s="8"/>
    </row>
    <row r="999" spans="9:10" ht="12.75" x14ac:dyDescent="0.2">
      <c r="I999" s="7"/>
      <c r="J999" s="8"/>
    </row>
    <row r="1000" spans="9:10" ht="12.75" x14ac:dyDescent="0.2">
      <c r="I1000" s="7"/>
      <c r="J1000" s="8"/>
    </row>
    <row r="1001" spans="9:10" ht="12.75" x14ac:dyDescent="0.2">
      <c r="I1001" s="7"/>
      <c r="J1001" s="8"/>
    </row>
    <row r="1002" spans="9:10" ht="12.75" x14ac:dyDescent="0.2">
      <c r="I1002" s="7"/>
      <c r="J1002" s="8"/>
    </row>
    <row r="1003" spans="9:10" ht="12.75" x14ac:dyDescent="0.2">
      <c r="I1003" s="7"/>
      <c r="J1003" s="8"/>
    </row>
    <row r="1004" spans="9:10" ht="12.75" x14ac:dyDescent="0.2">
      <c r="I1004" s="7"/>
      <c r="J1004" s="8"/>
    </row>
    <row r="1005" spans="9:10" ht="12.75" x14ac:dyDescent="0.2">
      <c r="I1005" s="7"/>
      <c r="J1005" s="8"/>
    </row>
    <row r="1006" spans="9:10" ht="12.75" x14ac:dyDescent="0.2">
      <c r="I1006" s="7"/>
      <c r="J1006" s="8"/>
    </row>
    <row r="1007" spans="9:10" ht="12.75" x14ac:dyDescent="0.2">
      <c r="I1007" s="7"/>
      <c r="J1007" s="8"/>
    </row>
    <row r="1008" spans="9:10" ht="12.75" x14ac:dyDescent="0.2">
      <c r="I1008" s="7"/>
      <c r="J1008" s="8"/>
    </row>
    <row r="1009" spans="9:10" ht="12.75" x14ac:dyDescent="0.2">
      <c r="I1009" s="7"/>
      <c r="J1009" s="8"/>
    </row>
    <row r="1010" spans="9:10" ht="12.75" x14ac:dyDescent="0.2">
      <c r="I1010" s="7"/>
      <c r="J1010" s="8"/>
    </row>
    <row r="1011" spans="9:10" ht="12.75" x14ac:dyDescent="0.2">
      <c r="I1011" s="7"/>
      <c r="J1011" s="8"/>
    </row>
    <row r="1012" spans="9:10" ht="12.75" x14ac:dyDescent="0.2">
      <c r="I1012" s="7"/>
      <c r="J1012" s="8"/>
    </row>
    <row r="1013" spans="9:10" ht="12.75" x14ac:dyDescent="0.2">
      <c r="I1013" s="7"/>
      <c r="J1013" s="8"/>
    </row>
    <row r="1014" spans="9:10" ht="12.75" x14ac:dyDescent="0.2">
      <c r="I1014" s="7"/>
      <c r="J1014" s="8"/>
    </row>
    <row r="1015" spans="9:10" ht="12.75" x14ac:dyDescent="0.2">
      <c r="I1015" s="7"/>
      <c r="J1015" s="8"/>
    </row>
    <row r="1016" spans="9:10" ht="12.75" x14ac:dyDescent="0.2">
      <c r="I1016" s="7"/>
      <c r="J1016" s="8"/>
    </row>
    <row r="1017" spans="9:10" ht="12.75" x14ac:dyDescent="0.2">
      <c r="I1017" s="7"/>
      <c r="J1017" s="8"/>
    </row>
    <row r="1018" spans="9:10" ht="12.75" x14ac:dyDescent="0.2">
      <c r="I1018" s="7"/>
      <c r="J1018" s="8"/>
    </row>
    <row r="1019" spans="9:10" ht="12.75" x14ac:dyDescent="0.2">
      <c r="I1019" s="7"/>
      <c r="J1019" s="8"/>
    </row>
    <row r="1020" spans="9:10" ht="12.75" x14ac:dyDescent="0.2">
      <c r="I1020" s="7"/>
      <c r="J1020" s="8"/>
    </row>
    <row r="1021" spans="9:10" ht="12.75" x14ac:dyDescent="0.2">
      <c r="I1021" s="7"/>
      <c r="J1021" s="8"/>
    </row>
    <row r="1022" spans="9:10" ht="12.75" x14ac:dyDescent="0.2">
      <c r="I1022" s="7"/>
      <c r="J1022" s="8"/>
    </row>
    <row r="1023" spans="9:10" ht="12.75" x14ac:dyDescent="0.2">
      <c r="I1023" s="7"/>
      <c r="J1023" s="8"/>
    </row>
  </sheetData>
  <printOptions horizontalCentered="1"/>
  <pageMargins left="0.7" right="0.7" top="0.75" bottom="0.75" header="0" footer="0"/>
  <pageSetup pageOrder="overThenDown" orientation="portrait" cellComments="atEnd"/>
  <rowBreaks count="3" manualBreakCount="3">
    <brk man="1"/>
    <brk id="144" man="1"/>
    <brk id="70" man="1"/>
  </rowBreaks>
  <colBreaks count="2" manualBreakCount="2">
    <brk man="1"/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Old IS</vt:lpstr>
      <vt:lpstr>Budget to Actual</vt:lpstr>
      <vt:lpstr>Sheet1</vt:lpstr>
      <vt:lpstr>Income Statement with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Nordstrom</cp:lastModifiedBy>
  <cp:lastPrinted>2019-09-26T22:51:57Z</cp:lastPrinted>
  <dcterms:modified xsi:type="dcterms:W3CDTF">2019-12-13T20:54:30Z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ba1a4512-8026-4a73-bfb7-8d52c1779a3a_Enabled">
    <vt:lpwstr>True</vt:lpwstr>
  </property>
  <property fmtid="{D5CDD505-2E9C-101B-9397-08002B2CF9AE}" pid="5" name="MSIP_Label_ba1a4512-8026-4a73-bfb7-8d52c1779a3a_SiteId">
    <vt:lpwstr>a79016de-bdd0-4e47-91f4-79416ab912ad</vt:lpwstr>
  </property>
  <property fmtid="{D5CDD505-2E9C-101B-9397-08002B2CF9AE}" pid="6" name="MSIP_Label_ba1a4512-8026-4a73-bfb7-8d52c1779a3a_Owner">
    <vt:lpwstr>Steven.Nordstrom@imail.org</vt:lpwstr>
  </property>
  <property fmtid="{D5CDD505-2E9C-101B-9397-08002B2CF9AE}" pid="7" name="MSIP_Label_ba1a4512-8026-4a73-bfb7-8d52c1779a3a_SetDate">
    <vt:lpwstr>2019-04-22T16:48:25.5236012Z</vt:lpwstr>
  </property>
  <property fmtid="{D5CDD505-2E9C-101B-9397-08002B2CF9AE}" pid="8" name="MSIP_Label_ba1a4512-8026-4a73-bfb7-8d52c1779a3a_Name">
    <vt:lpwstr>Sensitive Information</vt:lpwstr>
  </property>
  <property fmtid="{D5CDD505-2E9C-101B-9397-08002B2CF9AE}" pid="9" name="MSIP_Label_ba1a4512-8026-4a73-bfb7-8d52c1779a3a_Application">
    <vt:lpwstr>Microsoft Azure Information Protection</vt:lpwstr>
  </property>
  <property fmtid="{D5CDD505-2E9C-101B-9397-08002B2CF9AE}" pid="10" name="MSIP_Label_ba1a4512-8026-4a73-bfb7-8d52c1779a3a_Extended_MSFT_Method">
    <vt:lpwstr>Automatic</vt:lpwstr>
  </property>
  <property fmtid="{D5CDD505-2E9C-101B-9397-08002B2CF9AE}" pid="11" name="Sensitivity">
    <vt:lpwstr>Sensitive Information</vt:lpwstr>
  </property>
</Properties>
</file>