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rincesssarah8849\Downloads\"/>
    </mc:Choice>
  </mc:AlternateContent>
  <xr:revisionPtr revIDLastSave="0" documentId="8_{832673DA-7C26-4A11-B972-A241783A8F19}" xr6:coauthVersionLast="47" xr6:coauthVersionMax="47" xr10:uidLastSave="{00000000-0000-0000-0000-000000000000}"/>
  <bookViews>
    <workbookView xWindow="-120" yWindow="-120" windowWidth="29040" windowHeight="15720" xr2:uid="{00000000-000D-0000-FFFF-FFFF00000000}"/>
  </bookViews>
  <sheets>
    <sheet name="LOOKUP" sheetId="1" r:id="rId1"/>
    <sheet name="SCHEDULE" sheetId="2" r:id="rId2"/>
    <sheet name="AVALANCHE" sheetId="3" r:id="rId3"/>
    <sheet name="BRUINS" sheetId="4" r:id="rId4"/>
    <sheet name="FLYERS" sheetId="5" r:id="rId5"/>
    <sheet name="KNIGHTS" sheetId="6" r:id="rId6"/>
    <sheet name="RANGERS" sheetId="7" r:id="rId7"/>
    <sheet name="WINGS" sheetId="8" r:id="rId8"/>
    <sheet name="CANUCKS" sheetId="9" r:id="rId9"/>
    <sheet name="FLAMES" sheetId="10" r:id="rId10"/>
    <sheet name="JETS" sheetId="11" r:id="rId11"/>
    <sheet name="STARS" sheetId="12" r:id="rId12"/>
    <sheet name="KINGS" sheetId="13" r:id="rId13"/>
    <sheet name="WILD" sheetId="14" r:id="rId14"/>
    <sheet name="BLUES" sheetId="15" r:id="rId15"/>
    <sheet name="KRAKEN" sheetId="16" r:id="rId16"/>
    <sheet name="LEAFS" sheetId="17" r:id="rId17"/>
    <sheet name="OILERS"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8" l="1"/>
  <c r="E31" i="18"/>
  <c r="D31" i="18"/>
  <c r="C31" i="18"/>
  <c r="B31" i="18"/>
  <c r="A31" i="18"/>
  <c r="F30" i="18"/>
  <c r="E30" i="18"/>
  <c r="D30" i="18"/>
  <c r="C30" i="18"/>
  <c r="B30" i="18"/>
  <c r="A30" i="18"/>
  <c r="F29" i="18"/>
  <c r="E29" i="18"/>
  <c r="D29" i="18"/>
  <c r="C29" i="18"/>
  <c r="B29" i="18"/>
  <c r="A29" i="18"/>
  <c r="F28" i="18"/>
  <c r="E28" i="18"/>
  <c r="D28" i="18"/>
  <c r="C28" i="18"/>
  <c r="B28" i="18"/>
  <c r="A28" i="18"/>
  <c r="F27" i="18"/>
  <c r="E27" i="18"/>
  <c r="D27" i="18"/>
  <c r="C27" i="18"/>
  <c r="B27" i="18"/>
  <c r="A27" i="18"/>
  <c r="F26" i="18"/>
  <c r="E26" i="18"/>
  <c r="D26" i="18"/>
  <c r="C26" i="18"/>
  <c r="B26" i="18"/>
  <c r="A26" i="18"/>
  <c r="F25" i="18"/>
  <c r="E25" i="18"/>
  <c r="D25" i="18"/>
  <c r="C25" i="18"/>
  <c r="B25" i="18"/>
  <c r="A25" i="18"/>
  <c r="F24" i="18"/>
  <c r="E24" i="18"/>
  <c r="D24" i="18"/>
  <c r="C24" i="18"/>
  <c r="B24" i="18"/>
  <c r="A24" i="18"/>
  <c r="F23" i="18"/>
  <c r="E23" i="18"/>
  <c r="D23" i="18"/>
  <c r="C23" i="18"/>
  <c r="B23" i="18"/>
  <c r="A23" i="18"/>
  <c r="F22" i="18"/>
  <c r="E22" i="18"/>
  <c r="D22" i="18"/>
  <c r="C22" i="18"/>
  <c r="B22" i="18"/>
  <c r="A22" i="18"/>
  <c r="F21" i="18"/>
  <c r="E21" i="18"/>
  <c r="D21" i="18"/>
  <c r="C21" i="18"/>
  <c r="B21" i="18"/>
  <c r="A21" i="18"/>
  <c r="F20" i="18"/>
  <c r="E20" i="18"/>
  <c r="D20" i="18"/>
  <c r="C20" i="18"/>
  <c r="B20" i="18"/>
  <c r="A20" i="18"/>
  <c r="F19" i="18"/>
  <c r="E19" i="18"/>
  <c r="D19" i="18"/>
  <c r="C19" i="18"/>
  <c r="B19" i="18"/>
  <c r="A19" i="18"/>
  <c r="F18" i="18"/>
  <c r="E18" i="18"/>
  <c r="D18" i="18"/>
  <c r="C18" i="18"/>
  <c r="B18" i="18"/>
  <c r="A18" i="18"/>
  <c r="F17" i="18"/>
  <c r="E17" i="18"/>
  <c r="D17" i="18"/>
  <c r="C17" i="18"/>
  <c r="B17" i="18"/>
  <c r="A17" i="18"/>
  <c r="F16" i="18"/>
  <c r="E16" i="18"/>
  <c r="D16" i="18"/>
  <c r="C16" i="18"/>
  <c r="B16" i="18"/>
  <c r="A16" i="18"/>
  <c r="F15" i="18"/>
  <c r="E15" i="18"/>
  <c r="D15" i="18"/>
  <c r="C15" i="18"/>
  <c r="B15" i="18"/>
  <c r="A15" i="18"/>
  <c r="F14" i="18"/>
  <c r="E14" i="18"/>
  <c r="D14" i="18"/>
  <c r="C14" i="18"/>
  <c r="B14" i="18"/>
  <c r="A14" i="18"/>
  <c r="G9" i="18"/>
  <c r="E9" i="18"/>
  <c r="C9" i="18"/>
  <c r="B9" i="18"/>
  <c r="G8" i="18"/>
  <c r="E8" i="18"/>
  <c r="C8" i="18"/>
  <c r="B8" i="18"/>
  <c r="G7" i="18"/>
  <c r="E7" i="18"/>
  <c r="C7" i="18"/>
  <c r="B7" i="18"/>
  <c r="B4" i="18"/>
  <c r="F29" i="17"/>
  <c r="E29" i="17"/>
  <c r="D29" i="17"/>
  <c r="C29" i="17"/>
  <c r="B29" i="17"/>
  <c r="A29" i="17"/>
  <c r="F28" i="17"/>
  <c r="E28" i="17"/>
  <c r="D28" i="17"/>
  <c r="C28" i="17"/>
  <c r="B28" i="17"/>
  <c r="A28" i="17"/>
  <c r="F27" i="17"/>
  <c r="E27" i="17"/>
  <c r="D27" i="17"/>
  <c r="C27" i="17"/>
  <c r="B27" i="17"/>
  <c r="A27" i="17"/>
  <c r="F26" i="17"/>
  <c r="E26" i="17"/>
  <c r="D26" i="17"/>
  <c r="C26" i="17"/>
  <c r="B26" i="17"/>
  <c r="A26" i="17"/>
  <c r="F25" i="17"/>
  <c r="E25" i="17"/>
  <c r="D25" i="17"/>
  <c r="C25" i="17"/>
  <c r="B25" i="17"/>
  <c r="A25" i="17"/>
  <c r="F24" i="17"/>
  <c r="E24" i="17"/>
  <c r="D24" i="17"/>
  <c r="C24" i="17"/>
  <c r="B24" i="17"/>
  <c r="A24" i="17"/>
  <c r="F23" i="17"/>
  <c r="E23" i="17"/>
  <c r="D23" i="17"/>
  <c r="C23" i="17"/>
  <c r="B23" i="17"/>
  <c r="A23" i="17"/>
  <c r="F22" i="17"/>
  <c r="E22" i="17"/>
  <c r="D22" i="17"/>
  <c r="C22" i="17"/>
  <c r="B22" i="17"/>
  <c r="A22" i="17"/>
  <c r="F21" i="17"/>
  <c r="E21" i="17"/>
  <c r="D21" i="17"/>
  <c r="C21" i="17"/>
  <c r="B21" i="17"/>
  <c r="A21" i="17"/>
  <c r="F20" i="17"/>
  <c r="E20" i="17"/>
  <c r="D20" i="17"/>
  <c r="C20" i="17"/>
  <c r="B20" i="17"/>
  <c r="A20" i="17"/>
  <c r="F19" i="17"/>
  <c r="E19" i="17"/>
  <c r="D19" i="17"/>
  <c r="C19" i="17"/>
  <c r="B19" i="17"/>
  <c r="A19" i="17"/>
  <c r="F18" i="17"/>
  <c r="E18" i="17"/>
  <c r="D18" i="17"/>
  <c r="C18" i="17"/>
  <c r="B18" i="17"/>
  <c r="A18" i="17"/>
  <c r="F17" i="17"/>
  <c r="E17" i="17"/>
  <c r="D17" i="17"/>
  <c r="C17" i="17"/>
  <c r="B17" i="17"/>
  <c r="A17" i="17"/>
  <c r="F16" i="17"/>
  <c r="E16" i="17"/>
  <c r="D16" i="17"/>
  <c r="C16" i="17"/>
  <c r="B16" i="17"/>
  <c r="A16" i="17"/>
  <c r="F15" i="17"/>
  <c r="E15" i="17"/>
  <c r="D15" i="17"/>
  <c r="C15" i="17"/>
  <c r="B15" i="17"/>
  <c r="A15" i="17"/>
  <c r="F14" i="17"/>
  <c r="E14" i="17"/>
  <c r="D14" i="17"/>
  <c r="C14" i="17"/>
  <c r="B14" i="17"/>
  <c r="A14" i="17"/>
  <c r="G9" i="17"/>
  <c r="E9" i="17"/>
  <c r="C9" i="17"/>
  <c r="B9" i="17"/>
  <c r="G8" i="17"/>
  <c r="E8" i="17"/>
  <c r="C8" i="17"/>
  <c r="B8" i="17"/>
  <c r="G7" i="17"/>
  <c r="E7" i="17"/>
  <c r="C7" i="17"/>
  <c r="B7" i="17"/>
  <c r="B4" i="17"/>
  <c r="F29" i="16"/>
  <c r="E29" i="16"/>
  <c r="D29" i="16"/>
  <c r="C29" i="16"/>
  <c r="B29" i="16"/>
  <c r="A29" i="16"/>
  <c r="F28" i="16"/>
  <c r="E28" i="16"/>
  <c r="D28" i="16"/>
  <c r="C28" i="16"/>
  <c r="B28" i="16"/>
  <c r="A28" i="16"/>
  <c r="F27" i="16"/>
  <c r="E27" i="16"/>
  <c r="D27" i="16"/>
  <c r="C27" i="16"/>
  <c r="B27" i="16"/>
  <c r="A27" i="16"/>
  <c r="F26" i="16"/>
  <c r="E26" i="16"/>
  <c r="D26" i="16"/>
  <c r="C26" i="16"/>
  <c r="B26" i="16"/>
  <c r="A26" i="16"/>
  <c r="F25" i="16"/>
  <c r="E25" i="16"/>
  <c r="D25" i="16"/>
  <c r="C25" i="16"/>
  <c r="B25" i="16"/>
  <c r="A25" i="16"/>
  <c r="F24" i="16"/>
  <c r="E24" i="16"/>
  <c r="D24" i="16"/>
  <c r="C24" i="16"/>
  <c r="B24" i="16"/>
  <c r="A24" i="16"/>
  <c r="F23" i="16"/>
  <c r="E23" i="16"/>
  <c r="D23" i="16"/>
  <c r="C23" i="16"/>
  <c r="B23" i="16"/>
  <c r="A23" i="16"/>
  <c r="F22" i="16"/>
  <c r="E22" i="16"/>
  <c r="D22" i="16"/>
  <c r="C22" i="16"/>
  <c r="B22" i="16"/>
  <c r="A22" i="16"/>
  <c r="F21" i="16"/>
  <c r="E21" i="16"/>
  <c r="D21" i="16"/>
  <c r="C21" i="16"/>
  <c r="B21" i="16"/>
  <c r="A21" i="16"/>
  <c r="F20" i="16"/>
  <c r="E20" i="16"/>
  <c r="D20" i="16"/>
  <c r="C20" i="16"/>
  <c r="B20" i="16"/>
  <c r="A20" i="16"/>
  <c r="F19" i="16"/>
  <c r="E19" i="16"/>
  <c r="D19" i="16"/>
  <c r="C19" i="16"/>
  <c r="B19" i="16"/>
  <c r="A19" i="16"/>
  <c r="F18" i="16"/>
  <c r="E18" i="16"/>
  <c r="D18" i="16"/>
  <c r="C18" i="16"/>
  <c r="B18" i="16"/>
  <c r="A18" i="16"/>
  <c r="F17" i="16"/>
  <c r="E17" i="16"/>
  <c r="D17" i="16"/>
  <c r="C17" i="16"/>
  <c r="B17" i="16"/>
  <c r="A17" i="16"/>
  <c r="F16" i="16"/>
  <c r="E16" i="16"/>
  <c r="D16" i="16"/>
  <c r="C16" i="16"/>
  <c r="B16" i="16"/>
  <c r="A16" i="16"/>
  <c r="F15" i="16"/>
  <c r="E15" i="16"/>
  <c r="D15" i="16"/>
  <c r="C15" i="16"/>
  <c r="B15" i="16"/>
  <c r="A15" i="16"/>
  <c r="F14" i="16"/>
  <c r="E14" i="16"/>
  <c r="D14" i="16"/>
  <c r="C14" i="16"/>
  <c r="B14" i="16"/>
  <c r="A14" i="16"/>
  <c r="G9" i="16"/>
  <c r="E9" i="16"/>
  <c r="C9" i="16"/>
  <c r="B9" i="16"/>
  <c r="G8" i="16"/>
  <c r="E8" i="16"/>
  <c r="C8" i="16"/>
  <c r="B8" i="16"/>
  <c r="G7" i="16"/>
  <c r="E7" i="16"/>
  <c r="C7" i="16"/>
  <c r="B7" i="16"/>
  <c r="B4" i="16"/>
  <c r="F29" i="15"/>
  <c r="E29" i="15"/>
  <c r="D29" i="15"/>
  <c r="C29" i="15"/>
  <c r="B29" i="15"/>
  <c r="A29" i="15"/>
  <c r="F28" i="15"/>
  <c r="E28" i="15"/>
  <c r="D28" i="15"/>
  <c r="C28" i="15"/>
  <c r="B28" i="15"/>
  <c r="A28" i="15"/>
  <c r="F27" i="15"/>
  <c r="E27" i="15"/>
  <c r="D27" i="15"/>
  <c r="C27" i="15"/>
  <c r="B27" i="15"/>
  <c r="A27" i="15"/>
  <c r="F26" i="15"/>
  <c r="E26" i="15"/>
  <c r="D26" i="15"/>
  <c r="C26" i="15"/>
  <c r="B26" i="15"/>
  <c r="A26" i="15"/>
  <c r="F25" i="15"/>
  <c r="E25" i="15"/>
  <c r="D25" i="15"/>
  <c r="C25" i="15"/>
  <c r="B25" i="15"/>
  <c r="A25" i="15"/>
  <c r="F24" i="15"/>
  <c r="E24" i="15"/>
  <c r="D24" i="15"/>
  <c r="C24" i="15"/>
  <c r="B24" i="15"/>
  <c r="A24" i="15"/>
  <c r="F23" i="15"/>
  <c r="E23" i="15"/>
  <c r="D23" i="15"/>
  <c r="C23" i="15"/>
  <c r="B23" i="15"/>
  <c r="A23" i="15"/>
  <c r="F22" i="15"/>
  <c r="E22" i="15"/>
  <c r="D22" i="15"/>
  <c r="C22" i="15"/>
  <c r="B22" i="15"/>
  <c r="A22" i="15"/>
  <c r="F21" i="15"/>
  <c r="E21" i="15"/>
  <c r="D21" i="15"/>
  <c r="C21" i="15"/>
  <c r="B21" i="15"/>
  <c r="A21" i="15"/>
  <c r="F20" i="15"/>
  <c r="E20" i="15"/>
  <c r="D20" i="15"/>
  <c r="C20" i="15"/>
  <c r="B20" i="15"/>
  <c r="A20" i="15"/>
  <c r="F19" i="15"/>
  <c r="E19" i="15"/>
  <c r="D19" i="15"/>
  <c r="C19" i="15"/>
  <c r="B19" i="15"/>
  <c r="A19" i="15"/>
  <c r="F18" i="15"/>
  <c r="E18" i="15"/>
  <c r="D18" i="15"/>
  <c r="C18" i="15"/>
  <c r="B18" i="15"/>
  <c r="A18" i="15"/>
  <c r="F17" i="15"/>
  <c r="E17" i="15"/>
  <c r="D17" i="15"/>
  <c r="C17" i="15"/>
  <c r="B17" i="15"/>
  <c r="A17" i="15"/>
  <c r="F16" i="15"/>
  <c r="E16" i="15"/>
  <c r="D16" i="15"/>
  <c r="C16" i="15"/>
  <c r="B16" i="15"/>
  <c r="A16" i="15"/>
  <c r="F15" i="15"/>
  <c r="E15" i="15"/>
  <c r="D15" i="15"/>
  <c r="C15" i="15"/>
  <c r="B15" i="15"/>
  <c r="A15" i="15"/>
  <c r="F14" i="15"/>
  <c r="E14" i="15"/>
  <c r="D14" i="15"/>
  <c r="C14" i="15"/>
  <c r="B14" i="15"/>
  <c r="A14" i="15"/>
  <c r="G9" i="15"/>
  <c r="E9" i="15"/>
  <c r="C9" i="15"/>
  <c r="B9" i="15"/>
  <c r="G8" i="15"/>
  <c r="E8" i="15"/>
  <c r="C8" i="15"/>
  <c r="B8" i="15"/>
  <c r="G7" i="15"/>
  <c r="E7" i="15"/>
  <c r="C7" i="15"/>
  <c r="B7" i="15"/>
  <c r="B4" i="15"/>
  <c r="F27" i="14"/>
  <c r="E27" i="14"/>
  <c r="D27" i="14"/>
  <c r="C27" i="14"/>
  <c r="B27" i="14"/>
  <c r="A27" i="14"/>
  <c r="F26" i="14"/>
  <c r="E26" i="14"/>
  <c r="D26" i="14"/>
  <c r="C26" i="14"/>
  <c r="B26" i="14"/>
  <c r="A26" i="14"/>
  <c r="F25" i="14"/>
  <c r="E25" i="14"/>
  <c r="D25" i="14"/>
  <c r="C25" i="14"/>
  <c r="B25" i="14"/>
  <c r="A25" i="14"/>
  <c r="F24" i="14"/>
  <c r="E24" i="14"/>
  <c r="D24" i="14"/>
  <c r="C24" i="14"/>
  <c r="B24" i="14"/>
  <c r="A24" i="14"/>
  <c r="F23" i="14"/>
  <c r="E23" i="14"/>
  <c r="D23" i="14"/>
  <c r="C23" i="14"/>
  <c r="B23" i="14"/>
  <c r="A23" i="14"/>
  <c r="F22" i="14"/>
  <c r="E22" i="14"/>
  <c r="D22" i="14"/>
  <c r="C22" i="14"/>
  <c r="B22" i="14"/>
  <c r="A22" i="14"/>
  <c r="F21" i="14"/>
  <c r="E21" i="14"/>
  <c r="D21" i="14"/>
  <c r="C21" i="14"/>
  <c r="B21" i="14"/>
  <c r="A21" i="14"/>
  <c r="F20" i="14"/>
  <c r="E20" i="14"/>
  <c r="D20" i="14"/>
  <c r="C20" i="14"/>
  <c r="B20" i="14"/>
  <c r="A20" i="14"/>
  <c r="F19" i="14"/>
  <c r="E19" i="14"/>
  <c r="D19" i="14"/>
  <c r="C19" i="14"/>
  <c r="B19" i="14"/>
  <c r="A19" i="14"/>
  <c r="F18" i="14"/>
  <c r="E18" i="14"/>
  <c r="D18" i="14"/>
  <c r="C18" i="14"/>
  <c r="B18" i="14"/>
  <c r="A18" i="14"/>
  <c r="F17" i="14"/>
  <c r="E17" i="14"/>
  <c r="D17" i="14"/>
  <c r="C17" i="14"/>
  <c r="B17" i="14"/>
  <c r="A17" i="14"/>
  <c r="F16" i="14"/>
  <c r="E16" i="14"/>
  <c r="D16" i="14"/>
  <c r="C16" i="14"/>
  <c r="B16" i="14"/>
  <c r="A16" i="14"/>
  <c r="F15" i="14"/>
  <c r="E15" i="14"/>
  <c r="D15" i="14"/>
  <c r="C15" i="14"/>
  <c r="B15" i="14"/>
  <c r="A15" i="14"/>
  <c r="F14" i="14"/>
  <c r="E14" i="14"/>
  <c r="D14" i="14"/>
  <c r="C14" i="14"/>
  <c r="B14" i="14"/>
  <c r="A14" i="14"/>
  <c r="G9" i="14"/>
  <c r="E9" i="14"/>
  <c r="C9" i="14"/>
  <c r="B9" i="14"/>
  <c r="G8" i="14"/>
  <c r="E8" i="14"/>
  <c r="C8" i="14"/>
  <c r="B8" i="14"/>
  <c r="G7" i="14"/>
  <c r="E7" i="14"/>
  <c r="C7" i="14"/>
  <c r="B7" i="14"/>
  <c r="B4" i="14"/>
  <c r="F28" i="13"/>
  <c r="E28" i="13"/>
  <c r="D28" i="13"/>
  <c r="C28" i="13"/>
  <c r="B28" i="13"/>
  <c r="A28" i="13"/>
  <c r="F27" i="13"/>
  <c r="E27" i="13"/>
  <c r="D27" i="13"/>
  <c r="C27" i="13"/>
  <c r="B27" i="13"/>
  <c r="A27" i="13"/>
  <c r="F26" i="13"/>
  <c r="E26" i="13"/>
  <c r="D26" i="13"/>
  <c r="C26" i="13"/>
  <c r="B26" i="13"/>
  <c r="A26" i="13"/>
  <c r="F25" i="13"/>
  <c r="E25" i="13"/>
  <c r="D25" i="13"/>
  <c r="C25" i="13"/>
  <c r="B25" i="13"/>
  <c r="A25" i="13"/>
  <c r="F24" i="13"/>
  <c r="E24" i="13"/>
  <c r="D24" i="13"/>
  <c r="C24" i="13"/>
  <c r="B24" i="13"/>
  <c r="A24" i="13"/>
  <c r="F23" i="13"/>
  <c r="E23" i="13"/>
  <c r="D23" i="13"/>
  <c r="C23" i="13"/>
  <c r="B23" i="13"/>
  <c r="A23" i="13"/>
  <c r="F22" i="13"/>
  <c r="E22" i="13"/>
  <c r="D22" i="13"/>
  <c r="C22" i="13"/>
  <c r="B22" i="13"/>
  <c r="A22" i="13"/>
  <c r="F21" i="13"/>
  <c r="E21" i="13"/>
  <c r="D21" i="13"/>
  <c r="C21" i="13"/>
  <c r="B21" i="13"/>
  <c r="A21" i="13"/>
  <c r="F20" i="13"/>
  <c r="E20" i="13"/>
  <c r="D20" i="13"/>
  <c r="C20" i="13"/>
  <c r="B20" i="13"/>
  <c r="A20" i="13"/>
  <c r="F19" i="13"/>
  <c r="E19" i="13"/>
  <c r="D19" i="13"/>
  <c r="C19" i="13"/>
  <c r="B19" i="13"/>
  <c r="A19" i="13"/>
  <c r="F18" i="13"/>
  <c r="E18" i="13"/>
  <c r="D18" i="13"/>
  <c r="C18" i="13"/>
  <c r="B18" i="13"/>
  <c r="A18" i="13"/>
  <c r="F17" i="13"/>
  <c r="E17" i="13"/>
  <c r="D17" i="13"/>
  <c r="C17" i="13"/>
  <c r="B17" i="13"/>
  <c r="A17" i="13"/>
  <c r="F16" i="13"/>
  <c r="E16" i="13"/>
  <c r="D16" i="13"/>
  <c r="C16" i="13"/>
  <c r="B16" i="13"/>
  <c r="A16" i="13"/>
  <c r="F15" i="13"/>
  <c r="E15" i="13"/>
  <c r="D15" i="13"/>
  <c r="C15" i="13"/>
  <c r="B15" i="13"/>
  <c r="A15" i="13"/>
  <c r="F14" i="13"/>
  <c r="E14" i="13"/>
  <c r="D14" i="13"/>
  <c r="C14" i="13"/>
  <c r="B14" i="13"/>
  <c r="A14" i="13"/>
  <c r="G9" i="13"/>
  <c r="E9" i="13"/>
  <c r="C9" i="13"/>
  <c r="B9" i="13"/>
  <c r="G8" i="13"/>
  <c r="E8" i="13"/>
  <c r="C8" i="13"/>
  <c r="B8" i="13"/>
  <c r="G7" i="13"/>
  <c r="E7" i="13"/>
  <c r="C7" i="13"/>
  <c r="B7" i="13"/>
  <c r="B4" i="13"/>
  <c r="F27" i="12"/>
  <c r="E27" i="12"/>
  <c r="D27" i="12"/>
  <c r="C27" i="12"/>
  <c r="B27" i="12"/>
  <c r="A27" i="12"/>
  <c r="F26" i="12"/>
  <c r="E26" i="12"/>
  <c r="D26" i="12"/>
  <c r="C26" i="12"/>
  <c r="B26" i="12"/>
  <c r="A26" i="12"/>
  <c r="F25" i="12"/>
  <c r="E25" i="12"/>
  <c r="D25" i="12"/>
  <c r="C25" i="12"/>
  <c r="B25" i="12"/>
  <c r="A25" i="12"/>
  <c r="F24" i="12"/>
  <c r="E24" i="12"/>
  <c r="D24" i="12"/>
  <c r="C24" i="12"/>
  <c r="B24" i="12"/>
  <c r="A24" i="12"/>
  <c r="F23" i="12"/>
  <c r="E23" i="12"/>
  <c r="D23" i="12"/>
  <c r="C23" i="12"/>
  <c r="B23" i="12"/>
  <c r="A23" i="12"/>
  <c r="F22" i="12"/>
  <c r="E22" i="12"/>
  <c r="D22" i="12"/>
  <c r="C22" i="12"/>
  <c r="B22" i="12"/>
  <c r="A22" i="12"/>
  <c r="F21" i="12"/>
  <c r="E21" i="12"/>
  <c r="D21" i="12"/>
  <c r="C21" i="12"/>
  <c r="B21" i="12"/>
  <c r="A21" i="12"/>
  <c r="F20" i="12"/>
  <c r="E20" i="12"/>
  <c r="D20" i="12"/>
  <c r="C20" i="12"/>
  <c r="B20" i="12"/>
  <c r="A20" i="12"/>
  <c r="F19" i="12"/>
  <c r="E19" i="12"/>
  <c r="D19" i="12"/>
  <c r="C19" i="12"/>
  <c r="B19" i="12"/>
  <c r="A19" i="12"/>
  <c r="F18" i="12"/>
  <c r="E18" i="12"/>
  <c r="D18" i="12"/>
  <c r="C18" i="12"/>
  <c r="B18" i="12"/>
  <c r="A18" i="12"/>
  <c r="F17" i="12"/>
  <c r="E17" i="12"/>
  <c r="D17" i="12"/>
  <c r="C17" i="12"/>
  <c r="B17" i="12"/>
  <c r="A17" i="12"/>
  <c r="F16" i="12"/>
  <c r="E16" i="12"/>
  <c r="D16" i="12"/>
  <c r="C16" i="12"/>
  <c r="B16" i="12"/>
  <c r="A16" i="12"/>
  <c r="F15" i="12"/>
  <c r="E15" i="12"/>
  <c r="D15" i="12"/>
  <c r="C15" i="12"/>
  <c r="B15" i="12"/>
  <c r="A15" i="12"/>
  <c r="F14" i="12"/>
  <c r="E14" i="12"/>
  <c r="D14" i="12"/>
  <c r="C14" i="12"/>
  <c r="B14" i="12"/>
  <c r="A14" i="12"/>
  <c r="G9" i="12"/>
  <c r="E9" i="12"/>
  <c r="C9" i="12"/>
  <c r="B9" i="12"/>
  <c r="G8" i="12"/>
  <c r="E8" i="12"/>
  <c r="C8" i="12"/>
  <c r="B8" i="12"/>
  <c r="G7" i="12"/>
  <c r="E7" i="12"/>
  <c r="C7" i="12"/>
  <c r="B7" i="12"/>
  <c r="B4" i="12"/>
  <c r="F27" i="11"/>
  <c r="E27" i="11"/>
  <c r="D27" i="11"/>
  <c r="C27" i="11"/>
  <c r="B27" i="11"/>
  <c r="A27" i="11"/>
  <c r="F26" i="11"/>
  <c r="E26" i="11"/>
  <c r="D26" i="11"/>
  <c r="C26" i="11"/>
  <c r="B26" i="11"/>
  <c r="A26" i="11"/>
  <c r="F25" i="11"/>
  <c r="E25" i="11"/>
  <c r="D25" i="11"/>
  <c r="C25" i="11"/>
  <c r="B25" i="11"/>
  <c r="A25" i="11"/>
  <c r="F24" i="11"/>
  <c r="E24" i="11"/>
  <c r="D24" i="11"/>
  <c r="C24" i="11"/>
  <c r="B24" i="11"/>
  <c r="A24" i="11"/>
  <c r="F23" i="11"/>
  <c r="E23" i="11"/>
  <c r="D23" i="11"/>
  <c r="C23" i="11"/>
  <c r="B23" i="11"/>
  <c r="A23" i="11"/>
  <c r="F22" i="11"/>
  <c r="E22" i="11"/>
  <c r="D22" i="11"/>
  <c r="C22" i="11"/>
  <c r="B22" i="11"/>
  <c r="A22" i="11"/>
  <c r="F21" i="11"/>
  <c r="E21" i="11"/>
  <c r="D21" i="11"/>
  <c r="C21" i="11"/>
  <c r="B21" i="11"/>
  <c r="A21" i="11"/>
  <c r="F20" i="11"/>
  <c r="E20" i="11"/>
  <c r="D20" i="11"/>
  <c r="C20" i="11"/>
  <c r="B20" i="11"/>
  <c r="A20" i="11"/>
  <c r="F19" i="11"/>
  <c r="E19" i="11"/>
  <c r="D19" i="11"/>
  <c r="C19" i="11"/>
  <c r="B19" i="11"/>
  <c r="A19" i="11"/>
  <c r="F18" i="11"/>
  <c r="E18" i="11"/>
  <c r="D18" i="11"/>
  <c r="C18" i="11"/>
  <c r="B18" i="11"/>
  <c r="A18" i="11"/>
  <c r="F17" i="11"/>
  <c r="E17" i="11"/>
  <c r="D17" i="11"/>
  <c r="C17" i="11"/>
  <c r="B17" i="11"/>
  <c r="A17" i="11"/>
  <c r="F16" i="11"/>
  <c r="E16" i="11"/>
  <c r="D16" i="11"/>
  <c r="C16" i="11"/>
  <c r="B16" i="11"/>
  <c r="A16" i="11"/>
  <c r="F15" i="11"/>
  <c r="E15" i="11"/>
  <c r="D15" i="11"/>
  <c r="C15" i="11"/>
  <c r="B15" i="11"/>
  <c r="A15" i="11"/>
  <c r="F14" i="11"/>
  <c r="E14" i="11"/>
  <c r="D14" i="11"/>
  <c r="C14" i="11"/>
  <c r="B14" i="11"/>
  <c r="A14" i="11"/>
  <c r="G9" i="11"/>
  <c r="E9" i="11"/>
  <c r="C9" i="11"/>
  <c r="B9" i="11"/>
  <c r="G8" i="11"/>
  <c r="E8" i="11"/>
  <c r="C8" i="11"/>
  <c r="B8" i="11"/>
  <c r="G7" i="11"/>
  <c r="E7" i="11"/>
  <c r="C7" i="11"/>
  <c r="B7" i="11"/>
  <c r="B4" i="11"/>
  <c r="F29" i="10"/>
  <c r="E29" i="10"/>
  <c r="D29" i="10"/>
  <c r="C29" i="10"/>
  <c r="B29" i="10"/>
  <c r="A29" i="10"/>
  <c r="F28" i="10"/>
  <c r="E28" i="10"/>
  <c r="D28" i="10"/>
  <c r="C28" i="10"/>
  <c r="B28" i="10"/>
  <c r="A28" i="10"/>
  <c r="F27" i="10"/>
  <c r="E27" i="10"/>
  <c r="D27" i="10"/>
  <c r="C27" i="10"/>
  <c r="B27" i="10"/>
  <c r="A27" i="10"/>
  <c r="F26" i="10"/>
  <c r="E26" i="10"/>
  <c r="D26" i="10"/>
  <c r="C26" i="10"/>
  <c r="B26" i="10"/>
  <c r="A26" i="10"/>
  <c r="F25" i="10"/>
  <c r="E25" i="10"/>
  <c r="D25" i="10"/>
  <c r="C25" i="10"/>
  <c r="B25" i="10"/>
  <c r="A25" i="10"/>
  <c r="F24" i="10"/>
  <c r="E24" i="10"/>
  <c r="D24" i="10"/>
  <c r="C24" i="10"/>
  <c r="B24" i="10"/>
  <c r="A24" i="10"/>
  <c r="F23" i="10"/>
  <c r="E23" i="10"/>
  <c r="D23" i="10"/>
  <c r="C23" i="10"/>
  <c r="B23" i="10"/>
  <c r="A23" i="10"/>
  <c r="F22" i="10"/>
  <c r="E22" i="10"/>
  <c r="D22" i="10"/>
  <c r="C22" i="10"/>
  <c r="B22" i="10"/>
  <c r="A22" i="10"/>
  <c r="F21" i="10"/>
  <c r="E21" i="10"/>
  <c r="D21" i="10"/>
  <c r="C21" i="10"/>
  <c r="B21" i="10"/>
  <c r="A21" i="10"/>
  <c r="F20" i="10"/>
  <c r="E20" i="10"/>
  <c r="D20" i="10"/>
  <c r="C20" i="10"/>
  <c r="B20" i="10"/>
  <c r="A20" i="10"/>
  <c r="F19" i="10"/>
  <c r="E19" i="10"/>
  <c r="D19" i="10"/>
  <c r="C19" i="10"/>
  <c r="B19" i="10"/>
  <c r="A19" i="10"/>
  <c r="F18" i="10"/>
  <c r="E18" i="10"/>
  <c r="D18" i="10"/>
  <c r="C18" i="10"/>
  <c r="B18" i="10"/>
  <c r="A18" i="10"/>
  <c r="F17" i="10"/>
  <c r="E17" i="10"/>
  <c r="D17" i="10"/>
  <c r="C17" i="10"/>
  <c r="B17" i="10"/>
  <c r="A17" i="10"/>
  <c r="F16" i="10"/>
  <c r="E16" i="10"/>
  <c r="D16" i="10"/>
  <c r="C16" i="10"/>
  <c r="B16" i="10"/>
  <c r="A16" i="10"/>
  <c r="F15" i="10"/>
  <c r="E15" i="10"/>
  <c r="D15" i="10"/>
  <c r="C15" i="10"/>
  <c r="B15" i="10"/>
  <c r="A15" i="10"/>
  <c r="F14" i="10"/>
  <c r="E14" i="10"/>
  <c r="D14" i="10"/>
  <c r="C14" i="10"/>
  <c r="B14" i="10"/>
  <c r="A14" i="10"/>
  <c r="G9" i="10"/>
  <c r="E9" i="10"/>
  <c r="C9" i="10"/>
  <c r="B9" i="10"/>
  <c r="G8" i="10"/>
  <c r="E8" i="10"/>
  <c r="C8" i="10"/>
  <c r="B8" i="10"/>
  <c r="G7" i="10"/>
  <c r="E7" i="10"/>
  <c r="C7" i="10"/>
  <c r="B7" i="10"/>
  <c r="B4" i="10"/>
  <c r="F27" i="9"/>
  <c r="E27" i="9"/>
  <c r="D27" i="9"/>
  <c r="C27" i="9"/>
  <c r="B27" i="9"/>
  <c r="A27" i="9"/>
  <c r="F26" i="9"/>
  <c r="E26" i="9"/>
  <c r="D26" i="9"/>
  <c r="C26" i="9"/>
  <c r="B26" i="9"/>
  <c r="A26" i="9"/>
  <c r="F25" i="9"/>
  <c r="E25" i="9"/>
  <c r="D25" i="9"/>
  <c r="C25" i="9"/>
  <c r="B25" i="9"/>
  <c r="A25" i="9"/>
  <c r="F24" i="9"/>
  <c r="E24" i="9"/>
  <c r="D24" i="9"/>
  <c r="C24" i="9"/>
  <c r="B24" i="9"/>
  <c r="A24" i="9"/>
  <c r="F23" i="9"/>
  <c r="E23" i="9"/>
  <c r="D23" i="9"/>
  <c r="C23" i="9"/>
  <c r="B23" i="9"/>
  <c r="A23" i="9"/>
  <c r="F22" i="9"/>
  <c r="E22" i="9"/>
  <c r="D22" i="9"/>
  <c r="C22" i="9"/>
  <c r="B22" i="9"/>
  <c r="A22" i="9"/>
  <c r="F21" i="9"/>
  <c r="E21" i="9"/>
  <c r="D21" i="9"/>
  <c r="C21" i="9"/>
  <c r="B21" i="9"/>
  <c r="A21" i="9"/>
  <c r="F20" i="9"/>
  <c r="E20" i="9"/>
  <c r="D20" i="9"/>
  <c r="C20" i="9"/>
  <c r="B20" i="9"/>
  <c r="A20" i="9"/>
  <c r="F19" i="9"/>
  <c r="E19" i="9"/>
  <c r="D19" i="9"/>
  <c r="C19" i="9"/>
  <c r="B19" i="9"/>
  <c r="A19" i="9"/>
  <c r="F18" i="9"/>
  <c r="E18" i="9"/>
  <c r="D18" i="9"/>
  <c r="C18" i="9"/>
  <c r="B18" i="9"/>
  <c r="A18" i="9"/>
  <c r="F17" i="9"/>
  <c r="E17" i="9"/>
  <c r="D17" i="9"/>
  <c r="C17" i="9"/>
  <c r="B17" i="9"/>
  <c r="A17" i="9"/>
  <c r="F16" i="9"/>
  <c r="E16" i="9"/>
  <c r="D16" i="9"/>
  <c r="C16" i="9"/>
  <c r="B16" i="9"/>
  <c r="A16" i="9"/>
  <c r="F15" i="9"/>
  <c r="E15" i="9"/>
  <c r="D15" i="9"/>
  <c r="C15" i="9"/>
  <c r="B15" i="9"/>
  <c r="A15" i="9"/>
  <c r="F14" i="9"/>
  <c r="E14" i="9"/>
  <c r="D14" i="9"/>
  <c r="C14" i="9"/>
  <c r="B14" i="9"/>
  <c r="A14" i="9"/>
  <c r="G9" i="9"/>
  <c r="E9" i="9"/>
  <c r="C9" i="9"/>
  <c r="B9" i="9"/>
  <c r="G8" i="9"/>
  <c r="E8" i="9"/>
  <c r="C8" i="9"/>
  <c r="B8" i="9"/>
  <c r="G7" i="9"/>
  <c r="E7" i="9"/>
  <c r="C7" i="9"/>
  <c r="B7" i="9"/>
  <c r="B4" i="9"/>
  <c r="F25" i="8"/>
  <c r="E25" i="8"/>
  <c r="D25" i="8"/>
  <c r="C25" i="8"/>
  <c r="B25" i="8"/>
  <c r="A25" i="8"/>
  <c r="F24" i="8"/>
  <c r="E24" i="8"/>
  <c r="D24" i="8"/>
  <c r="C24" i="8"/>
  <c r="B24" i="8"/>
  <c r="A24" i="8"/>
  <c r="F23" i="8"/>
  <c r="E23" i="8"/>
  <c r="D23" i="8"/>
  <c r="C23" i="8"/>
  <c r="B23" i="8"/>
  <c r="A23" i="8"/>
  <c r="F22" i="8"/>
  <c r="E22" i="8"/>
  <c r="D22" i="8"/>
  <c r="C22" i="8"/>
  <c r="B22" i="8"/>
  <c r="A22" i="8"/>
  <c r="F21" i="8"/>
  <c r="E21" i="8"/>
  <c r="D21" i="8"/>
  <c r="C21" i="8"/>
  <c r="B21" i="8"/>
  <c r="A21" i="8"/>
  <c r="F20" i="8"/>
  <c r="E20" i="8"/>
  <c r="D20" i="8"/>
  <c r="C20" i="8"/>
  <c r="B20" i="8"/>
  <c r="A20" i="8"/>
  <c r="F19" i="8"/>
  <c r="E19" i="8"/>
  <c r="D19" i="8"/>
  <c r="C19" i="8"/>
  <c r="B19" i="8"/>
  <c r="A19" i="8"/>
  <c r="F18" i="8"/>
  <c r="E18" i="8"/>
  <c r="D18" i="8"/>
  <c r="C18" i="8"/>
  <c r="B18" i="8"/>
  <c r="A18" i="8"/>
  <c r="F17" i="8"/>
  <c r="E17" i="8"/>
  <c r="D17" i="8"/>
  <c r="C17" i="8"/>
  <c r="B17" i="8"/>
  <c r="A17" i="8"/>
  <c r="F16" i="8"/>
  <c r="E16" i="8"/>
  <c r="D16" i="8"/>
  <c r="C16" i="8"/>
  <c r="B16" i="8"/>
  <c r="A16" i="8"/>
  <c r="F15" i="8"/>
  <c r="E15" i="8"/>
  <c r="D15" i="8"/>
  <c r="C15" i="8"/>
  <c r="B15" i="8"/>
  <c r="A15" i="8"/>
  <c r="F14" i="8"/>
  <c r="E14" i="8"/>
  <c r="D14" i="8"/>
  <c r="C14" i="8"/>
  <c r="B14" i="8"/>
  <c r="A14" i="8"/>
  <c r="G9" i="8"/>
  <c r="E9" i="8"/>
  <c r="C9" i="8"/>
  <c r="B9" i="8"/>
  <c r="G8" i="8"/>
  <c r="E8" i="8"/>
  <c r="C8" i="8"/>
  <c r="B8" i="8"/>
  <c r="G7" i="8"/>
  <c r="E7" i="8"/>
  <c r="C7" i="8"/>
  <c r="B7" i="8"/>
  <c r="B4" i="8"/>
  <c r="F26" i="7"/>
  <c r="E26" i="7"/>
  <c r="D26" i="7"/>
  <c r="C26" i="7"/>
  <c r="B26" i="7"/>
  <c r="A26" i="7"/>
  <c r="F25" i="7"/>
  <c r="E25" i="7"/>
  <c r="D25" i="7"/>
  <c r="C25" i="7"/>
  <c r="B25" i="7"/>
  <c r="A25" i="7"/>
  <c r="F24" i="7"/>
  <c r="E24" i="7"/>
  <c r="D24" i="7"/>
  <c r="C24" i="7"/>
  <c r="B24" i="7"/>
  <c r="A24" i="7"/>
  <c r="F23" i="7"/>
  <c r="E23" i="7"/>
  <c r="D23" i="7"/>
  <c r="C23" i="7"/>
  <c r="B23" i="7"/>
  <c r="A23" i="7"/>
  <c r="F22" i="7"/>
  <c r="E22" i="7"/>
  <c r="D22" i="7"/>
  <c r="C22" i="7"/>
  <c r="B22" i="7"/>
  <c r="A22" i="7"/>
  <c r="F21" i="7"/>
  <c r="E21" i="7"/>
  <c r="D21" i="7"/>
  <c r="C21" i="7"/>
  <c r="B21" i="7"/>
  <c r="A21" i="7"/>
  <c r="F20" i="7"/>
  <c r="E20" i="7"/>
  <c r="D20" i="7"/>
  <c r="C20" i="7"/>
  <c r="B20" i="7"/>
  <c r="A20" i="7"/>
  <c r="F19" i="7"/>
  <c r="E19" i="7"/>
  <c r="D19" i="7"/>
  <c r="C19" i="7"/>
  <c r="B19" i="7"/>
  <c r="A19" i="7"/>
  <c r="F18" i="7"/>
  <c r="E18" i="7"/>
  <c r="D18" i="7"/>
  <c r="C18" i="7"/>
  <c r="B18" i="7"/>
  <c r="A18" i="7"/>
  <c r="F17" i="7"/>
  <c r="E17" i="7"/>
  <c r="D17" i="7"/>
  <c r="C17" i="7"/>
  <c r="B17" i="7"/>
  <c r="A17" i="7"/>
  <c r="F16" i="7"/>
  <c r="E16" i="7"/>
  <c r="D16" i="7"/>
  <c r="C16" i="7"/>
  <c r="B16" i="7"/>
  <c r="A16" i="7"/>
  <c r="F15" i="7"/>
  <c r="E15" i="7"/>
  <c r="D15" i="7"/>
  <c r="C15" i="7"/>
  <c r="B15" i="7"/>
  <c r="A15" i="7"/>
  <c r="F14" i="7"/>
  <c r="E14" i="7"/>
  <c r="D14" i="7"/>
  <c r="C14" i="7"/>
  <c r="B14" i="7"/>
  <c r="A14" i="7"/>
  <c r="G9" i="7"/>
  <c r="E9" i="7"/>
  <c r="C9" i="7"/>
  <c r="B9" i="7"/>
  <c r="G8" i="7"/>
  <c r="E8" i="7"/>
  <c r="C8" i="7"/>
  <c r="B8" i="7"/>
  <c r="G7" i="7"/>
  <c r="E7" i="7"/>
  <c r="C7" i="7"/>
  <c r="B7" i="7"/>
  <c r="B4" i="7"/>
  <c r="F26" i="6"/>
  <c r="E26" i="6"/>
  <c r="D26" i="6"/>
  <c r="C26" i="6"/>
  <c r="B26" i="6"/>
  <c r="A26" i="6"/>
  <c r="F25" i="6"/>
  <c r="E25" i="6"/>
  <c r="D25" i="6"/>
  <c r="C25" i="6"/>
  <c r="B25" i="6"/>
  <c r="A25" i="6"/>
  <c r="F24" i="6"/>
  <c r="E24" i="6"/>
  <c r="D24" i="6"/>
  <c r="C24" i="6"/>
  <c r="B24" i="6"/>
  <c r="A24" i="6"/>
  <c r="F23" i="6"/>
  <c r="E23" i="6"/>
  <c r="D23" i="6"/>
  <c r="C23" i="6"/>
  <c r="B23" i="6"/>
  <c r="A23" i="6"/>
  <c r="F22" i="6"/>
  <c r="E22" i="6"/>
  <c r="D22" i="6"/>
  <c r="C22" i="6"/>
  <c r="B22" i="6"/>
  <c r="A22" i="6"/>
  <c r="F21" i="6"/>
  <c r="E21" i="6"/>
  <c r="D21" i="6"/>
  <c r="C21" i="6"/>
  <c r="B21" i="6"/>
  <c r="A21" i="6"/>
  <c r="F20" i="6"/>
  <c r="E20" i="6"/>
  <c r="D20" i="6"/>
  <c r="C20" i="6"/>
  <c r="B20" i="6"/>
  <c r="A20" i="6"/>
  <c r="F19" i="6"/>
  <c r="E19" i="6"/>
  <c r="D19" i="6"/>
  <c r="C19" i="6"/>
  <c r="B19" i="6"/>
  <c r="A19" i="6"/>
  <c r="F18" i="6"/>
  <c r="E18" i="6"/>
  <c r="D18" i="6"/>
  <c r="C18" i="6"/>
  <c r="B18" i="6"/>
  <c r="A18" i="6"/>
  <c r="F17" i="6"/>
  <c r="E17" i="6"/>
  <c r="D17" i="6"/>
  <c r="C17" i="6"/>
  <c r="B17" i="6"/>
  <c r="A17" i="6"/>
  <c r="F16" i="6"/>
  <c r="E16" i="6"/>
  <c r="D16" i="6"/>
  <c r="C16" i="6"/>
  <c r="B16" i="6"/>
  <c r="A16" i="6"/>
  <c r="F15" i="6"/>
  <c r="E15" i="6"/>
  <c r="D15" i="6"/>
  <c r="C15" i="6"/>
  <c r="B15" i="6"/>
  <c r="A15" i="6"/>
  <c r="F14" i="6"/>
  <c r="E14" i="6"/>
  <c r="D14" i="6"/>
  <c r="C14" i="6"/>
  <c r="B14" i="6"/>
  <c r="A14" i="6"/>
  <c r="G9" i="6"/>
  <c r="E9" i="6"/>
  <c r="C9" i="6"/>
  <c r="B9" i="6"/>
  <c r="G8" i="6"/>
  <c r="E8" i="6"/>
  <c r="C8" i="6"/>
  <c r="B8" i="6"/>
  <c r="G7" i="6"/>
  <c r="E7" i="6"/>
  <c r="C7" i="6"/>
  <c r="B7" i="6"/>
  <c r="B4" i="6"/>
  <c r="F28" i="5"/>
  <c r="E28" i="5"/>
  <c r="D28" i="5"/>
  <c r="C28" i="5"/>
  <c r="B28" i="5"/>
  <c r="A28" i="5"/>
  <c r="F27" i="5"/>
  <c r="E27" i="5"/>
  <c r="D27" i="5"/>
  <c r="C27" i="5"/>
  <c r="B27" i="5"/>
  <c r="A27" i="5"/>
  <c r="F26" i="5"/>
  <c r="E26" i="5"/>
  <c r="D26" i="5"/>
  <c r="C26" i="5"/>
  <c r="B26" i="5"/>
  <c r="A26" i="5"/>
  <c r="F25" i="5"/>
  <c r="E25" i="5"/>
  <c r="D25" i="5"/>
  <c r="C25" i="5"/>
  <c r="B25" i="5"/>
  <c r="A25" i="5"/>
  <c r="F24" i="5"/>
  <c r="E24" i="5"/>
  <c r="D24" i="5"/>
  <c r="C24" i="5"/>
  <c r="B24" i="5"/>
  <c r="A24" i="5"/>
  <c r="F23" i="5"/>
  <c r="E23" i="5"/>
  <c r="D23" i="5"/>
  <c r="C23" i="5"/>
  <c r="B23" i="5"/>
  <c r="A23" i="5"/>
  <c r="F22" i="5"/>
  <c r="E22" i="5"/>
  <c r="D22" i="5"/>
  <c r="C22" i="5"/>
  <c r="B22" i="5"/>
  <c r="A22" i="5"/>
  <c r="F21" i="5"/>
  <c r="E21" i="5"/>
  <c r="D21" i="5"/>
  <c r="C21" i="5"/>
  <c r="B21" i="5"/>
  <c r="A21" i="5"/>
  <c r="F20" i="5"/>
  <c r="E20" i="5"/>
  <c r="D20" i="5"/>
  <c r="C20" i="5"/>
  <c r="B20" i="5"/>
  <c r="A20" i="5"/>
  <c r="F19" i="5"/>
  <c r="E19" i="5"/>
  <c r="D19" i="5"/>
  <c r="C19" i="5"/>
  <c r="B19" i="5"/>
  <c r="A19" i="5"/>
  <c r="F18" i="5"/>
  <c r="E18" i="5"/>
  <c r="D18" i="5"/>
  <c r="C18" i="5"/>
  <c r="B18" i="5"/>
  <c r="A18" i="5"/>
  <c r="F17" i="5"/>
  <c r="E17" i="5"/>
  <c r="D17" i="5"/>
  <c r="C17" i="5"/>
  <c r="B17" i="5"/>
  <c r="A17" i="5"/>
  <c r="F16" i="5"/>
  <c r="E16" i="5"/>
  <c r="D16" i="5"/>
  <c r="C16" i="5"/>
  <c r="B16" i="5"/>
  <c r="A16" i="5"/>
  <c r="F15" i="5"/>
  <c r="E15" i="5"/>
  <c r="D15" i="5"/>
  <c r="C15" i="5"/>
  <c r="B15" i="5"/>
  <c r="A15" i="5"/>
  <c r="F14" i="5"/>
  <c r="E14" i="5"/>
  <c r="D14" i="5"/>
  <c r="C14" i="5"/>
  <c r="B14" i="5"/>
  <c r="A14" i="5"/>
  <c r="G9" i="5"/>
  <c r="E9" i="5"/>
  <c r="C9" i="5"/>
  <c r="B9" i="5"/>
  <c r="G8" i="5"/>
  <c r="E8" i="5"/>
  <c r="C8" i="5"/>
  <c r="B8" i="5"/>
  <c r="G7" i="5"/>
  <c r="E7" i="5"/>
  <c r="C7" i="5"/>
  <c r="B7" i="5"/>
  <c r="B4" i="5"/>
  <c r="F25" i="4"/>
  <c r="E25" i="4"/>
  <c r="D25" i="4"/>
  <c r="C25" i="4"/>
  <c r="B25" i="4"/>
  <c r="A25" i="4"/>
  <c r="F24" i="4"/>
  <c r="E24" i="4"/>
  <c r="D24" i="4"/>
  <c r="C24" i="4"/>
  <c r="B24" i="4"/>
  <c r="A24" i="4"/>
  <c r="F23" i="4"/>
  <c r="E23" i="4"/>
  <c r="D23" i="4"/>
  <c r="C23" i="4"/>
  <c r="B23" i="4"/>
  <c r="A23" i="4"/>
  <c r="F22" i="4"/>
  <c r="E22" i="4"/>
  <c r="D22" i="4"/>
  <c r="C22" i="4"/>
  <c r="B22" i="4"/>
  <c r="A22" i="4"/>
  <c r="F21" i="4"/>
  <c r="E21" i="4"/>
  <c r="D21" i="4"/>
  <c r="C21" i="4"/>
  <c r="B21" i="4"/>
  <c r="A21" i="4"/>
  <c r="F20" i="4"/>
  <c r="E20" i="4"/>
  <c r="D20" i="4"/>
  <c r="C20" i="4"/>
  <c r="B20" i="4"/>
  <c r="A20" i="4"/>
  <c r="F19" i="4"/>
  <c r="E19" i="4"/>
  <c r="D19" i="4"/>
  <c r="C19" i="4"/>
  <c r="B19" i="4"/>
  <c r="A19" i="4"/>
  <c r="F18" i="4"/>
  <c r="E18" i="4"/>
  <c r="D18" i="4"/>
  <c r="C18" i="4"/>
  <c r="B18" i="4"/>
  <c r="A18" i="4"/>
  <c r="F17" i="4"/>
  <c r="E17" i="4"/>
  <c r="D17" i="4"/>
  <c r="C17" i="4"/>
  <c r="B17" i="4"/>
  <c r="A17" i="4"/>
  <c r="F16" i="4"/>
  <c r="E16" i="4"/>
  <c r="D16" i="4"/>
  <c r="C16" i="4"/>
  <c r="B16" i="4"/>
  <c r="A16" i="4"/>
  <c r="F15" i="4"/>
  <c r="E15" i="4"/>
  <c r="D15" i="4"/>
  <c r="C15" i="4"/>
  <c r="B15" i="4"/>
  <c r="A15" i="4"/>
  <c r="F14" i="4"/>
  <c r="E14" i="4"/>
  <c r="D14" i="4"/>
  <c r="C14" i="4"/>
  <c r="B14" i="4"/>
  <c r="A14" i="4"/>
  <c r="G9" i="4"/>
  <c r="E9" i="4"/>
  <c r="C9" i="4"/>
  <c r="B9" i="4"/>
  <c r="G8" i="4"/>
  <c r="E8" i="4"/>
  <c r="C8" i="4"/>
  <c r="B8" i="4"/>
  <c r="G7" i="4"/>
  <c r="E7" i="4"/>
  <c r="C7" i="4"/>
  <c r="B7" i="4"/>
  <c r="B4" i="4"/>
  <c r="F27" i="3"/>
  <c r="E27" i="3"/>
  <c r="D27" i="3"/>
  <c r="C27" i="3"/>
  <c r="B27" i="3"/>
  <c r="A27" i="3"/>
  <c r="F26" i="3"/>
  <c r="E26" i="3"/>
  <c r="D26" i="3"/>
  <c r="C26" i="3"/>
  <c r="B26" i="3"/>
  <c r="A26" i="3"/>
  <c r="F25" i="3"/>
  <c r="E25" i="3"/>
  <c r="D25" i="3"/>
  <c r="C25" i="3"/>
  <c r="B25" i="3"/>
  <c r="A25" i="3"/>
  <c r="F24" i="3"/>
  <c r="E24" i="3"/>
  <c r="D24" i="3"/>
  <c r="C24" i="3"/>
  <c r="B24" i="3"/>
  <c r="A24" i="3"/>
  <c r="F23" i="3"/>
  <c r="E23" i="3"/>
  <c r="D23" i="3"/>
  <c r="C23" i="3"/>
  <c r="B23" i="3"/>
  <c r="A23" i="3"/>
  <c r="F22" i="3"/>
  <c r="E22" i="3"/>
  <c r="D22" i="3"/>
  <c r="C22" i="3"/>
  <c r="B22" i="3"/>
  <c r="A22" i="3"/>
  <c r="F21" i="3"/>
  <c r="E21" i="3"/>
  <c r="D21" i="3"/>
  <c r="C21" i="3"/>
  <c r="B21" i="3"/>
  <c r="A21" i="3"/>
  <c r="F20" i="3"/>
  <c r="E20" i="3"/>
  <c r="D20" i="3"/>
  <c r="C20" i="3"/>
  <c r="B20" i="3"/>
  <c r="A20" i="3"/>
  <c r="F19" i="3"/>
  <c r="E19" i="3"/>
  <c r="D19" i="3"/>
  <c r="C19" i="3"/>
  <c r="B19" i="3"/>
  <c r="A19" i="3"/>
  <c r="F18" i="3"/>
  <c r="E18" i="3"/>
  <c r="D18" i="3"/>
  <c r="C18" i="3"/>
  <c r="B18" i="3"/>
  <c r="A18" i="3"/>
  <c r="F17" i="3"/>
  <c r="E17" i="3"/>
  <c r="D17" i="3"/>
  <c r="C17" i="3"/>
  <c r="B17" i="3"/>
  <c r="A17" i="3"/>
  <c r="F16" i="3"/>
  <c r="E16" i="3"/>
  <c r="D16" i="3"/>
  <c r="C16" i="3"/>
  <c r="B16" i="3"/>
  <c r="A16" i="3"/>
  <c r="F15" i="3"/>
  <c r="E15" i="3"/>
  <c r="D15" i="3"/>
  <c r="C15" i="3"/>
  <c r="B15" i="3"/>
  <c r="A15" i="3"/>
  <c r="F14" i="3"/>
  <c r="E14" i="3"/>
  <c r="D14" i="3"/>
  <c r="C14" i="3"/>
  <c r="B14" i="3"/>
  <c r="A14" i="3"/>
  <c r="G9" i="3"/>
  <c r="E9" i="3"/>
  <c r="C9" i="3"/>
  <c r="B9" i="3"/>
  <c r="G8" i="3"/>
  <c r="E8" i="3"/>
  <c r="C8" i="3"/>
  <c r="B8" i="3"/>
  <c r="G7" i="3"/>
  <c r="E7" i="3"/>
  <c r="C7" i="3"/>
  <c r="B7" i="3"/>
  <c r="B4" i="3"/>
  <c r="L94" i="2"/>
  <c r="L92" i="2"/>
  <c r="L90" i="2"/>
  <c r="L86" i="2"/>
  <c r="L84" i="2"/>
  <c r="L80" i="2"/>
  <c r="L78" i="2"/>
  <c r="L74" i="2"/>
  <c r="L62" i="2"/>
  <c r="L60" i="2"/>
  <c r="L58" i="2"/>
  <c r="L54" i="2"/>
  <c r="L52" i="2"/>
  <c r="L48" i="2"/>
  <c r="L44" i="2"/>
  <c r="L42" i="2"/>
  <c r="L31" i="2"/>
  <c r="L29" i="2"/>
  <c r="L27" i="2"/>
  <c r="L23" i="2"/>
  <c r="L21" i="2"/>
  <c r="L19" i="2"/>
  <c r="L15" i="2"/>
  <c r="L13" i="2"/>
  <c r="H26" i="1"/>
  <c r="G26" i="1"/>
  <c r="H25" i="1"/>
  <c r="G25" i="1"/>
  <c r="H24" i="1"/>
  <c r="G24" i="1"/>
  <c r="B24" i="1"/>
</calcChain>
</file>

<file path=xl/sharedStrings.xml><?xml version="1.0" encoding="utf-8"?>
<sst xmlns="http://schemas.openxmlformats.org/spreadsheetml/2006/main" count="434" uniqueCount="70">
  <si>
    <t xml:space="preserve"> </t>
  </si>
  <si>
    <t>2025 TOURNAMENT - PLAYER INFORMATION</t>
  </si>
  <si>
    <t>DIVISION 1</t>
  </si>
  <si>
    <t>DIVISION 2A</t>
  </si>
  <si>
    <t>DIVISION 2B</t>
  </si>
  <si>
    <t>AVALANCHE</t>
  </si>
  <si>
    <t>CANUCKS</t>
  </si>
  <si>
    <t>BLUES</t>
  </si>
  <si>
    <t>BRUINS</t>
  </si>
  <si>
    <t>FLAMES</t>
  </si>
  <si>
    <t>KRAKEN</t>
  </si>
  <si>
    <t>FLYERS</t>
  </si>
  <si>
    <t>JETS</t>
  </si>
  <si>
    <t>LEAFS</t>
  </si>
  <si>
    <t>KNIGHTS</t>
  </si>
  <si>
    <t>KINGS</t>
  </si>
  <si>
    <t>OILERS</t>
  </si>
  <si>
    <t>RANGERS</t>
  </si>
  <si>
    <t>STARS</t>
  </si>
  <si>
    <t>WINGS</t>
  </si>
  <si>
    <t>WILD</t>
  </si>
  <si>
    <r>
      <rPr>
        <b/>
        <sz val="20"/>
        <color rgb="FFFFFFFF"/>
        <rFont val="Arial"/>
      </rPr>
      <t xml:space="preserve">Don't forget to bring </t>
    </r>
    <r>
      <rPr>
        <b/>
        <sz val="30"/>
        <color rgb="FFFFFFFF"/>
        <rFont val="Arial"/>
      </rPr>
      <t>💲</t>
    </r>
    <r>
      <rPr>
        <b/>
        <sz val="20"/>
        <color rgb="FFFFFFFF"/>
        <rFont val="Arial"/>
      </rPr>
      <t>up to The Bench to buy your food tickets and Silent Auction items!!</t>
    </r>
  </si>
  <si>
    <t>First Name</t>
  </si>
  <si>
    <t>Last Name</t>
  </si>
  <si>
    <t xml:space="preserve">Find your Team &amp; Captain </t>
  </si>
  <si>
    <r>
      <rPr>
        <b/>
        <u/>
        <sz val="14"/>
        <color rgb="FFFF0000"/>
        <rFont val="Arial"/>
      </rPr>
      <t>Click if you can't find your name - and then blame your Team Coordinator</t>
    </r>
    <r>
      <rPr>
        <b/>
        <u/>
        <sz val="14"/>
        <color rgb="FF000000"/>
        <rFont val="Arial"/>
      </rPr>
      <t xml:space="preserve"> 😁</t>
    </r>
  </si>
  <si>
    <t>Captain</t>
  </si>
  <si>
    <t>Team</t>
  </si>
  <si>
    <t>Name</t>
  </si>
  <si>
    <t>Phone</t>
  </si>
  <si>
    <t>Email</t>
  </si>
  <si>
    <t>SCHEDULE</t>
  </si>
  <si>
    <t>INSTRUCTIONS:</t>
  </si>
  <si>
    <t>1) To find your Team, Captain &amp; Captain's contact info, enter your first and last name in the Yellow Boxes above.</t>
  </si>
  <si>
    <r>
      <rPr>
        <b/>
        <sz val="12"/>
        <color theme="1"/>
        <rFont val="Arial"/>
      </rPr>
      <t xml:space="preserve">2) To see who is on your team, the team you're playing against, or any other team, place your cursor over the team name in the tables above and click the link. To return,  place your cursor over  </t>
    </r>
    <r>
      <rPr>
        <b/>
        <u/>
        <sz val="12"/>
        <color rgb="FFFF0000"/>
        <rFont val="Arial"/>
      </rPr>
      <t>Back to Lookup</t>
    </r>
    <r>
      <rPr>
        <b/>
        <sz val="12"/>
        <color theme="1"/>
        <rFont val="Arial"/>
      </rPr>
      <t xml:space="preserve"> and click </t>
    </r>
    <r>
      <rPr>
        <b/>
        <sz val="12"/>
        <color rgb="FF4A86E8"/>
        <rFont val="Arial"/>
      </rPr>
      <t>LOOKUP</t>
    </r>
    <r>
      <rPr>
        <b/>
        <sz val="12"/>
        <color theme="1"/>
        <rFont val="Arial"/>
      </rPr>
      <t>.</t>
    </r>
  </si>
  <si>
    <r>
      <rPr>
        <b/>
        <sz val="12"/>
        <color theme="1"/>
        <rFont val="Arial"/>
      </rPr>
      <t xml:space="preserve">3) Each team page shows that team's game schedule. To see the Tournament Schedule, place your cursor over </t>
    </r>
    <r>
      <rPr>
        <b/>
        <u/>
        <sz val="12"/>
        <color rgb="FF4A86E8"/>
        <rFont val="Arial"/>
      </rPr>
      <t>SCHEDULE</t>
    </r>
    <r>
      <rPr>
        <b/>
        <sz val="12"/>
        <color theme="1"/>
        <rFont val="Arial"/>
      </rPr>
      <t xml:space="preserve"> above and click the </t>
    </r>
    <r>
      <rPr>
        <b/>
        <sz val="12"/>
        <color rgb="FF4A86E8"/>
        <rFont val="Arial"/>
      </rPr>
      <t xml:space="preserve">SCHEDULE </t>
    </r>
    <r>
      <rPr>
        <b/>
        <sz val="12"/>
        <color theme="1"/>
        <rFont val="Arial"/>
      </rPr>
      <t xml:space="preserve">link. To return, place your cursor over </t>
    </r>
    <r>
      <rPr>
        <b/>
        <u/>
        <sz val="12"/>
        <color rgb="FFFF0000"/>
        <rFont val="Arial"/>
      </rPr>
      <t>Back to Lookup</t>
    </r>
    <r>
      <rPr>
        <b/>
        <sz val="12"/>
        <color theme="1"/>
        <rFont val="Arial"/>
      </rPr>
      <t xml:space="preserve"> and click the </t>
    </r>
    <r>
      <rPr>
        <b/>
        <sz val="12"/>
        <color rgb="FF4A86E8"/>
        <rFont val="Arial"/>
      </rPr>
      <t>LOOKUP</t>
    </r>
    <r>
      <rPr>
        <b/>
        <sz val="12"/>
        <color theme="1"/>
        <rFont val="Arial"/>
      </rPr>
      <t xml:space="preserve"> link</t>
    </r>
  </si>
  <si>
    <t>Back to LookUp</t>
  </si>
  <si>
    <t>2024 CALGARY 55+ CHARITY HOCKEY TOURNAMENT</t>
  </si>
  <si>
    <t>CHECK MONITORS FOR DRESSING ROOMS</t>
  </si>
  <si>
    <t>** BLUES DRESS IN FAR DRESSING ROOM **</t>
  </si>
  <si>
    <t>RINK</t>
  </si>
  <si>
    <t>TIME</t>
  </si>
  <si>
    <t>WHITES</t>
  </si>
  <si>
    <t>RINK 2</t>
  </si>
  <si>
    <t>11:00 – 12:15</t>
  </si>
  <si>
    <t>vs</t>
  </si>
  <si>
    <t>12:30 – 1:45</t>
  </si>
  <si>
    <t>RINK 3</t>
  </si>
  <si>
    <t>9:00 – 10:15</t>
  </si>
  <si>
    <t>10:30 – 11:45</t>
  </si>
  <si>
    <t>12:00 – 1:15</t>
  </si>
  <si>
    <t>RINK 4</t>
  </si>
  <si>
    <t>9:15 – 10:30</t>
  </si>
  <si>
    <t>10:45 – 12:00</t>
  </si>
  <si>
    <t>12:15 – 1:30</t>
  </si>
  <si>
    <t xml:space="preserve">RINK 1 </t>
  </si>
  <si>
    <t>RINK 1</t>
  </si>
  <si>
    <t>11:45 – 1:00</t>
  </si>
  <si>
    <t>CAPTAIN:</t>
  </si>
  <si>
    <t>Back to Lookup</t>
  </si>
  <si>
    <t>Day</t>
  </si>
  <si>
    <t>Game Time &amp; Colour</t>
  </si>
  <si>
    <t>Opponent</t>
  </si>
  <si>
    <t>Ice</t>
  </si>
  <si>
    <t>MON</t>
  </si>
  <si>
    <t>TUE</t>
  </si>
  <si>
    <t>WED</t>
  </si>
  <si>
    <t>PLAYING</t>
  </si>
  <si>
    <t>PLAYER</t>
  </si>
  <si>
    <t>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</si>
</sst>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dd\ mmm\ d\ yyyy"/>
    <numFmt numFmtId="165" formatCode="mmm&quot; &quot;d"/>
  </numFmts>
  <fonts count="68" x14ac:knownFonts="1">
    <font>
      <sz val="10"/>
      <color rgb="FF000000"/>
      <name val="Arial"/>
      <scheme val="minor"/>
    </font>
    <font>
      <b/>
      <sz val="12"/>
      <color theme="1"/>
      <name val="Arial"/>
    </font>
    <font>
      <b/>
      <sz val="28"/>
      <color theme="1"/>
      <name val="Arial"/>
    </font>
    <font>
      <sz val="10"/>
      <name val="Arial"/>
    </font>
    <font>
      <b/>
      <sz val="15"/>
      <color theme="1"/>
      <name val="Arial"/>
      <scheme val="minor"/>
    </font>
    <font>
      <b/>
      <u/>
      <sz val="18"/>
      <color rgb="FFFFFFFF"/>
      <name val="Arial"/>
    </font>
    <font>
      <b/>
      <u/>
      <sz val="18"/>
      <color rgb="FFFFFFFF"/>
      <name val="Arial"/>
    </font>
    <font>
      <b/>
      <u/>
      <sz val="18"/>
      <color rgb="FFFFFFFF"/>
      <name val="Arial"/>
    </font>
    <font>
      <b/>
      <u/>
      <sz val="18"/>
      <color rgb="FFFFFFFF"/>
      <name val="Arial"/>
    </font>
    <font>
      <b/>
      <u/>
      <sz val="18"/>
      <color rgb="FFFFFFFF"/>
      <name val="Arial"/>
    </font>
    <font>
      <b/>
      <sz val="20"/>
      <color rgb="FFFFFFFF"/>
      <name val="Arial"/>
    </font>
    <font>
      <b/>
      <sz val="14"/>
      <color theme="1"/>
      <name val="Arial"/>
    </font>
    <font>
      <b/>
      <sz val="15"/>
      <color theme="1"/>
      <name val="Arial"/>
    </font>
    <font>
      <sz val="10"/>
      <color theme="1"/>
      <name val="Arial"/>
    </font>
    <font>
      <b/>
      <u/>
      <sz val="14"/>
      <color rgb="FFFF0000"/>
      <name val="Arial"/>
    </font>
    <font>
      <b/>
      <sz val="13"/>
      <color theme="1"/>
      <name val="Arial"/>
    </font>
    <font>
      <sz val="13"/>
      <color theme="1"/>
      <name val="Arial"/>
      <scheme val="minor"/>
    </font>
    <font>
      <sz val="13"/>
      <color rgb="FFFFFFFF"/>
      <name val="Arial"/>
      <scheme val="minor"/>
    </font>
    <font>
      <b/>
      <u/>
      <sz val="30"/>
      <color rgb="FF0000FF"/>
      <name val="Arial"/>
    </font>
    <font>
      <b/>
      <sz val="20"/>
      <color theme="1"/>
      <name val="Arial"/>
    </font>
    <font>
      <b/>
      <u/>
      <sz val="20"/>
      <color rgb="FF0000FF"/>
      <name val="Arial"/>
    </font>
    <font>
      <b/>
      <sz val="18"/>
      <color rgb="FFFF0000"/>
      <name val="Arial"/>
    </font>
    <font>
      <sz val="18"/>
      <color rgb="FFFF0000"/>
      <name val="Arial"/>
    </font>
    <font>
      <b/>
      <u/>
      <sz val="14"/>
      <color rgb="FFFF0000"/>
      <name val="Arial"/>
    </font>
    <font>
      <b/>
      <u/>
      <sz val="14"/>
      <color rgb="FFFF0000"/>
      <name val="Arial"/>
    </font>
    <font>
      <b/>
      <sz val="23"/>
      <color rgb="FF000000"/>
      <name val="Arial"/>
    </font>
    <font>
      <b/>
      <u/>
      <sz val="14"/>
      <color rgb="FFFF0000"/>
      <name val="Arial"/>
    </font>
    <font>
      <b/>
      <u/>
      <sz val="14"/>
      <color rgb="FFFF0000"/>
      <name val="Arial"/>
    </font>
    <font>
      <b/>
      <u/>
      <sz val="14"/>
      <color rgb="FFFF0000"/>
      <name val="Arial"/>
    </font>
    <font>
      <b/>
      <u/>
      <sz val="14"/>
      <color rgb="FFFF0000"/>
      <name val="Arial"/>
    </font>
    <font>
      <b/>
      <u/>
      <sz val="14"/>
      <color rgb="FFFF0000"/>
      <name val="Arial"/>
    </font>
    <font>
      <sz val="14"/>
      <color theme="1"/>
      <name val="Arial"/>
    </font>
    <font>
      <b/>
      <u/>
      <sz val="14"/>
      <color rgb="FFFF0000"/>
      <name val="Arial"/>
    </font>
    <font>
      <b/>
      <u/>
      <sz val="14"/>
      <color rgb="FFFF0000"/>
      <name val="Arial"/>
    </font>
    <font>
      <b/>
      <u/>
      <sz val="14"/>
      <color rgb="FFFF0000"/>
      <name val="Arial"/>
    </font>
    <font>
      <b/>
      <sz val="14"/>
      <color rgb="FFFF0000"/>
      <name val="Arial"/>
    </font>
    <font>
      <b/>
      <u/>
      <sz val="14"/>
      <color rgb="FFFF0000"/>
      <name val="Arial"/>
    </font>
    <font>
      <b/>
      <sz val="14"/>
      <color rgb="FF0000FF"/>
      <name val="Arial"/>
    </font>
    <font>
      <sz val="14"/>
      <color rgb="FF0000FF"/>
      <name val="Arial"/>
    </font>
    <font>
      <b/>
      <u/>
      <sz val="14"/>
      <color rgb="FFFF0000"/>
      <name val="Arial"/>
    </font>
    <font>
      <b/>
      <sz val="11"/>
      <color theme="1"/>
      <name val="Arial"/>
    </font>
    <font>
      <b/>
      <sz val="14"/>
      <color rgb="FF000000"/>
      <name val="Arial"/>
    </font>
    <font>
      <b/>
      <sz val="14"/>
      <color rgb="FFFFFFFF"/>
      <name val="Arial"/>
    </font>
    <font>
      <b/>
      <sz val="12"/>
      <color rgb="FF000000"/>
      <name val="Arial"/>
    </font>
    <font>
      <b/>
      <sz val="12"/>
      <color rgb="FF0000FF"/>
      <name val="Arial"/>
    </font>
    <font>
      <sz val="12"/>
      <color rgb="FF000000"/>
      <name val="Arial"/>
    </font>
    <font>
      <b/>
      <sz val="10"/>
      <color rgb="FF000000"/>
      <name val="Arial"/>
    </font>
    <font>
      <b/>
      <sz val="10"/>
      <color rgb="FF0000FF"/>
      <name val="Arial"/>
    </font>
    <font>
      <b/>
      <u/>
      <sz val="14"/>
      <color rgb="FFFF0000"/>
      <name val="Arial"/>
    </font>
    <font>
      <b/>
      <u/>
      <sz val="14"/>
      <color rgb="FFFF0000"/>
      <name val="Arial"/>
    </font>
    <font>
      <b/>
      <u/>
      <sz val="14"/>
      <color rgb="FFFF0000"/>
      <name val="Arial"/>
    </font>
    <font>
      <b/>
      <u/>
      <sz val="14"/>
      <color rgb="FFFF0000"/>
      <name val="Arial"/>
    </font>
    <font>
      <b/>
      <u/>
      <sz val="14"/>
      <color rgb="FFFF0000"/>
      <name val="Arial"/>
    </font>
    <font>
      <b/>
      <u/>
      <sz val="14"/>
      <color rgb="FFFF0000"/>
      <name val="Arial"/>
    </font>
    <font>
      <b/>
      <u/>
      <sz val="14"/>
      <color rgb="FFFF0000"/>
      <name val="Arial"/>
    </font>
    <font>
      <b/>
      <u/>
      <sz val="9"/>
      <color theme="1"/>
      <name val="Arial"/>
    </font>
    <font>
      <b/>
      <u/>
      <sz val="9"/>
      <color theme="1"/>
      <name val="Arial"/>
    </font>
    <font>
      <b/>
      <sz val="38"/>
      <color rgb="FFFFFFFF"/>
      <name val="Arial"/>
    </font>
    <font>
      <b/>
      <sz val="16"/>
      <color rgb="FF000000"/>
      <name val="Arial"/>
    </font>
    <font>
      <b/>
      <u/>
      <sz val="12"/>
      <color rgb="FFFF0000"/>
      <name val="Arial"/>
    </font>
    <font>
      <b/>
      <sz val="13"/>
      <color rgb="FF000000"/>
      <name val="Arial"/>
    </font>
    <font>
      <sz val="12"/>
      <color theme="1"/>
      <name val="Arial"/>
    </font>
    <font>
      <b/>
      <u/>
      <sz val="12"/>
      <color theme="1"/>
      <name val="Arial"/>
    </font>
    <font>
      <b/>
      <sz val="16"/>
      <color theme="1"/>
      <name val="Arial"/>
    </font>
    <font>
      <b/>
      <sz val="30"/>
      <color rgb="FFFFFFFF"/>
      <name val="Arial"/>
    </font>
    <font>
      <b/>
      <u/>
      <sz val="14"/>
      <color rgb="FF000000"/>
      <name val="Arial"/>
    </font>
    <font>
      <b/>
      <sz val="12"/>
      <color rgb="FF4A86E8"/>
      <name val="Arial"/>
    </font>
    <font>
      <b/>
      <u/>
      <sz val="12"/>
      <color rgb="FF4A86E8"/>
      <name val="Arial"/>
    </font>
  </fonts>
  <fills count="15">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4A86E8"/>
        <bgColor rgb="FF4A86E8"/>
      </patternFill>
    </fill>
    <fill>
      <patternFill patternType="solid">
        <fgColor rgb="FFFF0000"/>
        <bgColor rgb="FFFF0000"/>
      </patternFill>
    </fill>
    <fill>
      <patternFill patternType="solid">
        <fgColor rgb="FF6AA84F"/>
        <bgColor rgb="FF6AA84F"/>
      </patternFill>
    </fill>
    <fill>
      <patternFill patternType="solid">
        <fgColor rgb="FFFFFF00"/>
        <bgColor rgb="FFFFFF00"/>
      </patternFill>
    </fill>
    <fill>
      <patternFill patternType="solid">
        <fgColor rgb="FFD9D9D9"/>
        <bgColor rgb="FFD9D9D9"/>
      </patternFill>
    </fill>
    <fill>
      <patternFill patternType="solid">
        <fgColor rgb="FFF1C232"/>
        <bgColor rgb="FFF1C232"/>
      </patternFill>
    </fill>
    <fill>
      <patternFill patternType="solid">
        <fgColor rgb="FF000000"/>
        <bgColor rgb="FF000000"/>
      </patternFill>
    </fill>
    <fill>
      <patternFill patternType="solid">
        <fgColor rgb="FFCCCCCC"/>
        <bgColor rgb="FFCCCCCC"/>
      </patternFill>
    </fill>
    <fill>
      <patternFill patternType="solid">
        <fgColor rgb="FFA4C2F4"/>
        <bgColor rgb="FFA4C2F4"/>
      </patternFill>
    </fill>
    <fill>
      <patternFill patternType="solid">
        <fgColor rgb="FFDD7E6B"/>
        <bgColor rgb="FFDD7E6B"/>
      </patternFill>
    </fill>
    <fill>
      <patternFill patternType="solid">
        <fgColor rgb="FF93C47D"/>
        <bgColor rgb="FF93C47D"/>
      </patternFill>
    </fill>
  </fills>
  <borders count="132">
    <border>
      <left/>
      <right/>
      <top/>
      <bottom/>
      <diagonal/>
    </border>
    <border>
      <left style="double">
        <color rgb="FFFFFFFF"/>
      </left>
      <right style="double">
        <color rgb="FFFFFFFF"/>
      </right>
      <top style="double">
        <color rgb="FFFFFFFF"/>
      </top>
      <bottom style="double">
        <color rgb="FFFFFFFF"/>
      </bottom>
      <diagonal/>
    </border>
    <border>
      <left style="double">
        <color rgb="FFFFFFFF"/>
      </left>
      <right style="double">
        <color rgb="FFFFFFFF"/>
      </right>
      <top/>
      <bottom/>
      <diagonal/>
    </border>
    <border>
      <left style="double">
        <color rgb="FFFFFFFF"/>
      </left>
      <right/>
      <top style="double">
        <color rgb="FFFFFFFF"/>
      </top>
      <bottom style="double">
        <color rgb="FFFFFFFF"/>
      </bottom>
      <diagonal/>
    </border>
    <border>
      <left style="double">
        <color rgb="FF000000"/>
      </left>
      <right style="thick">
        <color rgb="FFFFE599"/>
      </right>
      <top style="double">
        <color rgb="FF000000"/>
      </top>
      <bottom style="thick">
        <color rgb="FFFFE599"/>
      </bottom>
      <diagonal/>
    </border>
    <border>
      <left style="thick">
        <color rgb="FFFFE599"/>
      </left>
      <right style="thick">
        <color rgb="FFFFE599"/>
      </right>
      <top style="double">
        <color rgb="FF000000"/>
      </top>
      <bottom style="thick">
        <color rgb="FFFFE599"/>
      </bottom>
      <diagonal/>
    </border>
    <border>
      <left style="thick">
        <color rgb="FFFFE599"/>
      </left>
      <right style="double">
        <color rgb="FF000000"/>
      </right>
      <top style="double">
        <color rgb="FF000000"/>
      </top>
      <bottom style="thick">
        <color rgb="FFFFE599"/>
      </bottom>
      <diagonal/>
    </border>
    <border>
      <left style="double">
        <color rgb="FF000000"/>
      </left>
      <right/>
      <top/>
      <bottom/>
      <diagonal/>
    </border>
    <border>
      <left/>
      <right style="double">
        <color rgb="FF000000"/>
      </right>
      <top/>
      <bottom/>
      <diagonal/>
    </border>
    <border>
      <left style="double">
        <color rgb="FF000000"/>
      </left>
      <right/>
      <top style="thick">
        <color rgb="FFFFE599"/>
      </top>
      <bottom style="thick">
        <color rgb="FFFFE599"/>
      </bottom>
      <diagonal/>
    </border>
    <border>
      <left/>
      <right/>
      <top style="thick">
        <color rgb="FFFFE599"/>
      </top>
      <bottom style="thick">
        <color rgb="FFFFE599"/>
      </bottom>
      <diagonal/>
    </border>
    <border>
      <left/>
      <right style="double">
        <color rgb="FF000000"/>
      </right>
      <top style="thick">
        <color rgb="FFFFE599"/>
      </top>
      <bottom style="thick">
        <color rgb="FFFFE599"/>
      </bottom>
      <diagonal/>
    </border>
    <border>
      <left style="double">
        <color rgb="FF000000"/>
      </left>
      <right style="thick">
        <color rgb="FFFFE599"/>
      </right>
      <top style="thick">
        <color rgb="FFFFE599"/>
      </top>
      <bottom style="thick">
        <color rgb="FFFFE599"/>
      </bottom>
      <diagonal/>
    </border>
    <border>
      <left style="thick">
        <color rgb="FFFFE599"/>
      </left>
      <right style="thick">
        <color rgb="FF000000"/>
      </right>
      <top style="thick">
        <color rgb="FFFFE599"/>
      </top>
      <bottom style="thick">
        <color rgb="FFFFE599"/>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bottom style="thin">
        <color rgb="FF000000"/>
      </bottom>
      <diagonal/>
    </border>
    <border>
      <left/>
      <right style="thick">
        <color rgb="FF000000"/>
      </right>
      <top/>
      <bottom style="thin">
        <color rgb="FF000000"/>
      </bottom>
      <diagonal/>
    </border>
    <border>
      <left style="thick">
        <color rgb="FF000000"/>
      </left>
      <right style="thick">
        <color rgb="FF000000"/>
      </right>
      <top style="thin">
        <color rgb="FF000000"/>
      </top>
      <bottom style="thin">
        <color rgb="FF000000"/>
      </bottom>
      <diagonal/>
    </border>
    <border>
      <left/>
      <right style="double">
        <color rgb="FF000000"/>
      </right>
      <top/>
      <bottom style="thick">
        <color rgb="FFFFE599"/>
      </bottom>
      <diagonal/>
    </border>
    <border>
      <left style="thick">
        <color rgb="FF000000"/>
      </left>
      <right style="thick">
        <color rgb="FF000000"/>
      </right>
      <top style="thin">
        <color rgb="FF000000"/>
      </top>
      <bottom style="thick">
        <color rgb="FF000000"/>
      </bottom>
      <diagonal/>
    </border>
    <border>
      <left/>
      <right style="thick">
        <color rgb="FFFFE599"/>
      </right>
      <top/>
      <bottom style="thick">
        <color rgb="FFFFE599"/>
      </bottom>
      <diagonal/>
    </border>
    <border>
      <left/>
      <right style="thick">
        <color rgb="FFFFE599"/>
      </right>
      <top style="thick">
        <color rgb="FFFFE599"/>
      </top>
      <bottom style="thick">
        <color rgb="FFFFE599"/>
      </bottom>
      <diagonal/>
    </border>
    <border>
      <left style="double">
        <color rgb="FF000000"/>
      </left>
      <right/>
      <top style="thick">
        <color rgb="FFFFE599"/>
      </top>
      <bottom/>
      <diagonal/>
    </border>
    <border>
      <left style="thick">
        <color rgb="FFFFE599"/>
      </left>
      <right style="thick">
        <color rgb="FFFFE599"/>
      </right>
      <top style="thick">
        <color rgb="FFFFE599"/>
      </top>
      <bottom/>
      <diagonal/>
    </border>
    <border>
      <left style="thick">
        <color rgb="FFFFE599"/>
      </left>
      <right style="thick">
        <color rgb="FFFFE599"/>
      </right>
      <top/>
      <bottom/>
      <diagonal/>
    </border>
    <border>
      <left/>
      <right style="double">
        <color rgb="FF000000"/>
      </right>
      <top style="thick">
        <color rgb="FFFFE599"/>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style="thick">
        <color rgb="FFFFE599"/>
      </bottom>
      <diagonal/>
    </border>
    <border>
      <left style="thick">
        <color rgb="FFFFE599"/>
      </left>
      <right style="thick">
        <color rgb="FFFFE599"/>
      </right>
      <top/>
      <bottom style="thick">
        <color rgb="FFFFE599"/>
      </bottom>
      <diagonal/>
    </border>
    <border>
      <left/>
      <right/>
      <top style="thick">
        <color rgb="FFFFE599"/>
      </top>
      <bottom/>
      <diagonal/>
    </border>
    <border>
      <left/>
      <right style="thick">
        <color rgb="FFFFE599"/>
      </right>
      <top style="thick">
        <color rgb="FFFFE599"/>
      </top>
      <bottom/>
      <diagonal/>
    </border>
    <border>
      <left style="thick">
        <color rgb="FFFFE599"/>
      </left>
      <right/>
      <top style="thick">
        <color rgb="FFFFE599"/>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FFE599"/>
      </left>
      <right/>
      <top style="thick">
        <color rgb="FFFFE599"/>
      </top>
      <bottom style="thick">
        <color rgb="FFFFE599"/>
      </bottom>
      <diagonal/>
    </border>
    <border>
      <left style="double">
        <color rgb="FF000000"/>
      </left>
      <right style="thick">
        <color rgb="FFFFE599"/>
      </right>
      <top style="thick">
        <color rgb="FFFFE599"/>
      </top>
      <bottom/>
      <diagonal/>
    </border>
    <border>
      <left style="thick">
        <color rgb="FFFFE599"/>
      </left>
      <right/>
      <top/>
      <bottom style="thick">
        <color rgb="FFFFE599"/>
      </bottom>
      <diagonal/>
    </border>
    <border>
      <left/>
      <right/>
      <top/>
      <bottom style="thick">
        <color rgb="FFFFE599"/>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double">
        <color rgb="FF000000"/>
      </right>
      <top style="thick">
        <color rgb="FF000000"/>
      </top>
      <bottom style="medium">
        <color rgb="FF000000"/>
      </bottom>
      <diagonal/>
    </border>
    <border>
      <left/>
      <right style="double">
        <color rgb="FFFFFFFF"/>
      </right>
      <top style="double">
        <color rgb="FFFFFFFF"/>
      </top>
      <bottom style="double">
        <color rgb="FFFFFFFF"/>
      </bottom>
      <diagonal/>
    </border>
    <border>
      <left style="double">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double">
        <color rgb="FF000000"/>
      </right>
      <top/>
      <bottom style="thick">
        <color rgb="FF000000"/>
      </bottom>
      <diagonal/>
    </border>
    <border>
      <left style="double">
        <color rgb="FF000000"/>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double">
        <color rgb="FF000000"/>
      </right>
      <top style="thick">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double">
        <color rgb="FF000000"/>
      </right>
      <top style="medium">
        <color rgb="FF000000"/>
      </top>
      <bottom style="medium">
        <color rgb="FF000000"/>
      </bottom>
      <diagonal/>
    </border>
    <border>
      <left style="medium">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double">
        <color rgb="FF000000"/>
      </right>
      <top style="medium">
        <color rgb="FF000000"/>
      </top>
      <bottom style="thick">
        <color rgb="FF000000"/>
      </bottom>
      <diagonal/>
    </border>
    <border>
      <left style="double">
        <color rgb="FF000000"/>
      </left>
      <right style="thick">
        <color rgb="FFFFE599"/>
      </right>
      <top/>
      <bottom style="thick">
        <color rgb="FFFFE599"/>
      </bottom>
      <diagonal/>
    </border>
    <border>
      <left style="thick">
        <color rgb="FFFFE599"/>
      </left>
      <right style="double">
        <color rgb="FF000000"/>
      </right>
      <top/>
      <bottom style="thick">
        <color rgb="FFFFE599"/>
      </bottom>
      <diagonal/>
    </border>
    <border>
      <left style="thick">
        <color rgb="FFFFE599"/>
      </left>
      <right style="thick">
        <color rgb="FFFFE599"/>
      </right>
      <top style="thick">
        <color rgb="FFFFE599"/>
      </top>
      <bottom style="thick">
        <color rgb="FFFFE599"/>
      </bottom>
      <diagonal/>
    </border>
    <border>
      <left style="thick">
        <color rgb="FFFFE599"/>
      </left>
      <right style="double">
        <color rgb="FF000000"/>
      </right>
      <top style="thick">
        <color rgb="FFFFE599"/>
      </top>
      <bottom style="thick">
        <color rgb="FFFFE599"/>
      </bottom>
      <diagonal/>
    </border>
    <border>
      <left style="double">
        <color rgb="FF000000"/>
      </left>
      <right style="thick">
        <color rgb="FFFFE599"/>
      </right>
      <top style="thick">
        <color rgb="FFFFE599"/>
      </top>
      <bottom style="double">
        <color rgb="FF000000"/>
      </bottom>
      <diagonal/>
    </border>
    <border>
      <left style="thick">
        <color rgb="FFFFE599"/>
      </left>
      <right/>
      <top style="thick">
        <color rgb="FFFFE599"/>
      </top>
      <bottom style="double">
        <color rgb="FF000000"/>
      </bottom>
      <diagonal/>
    </border>
    <border>
      <left style="thick">
        <color rgb="FFFFE599"/>
      </left>
      <right style="thick">
        <color rgb="FFFFE599"/>
      </right>
      <top style="thick">
        <color rgb="FFFFE599"/>
      </top>
      <bottom style="double">
        <color rgb="FF000000"/>
      </bottom>
      <diagonal/>
    </border>
    <border>
      <left style="thick">
        <color rgb="FFFFE599"/>
      </left>
      <right style="double">
        <color rgb="FF000000"/>
      </right>
      <top style="thick">
        <color rgb="FFFFE599"/>
      </top>
      <bottom style="double">
        <color rgb="FF000000"/>
      </bottom>
      <diagonal/>
    </border>
    <border>
      <left style="double">
        <color rgb="FFFFFFFF"/>
      </left>
      <right style="double">
        <color rgb="FFFFFFFF"/>
      </right>
      <top/>
      <bottom style="double">
        <color rgb="FFFFFFFF"/>
      </bottom>
      <diagonal/>
    </border>
    <border>
      <left style="double">
        <color rgb="FF000000"/>
      </left>
      <right/>
      <top style="double">
        <color rgb="FF000000"/>
      </top>
      <bottom style="thin">
        <color rgb="FFFFFFFF"/>
      </bottom>
      <diagonal/>
    </border>
    <border>
      <left/>
      <right/>
      <top style="double">
        <color rgb="FF000000"/>
      </top>
      <bottom style="thin">
        <color rgb="FFFFFFFF"/>
      </bottom>
      <diagonal/>
    </border>
    <border>
      <left/>
      <right style="double">
        <color rgb="FF000000"/>
      </right>
      <top style="double">
        <color rgb="FF000000"/>
      </top>
      <bottom style="thin">
        <color rgb="FFFFFFFF"/>
      </bottom>
      <diagonal/>
    </border>
    <border>
      <left/>
      <right/>
      <top style="medium">
        <color rgb="FF000000"/>
      </top>
      <bottom style="medium">
        <color rgb="FF000000"/>
      </bottom>
      <diagonal/>
    </border>
    <border>
      <left style="medium">
        <color rgb="FF000000"/>
      </left>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medium">
        <color rgb="FF000000"/>
      </right>
      <top/>
      <bottom/>
      <diagonal/>
    </border>
    <border>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right style="thin">
        <color rgb="FFFFFFFF"/>
      </right>
      <top/>
      <bottom/>
      <diagonal/>
    </border>
    <border>
      <left style="thin">
        <color rgb="FFFFFFFF"/>
      </left>
      <right/>
      <top/>
      <bottom/>
      <diagonal/>
    </border>
    <border>
      <left style="thin">
        <color rgb="FF000000"/>
      </left>
      <right/>
      <top style="thin">
        <color rgb="FF000000"/>
      </top>
      <bottom/>
      <diagonal/>
    </border>
    <border>
      <left/>
      <right/>
      <top style="thin">
        <color rgb="FF000000"/>
      </top>
      <bottom/>
      <diagonal/>
    </border>
    <border>
      <left/>
      <right style="thin">
        <color rgb="FFFFFFFF"/>
      </right>
      <top style="thin">
        <color rgb="FF000000"/>
      </top>
      <bottom/>
      <diagonal/>
    </border>
    <border>
      <left style="thin">
        <color rgb="FFFFFFFF"/>
      </left>
      <right/>
      <top style="thin">
        <color rgb="FF000000"/>
      </top>
      <bottom/>
      <diagonal/>
    </border>
    <border>
      <left style="thin">
        <color rgb="FFFFFFFF"/>
      </left>
      <right style="thin">
        <color rgb="FF000000"/>
      </right>
      <top style="thin">
        <color rgb="FF000000"/>
      </top>
      <bottom/>
      <diagonal/>
    </border>
    <border>
      <left style="thin">
        <color rgb="FF000000"/>
      </left>
      <right/>
      <top/>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000000"/>
      </right>
      <top/>
      <bottom style="thin">
        <color rgb="FFFFFFFF"/>
      </bottom>
      <diagonal/>
    </border>
    <border>
      <left style="thin">
        <color rgb="FFFFFFFF"/>
      </left>
      <right style="thin">
        <color rgb="FF000000"/>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diagonal/>
    </border>
    <border>
      <left style="thin">
        <color rgb="FFFFFFFF"/>
      </left>
      <right style="thin">
        <color rgb="FF000000"/>
      </right>
      <top style="thin">
        <color rgb="FFFFFFFF"/>
      </top>
      <bottom/>
      <diagonal/>
    </border>
    <border>
      <left style="thin">
        <color rgb="FF000000"/>
      </left>
      <right/>
      <top/>
      <bottom style="thin">
        <color rgb="FF000000"/>
      </bottom>
      <diagonal/>
    </border>
    <border>
      <left/>
      <right style="thin">
        <color rgb="FFFFFFFF"/>
      </right>
      <top/>
      <bottom style="thin">
        <color rgb="FF000000"/>
      </bottom>
      <diagonal/>
    </border>
    <border>
      <left style="thin">
        <color rgb="FFFFFFFF"/>
      </left>
      <right style="thin">
        <color rgb="FFFFFFFF"/>
      </right>
      <top/>
      <bottom style="thin">
        <color rgb="FF000000"/>
      </bottom>
      <diagonal/>
    </border>
    <border>
      <left style="thin">
        <color rgb="FFFFFFFF"/>
      </left>
      <right/>
      <top/>
      <bottom style="thin">
        <color rgb="FF000000"/>
      </bottom>
      <diagonal/>
    </border>
    <border>
      <left/>
      <right/>
      <top/>
      <bottom style="thin">
        <color rgb="FF000000"/>
      </bottom>
      <diagonal/>
    </border>
    <border>
      <left style="thin">
        <color rgb="FFFFFFFF"/>
      </left>
      <right style="thin">
        <color rgb="FF000000"/>
      </right>
      <top/>
      <bottom style="thin">
        <color rgb="FF000000"/>
      </bottom>
      <diagonal/>
    </border>
    <border>
      <left/>
      <right/>
      <top style="thin">
        <color rgb="FFFFFFFF"/>
      </top>
      <bottom style="thin">
        <color rgb="FFFFFFFF"/>
      </bottom>
      <diagonal/>
    </border>
    <border>
      <left style="thin">
        <color rgb="FFFFFFFF"/>
      </left>
      <right style="thin">
        <color rgb="FF000000"/>
      </right>
      <top/>
      <bottom/>
      <diagonal/>
    </border>
    <border>
      <left style="thin">
        <color rgb="FFFFFFFF"/>
      </left>
      <right style="thin">
        <color rgb="FFFFFFFF"/>
      </right>
      <top/>
      <bottom style="thin">
        <color rgb="FFFFFFFF"/>
      </bottom>
      <diagonal/>
    </border>
    <border>
      <left/>
      <right style="thin">
        <color rgb="FF000000"/>
      </right>
      <top style="thin">
        <color rgb="FFFFFFFF"/>
      </top>
      <bottom style="thin">
        <color rgb="FFFFFFFF"/>
      </bottom>
      <diagonal/>
    </border>
    <border>
      <left style="medium">
        <color rgb="FF000000"/>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diagonal/>
    </border>
    <border>
      <left style="thin">
        <color rgb="FFFFFFFF"/>
      </left>
      <right style="thin">
        <color rgb="FFFFFFFF"/>
      </right>
      <top style="thin">
        <color rgb="FF000000"/>
      </top>
      <bottom/>
      <diagonal/>
    </border>
    <border>
      <left/>
      <right/>
      <top style="thin">
        <color rgb="FF000000"/>
      </top>
      <bottom style="thin">
        <color rgb="FFFFFFFF"/>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ck">
        <color rgb="FF000000"/>
      </top>
      <bottom/>
      <diagonal/>
    </border>
    <border>
      <left/>
      <right/>
      <top/>
      <bottom style="thick">
        <color rgb="FF000000"/>
      </bottom>
      <diagonal/>
    </border>
    <border>
      <left style="thick">
        <color rgb="FF000000"/>
      </left>
      <right style="thin">
        <color rgb="FFFFFFFF"/>
      </right>
      <top/>
      <bottom/>
      <diagonal/>
    </border>
    <border>
      <left style="thick">
        <color rgb="FF000000"/>
      </left>
      <right style="medium">
        <color rgb="FF000000"/>
      </right>
      <top style="medium">
        <color rgb="FF000000"/>
      </top>
      <bottom style="medium">
        <color rgb="FF000000"/>
      </bottom>
      <diagonal/>
    </border>
  </borders>
  <cellStyleXfs count="1">
    <xf numFmtId="0" fontId="0" fillId="0" borderId="0"/>
  </cellStyleXfs>
  <cellXfs count="361">
    <xf numFmtId="0" fontId="0" fillId="0" borderId="0" xfId="0"/>
    <xf numFmtId="1" fontId="1" fillId="2" borderId="1" xfId="0" applyNumberFormat="1" applyFont="1" applyFill="1" applyBorder="1" applyAlignment="1">
      <alignment horizontal="center"/>
    </xf>
    <xf numFmtId="1" fontId="1" fillId="2" borderId="2" xfId="0" applyNumberFormat="1" applyFont="1" applyFill="1" applyBorder="1" applyAlignment="1">
      <alignment horizontal="center"/>
    </xf>
    <xf numFmtId="1" fontId="1" fillId="2" borderId="3" xfId="0" applyNumberFormat="1" applyFont="1" applyFill="1" applyBorder="1" applyAlignment="1">
      <alignment horizontal="center"/>
    </xf>
    <xf numFmtId="1" fontId="1" fillId="3" borderId="4" xfId="0" applyNumberFormat="1" applyFont="1" applyFill="1" applyBorder="1" applyAlignment="1">
      <alignment horizontal="center"/>
    </xf>
    <xf numFmtId="1" fontId="1" fillId="3" borderId="5" xfId="0" applyNumberFormat="1" applyFont="1" applyFill="1" applyBorder="1" applyAlignment="1">
      <alignment horizontal="center"/>
    </xf>
    <xf numFmtId="1" fontId="1" fillId="3" borderId="6" xfId="0" applyNumberFormat="1" applyFont="1" applyFill="1" applyBorder="1" applyAlignment="1">
      <alignment horizontal="center"/>
    </xf>
    <xf numFmtId="1" fontId="1" fillId="3" borderId="9" xfId="0" applyNumberFormat="1" applyFont="1" applyFill="1" applyBorder="1" applyAlignment="1">
      <alignment horizontal="center"/>
    </xf>
    <xf numFmtId="1" fontId="1" fillId="3" borderId="12" xfId="0" applyNumberFormat="1" applyFont="1" applyFill="1" applyBorder="1" applyAlignment="1">
      <alignment horizontal="center"/>
    </xf>
    <xf numFmtId="1" fontId="1" fillId="3" borderId="13" xfId="0" applyNumberFormat="1" applyFont="1" applyFill="1" applyBorder="1" applyAlignment="1">
      <alignment horizontal="center"/>
    </xf>
    <xf numFmtId="1" fontId="1" fillId="3" borderId="11" xfId="0" applyNumberFormat="1" applyFont="1" applyFill="1" applyBorder="1" applyAlignment="1">
      <alignment horizontal="center"/>
    </xf>
    <xf numFmtId="0" fontId="7" fillId="6" borderId="24" xfId="0" applyFont="1" applyFill="1" applyBorder="1" applyAlignment="1">
      <alignment horizontal="center" vertical="center"/>
    </xf>
    <xf numFmtId="1" fontId="1" fillId="3" borderId="25" xfId="0" applyNumberFormat="1" applyFont="1" applyFill="1" applyBorder="1" applyAlignment="1">
      <alignment horizontal="center"/>
    </xf>
    <xf numFmtId="0" fontId="8" fillId="6" borderId="26" xfId="0" applyFont="1" applyFill="1" applyBorder="1" applyAlignment="1">
      <alignment horizontal="center" vertical="center"/>
    </xf>
    <xf numFmtId="1" fontId="1" fillId="3" borderId="27" xfId="0" applyNumberFormat="1" applyFont="1" applyFill="1" applyBorder="1" applyAlignment="1">
      <alignment horizontal="center"/>
    </xf>
    <xf numFmtId="1" fontId="1" fillId="3" borderId="28" xfId="0" applyNumberFormat="1" applyFont="1" applyFill="1" applyBorder="1" applyAlignment="1">
      <alignment horizontal="center"/>
    </xf>
    <xf numFmtId="1" fontId="1" fillId="3" borderId="29" xfId="0" applyNumberFormat="1" applyFont="1" applyFill="1" applyBorder="1" applyAlignment="1">
      <alignment horizontal="center"/>
    </xf>
    <xf numFmtId="1" fontId="1" fillId="3" borderId="30" xfId="0" applyNumberFormat="1" applyFont="1" applyFill="1" applyBorder="1" applyAlignment="1">
      <alignment horizontal="center"/>
    </xf>
    <xf numFmtId="1" fontId="1" fillId="3" borderId="31" xfId="0" applyNumberFormat="1" applyFont="1" applyFill="1" applyBorder="1" applyAlignment="1">
      <alignment horizontal="center"/>
    </xf>
    <xf numFmtId="1" fontId="1" fillId="3" borderId="32" xfId="0" applyNumberFormat="1" applyFont="1" applyFill="1" applyBorder="1" applyAlignment="1">
      <alignment horizontal="center"/>
    </xf>
    <xf numFmtId="1" fontId="1" fillId="3" borderId="36" xfId="0" applyNumberFormat="1" applyFont="1" applyFill="1" applyBorder="1" applyAlignment="1">
      <alignment horizontal="center"/>
    </xf>
    <xf numFmtId="1" fontId="1" fillId="3" borderId="37" xfId="0" applyNumberFormat="1" applyFont="1" applyFill="1" applyBorder="1" applyAlignment="1">
      <alignment horizontal="center"/>
    </xf>
    <xf numFmtId="1" fontId="13" fillId="3" borderId="40" xfId="0" applyNumberFormat="1" applyFont="1" applyFill="1" applyBorder="1"/>
    <xf numFmtId="1" fontId="1" fillId="3" borderId="44" xfId="0" applyNumberFormat="1" applyFont="1" applyFill="1" applyBorder="1" applyAlignment="1">
      <alignment horizontal="center"/>
    </xf>
    <xf numFmtId="1" fontId="1" fillId="3" borderId="45" xfId="0" applyNumberFormat="1" applyFont="1" applyFill="1" applyBorder="1" applyAlignment="1">
      <alignment horizontal="center"/>
    </xf>
    <xf numFmtId="1" fontId="1" fillId="3" borderId="46" xfId="0" applyNumberFormat="1" applyFont="1" applyFill="1" applyBorder="1" applyAlignment="1">
      <alignment horizontal="center"/>
    </xf>
    <xf numFmtId="1" fontId="13" fillId="2" borderId="3" xfId="0" applyNumberFormat="1" applyFont="1" applyFill="1" applyBorder="1"/>
    <xf numFmtId="1" fontId="13" fillId="3" borderId="45" xfId="0" applyNumberFormat="1" applyFont="1" applyFill="1" applyBorder="1"/>
    <xf numFmtId="1" fontId="13" fillId="3" borderId="37" xfId="0" applyNumberFormat="1" applyFont="1" applyFill="1" applyBorder="1"/>
    <xf numFmtId="1" fontId="13" fillId="3" borderId="30" xfId="0" applyNumberFormat="1" applyFont="1" applyFill="1" applyBorder="1"/>
    <xf numFmtId="1" fontId="13" fillId="2" borderId="51" xfId="0" applyNumberFormat="1" applyFont="1" applyFill="1" applyBorder="1"/>
    <xf numFmtId="1" fontId="15" fillId="8" borderId="53" xfId="0" applyNumberFormat="1" applyFont="1" applyFill="1" applyBorder="1" applyAlignment="1">
      <alignment horizontal="center"/>
    </xf>
    <xf numFmtId="1" fontId="15" fillId="8" borderId="54" xfId="0" applyNumberFormat="1" applyFont="1" applyFill="1" applyBorder="1" applyAlignment="1">
      <alignment horizontal="center"/>
    </xf>
    <xf numFmtId="1" fontId="15" fillId="8" borderId="55" xfId="0" applyNumberFormat="1" applyFont="1" applyFill="1" applyBorder="1" applyAlignment="1">
      <alignment horizontal="center"/>
    </xf>
    <xf numFmtId="1" fontId="15" fillId="8" borderId="56" xfId="0" applyNumberFormat="1" applyFont="1" applyFill="1" applyBorder="1" applyAlignment="1">
      <alignment horizontal="center"/>
    </xf>
    <xf numFmtId="1" fontId="13" fillId="2" borderId="1" xfId="0" applyNumberFormat="1" applyFont="1" applyFill="1" applyBorder="1"/>
    <xf numFmtId="0" fontId="16" fillId="9" borderId="60" xfId="0" applyFont="1" applyFill="1" applyBorder="1" applyAlignment="1">
      <alignment horizontal="center" vertical="center"/>
    </xf>
    <xf numFmtId="0" fontId="16" fillId="9" borderId="61" xfId="0" applyFont="1" applyFill="1" applyBorder="1" applyAlignment="1">
      <alignment horizontal="center" vertical="center"/>
    </xf>
    <xf numFmtId="0" fontId="17" fillId="10" borderId="64" xfId="0" applyFont="1" applyFill="1" applyBorder="1" applyAlignment="1">
      <alignment horizontal="center" vertical="center"/>
    </xf>
    <xf numFmtId="0" fontId="16" fillId="9" borderId="65" xfId="0" applyFont="1" applyFill="1" applyBorder="1" applyAlignment="1">
      <alignment horizontal="center" vertical="center"/>
    </xf>
    <xf numFmtId="0" fontId="17" fillId="10" borderId="66" xfId="0" applyFont="1" applyFill="1" applyBorder="1" applyAlignment="1">
      <alignment horizontal="center" vertical="center"/>
    </xf>
    <xf numFmtId="0" fontId="16" fillId="9" borderId="55" xfId="0" applyFont="1" applyFill="1" applyBorder="1" applyAlignment="1">
      <alignment horizontal="center" vertical="center"/>
    </xf>
    <xf numFmtId="0" fontId="17" fillId="10" borderId="69" xfId="0" applyFont="1" applyFill="1" applyBorder="1" applyAlignment="1">
      <alignment horizontal="center" vertical="center"/>
    </xf>
    <xf numFmtId="1" fontId="1" fillId="3" borderId="70" xfId="0" applyNumberFormat="1" applyFont="1" applyFill="1" applyBorder="1" applyAlignment="1">
      <alignment horizontal="center"/>
    </xf>
    <xf numFmtId="1" fontId="1" fillId="3" borderId="0" xfId="0" applyNumberFormat="1" applyFont="1" applyFill="1" applyAlignment="1">
      <alignment horizontal="center"/>
    </xf>
    <xf numFmtId="1" fontId="1" fillId="3" borderId="71" xfId="0" applyNumberFormat="1" applyFont="1" applyFill="1" applyBorder="1" applyAlignment="1">
      <alignment horizontal="center"/>
    </xf>
    <xf numFmtId="1" fontId="1" fillId="3" borderId="72" xfId="0" applyNumberFormat="1" applyFont="1" applyFill="1" applyBorder="1" applyAlignment="1">
      <alignment horizontal="center"/>
    </xf>
    <xf numFmtId="1" fontId="1" fillId="3" borderId="73" xfId="0" applyNumberFormat="1" applyFont="1" applyFill="1" applyBorder="1" applyAlignment="1">
      <alignment horizontal="center"/>
    </xf>
    <xf numFmtId="1" fontId="1" fillId="3" borderId="12" xfId="0" applyNumberFormat="1" applyFont="1" applyFill="1" applyBorder="1" applyAlignment="1">
      <alignment horizontal="left"/>
    </xf>
    <xf numFmtId="1" fontId="1" fillId="3" borderId="74" xfId="0" applyNumberFormat="1" applyFont="1" applyFill="1" applyBorder="1" applyAlignment="1">
      <alignment horizontal="center"/>
    </xf>
    <xf numFmtId="1" fontId="1" fillId="3" borderId="75" xfId="0" applyNumberFormat="1" applyFont="1" applyFill="1" applyBorder="1" applyAlignment="1">
      <alignment horizontal="center"/>
    </xf>
    <xf numFmtId="1" fontId="1" fillId="3" borderId="76" xfId="0" applyNumberFormat="1" applyFont="1" applyFill="1" applyBorder="1" applyAlignment="1">
      <alignment horizontal="center"/>
    </xf>
    <xf numFmtId="1" fontId="1" fillId="3" borderId="77" xfId="0" applyNumberFormat="1" applyFont="1" applyFill="1" applyBorder="1" applyAlignment="1">
      <alignment horizontal="center"/>
    </xf>
    <xf numFmtId="1" fontId="1" fillId="2" borderId="78" xfId="0" applyNumberFormat="1" applyFont="1" applyFill="1" applyBorder="1" applyAlignment="1">
      <alignment horizontal="center"/>
    </xf>
    <xf numFmtId="0" fontId="19" fillId="2" borderId="0" xfId="0" applyFont="1" applyFill="1" applyAlignment="1">
      <alignment horizontal="center" vertical="center"/>
    </xf>
    <xf numFmtId="0" fontId="21" fillId="2" borderId="0" xfId="0" applyFont="1" applyFill="1" applyAlignment="1">
      <alignment horizontal="center" vertical="center"/>
    </xf>
    <xf numFmtId="0" fontId="21" fillId="2" borderId="7" xfId="0" applyFont="1" applyFill="1" applyBorder="1" applyAlignment="1">
      <alignment horizontal="center" vertical="center"/>
    </xf>
    <xf numFmtId="0" fontId="22" fillId="2" borderId="0" xfId="0" applyFont="1" applyFill="1" applyAlignment="1">
      <alignment horizontal="center" vertical="center"/>
    </xf>
    <xf numFmtId="0" fontId="21" fillId="2" borderId="8" xfId="0" applyFont="1" applyFill="1" applyBorder="1" applyAlignment="1">
      <alignment horizontal="center" vertical="center"/>
    </xf>
    <xf numFmtId="49" fontId="23" fillId="0" borderId="0" xfId="0" applyNumberFormat="1" applyFont="1" applyAlignment="1">
      <alignment horizontal="center" vertical="center"/>
    </xf>
    <xf numFmtId="49" fontId="24" fillId="0" borderId="7" xfId="0" applyNumberFormat="1" applyFont="1" applyBorder="1" applyAlignment="1">
      <alignment horizontal="center" vertical="center"/>
    </xf>
    <xf numFmtId="49" fontId="26" fillId="0" borderId="8" xfId="0" applyNumberFormat="1" applyFont="1" applyBorder="1" applyAlignment="1">
      <alignment horizontal="center" vertical="center"/>
    </xf>
    <xf numFmtId="0" fontId="27" fillId="0" borderId="0" xfId="0" applyFont="1" applyAlignment="1">
      <alignment horizontal="center" vertical="center"/>
    </xf>
    <xf numFmtId="0" fontId="28" fillId="0" borderId="7" xfId="0" applyFont="1" applyBorder="1" applyAlignment="1">
      <alignment horizontal="center" vertical="center"/>
    </xf>
    <xf numFmtId="0" fontId="29" fillId="0" borderId="83" xfId="0" applyFont="1" applyBorder="1" applyAlignment="1">
      <alignment horizontal="center" vertical="center"/>
    </xf>
    <xf numFmtId="0" fontId="30" fillId="0" borderId="84" xfId="0" applyFont="1" applyBorder="1" applyAlignment="1">
      <alignment horizontal="center" vertical="center"/>
    </xf>
    <xf numFmtId="0" fontId="11" fillId="2" borderId="85" xfId="0" applyFont="1" applyFill="1" applyBorder="1" applyAlignment="1">
      <alignment horizontal="center" vertical="center"/>
    </xf>
    <xf numFmtId="0" fontId="31" fillId="2" borderId="85" xfId="0" applyFont="1" applyFill="1" applyBorder="1" applyAlignment="1">
      <alignment horizontal="center" vertical="center"/>
    </xf>
    <xf numFmtId="0" fontId="32" fillId="0" borderId="86" xfId="0" applyFont="1" applyBorder="1" applyAlignment="1">
      <alignment horizontal="center" vertical="center"/>
    </xf>
    <xf numFmtId="0" fontId="33" fillId="0" borderId="87" xfId="0" applyFont="1" applyBorder="1" applyAlignment="1">
      <alignment horizontal="center" vertical="center"/>
    </xf>
    <xf numFmtId="0" fontId="34" fillId="0" borderId="8" xfId="0" applyFont="1" applyBorder="1" applyAlignment="1">
      <alignment horizontal="center" vertical="center"/>
    </xf>
    <xf numFmtId="0" fontId="36" fillId="0" borderId="88" xfId="0" applyFont="1" applyBorder="1" applyAlignment="1">
      <alignment horizontal="center" vertical="center"/>
    </xf>
    <xf numFmtId="0" fontId="37" fillId="2" borderId="89" xfId="0" applyFont="1" applyFill="1" applyBorder="1" applyAlignment="1">
      <alignment horizontal="center" vertical="center"/>
    </xf>
    <xf numFmtId="0" fontId="38" fillId="2" borderId="89" xfId="0" applyFont="1" applyFill="1" applyBorder="1" applyAlignment="1">
      <alignment horizontal="center" vertical="center"/>
    </xf>
    <xf numFmtId="0" fontId="39" fillId="0" borderId="90" xfId="0" applyFont="1" applyBorder="1" applyAlignment="1">
      <alignment horizontal="center" vertical="center"/>
    </xf>
    <xf numFmtId="0" fontId="1"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83" xfId="0" applyFont="1" applyFill="1" applyBorder="1" applyAlignment="1">
      <alignment horizontal="center" vertical="center"/>
    </xf>
    <xf numFmtId="0" fontId="11" fillId="8" borderId="41" xfId="0" applyFont="1" applyFill="1" applyBorder="1" applyAlignment="1">
      <alignment horizontal="center" vertical="center"/>
    </xf>
    <xf numFmtId="0" fontId="40" fillId="8" borderId="43" xfId="0" applyFont="1" applyFill="1" applyBorder="1" applyAlignment="1">
      <alignment horizontal="center" vertical="center"/>
    </xf>
    <xf numFmtId="0" fontId="41" fillId="8" borderId="53" xfId="0" applyFont="1" applyFill="1" applyBorder="1" applyAlignment="1">
      <alignment horizontal="center" vertical="center"/>
    </xf>
    <xf numFmtId="0" fontId="31" fillId="8" borderId="42" xfId="0" applyFont="1" applyFill="1" applyBorder="1" applyAlignment="1">
      <alignment vertical="center"/>
    </xf>
    <xf numFmtId="0" fontId="42" fillId="4" borderId="53" xfId="0" applyFont="1" applyFill="1" applyBorder="1" applyAlignment="1">
      <alignment horizontal="center" vertical="center"/>
    </xf>
    <xf numFmtId="0" fontId="40" fillId="8" borderId="42" xfId="0" applyFont="1" applyFill="1" applyBorder="1" applyAlignment="1">
      <alignment horizontal="center" vertical="center"/>
    </xf>
    <xf numFmtId="0" fontId="11" fillId="8" borderId="43" xfId="0" applyFont="1" applyFill="1" applyBorder="1" applyAlignment="1">
      <alignment horizontal="center" vertical="center"/>
    </xf>
    <xf numFmtId="0" fontId="11" fillId="0" borderId="0" xfId="0" applyFont="1" applyAlignment="1">
      <alignment vertical="center"/>
    </xf>
    <xf numFmtId="0" fontId="11" fillId="0" borderId="7" xfId="0" applyFont="1" applyBorder="1" applyAlignment="1">
      <alignment vertical="center"/>
    </xf>
    <xf numFmtId="0" fontId="11" fillId="0" borderId="83" xfId="0" applyFont="1" applyBorder="1" applyAlignment="1">
      <alignment vertical="center"/>
    </xf>
    <xf numFmtId="0" fontId="11" fillId="0" borderId="91" xfId="0" applyFont="1" applyBorder="1" applyAlignment="1">
      <alignment vertical="center"/>
    </xf>
    <xf numFmtId="0" fontId="41" fillId="2" borderId="89" xfId="0" applyFont="1" applyFill="1" applyBorder="1" applyAlignment="1">
      <alignment horizontal="center" vertical="center"/>
    </xf>
    <xf numFmtId="0" fontId="43" fillId="2" borderId="89" xfId="0" applyFont="1" applyFill="1" applyBorder="1" applyAlignment="1">
      <alignment horizontal="center" vertical="center"/>
    </xf>
    <xf numFmtId="0" fontId="13" fillId="2" borderId="89" xfId="0" applyFont="1" applyFill="1" applyBorder="1" applyAlignment="1">
      <alignment vertical="center"/>
    </xf>
    <xf numFmtId="0" fontId="44" fillId="2" borderId="89" xfId="0" applyFont="1" applyFill="1" applyBorder="1" applyAlignment="1">
      <alignment horizontal="center" vertical="center"/>
    </xf>
    <xf numFmtId="0" fontId="37" fillId="2" borderId="92" xfId="0" applyFont="1" applyFill="1" applyBorder="1" applyAlignment="1">
      <alignment horizontal="center" vertical="center"/>
    </xf>
    <xf numFmtId="0" fontId="37" fillId="2" borderId="87" xfId="0" applyFont="1" applyFill="1" applyBorder="1" applyAlignment="1">
      <alignment horizontal="center" vertical="center"/>
    </xf>
    <xf numFmtId="0" fontId="37" fillId="2" borderId="8" xfId="0" applyFont="1" applyFill="1" applyBorder="1" applyAlignment="1">
      <alignment horizontal="center" vertical="center"/>
    </xf>
    <xf numFmtId="0" fontId="37" fillId="2" borderId="0" xfId="0" applyFont="1" applyFill="1" applyAlignment="1">
      <alignment horizontal="center" vertical="center"/>
    </xf>
    <xf numFmtId="0" fontId="11" fillId="0" borderId="93" xfId="0" applyFont="1" applyBorder="1" applyAlignment="1">
      <alignment vertical="center"/>
    </xf>
    <xf numFmtId="0" fontId="11" fillId="0" borderId="94" xfId="0" applyFont="1" applyBorder="1" applyAlignment="1">
      <alignment vertical="center"/>
    </xf>
    <xf numFmtId="0" fontId="41" fillId="2" borderId="95" xfId="0" applyFont="1" applyFill="1" applyBorder="1" applyAlignment="1">
      <alignment horizontal="center" vertical="center"/>
    </xf>
    <xf numFmtId="0" fontId="43" fillId="2" borderId="96" xfId="0" applyFont="1" applyFill="1" applyBorder="1" applyAlignment="1">
      <alignment horizontal="center" vertical="center"/>
    </xf>
    <xf numFmtId="0" fontId="41" fillId="2" borderId="94" xfId="0" applyFont="1" applyFill="1" applyBorder="1" applyAlignment="1">
      <alignment horizontal="center" vertical="center"/>
    </xf>
    <xf numFmtId="0" fontId="45" fillId="2" borderId="95" xfId="0" applyFont="1" applyFill="1" applyBorder="1" applyAlignment="1">
      <alignment horizontal="center" vertical="center"/>
    </xf>
    <xf numFmtId="0" fontId="37" fillId="2" borderId="94" xfId="0" applyFont="1" applyFill="1" applyBorder="1" applyAlignment="1">
      <alignment horizontal="center" vertical="center"/>
    </xf>
    <xf numFmtId="0" fontId="44" fillId="2" borderId="95" xfId="0" applyFont="1" applyFill="1" applyBorder="1" applyAlignment="1">
      <alignment horizontal="center" vertical="center"/>
    </xf>
    <xf numFmtId="0" fontId="37" fillId="2" borderId="97" xfId="0" applyFont="1" applyFill="1" applyBorder="1" applyAlignment="1">
      <alignment horizontal="center" vertical="center"/>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98" xfId="0" applyFont="1" applyFill="1" applyBorder="1" applyAlignment="1">
      <alignment horizontal="center" vertical="center"/>
    </xf>
    <xf numFmtId="0" fontId="11" fillId="12" borderId="53" xfId="0" applyFont="1" applyFill="1" applyBorder="1" applyAlignment="1">
      <alignment horizontal="center" vertical="center"/>
    </xf>
    <xf numFmtId="0" fontId="11" fillId="2" borderId="99" xfId="0" applyFont="1" applyFill="1" applyBorder="1" applyAlignment="1">
      <alignment horizontal="center" vertical="center"/>
    </xf>
    <xf numFmtId="0" fontId="1" fillId="2" borderId="100" xfId="0" applyFont="1" applyFill="1" applyBorder="1" applyAlignment="1">
      <alignment horizontal="center" vertical="center"/>
    </xf>
    <xf numFmtId="0" fontId="41" fillId="13" borderId="53" xfId="0" applyFont="1" applyFill="1" applyBorder="1" applyAlignment="1">
      <alignment horizontal="center" vertical="center"/>
    </xf>
    <xf numFmtId="0" fontId="45" fillId="2" borderId="99" xfId="0" applyFont="1" applyFill="1" applyBorder="1" applyAlignment="1">
      <alignment horizontal="center" vertical="center"/>
    </xf>
    <xf numFmtId="0" fontId="44" fillId="2" borderId="99" xfId="0" applyFont="1" applyFill="1" applyBorder="1" applyAlignment="1">
      <alignment horizontal="center" vertical="center"/>
    </xf>
    <xf numFmtId="0" fontId="41" fillId="2" borderId="101" xfId="0" applyFont="1" applyFill="1" applyBorder="1" applyAlignment="1">
      <alignment horizontal="center" vertical="center"/>
    </xf>
    <xf numFmtId="0" fontId="41" fillId="2" borderId="87" xfId="0" applyFont="1" applyFill="1" applyBorder="1" applyAlignment="1">
      <alignment horizontal="center" vertical="center"/>
    </xf>
    <xf numFmtId="0" fontId="41" fillId="2" borderId="8" xfId="0" applyFont="1" applyFill="1" applyBorder="1" applyAlignment="1">
      <alignment horizontal="center" vertical="center"/>
    </xf>
    <xf numFmtId="0" fontId="41" fillId="2" borderId="0" xfId="0" applyFont="1" applyFill="1" applyAlignment="1">
      <alignment horizontal="center" vertical="center"/>
    </xf>
    <xf numFmtId="0" fontId="42" fillId="0" borderId="0" xfId="0" applyFont="1" applyAlignment="1">
      <alignment horizontal="center" vertical="center"/>
    </xf>
    <xf numFmtId="0" fontId="42" fillId="0" borderId="7" xfId="0" applyFont="1" applyBorder="1" applyAlignment="1">
      <alignment horizontal="center" vertical="center"/>
    </xf>
    <xf numFmtId="0" fontId="42" fillId="0" borderId="83" xfId="0" applyFont="1" applyBorder="1" applyAlignment="1">
      <alignment horizontal="center" vertical="center"/>
    </xf>
    <xf numFmtId="0" fontId="42" fillId="0" borderId="98" xfId="0" applyFont="1" applyBorder="1" applyAlignment="1">
      <alignment horizontal="center" vertical="center"/>
    </xf>
    <xf numFmtId="0" fontId="42" fillId="0" borderId="84" xfId="0" applyFont="1" applyBorder="1" applyAlignment="1">
      <alignment horizontal="center" vertical="center"/>
    </xf>
    <xf numFmtId="0" fontId="41" fillId="2" borderId="85" xfId="0" applyFont="1" applyFill="1" applyBorder="1" applyAlignment="1">
      <alignment horizontal="center" vertical="center"/>
    </xf>
    <xf numFmtId="0" fontId="43" fillId="2" borderId="85" xfId="0" applyFont="1" applyFill="1" applyBorder="1" applyAlignment="1">
      <alignment horizontal="center" vertical="center"/>
    </xf>
    <xf numFmtId="0" fontId="13" fillId="2" borderId="85" xfId="0" applyFont="1" applyFill="1" applyBorder="1" applyAlignment="1">
      <alignment vertical="center"/>
    </xf>
    <xf numFmtId="0" fontId="44" fillId="2" borderId="85" xfId="0" applyFont="1" applyFill="1" applyBorder="1" applyAlignment="1">
      <alignment horizontal="center" vertical="center"/>
    </xf>
    <xf numFmtId="0" fontId="41" fillId="2" borderId="102" xfId="0" applyFont="1" applyFill="1" applyBorder="1" applyAlignment="1">
      <alignment horizontal="center" vertical="center"/>
    </xf>
    <xf numFmtId="0" fontId="42" fillId="0" borderId="88" xfId="0" applyFont="1" applyBorder="1" applyAlignment="1">
      <alignment horizontal="center" vertical="center"/>
    </xf>
    <xf numFmtId="0" fontId="41" fillId="2" borderId="103" xfId="0" applyFont="1" applyFill="1" applyBorder="1" applyAlignment="1">
      <alignment horizontal="center" vertical="center"/>
    </xf>
    <xf numFmtId="0" fontId="43" fillId="2" borderId="90" xfId="0" applyFont="1" applyFill="1" applyBorder="1" applyAlignment="1">
      <alignment horizontal="center" vertical="center"/>
    </xf>
    <xf numFmtId="0" fontId="45" fillId="2" borderId="104" xfId="0" applyFont="1" applyFill="1" applyBorder="1" applyAlignment="1">
      <alignment horizontal="center" vertical="center"/>
    </xf>
    <xf numFmtId="0" fontId="44" fillId="2" borderId="88" xfId="0" applyFont="1" applyFill="1" applyBorder="1" applyAlignment="1">
      <alignment horizontal="center" vertical="center"/>
    </xf>
    <xf numFmtId="0" fontId="41" fillId="0" borderId="105" xfId="0" applyFont="1" applyBorder="1" applyAlignment="1">
      <alignment horizontal="center" vertical="center"/>
    </xf>
    <xf numFmtId="0" fontId="41" fillId="0" borderId="87" xfId="0" applyFont="1" applyBorder="1" applyAlignment="1">
      <alignment horizontal="center" vertical="center"/>
    </xf>
    <xf numFmtId="0" fontId="41" fillId="0" borderId="8" xfId="0" applyFont="1" applyBorder="1" applyAlignment="1">
      <alignment horizontal="center" vertical="center"/>
    </xf>
    <xf numFmtId="0" fontId="41" fillId="0" borderId="0" xfId="0" applyFont="1" applyAlignment="1">
      <alignment horizontal="center" vertical="center"/>
    </xf>
    <xf numFmtId="0" fontId="42" fillId="0" borderId="106" xfId="0" applyFont="1" applyBorder="1" applyAlignment="1">
      <alignment horizontal="center" vertical="center"/>
    </xf>
    <xf numFmtId="0" fontId="42" fillId="0" borderId="107" xfId="0" applyFont="1" applyBorder="1" applyAlignment="1">
      <alignment horizontal="center" vertical="center"/>
    </xf>
    <xf numFmtId="0" fontId="41" fillId="2" borderId="108" xfId="0" applyFont="1" applyFill="1" applyBorder="1" applyAlignment="1">
      <alignment horizontal="center" vertical="center"/>
    </xf>
    <xf numFmtId="0" fontId="43" fillId="2" borderId="109" xfId="0" applyFont="1" applyFill="1" applyBorder="1" applyAlignment="1">
      <alignment horizontal="center" vertical="center"/>
    </xf>
    <xf numFmtId="0" fontId="11" fillId="0" borderId="110" xfId="0" applyFont="1" applyBorder="1" applyAlignment="1">
      <alignment horizontal="center" vertical="center"/>
    </xf>
    <xf numFmtId="0" fontId="45" fillId="2" borderId="108" xfId="0" applyFont="1" applyFill="1" applyBorder="1" applyAlignment="1">
      <alignment horizontal="center" vertical="center"/>
    </xf>
    <xf numFmtId="0" fontId="44" fillId="2" borderId="107" xfId="0" applyFont="1" applyFill="1" applyBorder="1" applyAlignment="1">
      <alignment horizontal="center" vertical="center"/>
    </xf>
    <xf numFmtId="0" fontId="41" fillId="0" borderId="111" xfId="0" applyFont="1" applyBorder="1" applyAlignment="1">
      <alignment horizontal="center" vertical="center"/>
    </xf>
    <xf numFmtId="0" fontId="45" fillId="2" borderId="89" xfId="0" applyFont="1" applyFill="1" applyBorder="1" applyAlignment="1">
      <alignment horizontal="center" vertical="center"/>
    </xf>
    <xf numFmtId="0" fontId="41" fillId="2" borderId="7" xfId="0" applyFont="1" applyFill="1" applyBorder="1" applyAlignment="1">
      <alignment horizontal="center" vertical="center"/>
    </xf>
    <xf numFmtId="0" fontId="41" fillId="2" borderId="83" xfId="0" applyFont="1" applyFill="1" applyBorder="1" applyAlignment="1">
      <alignment horizontal="center" vertical="center"/>
    </xf>
    <xf numFmtId="0" fontId="41" fillId="2" borderId="98" xfId="0" applyFont="1" applyFill="1" applyBorder="1" applyAlignment="1">
      <alignment horizontal="center" vertical="center"/>
    </xf>
    <xf numFmtId="0" fontId="41" fillId="7" borderId="53" xfId="0" applyFont="1" applyFill="1" applyBorder="1" applyAlignment="1">
      <alignment horizontal="center" vertical="center"/>
    </xf>
    <xf numFmtId="0" fontId="1" fillId="0" borderId="100" xfId="0" applyFont="1" applyBorder="1" applyAlignment="1">
      <alignment horizontal="center" vertical="center"/>
    </xf>
    <xf numFmtId="0" fontId="41" fillId="14" borderId="53" xfId="0" applyFont="1" applyFill="1" applyBorder="1" applyAlignment="1">
      <alignment horizontal="center" vertical="center"/>
    </xf>
    <xf numFmtId="0" fontId="41" fillId="0" borderId="101" xfId="0" applyFont="1" applyBorder="1" applyAlignment="1">
      <alignment horizontal="center" vertical="center"/>
    </xf>
    <xf numFmtId="0" fontId="11" fillId="0" borderId="98" xfId="0" applyFont="1" applyBorder="1" applyAlignment="1">
      <alignment vertical="center"/>
    </xf>
    <xf numFmtId="0" fontId="11" fillId="0" borderId="99" xfId="0" applyFont="1" applyBorder="1" applyAlignment="1">
      <alignment vertical="center"/>
    </xf>
    <xf numFmtId="0" fontId="43" fillId="2" borderId="86" xfId="0" applyFont="1" applyFill="1" applyBorder="1" applyAlignment="1">
      <alignment horizontal="center" vertical="center"/>
    </xf>
    <xf numFmtId="0" fontId="45" fillId="2" borderId="112" xfId="0" applyFont="1" applyFill="1" applyBorder="1" applyAlignment="1">
      <alignment horizontal="center" vertical="center"/>
    </xf>
    <xf numFmtId="0" fontId="44" fillId="2" borderId="84" xfId="0" applyFont="1" applyFill="1" applyBorder="1" applyAlignment="1">
      <alignment horizontal="center" vertical="center"/>
    </xf>
    <xf numFmtId="0" fontId="41" fillId="0" borderId="102" xfId="0" applyFont="1" applyBorder="1" applyAlignment="1">
      <alignment horizontal="center" vertical="center"/>
    </xf>
    <xf numFmtId="0" fontId="42" fillId="0" borderId="91" xfId="0" applyFont="1" applyBorder="1" applyAlignment="1">
      <alignment horizontal="center" vertical="center"/>
    </xf>
    <xf numFmtId="0" fontId="43" fillId="2" borderId="92" xfId="0" applyFont="1" applyFill="1" applyBorder="1" applyAlignment="1">
      <alignment horizontal="center" vertical="center"/>
    </xf>
    <xf numFmtId="0" fontId="11" fillId="0" borderId="0" xfId="0" applyFont="1" applyAlignment="1">
      <alignment horizontal="center" vertical="center"/>
    </xf>
    <xf numFmtId="0" fontId="45" fillId="2" borderId="0" xfId="0" applyFont="1" applyFill="1" applyAlignment="1">
      <alignment horizontal="center" vertical="center"/>
    </xf>
    <xf numFmtId="0" fontId="44" fillId="2" borderId="91" xfId="0" applyFont="1" applyFill="1" applyBorder="1" applyAlignment="1">
      <alignment horizontal="center" vertical="center"/>
    </xf>
    <xf numFmtId="0" fontId="41" fillId="0" borderId="113" xfId="0" applyFont="1" applyBorder="1" applyAlignment="1">
      <alignment horizontal="center" vertical="center"/>
    </xf>
    <xf numFmtId="0" fontId="41" fillId="2" borderId="93" xfId="0" applyFont="1" applyFill="1" applyBorder="1" applyAlignment="1">
      <alignment horizontal="center" vertical="center"/>
    </xf>
    <xf numFmtId="0" fontId="11" fillId="14" borderId="53" xfId="0" applyFont="1" applyFill="1" applyBorder="1" applyAlignment="1">
      <alignment horizontal="center" vertical="center"/>
    </xf>
    <xf numFmtId="0" fontId="13" fillId="2" borderId="114" xfId="0" applyFont="1" applyFill="1" applyBorder="1" applyAlignment="1">
      <alignment vertical="center"/>
    </xf>
    <xf numFmtId="0" fontId="13" fillId="2" borderId="0" xfId="0" applyFont="1" applyFill="1" applyAlignment="1">
      <alignment vertical="center"/>
    </xf>
    <xf numFmtId="0" fontId="44" fillId="2" borderId="103" xfId="0" applyFont="1" applyFill="1" applyBorder="1" applyAlignment="1">
      <alignment horizontal="center" vertical="center"/>
    </xf>
    <xf numFmtId="0" fontId="41" fillId="0" borderId="115" xfId="0" applyFont="1" applyBorder="1" applyAlignment="1">
      <alignment horizontal="center" vertical="center"/>
    </xf>
    <xf numFmtId="0" fontId="46" fillId="2" borderId="86" xfId="0" applyFont="1" applyFill="1" applyBorder="1" applyAlignment="1">
      <alignment horizontal="center" vertical="center"/>
    </xf>
    <xf numFmtId="0" fontId="47" fillId="2" borderId="99" xfId="0" applyFont="1" applyFill="1" applyBorder="1" applyAlignment="1">
      <alignment horizontal="center" vertical="center"/>
    </xf>
    <xf numFmtId="0" fontId="41" fillId="2" borderId="115" xfId="0" applyFont="1" applyFill="1" applyBorder="1" applyAlignment="1">
      <alignment horizontal="center" vertical="center"/>
    </xf>
    <xf numFmtId="0" fontId="42" fillId="0" borderId="99" xfId="0" applyFont="1" applyBorder="1" applyAlignment="1">
      <alignment vertical="center"/>
    </xf>
    <xf numFmtId="0" fontId="42" fillId="0" borderId="116" xfId="0" applyFont="1" applyBorder="1" applyAlignment="1">
      <alignment horizontal="center" vertical="center"/>
    </xf>
    <xf numFmtId="0" fontId="42" fillId="0" borderId="117" xfId="0" applyFont="1" applyBorder="1" applyAlignment="1">
      <alignment horizontal="center" vertical="center"/>
    </xf>
    <xf numFmtId="0" fontId="41" fillId="2" borderId="118" xfId="0" applyFont="1" applyFill="1" applyBorder="1" applyAlignment="1">
      <alignment horizontal="center" vertical="center"/>
    </xf>
    <xf numFmtId="0" fontId="43" fillId="2" borderId="119" xfId="0" applyFont="1" applyFill="1" applyBorder="1" applyAlignment="1">
      <alignment horizontal="center" vertical="center"/>
    </xf>
    <xf numFmtId="0" fontId="11" fillId="0" borderId="120" xfId="0" applyFont="1" applyBorder="1" applyAlignment="1">
      <alignment horizontal="center" vertical="center"/>
    </xf>
    <xf numFmtId="0" fontId="45" fillId="2" borderId="118" xfId="0" applyFont="1" applyFill="1" applyBorder="1" applyAlignment="1">
      <alignment horizontal="center" vertical="center"/>
    </xf>
    <xf numFmtId="0" fontId="44" fillId="2" borderId="117" xfId="0" applyFont="1" applyFill="1" applyBorder="1" applyAlignment="1">
      <alignment horizontal="center" vertical="center"/>
    </xf>
    <xf numFmtId="0" fontId="41" fillId="0" borderId="119" xfId="0" applyFont="1" applyBorder="1" applyAlignment="1">
      <alignment horizontal="center" vertical="center"/>
    </xf>
    <xf numFmtId="0" fontId="41" fillId="0" borderId="121" xfId="0" applyFont="1" applyBorder="1" applyAlignment="1">
      <alignment horizontal="center" vertical="center"/>
    </xf>
    <xf numFmtId="0" fontId="43" fillId="2" borderId="0" xfId="0" applyFont="1" applyFill="1" applyAlignment="1">
      <alignment horizontal="center" vertical="center"/>
    </xf>
    <xf numFmtId="0" fontId="43" fillId="2" borderId="8" xfId="0" applyFont="1" applyFill="1" applyBorder="1" applyAlignment="1">
      <alignment horizontal="center" vertical="center"/>
    </xf>
    <xf numFmtId="49" fontId="48" fillId="2" borderId="0" xfId="0" applyNumberFormat="1" applyFont="1" applyFill="1" applyAlignment="1">
      <alignment horizontal="center" vertical="center"/>
    </xf>
    <xf numFmtId="49" fontId="49" fillId="2" borderId="7" xfId="0" applyNumberFormat="1" applyFont="1" applyFill="1" applyBorder="1" applyAlignment="1">
      <alignment horizontal="center" vertical="center"/>
    </xf>
    <xf numFmtId="49" fontId="50" fillId="2" borderId="8" xfId="0" applyNumberFormat="1" applyFont="1" applyFill="1" applyBorder="1" applyAlignment="1">
      <alignment horizontal="center" vertical="center"/>
    </xf>
    <xf numFmtId="0" fontId="51" fillId="2" borderId="0" xfId="0" applyFont="1" applyFill="1" applyAlignment="1">
      <alignment horizontal="center" vertical="center"/>
    </xf>
    <xf numFmtId="0" fontId="52" fillId="2" borderId="7" xfId="0" applyFont="1" applyFill="1" applyBorder="1" applyAlignment="1">
      <alignment horizontal="center" vertical="center"/>
    </xf>
    <xf numFmtId="0" fontId="54" fillId="2" borderId="8" xfId="0" applyFont="1" applyFill="1" applyBorder="1" applyAlignment="1">
      <alignment horizontal="center" vertical="center"/>
    </xf>
    <xf numFmtId="0" fontId="55" fillId="0" borderId="8" xfId="0" applyFont="1" applyBorder="1" applyAlignment="1">
      <alignment horizontal="center" vertical="center"/>
    </xf>
    <xf numFmtId="0" fontId="56" fillId="0" borderId="0" xfId="0" applyFont="1" applyAlignment="1">
      <alignment horizontal="center" vertical="center"/>
    </xf>
    <xf numFmtId="0" fontId="31" fillId="0" borderId="0" xfId="0" applyFont="1"/>
    <xf numFmtId="0" fontId="13" fillId="0" borderId="0" xfId="0" applyFont="1"/>
    <xf numFmtId="0" fontId="13" fillId="0" borderId="0" xfId="0" applyFont="1" applyAlignment="1">
      <alignment vertical="center"/>
    </xf>
    <xf numFmtId="0" fontId="31" fillId="0" borderId="87" xfId="0" applyFont="1" applyBorder="1"/>
    <xf numFmtId="0" fontId="31" fillId="0" borderId="8" xfId="0" applyFont="1" applyBorder="1"/>
    <xf numFmtId="0" fontId="31" fillId="0" borderId="94" xfId="0" applyFont="1" applyBorder="1"/>
    <xf numFmtId="0" fontId="13" fillId="0" borderId="94" xfId="0" applyFont="1" applyBorder="1"/>
    <xf numFmtId="0" fontId="13" fillId="0" borderId="94" xfId="0" applyFont="1" applyBorder="1" applyAlignment="1">
      <alignment vertical="center"/>
    </xf>
    <xf numFmtId="0" fontId="31" fillId="0" borderId="122" xfId="0" applyFont="1" applyBorder="1"/>
    <xf numFmtId="0" fontId="11" fillId="13" borderId="53"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 xfId="0" applyFont="1" applyFill="1" applyBorder="1" applyAlignment="1">
      <alignment horizontal="center" vertical="center"/>
    </xf>
    <xf numFmtId="0" fontId="41" fillId="2" borderId="114" xfId="0" applyFont="1" applyFill="1" applyBorder="1" applyAlignment="1">
      <alignment horizontal="center" vertical="center"/>
    </xf>
    <xf numFmtId="0" fontId="43" fillId="2" borderId="114" xfId="0" applyFont="1" applyFill="1" applyBorder="1" applyAlignment="1">
      <alignment horizontal="center" vertical="center"/>
    </xf>
    <xf numFmtId="0" fontId="44" fillId="2" borderId="114" xfId="0" applyFont="1" applyFill="1" applyBorder="1" applyAlignment="1">
      <alignment horizontal="center" vertical="center"/>
    </xf>
    <xf numFmtId="0" fontId="41" fillId="2" borderId="64" xfId="0" applyFont="1" applyFill="1" applyBorder="1" applyAlignment="1">
      <alignment horizontal="center" vertical="center"/>
    </xf>
    <xf numFmtId="0" fontId="11" fillId="0" borderId="7" xfId="0" applyFont="1" applyBorder="1" applyAlignment="1">
      <alignment horizontal="center" vertical="center"/>
    </xf>
    <xf numFmtId="0" fontId="11" fillId="0" borderId="83" xfId="0" applyFont="1" applyBorder="1" applyAlignment="1">
      <alignment horizontal="center" vertical="center"/>
    </xf>
    <xf numFmtId="0" fontId="11" fillId="0" borderId="91" xfId="0" applyFont="1" applyBorder="1" applyAlignment="1">
      <alignment horizontal="center" vertical="center"/>
    </xf>
    <xf numFmtId="0" fontId="41" fillId="2" borderId="92" xfId="0" applyFont="1" applyFill="1" applyBorder="1" applyAlignment="1">
      <alignment horizontal="center" vertical="center"/>
    </xf>
    <xf numFmtId="0" fontId="11" fillId="0" borderId="93" xfId="0" applyFont="1" applyBorder="1" applyAlignment="1">
      <alignment horizontal="center" vertical="center"/>
    </xf>
    <xf numFmtId="0" fontId="11" fillId="0" borderId="94" xfId="0" applyFont="1" applyBorder="1" applyAlignment="1">
      <alignment horizontal="center" vertical="center"/>
    </xf>
    <xf numFmtId="0" fontId="41" fillId="2" borderId="123" xfId="0" applyFont="1" applyFill="1" applyBorder="1" applyAlignment="1">
      <alignment horizontal="center" vertical="center"/>
    </xf>
    <xf numFmtId="0" fontId="43" fillId="2" borderId="123" xfId="0" applyFont="1" applyFill="1" applyBorder="1" applyAlignment="1">
      <alignment horizontal="center" vertical="center"/>
    </xf>
    <xf numFmtId="0" fontId="13" fillId="2" borderId="94" xfId="0" applyFont="1" applyFill="1" applyBorder="1" applyAlignment="1">
      <alignment vertical="center"/>
    </xf>
    <xf numFmtId="0" fontId="13" fillId="2" borderId="124" xfId="0" applyFont="1" applyFill="1" applyBorder="1" applyAlignment="1">
      <alignment vertical="center"/>
    </xf>
    <xf numFmtId="0" fontId="41" fillId="2" borderId="97" xfId="0" applyFont="1" applyFill="1" applyBorder="1" applyAlignment="1">
      <alignment horizontal="center" vertical="center"/>
    </xf>
    <xf numFmtId="0" fontId="1" fillId="2" borderId="93" xfId="0" applyFont="1" applyFill="1" applyBorder="1" applyAlignment="1">
      <alignment horizontal="center" vertical="center"/>
    </xf>
    <xf numFmtId="0" fontId="1" fillId="2" borderId="94" xfId="0" applyFont="1" applyFill="1" applyBorder="1" applyAlignment="1">
      <alignment horizontal="center" vertical="center"/>
    </xf>
    <xf numFmtId="0" fontId="1" fillId="0" borderId="94" xfId="0" applyFont="1" applyBorder="1" applyAlignment="1">
      <alignment vertical="center"/>
    </xf>
    <xf numFmtId="0" fontId="11" fillId="2" borderId="97" xfId="0" applyFont="1" applyFill="1" applyBorder="1" applyAlignment="1">
      <alignment horizontal="center" vertical="center"/>
    </xf>
    <xf numFmtId="0" fontId="11" fillId="7" borderId="53" xfId="0" applyFont="1" applyFill="1" applyBorder="1" applyAlignment="1">
      <alignment horizontal="center" vertical="center"/>
    </xf>
    <xf numFmtId="0" fontId="1" fillId="0" borderId="0" xfId="0" applyFont="1" applyAlignment="1">
      <alignment vertical="center"/>
    </xf>
    <xf numFmtId="0" fontId="11" fillId="0" borderId="87" xfId="0" applyFont="1" applyBorder="1" applyAlignment="1">
      <alignment vertical="center"/>
    </xf>
    <xf numFmtId="0" fontId="11" fillId="0" borderId="8" xfId="0" applyFont="1" applyBorder="1" applyAlignment="1">
      <alignment vertical="center"/>
    </xf>
    <xf numFmtId="0" fontId="11" fillId="0" borderId="95" xfId="0" applyFont="1" applyBorder="1" applyAlignment="1">
      <alignment horizontal="center" vertical="center"/>
    </xf>
    <xf numFmtId="0" fontId="13" fillId="2" borderId="123" xfId="0" applyFont="1" applyFill="1" applyBorder="1" applyAlignment="1">
      <alignment vertical="center"/>
    </xf>
    <xf numFmtId="0" fontId="44" fillId="2" borderId="123" xfId="0" applyFont="1" applyFill="1" applyBorder="1" applyAlignment="1">
      <alignment horizontal="center" vertical="center"/>
    </xf>
    <xf numFmtId="0" fontId="43" fillId="2" borderId="103" xfId="0" applyFont="1" applyFill="1" applyBorder="1" applyAlignment="1">
      <alignment horizontal="center" vertical="center"/>
    </xf>
    <xf numFmtId="0" fontId="13" fillId="2" borderId="103" xfId="0" applyFont="1" applyFill="1" applyBorder="1" applyAlignment="1">
      <alignment vertical="center"/>
    </xf>
    <xf numFmtId="0" fontId="41" fillId="2" borderId="105" xfId="0" applyFont="1" applyFill="1" applyBorder="1" applyAlignment="1">
      <alignment horizontal="center" vertical="center"/>
    </xf>
    <xf numFmtId="0" fontId="11" fillId="2" borderId="91" xfId="0" applyFont="1" applyFill="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43" fillId="2" borderId="108" xfId="0" applyFont="1" applyFill="1" applyBorder="1" applyAlignment="1">
      <alignment horizontal="center" vertical="center"/>
    </xf>
    <xf numFmtId="0" fontId="13" fillId="2" borderId="108" xfId="0" applyFont="1" applyFill="1" applyBorder="1" applyAlignment="1">
      <alignment vertical="center"/>
    </xf>
    <xf numFmtId="0" fontId="44" fillId="2" borderId="108" xfId="0" applyFont="1" applyFill="1" applyBorder="1" applyAlignment="1">
      <alignment horizontal="center" vertical="center"/>
    </xf>
    <xf numFmtId="0" fontId="41" fillId="2" borderId="111" xfId="0" applyFont="1" applyFill="1" applyBorder="1" applyAlignment="1">
      <alignment horizontal="center" vertical="center"/>
    </xf>
    <xf numFmtId="0" fontId="11" fillId="0" borderId="116" xfId="0" applyFont="1" applyBorder="1" applyAlignment="1">
      <alignment vertical="center"/>
    </xf>
    <xf numFmtId="0" fontId="11" fillId="0" borderId="120" xfId="0" applyFont="1" applyBorder="1" applyAlignment="1">
      <alignment vertical="center"/>
    </xf>
    <xf numFmtId="0" fontId="43" fillId="2" borderId="118" xfId="0" applyFont="1" applyFill="1" applyBorder="1" applyAlignment="1">
      <alignment horizontal="center" vertical="center"/>
    </xf>
    <xf numFmtId="0" fontId="37" fillId="2" borderId="118" xfId="0" applyFont="1" applyFill="1" applyBorder="1" applyAlignment="1">
      <alignment horizontal="center" vertical="center"/>
    </xf>
    <xf numFmtId="0" fontId="44" fillId="2" borderId="118" xfId="0" applyFont="1" applyFill="1" applyBorder="1" applyAlignment="1">
      <alignment horizontal="center" vertical="center"/>
    </xf>
    <xf numFmtId="0" fontId="43" fillId="2" borderId="121" xfId="0" applyFont="1" applyFill="1" applyBorder="1" applyAlignment="1">
      <alignment horizontal="center" vertical="center"/>
    </xf>
    <xf numFmtId="0" fontId="1" fillId="0" borderId="92" xfId="0" applyFont="1" applyBorder="1" applyAlignment="1">
      <alignment horizontal="center" vertical="center"/>
    </xf>
    <xf numFmtId="0" fontId="45" fillId="2" borderId="91" xfId="0" applyFont="1" applyFill="1" applyBorder="1" applyAlignment="1">
      <alignment horizontal="center" vertical="center"/>
    </xf>
    <xf numFmtId="0" fontId="43" fillId="2" borderId="120" xfId="0" applyFont="1" applyFill="1" applyBorder="1" applyAlignment="1">
      <alignment horizontal="center" vertical="center"/>
    </xf>
    <xf numFmtId="0" fontId="41" fillId="2" borderId="120" xfId="0" applyFont="1" applyFill="1" applyBorder="1" applyAlignment="1">
      <alignment horizontal="center" vertical="center"/>
    </xf>
    <xf numFmtId="0" fontId="45" fillId="2" borderId="120" xfId="0" applyFont="1" applyFill="1" applyBorder="1" applyAlignment="1">
      <alignment horizontal="center" vertical="center"/>
    </xf>
    <xf numFmtId="0" fontId="37" fillId="2" borderId="120" xfId="0" applyFont="1" applyFill="1" applyBorder="1" applyAlignment="1">
      <alignment horizontal="center" vertical="center"/>
    </xf>
    <xf numFmtId="0" fontId="44" fillId="2" borderId="120" xfId="0" applyFont="1" applyFill="1" applyBorder="1" applyAlignment="1">
      <alignment horizontal="center" vertical="center"/>
    </xf>
    <xf numFmtId="0" fontId="11" fillId="0" borderId="125" xfId="0" applyFont="1" applyBorder="1" applyAlignment="1">
      <alignment vertical="center"/>
    </xf>
    <xf numFmtId="0" fontId="11" fillId="0" borderId="126" xfId="0" applyFont="1" applyBorder="1" applyAlignment="1">
      <alignment vertical="center"/>
    </xf>
    <xf numFmtId="0" fontId="43" fillId="2" borderId="126" xfId="0" applyFont="1" applyFill="1" applyBorder="1" applyAlignment="1">
      <alignment horizontal="center" vertical="center"/>
    </xf>
    <xf numFmtId="0" fontId="41" fillId="2" borderId="126" xfId="0" applyFont="1" applyFill="1" applyBorder="1" applyAlignment="1">
      <alignment horizontal="center" vertical="center"/>
    </xf>
    <xf numFmtId="0" fontId="45" fillId="2" borderId="126" xfId="0" applyFont="1" applyFill="1" applyBorder="1" applyAlignment="1">
      <alignment horizontal="center" vertical="center"/>
    </xf>
    <xf numFmtId="0" fontId="37" fillId="2" borderId="126" xfId="0" applyFont="1" applyFill="1" applyBorder="1" applyAlignment="1">
      <alignment horizontal="center" vertical="center"/>
    </xf>
    <xf numFmtId="0" fontId="44" fillId="2" borderId="126" xfId="0" applyFont="1" applyFill="1" applyBorder="1" applyAlignment="1">
      <alignment horizontal="center" vertical="center"/>
    </xf>
    <xf numFmtId="0" fontId="43" fillId="2" borderId="127" xfId="0" applyFont="1" applyFill="1" applyBorder="1" applyAlignment="1">
      <alignment horizontal="center" vertical="center"/>
    </xf>
    <xf numFmtId="1" fontId="1" fillId="2" borderId="114" xfId="0" applyNumberFormat="1" applyFont="1" applyFill="1" applyBorder="1" applyAlignment="1">
      <alignment horizontal="center"/>
    </xf>
    <xf numFmtId="1" fontId="1" fillId="2" borderId="89" xfId="0" applyNumberFormat="1" applyFont="1" applyFill="1" applyBorder="1" applyAlignment="1">
      <alignment horizontal="center"/>
    </xf>
    <xf numFmtId="0" fontId="11" fillId="2" borderId="41" xfId="0" applyFont="1" applyFill="1" applyBorder="1" applyAlignment="1">
      <alignment horizontal="center"/>
    </xf>
    <xf numFmtId="1" fontId="1" fillId="2" borderId="99" xfId="0" applyNumberFormat="1" applyFont="1" applyFill="1" applyBorder="1" applyAlignment="1">
      <alignment horizontal="center"/>
    </xf>
    <xf numFmtId="1" fontId="11" fillId="8" borderId="53" xfId="0" applyNumberFormat="1" applyFont="1" applyFill="1" applyBorder="1" applyAlignment="1">
      <alignment horizontal="center"/>
    </xf>
    <xf numFmtId="165" fontId="41" fillId="2" borderId="53" xfId="0" applyNumberFormat="1" applyFont="1" applyFill="1" applyBorder="1" applyAlignment="1">
      <alignment horizontal="center"/>
    </xf>
    <xf numFmtId="165" fontId="11" fillId="8" borderId="53" xfId="0" applyNumberFormat="1" applyFont="1" applyFill="1" applyBorder="1" applyAlignment="1">
      <alignment horizontal="center"/>
    </xf>
    <xf numFmtId="1" fontId="41" fillId="2" borderId="53" xfId="0" applyNumberFormat="1" applyFont="1" applyFill="1" applyBorder="1" applyAlignment="1">
      <alignment horizontal="center"/>
    </xf>
    <xf numFmtId="0" fontId="41" fillId="2" borderId="53" xfId="0" applyFont="1" applyFill="1" applyBorder="1" applyAlignment="1">
      <alignment horizontal="center"/>
    </xf>
    <xf numFmtId="1" fontId="41" fillId="8" borderId="53" xfId="0" applyNumberFormat="1" applyFont="1" applyFill="1" applyBorder="1" applyAlignment="1">
      <alignment horizontal="center"/>
    </xf>
    <xf numFmtId="165" fontId="11" fillId="2" borderId="53" xfId="0" applyNumberFormat="1" applyFont="1" applyFill="1" applyBorder="1" applyAlignment="1">
      <alignment horizontal="center"/>
    </xf>
    <xf numFmtId="1" fontId="1" fillId="2" borderId="103" xfId="0" applyNumberFormat="1" applyFont="1" applyFill="1" applyBorder="1" applyAlignment="1">
      <alignment horizontal="center"/>
    </xf>
    <xf numFmtId="0" fontId="15" fillId="2" borderId="53" xfId="0" applyFont="1" applyFill="1" applyBorder="1" applyAlignment="1">
      <alignment horizontal="center" vertical="center"/>
    </xf>
    <xf numFmtId="0" fontId="60" fillId="2" borderId="53" xfId="0" applyFont="1" applyFill="1" applyBorder="1" applyAlignment="1">
      <alignment horizontal="center" vertical="center"/>
    </xf>
    <xf numFmtId="0" fontId="61" fillId="0" borderId="130" xfId="0" applyFont="1" applyBorder="1"/>
    <xf numFmtId="0" fontId="61" fillId="0" borderId="89" xfId="0" applyFont="1" applyBorder="1"/>
    <xf numFmtId="0" fontId="61" fillId="0" borderId="89" xfId="0" applyFont="1" applyBorder="1" applyAlignment="1">
      <alignment horizontal="center"/>
    </xf>
    <xf numFmtId="0" fontId="61" fillId="0" borderId="92" xfId="0" applyFont="1" applyBorder="1"/>
    <xf numFmtId="0" fontId="61" fillId="2" borderId="131" xfId="0" applyFont="1" applyFill="1" applyBorder="1"/>
    <xf numFmtId="0" fontId="61" fillId="2" borderId="64" xfId="0" applyFont="1" applyFill="1" applyBorder="1"/>
    <xf numFmtId="0" fontId="45" fillId="2" borderId="64" xfId="0" applyFont="1" applyFill="1" applyBorder="1" applyAlignment="1">
      <alignment horizontal="center"/>
    </xf>
    <xf numFmtId="0" fontId="61" fillId="0" borderId="64" xfId="0" applyFont="1" applyBorder="1" applyAlignment="1">
      <alignment horizontal="center"/>
    </xf>
    <xf numFmtId="0" fontId="62" fillId="0" borderId="89" xfId="0" applyFont="1" applyBorder="1" applyAlignment="1">
      <alignment horizontal="center" vertical="center"/>
    </xf>
    <xf numFmtId="1" fontId="1" fillId="2" borderId="91" xfId="0" applyNumberFormat="1" applyFont="1" applyFill="1" applyBorder="1" applyAlignment="1">
      <alignment horizontal="center"/>
    </xf>
    <xf numFmtId="1" fontId="1" fillId="8" borderId="53" xfId="0" applyNumberFormat="1" applyFont="1" applyFill="1" applyBorder="1" applyAlignment="1">
      <alignment horizontal="center"/>
    </xf>
    <xf numFmtId="1" fontId="11" fillId="2" borderId="41" xfId="0" applyNumberFormat="1" applyFont="1" applyFill="1" applyBorder="1" applyAlignment="1">
      <alignment horizontal="center"/>
    </xf>
    <xf numFmtId="1" fontId="2" fillId="3" borderId="7" xfId="0" applyNumberFormat="1" applyFont="1" applyFill="1" applyBorder="1" applyAlignment="1">
      <alignment horizontal="center"/>
    </xf>
    <xf numFmtId="0" fontId="0" fillId="0" borderId="0" xfId="0"/>
    <xf numFmtId="0" fontId="3" fillId="0" borderId="8" xfId="0" applyFont="1" applyBorder="1"/>
    <xf numFmtId="1" fontId="1" fillId="3" borderId="9" xfId="0" applyNumberFormat="1" applyFont="1" applyFill="1" applyBorder="1" applyAlignment="1">
      <alignment horizontal="center"/>
    </xf>
    <xf numFmtId="0" fontId="3" fillId="0" borderId="10" xfId="0" applyFont="1" applyBorder="1"/>
    <xf numFmtId="0" fontId="3" fillId="0" borderId="11" xfId="0" applyFont="1" applyBorder="1"/>
    <xf numFmtId="0" fontId="4" fillId="3" borderId="14" xfId="0" applyFont="1" applyFill="1" applyBorder="1" applyAlignment="1">
      <alignment horizontal="center" vertical="center"/>
    </xf>
    <xf numFmtId="0" fontId="3" fillId="0" borderId="15" xfId="0" applyFont="1" applyBorder="1"/>
    <xf numFmtId="0" fontId="3" fillId="0" borderId="17" xfId="0" applyFont="1" applyBorder="1"/>
    <xf numFmtId="0" fontId="3" fillId="0" borderId="18" xfId="0" applyFont="1" applyBorder="1"/>
    <xf numFmtId="0" fontId="4" fillId="3" borderId="16" xfId="0" applyFont="1" applyFill="1" applyBorder="1" applyAlignment="1">
      <alignment horizontal="center" vertical="center"/>
    </xf>
    <xf numFmtId="0" fontId="3" fillId="0" borderId="19" xfId="0" applyFont="1" applyBorder="1"/>
    <xf numFmtId="0" fontId="5" fillId="4" borderId="20" xfId="0" applyFont="1" applyFill="1" applyBorder="1" applyAlignment="1">
      <alignment horizontal="center" vertical="center"/>
    </xf>
    <xf numFmtId="0" fontId="3" fillId="0" borderId="21" xfId="0" applyFont="1" applyBorder="1"/>
    <xf numFmtId="0" fontId="6" fillId="5" borderId="22" xfId="0" applyFont="1" applyFill="1" applyBorder="1" applyAlignment="1">
      <alignment horizontal="center" vertical="center"/>
    </xf>
    <xf numFmtId="0" fontId="3" fillId="0" borderId="23" xfId="0" applyFont="1" applyBorder="1"/>
    <xf numFmtId="1" fontId="10" fillId="5" borderId="33" xfId="0" applyNumberFormat="1" applyFont="1" applyFill="1" applyBorder="1" applyAlignment="1">
      <alignment horizontal="center"/>
    </xf>
    <xf numFmtId="0" fontId="3" fillId="0" borderId="34" xfId="0" applyFont="1" applyBorder="1"/>
    <xf numFmtId="0" fontId="3" fillId="0" borderId="35" xfId="0" applyFont="1" applyBorder="1"/>
    <xf numFmtId="0" fontId="9" fillId="5" borderId="17" xfId="0" applyFont="1" applyFill="1" applyBorder="1" applyAlignment="1">
      <alignment horizontal="center" vertical="center"/>
    </xf>
    <xf numFmtId="1" fontId="11" fillId="3" borderId="38" xfId="0" applyNumberFormat="1" applyFont="1" applyFill="1" applyBorder="1" applyAlignment="1">
      <alignment horizontal="center"/>
    </xf>
    <xf numFmtId="0" fontId="3" fillId="0" borderId="39" xfId="0" applyFont="1" applyBorder="1"/>
    <xf numFmtId="1" fontId="11" fillId="3" borderId="40" xfId="0" applyNumberFormat="1" applyFont="1" applyFill="1" applyBorder="1" applyAlignment="1">
      <alignment horizontal="center"/>
    </xf>
    <xf numFmtId="1" fontId="12" fillId="3" borderId="41" xfId="0" applyNumberFormat="1" applyFont="1" applyFill="1" applyBorder="1" applyAlignment="1">
      <alignment horizontal="right" vertical="center"/>
    </xf>
    <xf numFmtId="0" fontId="3" fillId="0" borderId="42" xfId="0" applyFont="1" applyBorder="1"/>
    <xf numFmtId="1" fontId="11" fillId="7" borderId="41" xfId="0" applyNumberFormat="1" applyFont="1" applyFill="1" applyBorder="1" applyAlignment="1">
      <alignment horizontal="center" vertical="center"/>
    </xf>
    <xf numFmtId="0" fontId="3" fillId="0" borderId="43" xfId="0" applyFont="1" applyBorder="1"/>
    <xf numFmtId="1" fontId="14" fillId="3" borderId="46" xfId="0" applyNumberFormat="1" applyFont="1" applyFill="1" applyBorder="1" applyAlignment="1">
      <alignment horizontal="center" vertical="top"/>
    </xf>
    <xf numFmtId="0" fontId="3" fillId="0" borderId="47" xfId="0" applyFont="1" applyBorder="1"/>
    <xf numFmtId="0" fontId="3" fillId="0" borderId="27" xfId="0" applyFont="1" applyBorder="1"/>
    <xf numFmtId="0" fontId="16" fillId="9" borderId="57" xfId="0" applyFont="1" applyFill="1" applyBorder="1" applyAlignment="1">
      <alignment horizontal="center" vertical="center"/>
    </xf>
    <xf numFmtId="0" fontId="3" fillId="0" borderId="58" xfId="0" applyFont="1" applyBorder="1"/>
    <xf numFmtId="0" fontId="17" fillId="10" borderId="67" xfId="0" applyFont="1" applyFill="1" applyBorder="1" applyAlignment="1">
      <alignment horizontal="center" vertical="center"/>
    </xf>
    <xf numFmtId="0" fontId="3" fillId="0" borderId="68" xfId="0" applyFont="1" applyBorder="1"/>
    <xf numFmtId="1" fontId="18" fillId="3" borderId="44" xfId="0" applyNumberFormat="1" applyFont="1" applyFill="1" applyBorder="1" applyAlignment="1">
      <alignment horizontal="center"/>
    </xf>
    <xf numFmtId="0" fontId="3" fillId="0" borderId="28" xfId="0" applyFont="1" applyBorder="1"/>
    <xf numFmtId="1" fontId="1" fillId="3" borderId="9" xfId="0" applyNumberFormat="1" applyFont="1" applyFill="1" applyBorder="1" applyAlignment="1">
      <alignment horizontal="left" wrapText="1"/>
    </xf>
    <xf numFmtId="1" fontId="15" fillId="8" borderId="48" xfId="0" applyNumberFormat="1" applyFont="1" applyFill="1" applyBorder="1" applyAlignment="1">
      <alignment horizontal="center"/>
    </xf>
    <xf numFmtId="0" fontId="3" fillId="0" borderId="49" xfId="0" applyFont="1" applyBorder="1"/>
    <xf numFmtId="0" fontId="3" fillId="0" borderId="50" xfId="0" applyFont="1" applyBorder="1"/>
    <xf numFmtId="1" fontId="15" fillId="8" borderId="52" xfId="0" applyNumberFormat="1" applyFont="1" applyFill="1" applyBorder="1" applyAlignment="1">
      <alignment horizontal="center"/>
    </xf>
    <xf numFmtId="1" fontId="15" fillId="8" borderId="41" xfId="0" applyNumberFormat="1" applyFont="1" applyFill="1" applyBorder="1" applyAlignment="1">
      <alignment horizontal="center"/>
    </xf>
    <xf numFmtId="0" fontId="16" fillId="9" borderId="59" xfId="0" applyFont="1" applyFill="1" applyBorder="1" applyAlignment="1">
      <alignment horizontal="center" vertical="center"/>
    </xf>
    <xf numFmtId="0" fontId="17" fillId="10" borderId="62" xfId="0" applyFont="1" applyFill="1" applyBorder="1" applyAlignment="1">
      <alignment horizontal="center" vertical="center"/>
    </xf>
    <xf numFmtId="0" fontId="3" fillId="0" borderId="63" xfId="0" applyFont="1" applyBorder="1"/>
    <xf numFmtId="0" fontId="20" fillId="2" borderId="0" xfId="0" applyFont="1" applyFill="1" applyAlignment="1">
      <alignment horizontal="center" vertical="center"/>
    </xf>
    <xf numFmtId="0" fontId="19" fillId="2" borderId="79" xfId="0" applyFont="1" applyFill="1" applyBorder="1" applyAlignment="1">
      <alignment horizontal="center" vertical="center"/>
    </xf>
    <xf numFmtId="0" fontId="3" fillId="0" borderId="80" xfId="0" applyFont="1" applyBorder="1"/>
    <xf numFmtId="0" fontId="3" fillId="0" borderId="81" xfId="0" applyFont="1" applyBorder="1"/>
    <xf numFmtId="164" fontId="25" fillId="11" borderId="62" xfId="0" applyNumberFormat="1" applyFont="1" applyFill="1" applyBorder="1" applyAlignment="1">
      <alignment horizontal="center" vertical="center"/>
    </xf>
    <xf numFmtId="0" fontId="3" fillId="0" borderId="82" xfId="0" applyFont="1" applyBorder="1"/>
    <xf numFmtId="0" fontId="35" fillId="0" borderId="83" xfId="0" applyFont="1" applyBorder="1" applyAlignment="1">
      <alignment horizontal="center" vertical="center"/>
    </xf>
    <xf numFmtId="0" fontId="3" fillId="0" borderId="87" xfId="0" applyFont="1" applyBorder="1"/>
    <xf numFmtId="0" fontId="1" fillId="8" borderId="41" xfId="0" applyFont="1" applyFill="1" applyBorder="1" applyAlignment="1">
      <alignment horizontal="center" vertical="center"/>
    </xf>
    <xf numFmtId="0" fontId="11" fillId="0" borderId="83" xfId="0" applyFont="1" applyBorder="1" applyAlignment="1">
      <alignment vertical="center"/>
    </xf>
    <xf numFmtId="0" fontId="53" fillId="2" borderId="83" xfId="0" applyFont="1" applyFill="1" applyBorder="1" applyAlignment="1">
      <alignment horizontal="center" vertical="center"/>
    </xf>
    <xf numFmtId="0" fontId="41" fillId="8" borderId="41" xfId="0" applyFont="1" applyFill="1" applyBorder="1" applyAlignment="1">
      <alignment horizontal="center"/>
    </xf>
    <xf numFmtId="165" fontId="41" fillId="8" borderId="41" xfId="0" applyNumberFormat="1" applyFont="1" applyFill="1" applyBorder="1" applyAlignment="1">
      <alignment horizontal="center"/>
    </xf>
    <xf numFmtId="0" fontId="60" fillId="2" borderId="41" xfId="0" applyFont="1" applyFill="1" applyBorder="1" applyAlignment="1">
      <alignment horizontal="center" vertical="center"/>
    </xf>
    <xf numFmtId="0" fontId="57" fillId="4" borderId="14" xfId="0" applyFont="1" applyFill="1" applyBorder="1" applyAlignment="1">
      <alignment horizontal="center" vertical="center"/>
    </xf>
    <xf numFmtId="0" fontId="3" fillId="0" borderId="128" xfId="0" applyFont="1" applyBorder="1"/>
    <xf numFmtId="0" fontId="3" fillId="0" borderId="129" xfId="0" applyFont="1" applyBorder="1"/>
    <xf numFmtId="0" fontId="58" fillId="11" borderId="41" xfId="0" applyFont="1" applyFill="1" applyBorder="1" applyAlignment="1">
      <alignment horizontal="center" vertical="center"/>
    </xf>
    <xf numFmtId="0" fontId="59" fillId="2" borderId="41" xfId="0" applyFont="1" applyFill="1" applyBorder="1" applyAlignment="1">
      <alignment horizontal="center"/>
    </xf>
    <xf numFmtId="1" fontId="11" fillId="8" borderId="14" xfId="0" applyNumberFormat="1" applyFont="1" applyFill="1" applyBorder="1" applyAlignment="1">
      <alignment horizontal="center"/>
    </xf>
    <xf numFmtId="1" fontId="11" fillId="8" borderId="14" xfId="0" applyNumberFormat="1" applyFont="1" applyFill="1" applyBorder="1" applyAlignment="1">
      <alignment horizontal="center" vertical="center"/>
    </xf>
    <xf numFmtId="165" fontId="11" fillId="8" borderId="41" xfId="0" applyNumberFormat="1" applyFont="1" applyFill="1" applyBorder="1" applyAlignment="1">
      <alignment horizontal="center"/>
    </xf>
    <xf numFmtId="0" fontId="57" fillId="5" borderId="14" xfId="0" applyFont="1" applyFill="1" applyBorder="1" applyAlignment="1">
      <alignment horizontal="center" vertical="center"/>
    </xf>
    <xf numFmtId="0" fontId="57" fillId="6" borderId="14" xfId="0" applyFont="1" applyFill="1" applyBorder="1" applyAlignment="1">
      <alignment horizontal="center" vertical="center"/>
    </xf>
    <xf numFmtId="0" fontId="63" fillId="11" borderId="41" xfId="0" applyFont="1" applyFill="1" applyBorder="1" applyAlignment="1">
      <alignment horizontal="center"/>
    </xf>
  </cellXfs>
  <cellStyles count="1">
    <cellStyle name="Normal" xfId="0" builtinId="0"/>
  </cellStyles>
  <dxfs count="120">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ont>
        <b/>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93C47D"/>
          <bgColor rgb="FF93C47D"/>
        </patternFill>
      </fill>
    </dxf>
    <dxf>
      <fill>
        <patternFill patternType="solid">
          <fgColor rgb="FFFF0000"/>
          <bgColor rgb="FFFF0000"/>
        </patternFill>
      </fill>
    </dxf>
    <dxf>
      <fill>
        <patternFill patternType="solid">
          <fgColor rgb="FFFF9900"/>
          <bgColor rgb="FFFF9900"/>
        </patternFill>
      </fill>
    </dxf>
    <dxf>
      <font>
        <color rgb="FFFFFFFF"/>
      </font>
      <fill>
        <patternFill patternType="solid">
          <fgColor rgb="FF4A86E8"/>
          <bgColor rgb="FF4A86E8"/>
        </patternFill>
      </fill>
    </dxf>
    <dxf>
      <font>
        <b/>
        <color rgb="FF000000"/>
      </font>
      <fill>
        <patternFill patternType="solid">
          <fgColor rgb="FFFFFFFF"/>
          <bgColor rgb="FFFFFFFF"/>
        </patternFill>
      </fill>
    </dxf>
    <dxf>
      <fill>
        <patternFill patternType="solid">
          <fgColor rgb="FF000000"/>
          <bgColor rgb="FF000000"/>
        </patternFill>
      </fill>
    </dxf>
    <dxf>
      <fill>
        <patternFill patternType="solid">
          <fgColor rgb="FFB7E1CD"/>
          <bgColor rgb="FFB7E1CD"/>
        </patternFill>
      </fill>
    </dxf>
    <dxf>
      <font>
        <color rgb="FFFFFFFF"/>
      </font>
      <fill>
        <patternFill patternType="solid">
          <fgColor rgb="FF6AA84F"/>
          <bgColor rgb="FF6AA84F"/>
        </patternFill>
      </fill>
    </dxf>
    <dxf>
      <font>
        <color rgb="FFFFFFFF"/>
      </font>
      <fill>
        <patternFill patternType="solid">
          <fgColor rgb="FF4A86E8"/>
          <bgColor rgb="FF4A86E8"/>
        </patternFill>
      </fill>
    </dxf>
    <dxf>
      <font>
        <color rgb="FFFFFFFF"/>
      </font>
      <fill>
        <patternFill patternType="solid">
          <fgColor rgb="FFFF0000"/>
          <bgColor rgb="FFFF0000"/>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LOOKUP-style" pivot="0" count="3" xr9:uid="{00000000-0011-0000-FFFF-FFFF00000000}">
      <tableStyleElement type="headerRow" dxfId="119"/>
      <tableStyleElement type="firstRowStripe" dxfId="118"/>
      <tableStyleElement type="secondRowStripe" dxfId="1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G24:J26" headerRowCount="0">
  <tableColumns count="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s>
  <tableStyleInfo name="LOOKUP-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mailto:cal55plustourney@gmail.com" TargetMode="External"/><Relationship Id="rId1" Type="http://schemas.openxmlformats.org/officeDocument/2006/relationships/hyperlink" Target="https://docs.google.com/spreadsheets/u/0/d/1LXc3QZ0ena9yWN8hJ0n0T92fCWl4jJNa3X3NZTAVxNs/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35"/>
  <sheetViews>
    <sheetView tabSelected="1" workbookViewId="0"/>
  </sheetViews>
  <sheetFormatPr defaultColWidth="12.5703125" defaultRowHeight="15.75" customHeight="1" x14ac:dyDescent="0.2"/>
  <cols>
    <col min="3" max="3" width="21.7109375" customWidth="1"/>
    <col min="5" max="5" width="23.42578125" customWidth="1"/>
    <col min="6" max="6" width="15.5703125" customWidth="1"/>
    <col min="7" max="7" width="26.7109375" customWidth="1"/>
    <col min="8" max="8" width="24.85546875" customWidth="1"/>
    <col min="9" max="9" width="41.5703125" customWidth="1"/>
    <col min="10" max="10" width="4.42578125" customWidth="1"/>
  </cols>
  <sheetData>
    <row r="1" spans="1:10" ht="30" customHeight="1" x14ac:dyDescent="0.25">
      <c r="A1" s="1" t="s">
        <v>0</v>
      </c>
      <c r="B1" s="1"/>
      <c r="C1" s="1"/>
      <c r="D1" s="1"/>
      <c r="E1" s="1"/>
      <c r="F1" s="1"/>
      <c r="G1" s="1"/>
      <c r="H1" s="1"/>
      <c r="I1" s="1"/>
      <c r="J1" s="1"/>
    </row>
    <row r="2" spans="1:10" ht="30" customHeight="1" x14ac:dyDescent="0.25">
      <c r="A2" s="2"/>
      <c r="B2" s="2"/>
      <c r="C2" s="2"/>
      <c r="D2" s="2"/>
      <c r="E2" s="2"/>
      <c r="F2" s="2"/>
      <c r="G2" s="2"/>
      <c r="H2" s="2"/>
      <c r="I2" s="2"/>
      <c r="J2" s="1"/>
    </row>
    <row r="3" spans="1:10" ht="6" customHeight="1" x14ac:dyDescent="0.25">
      <c r="A3" s="3"/>
      <c r="B3" s="4"/>
      <c r="C3" s="5"/>
      <c r="D3" s="5"/>
      <c r="E3" s="5"/>
      <c r="F3" s="5"/>
      <c r="G3" s="5"/>
      <c r="H3" s="5"/>
      <c r="I3" s="6"/>
      <c r="J3" s="1"/>
    </row>
    <row r="4" spans="1:10" ht="35.25" x14ac:dyDescent="0.5">
      <c r="A4" s="3"/>
      <c r="B4" s="291" t="s">
        <v>1</v>
      </c>
      <c r="C4" s="292"/>
      <c r="D4" s="292"/>
      <c r="E4" s="292"/>
      <c r="F4" s="292"/>
      <c r="G4" s="292"/>
      <c r="H4" s="292"/>
      <c r="I4" s="293"/>
      <c r="J4" s="1"/>
    </row>
    <row r="5" spans="1:10" x14ac:dyDescent="0.25">
      <c r="A5" s="3"/>
      <c r="B5" s="294"/>
      <c r="C5" s="295"/>
      <c r="D5" s="295"/>
      <c r="E5" s="295"/>
      <c r="F5" s="295"/>
      <c r="G5" s="295"/>
      <c r="H5" s="295"/>
      <c r="I5" s="296"/>
      <c r="J5" s="1"/>
    </row>
    <row r="6" spans="1:10" x14ac:dyDescent="0.25">
      <c r="A6" s="3"/>
      <c r="B6" s="8"/>
      <c r="C6" s="9"/>
      <c r="D6" s="297" t="s">
        <v>2</v>
      </c>
      <c r="E6" s="298"/>
      <c r="F6" s="297" t="s">
        <v>3</v>
      </c>
      <c r="G6" s="298"/>
      <c r="H6" s="301" t="s">
        <v>4</v>
      </c>
      <c r="I6" s="10"/>
      <c r="J6" s="1"/>
    </row>
    <row r="7" spans="1:10" x14ac:dyDescent="0.25">
      <c r="A7" s="3"/>
      <c r="B7" s="8"/>
      <c r="C7" s="9"/>
      <c r="D7" s="299"/>
      <c r="E7" s="300"/>
      <c r="F7" s="299"/>
      <c r="G7" s="300"/>
      <c r="H7" s="302"/>
      <c r="I7" s="10"/>
      <c r="J7" s="1"/>
    </row>
    <row r="8" spans="1:10" ht="23.25" x14ac:dyDescent="0.25">
      <c r="A8" s="3"/>
      <c r="B8" s="8"/>
      <c r="C8" s="9"/>
      <c r="D8" s="303" t="s">
        <v>5</v>
      </c>
      <c r="E8" s="304"/>
      <c r="F8" s="305" t="s">
        <v>6</v>
      </c>
      <c r="G8" s="306"/>
      <c r="H8" s="11" t="s">
        <v>7</v>
      </c>
      <c r="I8" s="10"/>
      <c r="J8" s="1"/>
    </row>
    <row r="9" spans="1:10" ht="23.25" x14ac:dyDescent="0.25">
      <c r="A9" s="3"/>
      <c r="B9" s="7"/>
      <c r="C9" s="9"/>
      <c r="D9" s="303" t="s">
        <v>8</v>
      </c>
      <c r="E9" s="304"/>
      <c r="F9" s="305" t="s">
        <v>9</v>
      </c>
      <c r="G9" s="306"/>
      <c r="H9" s="11" t="s">
        <v>10</v>
      </c>
      <c r="I9" s="10"/>
      <c r="J9" s="1"/>
    </row>
    <row r="10" spans="1:10" ht="23.25" x14ac:dyDescent="0.25">
      <c r="A10" s="3"/>
      <c r="B10" s="7"/>
      <c r="C10" s="9"/>
      <c r="D10" s="303" t="s">
        <v>11</v>
      </c>
      <c r="E10" s="304"/>
      <c r="F10" s="305" t="s">
        <v>12</v>
      </c>
      <c r="G10" s="306"/>
      <c r="H10" s="11" t="s">
        <v>13</v>
      </c>
      <c r="I10" s="12"/>
      <c r="J10" s="1"/>
    </row>
    <row r="11" spans="1:10" ht="23.25" x14ac:dyDescent="0.25">
      <c r="A11" s="3"/>
      <c r="B11" s="7"/>
      <c r="C11" s="9"/>
      <c r="D11" s="303" t="s">
        <v>14</v>
      </c>
      <c r="E11" s="304"/>
      <c r="F11" s="305" t="s">
        <v>15</v>
      </c>
      <c r="G11" s="306"/>
      <c r="H11" s="13" t="s">
        <v>16</v>
      </c>
      <c r="I11" s="10"/>
      <c r="J11" s="1"/>
    </row>
    <row r="12" spans="1:10" ht="23.25" x14ac:dyDescent="0.25">
      <c r="A12" s="3"/>
      <c r="B12" s="7"/>
      <c r="C12" s="9"/>
      <c r="D12" s="303" t="s">
        <v>17</v>
      </c>
      <c r="E12" s="304"/>
      <c r="F12" s="305" t="s">
        <v>18</v>
      </c>
      <c r="G12" s="306"/>
      <c r="H12" s="14"/>
      <c r="I12" s="10"/>
      <c r="J12" s="1"/>
    </row>
    <row r="13" spans="1:10" ht="23.25" x14ac:dyDescent="0.25">
      <c r="A13" s="3"/>
      <c r="B13" s="7"/>
      <c r="C13" s="9"/>
      <c r="D13" s="303" t="s">
        <v>19</v>
      </c>
      <c r="E13" s="304"/>
      <c r="F13" s="310" t="s">
        <v>20</v>
      </c>
      <c r="G13" s="300"/>
      <c r="H13" s="15"/>
      <c r="I13" s="10"/>
      <c r="J13" s="1"/>
    </row>
    <row r="14" spans="1:10" x14ac:dyDescent="0.25">
      <c r="A14" s="3"/>
      <c r="B14" s="16"/>
      <c r="C14" s="17"/>
      <c r="D14" s="18"/>
      <c r="E14" s="18"/>
      <c r="F14" s="18"/>
      <c r="G14" s="18"/>
      <c r="H14" s="17"/>
      <c r="I14" s="19"/>
      <c r="J14" s="1"/>
    </row>
    <row r="15" spans="1:10" ht="37.5" x14ac:dyDescent="0.5">
      <c r="A15" s="3"/>
      <c r="B15" s="307" t="s">
        <v>21</v>
      </c>
      <c r="C15" s="308"/>
      <c r="D15" s="308"/>
      <c r="E15" s="308"/>
      <c r="F15" s="308"/>
      <c r="G15" s="308"/>
      <c r="H15" s="308"/>
      <c r="I15" s="309"/>
      <c r="J15" s="1"/>
    </row>
    <row r="16" spans="1:10" x14ac:dyDescent="0.25">
      <c r="A16" s="3"/>
      <c r="B16" s="20"/>
      <c r="C16" s="21"/>
      <c r="D16" s="21"/>
      <c r="E16" s="21"/>
      <c r="F16" s="21"/>
      <c r="G16" s="21"/>
      <c r="H16" s="21"/>
      <c r="I16" s="12"/>
      <c r="J16" s="1"/>
    </row>
    <row r="17" spans="1:10" ht="18" x14ac:dyDescent="0.25">
      <c r="A17" s="3"/>
      <c r="B17" s="8"/>
      <c r="C17" s="17"/>
      <c r="D17" s="17"/>
      <c r="E17" s="311" t="s">
        <v>22</v>
      </c>
      <c r="F17" s="312"/>
      <c r="G17" s="313" t="s">
        <v>23</v>
      </c>
      <c r="H17" s="312"/>
      <c r="I17" s="10"/>
      <c r="J17" s="1"/>
    </row>
    <row r="18" spans="1:10" ht="19.5" x14ac:dyDescent="0.25">
      <c r="A18" s="3"/>
      <c r="B18" s="7"/>
      <c r="C18" s="314" t="s">
        <v>24</v>
      </c>
      <c r="D18" s="315"/>
      <c r="E18" s="316"/>
      <c r="F18" s="317"/>
      <c r="G18" s="316"/>
      <c r="H18" s="317"/>
      <c r="I18" s="10"/>
      <c r="J18" s="1"/>
    </row>
    <row r="19" spans="1:10" x14ac:dyDescent="0.25">
      <c r="A19" s="3"/>
      <c r="B19" s="16"/>
      <c r="C19" s="22"/>
      <c r="D19" s="23"/>
      <c r="E19" s="23"/>
      <c r="F19" s="23"/>
      <c r="G19" s="23"/>
      <c r="H19" s="23"/>
      <c r="I19" s="19"/>
      <c r="J19" s="1"/>
    </row>
    <row r="20" spans="1:10" ht="18" x14ac:dyDescent="0.25">
      <c r="A20" s="3"/>
      <c r="B20" s="24"/>
      <c r="C20" s="22"/>
      <c r="D20" s="25"/>
      <c r="E20" s="318" t="s">
        <v>25</v>
      </c>
      <c r="F20" s="319"/>
      <c r="G20" s="319"/>
      <c r="H20" s="320"/>
      <c r="I20" s="19"/>
      <c r="J20" s="1"/>
    </row>
    <row r="21" spans="1:10" x14ac:dyDescent="0.25">
      <c r="A21" s="3"/>
      <c r="B21" s="24"/>
      <c r="C21" s="22"/>
      <c r="D21" s="25"/>
      <c r="E21" s="18"/>
      <c r="F21" s="18"/>
      <c r="G21" s="18"/>
      <c r="H21" s="21"/>
      <c r="I21" s="19"/>
      <c r="J21" s="1"/>
    </row>
    <row r="22" spans="1:10" ht="16.5" x14ac:dyDescent="0.25">
      <c r="A22" s="26"/>
      <c r="B22" s="27"/>
      <c r="C22" s="22"/>
      <c r="D22" s="28"/>
      <c r="E22" s="29"/>
      <c r="F22" s="22"/>
      <c r="G22" s="328" t="s">
        <v>26</v>
      </c>
      <c r="H22" s="329"/>
      <c r="I22" s="330"/>
      <c r="J22" s="30"/>
    </row>
    <row r="23" spans="1:10" ht="16.5" x14ac:dyDescent="0.25">
      <c r="A23" s="26"/>
      <c r="B23" s="331" t="s">
        <v>22</v>
      </c>
      <c r="C23" s="317"/>
      <c r="D23" s="332" t="s">
        <v>23</v>
      </c>
      <c r="E23" s="317"/>
      <c r="F23" s="31" t="s">
        <v>27</v>
      </c>
      <c r="G23" s="32" t="s">
        <v>28</v>
      </c>
      <c r="H23" s="33" t="s">
        <v>29</v>
      </c>
      <c r="I23" s="34" t="s">
        <v>30</v>
      </c>
      <c r="J23" s="35"/>
    </row>
    <row r="24" spans="1:10" ht="16.5" x14ac:dyDescent="0.25">
      <c r="A24" s="3"/>
      <c r="B24" s="321" t="str">
        <f ca="1">IFERROR(__xludf.DUMMYFUNCTION("IF(AND($E$18&lt;&gt;"""",$G$18&lt;&gt;""""),IFERROR(QUERY({IFERROR(QUERY(IMPORTRANGE(""https://docs.google.com/spreadsheets/d/1ldE5MesCa2eBaR-LJ5T1U9LDDK99iepgD4XKD9i_8LY/edit?gid=20346383#gid=20346383"",""Div1 Roster!A6:F120""),""SELECT Col2, Col4, Col1, Col5, Col3 "&amp;"WHERE Col2 MATCHES '"" &amp; REGEXREPLACE(UPPER($E$18),""['']"",""."") &amp; ""' AND Col1 MATCHES '"" &amp; REGEXREPLACE(UPPER($G$18),""['']"",""."") &amp; ""' AND Col3 &lt;&gt; '' LIMIT 3"",0),{"""","""","""","""",""""});IFERROR(QUERY(IMPORTRANGE(""https://docs.google.com/spr"&amp;"eadsheets/d/1ldE5MesCa2eBaR-LJ5T1U9LDDK99iepgD4XKD9i_8LY/edit?gid=20346383#gid=20346383"",""DIV2A Roster!A6:F120""),""SELECT Col2, Col4, Col1, Col5, Col3 WHERE Col2 MATCHES '"" &amp; REGEXREPLACE(UPPER($E$18),""['']"",""."") &amp; ""' AND Col1 MATCHES '"" &amp; REGEX"&amp;"REPLACE(UPPER($G$18),""['']"",""."") &amp; ""' AND Col3 &lt;&gt; '' LIMIT 3"",0),{"""","""","""","""",""""});IFERROR(QUERY(IMPORTRANGE(""https://docs.google.com/spreadsheets/d/1ldE5MesCa2eBaR-LJ5T1U9LDDK99iepgD4XKD9i_8LY/edit?gid=20346383#gid=20346383"",""Div2B Ros"&amp;"ter!A6:F120""),""SELECT Col2, Col4, Col1, Col5, Col3 WHERE Col2 MATCHES '"" &amp; REGEXREPLACE(UPPER($E$18),""['']"",""."") &amp; ""' AND Col1 MATCHES '"" &amp; REGEXREPLACE(UPPER($G$18),""['']"",""."") &amp; ""' AND Col3 &lt;&gt; '' LIMIT 3"",0),{"""","""","""","""",""""})},"&amp;"""SELECT * WHERE Col1 IS NOT NULL LIMIT 9"",0),""Sorry, I've got nothing""),"""")"),"")</f>
        <v/>
      </c>
      <c r="C24" s="322"/>
      <c r="D24" s="333"/>
      <c r="E24" s="322"/>
      <c r="F24" s="36"/>
      <c r="G24" s="36" t="str">
        <f ca="1">IFERROR(__xludf.DUMMYFUNCTION("IFERROR(IF(F24&lt;&gt;"""", INDEX(IMPORTRANGE(""https://docs.google.com/spreadsheets/d/1ldE5MesCa2eBaR-LJ5T1U9LDDK99iepgD4XKD9i_8LY/edit?gid=2113271226#gid=2113271226"", F24 &amp; ""!B5""), 1, 1), """"),"""")"),"")</f>
        <v/>
      </c>
      <c r="H24" s="36" t="str">
        <f ca="1">IFERROR(__xludf.DUMMYFUNCTION("IF(G24&lt;&gt;"""", 
  QUERY(
    IMPORTRANGE(""https://docs.google.com/spreadsheets/d/1ldE5MesCa2eBaR-LJ5T1U9LDDK99iepgD4XKD9i_8LY/edit?gid=2113271226#gid=2113271226"", F24 &amp; ""!A11:I30""), 
    ""SELECT Col7, Col9 WHERE UPPER(Col1) MATCHES UPPER('"" &amp; 
      "&amp;"TRIM(INDEX(SPLIT(G24, "" ""), 1)) &amp; 
    ""') AND UPPER(Col2) MATCHES UPPER('"" &amp; 
      TRIM(REGEXREPLACE(G24, ""^(\S+)\s"", """")) &amp; 
    ""') Limit 3""
  ), 
"""")"),"")</f>
        <v/>
      </c>
      <c r="I24" s="37"/>
      <c r="J24" s="1"/>
    </row>
    <row r="25" spans="1:10" ht="20.25" customHeight="1" x14ac:dyDescent="0.25">
      <c r="A25" s="3"/>
      <c r="B25" s="321"/>
      <c r="C25" s="322"/>
      <c r="D25" s="334"/>
      <c r="E25" s="335"/>
      <c r="F25" s="38"/>
      <c r="G25" s="39" t="str">
        <f ca="1">IFERROR(__xludf.DUMMYFUNCTION("IF(F25&lt;&gt;"""", INDEX(IMPORTRANGE(""https://docs.google.com/spreadsheets/d/1ldE5MesCa2eBaR-LJ5T1U9LDDK99iepgD4XKD9i_8LY/edit?gid=2113271226#gid=2113271226"", F25 &amp; ""!B5""), 1, 1), """")"),"")</f>
        <v/>
      </c>
      <c r="H25" s="36" t="str">
        <f ca="1">IFERROR(__xludf.DUMMYFUNCTION("IF(G25&lt;&gt;"""", 
  QUERY(
    IMPORTRANGE(""https://docs.google.com/spreadsheets/d/1ldE5MesCa2eBaR-LJ5T1U9LDDK99iepgD4XKD9i_8LY/edit?gid=2113271226#gid=2113271226"", F25 &amp; ""!A11:I30""), 
    ""SELECT Col7, Col9 WHERE UPPER(Col1) MATCHES UPPER('"" &amp; 
      "&amp;"TRIM(INDEX(SPLIT(G25, "" ""), 1)) &amp; 
    ""') AND UPPER(Col2) MATCHES UPPER('"" &amp; 
      TRIM(REGEXREPLACE(G25, ""^(\S+)\s"", """")) &amp; 
    ""') Limit 3""
  ), 
"""")"),"")</f>
        <v/>
      </c>
      <c r="I25" s="40"/>
      <c r="J25" s="1"/>
    </row>
    <row r="26" spans="1:10" ht="19.5" customHeight="1" x14ac:dyDescent="0.25">
      <c r="A26" s="3"/>
      <c r="B26" s="321"/>
      <c r="C26" s="322"/>
      <c r="D26" s="323"/>
      <c r="E26" s="324"/>
      <c r="F26" s="41"/>
      <c r="G26" s="41" t="str">
        <f ca="1">IFERROR(__xludf.DUMMYFUNCTION("IF(F26&lt;&gt;"""", INDEX(IMPORTRANGE(""https://docs.google.com/spreadsheets/d/1ldE5MesCa2eBaR-LJ5T1U9LDDK99iepgD4XKD9i_8LY/edit?gid=2113271226#gid=2113271226"", F26 &amp; ""!B5""), 1, 1), """")"),"")</f>
        <v/>
      </c>
      <c r="H26" s="36" t="str">
        <f ca="1">IFERROR(__xludf.DUMMYFUNCTION("IF(G26&lt;&gt;"""", 
  QUERY(
    IMPORTRANGE(""https://docs.google.com/spreadsheets/d/1ldE5MesCa2eBaR-LJ5T1U9LDDK99iepgD4XKD9i_8LY/edit?gid=2113271226#gid=2113271226"", F26 &amp; ""!A11:I30""), 
    ""SELECT Col7, Col9 WHERE UPPER(Col1) MATCHES UPPER('"" &amp; 
      "&amp;"TRIM(INDEX(SPLIT(G26, "" ""), 1)) &amp; 
    ""') AND UPPER(Col2) MATCHES UPPER('"" &amp; 
      TRIM(REGEXREPLACE(G26, ""^(\S+)\s"", """")) &amp; 
    ""') Limit 3""
  ), 
"""")"),"")</f>
        <v/>
      </c>
      <c r="I26" s="42"/>
      <c r="J26" s="1"/>
    </row>
    <row r="27" spans="1:10" x14ac:dyDescent="0.25">
      <c r="A27" s="3"/>
      <c r="B27" s="43"/>
      <c r="C27" s="21"/>
      <c r="D27" s="44"/>
      <c r="E27" s="21"/>
      <c r="F27" s="21"/>
      <c r="G27" s="21"/>
      <c r="H27" s="21"/>
      <c r="I27" s="45"/>
      <c r="J27" s="1"/>
    </row>
    <row r="28" spans="1:10" ht="37.5" x14ac:dyDescent="0.5">
      <c r="A28" s="3"/>
      <c r="B28" s="8"/>
      <c r="C28" s="23"/>
      <c r="D28" s="23"/>
      <c r="E28" s="325" t="s">
        <v>31</v>
      </c>
      <c r="F28" s="295"/>
      <c r="G28" s="326"/>
      <c r="H28" s="46"/>
      <c r="I28" s="47"/>
      <c r="J28" s="1"/>
    </row>
    <row r="29" spans="1:10" x14ac:dyDescent="0.25">
      <c r="A29" s="3"/>
      <c r="B29" s="8"/>
      <c r="C29" s="23"/>
      <c r="D29" s="23"/>
      <c r="E29" s="46"/>
      <c r="F29" s="46"/>
      <c r="G29" s="46"/>
      <c r="H29" s="46"/>
      <c r="I29" s="47"/>
      <c r="J29" s="1"/>
    </row>
    <row r="30" spans="1:10" x14ac:dyDescent="0.25">
      <c r="A30" s="3"/>
      <c r="B30" s="48" t="s">
        <v>32</v>
      </c>
      <c r="C30" s="23"/>
      <c r="D30" s="23"/>
      <c r="E30" s="46"/>
      <c r="F30" s="46"/>
      <c r="G30" s="46"/>
      <c r="H30" s="46"/>
      <c r="I30" s="47"/>
      <c r="J30" s="1"/>
    </row>
    <row r="31" spans="1:10" x14ac:dyDescent="0.25">
      <c r="A31" s="3"/>
      <c r="B31" s="48" t="s">
        <v>33</v>
      </c>
      <c r="C31" s="23"/>
      <c r="D31" s="23"/>
      <c r="E31" s="46"/>
      <c r="F31" s="46"/>
      <c r="G31" s="46"/>
      <c r="H31" s="46"/>
      <c r="I31" s="47"/>
      <c r="J31" s="1"/>
    </row>
    <row r="32" spans="1:10" x14ac:dyDescent="0.25">
      <c r="A32" s="3"/>
      <c r="B32" s="327" t="s">
        <v>34</v>
      </c>
      <c r="C32" s="295"/>
      <c r="D32" s="295"/>
      <c r="E32" s="295"/>
      <c r="F32" s="295"/>
      <c r="G32" s="295"/>
      <c r="H32" s="295"/>
      <c r="I32" s="296"/>
      <c r="J32" s="1"/>
    </row>
    <row r="33" spans="1:10" x14ac:dyDescent="0.25">
      <c r="A33" s="3"/>
      <c r="B33" s="327" t="s">
        <v>35</v>
      </c>
      <c r="C33" s="295"/>
      <c r="D33" s="295"/>
      <c r="E33" s="295"/>
      <c r="F33" s="295"/>
      <c r="G33" s="295"/>
      <c r="H33" s="295"/>
      <c r="I33" s="296"/>
      <c r="J33" s="1"/>
    </row>
    <row r="34" spans="1:10" x14ac:dyDescent="0.25">
      <c r="A34" s="3"/>
      <c r="B34" s="49"/>
      <c r="C34" s="50"/>
      <c r="D34" s="50"/>
      <c r="E34" s="50"/>
      <c r="F34" s="50"/>
      <c r="G34" s="51"/>
      <c r="H34" s="51"/>
      <c r="I34" s="52"/>
      <c r="J34" s="1"/>
    </row>
    <row r="35" spans="1:10" ht="30" customHeight="1" x14ac:dyDescent="0.25">
      <c r="A35" s="53"/>
      <c r="B35" s="53"/>
      <c r="C35" s="53"/>
      <c r="D35" s="53"/>
      <c r="E35" s="53"/>
      <c r="F35" s="53"/>
      <c r="G35" s="53"/>
      <c r="H35" s="53"/>
      <c r="I35" s="53"/>
      <c r="J35" s="1"/>
    </row>
  </sheetData>
  <mergeCells count="36">
    <mergeCell ref="B33:I33"/>
    <mergeCell ref="G22:I22"/>
    <mergeCell ref="B23:C23"/>
    <mergeCell ref="D23:E23"/>
    <mergeCell ref="B24:C24"/>
    <mergeCell ref="D24:E24"/>
    <mergeCell ref="B25:C25"/>
    <mergeCell ref="D25:E25"/>
    <mergeCell ref="E20:H20"/>
    <mergeCell ref="B26:C26"/>
    <mergeCell ref="D26:E26"/>
    <mergeCell ref="E28:G28"/>
    <mergeCell ref="B32:I32"/>
    <mergeCell ref="E17:F17"/>
    <mergeCell ref="G17:H17"/>
    <mergeCell ref="C18:D18"/>
    <mergeCell ref="E18:F18"/>
    <mergeCell ref="G18:H18"/>
    <mergeCell ref="D8:E8"/>
    <mergeCell ref="F8:G8"/>
    <mergeCell ref="D12:E12"/>
    <mergeCell ref="D13:E13"/>
    <mergeCell ref="B15:I15"/>
    <mergeCell ref="D9:E9"/>
    <mergeCell ref="F9:G9"/>
    <mergeCell ref="D10:E10"/>
    <mergeCell ref="F10:G10"/>
    <mergeCell ref="D11:E11"/>
    <mergeCell ref="F11:G11"/>
    <mergeCell ref="F12:G12"/>
    <mergeCell ref="F13:G13"/>
    <mergeCell ref="B4:I4"/>
    <mergeCell ref="B5:I5"/>
    <mergeCell ref="D6:E7"/>
    <mergeCell ref="F6:G7"/>
    <mergeCell ref="H6:H7"/>
  </mergeCells>
  <conditionalFormatting sqref="B24:I26">
    <cfRule type="expression" dxfId="116" priority="1">
      <formula>OR($F24="JETS",$F24="WILD",$F24="STARS",$F24="KINGS",$F24="FLAMES",$F24="CANUCKS")</formula>
    </cfRule>
    <cfRule type="expression" dxfId="115" priority="2">
      <formula>OR($F24="AVALANCHE",$F24="BRUINS",$F24="FLYERS",$F24="KNIGHTS",$F24="RANGERS",$F24="WINGS")</formula>
    </cfRule>
    <cfRule type="expression" dxfId="114" priority="3">
      <formula>OR($F24="BLUES",$F24="KRAKEN",$F24="LEAFS",$F24="OILERS")</formula>
    </cfRule>
    <cfRule type="expression" dxfId="113" priority="5">
      <formula>$F24="UNASSIGNED"</formula>
    </cfRule>
  </conditionalFormatting>
  <conditionalFormatting sqref="D24:F24 I24 B24:C26 G24:H26 F26">
    <cfRule type="containsBlanks" dxfId="112" priority="4">
      <formula>LEN(TRIM(B24))=0</formula>
    </cfRule>
  </conditionalFormatting>
  <hyperlinks>
    <hyperlink ref="D8" location="AVALANCHE!A1" display="AVALANCHE" xr:uid="{00000000-0004-0000-0000-000000000000}"/>
    <hyperlink ref="F8" location="CANUCKS!A1" display="CANUCKS" xr:uid="{00000000-0004-0000-0000-000001000000}"/>
    <hyperlink ref="H8" location="BLUES!A1" display="BLUES" xr:uid="{00000000-0004-0000-0000-000002000000}"/>
    <hyperlink ref="D9" location="BRUINS!A1" display="BRUINS" xr:uid="{00000000-0004-0000-0000-000003000000}"/>
    <hyperlink ref="F9" location="FLAMES!A1" display="FLAMES" xr:uid="{00000000-0004-0000-0000-000004000000}"/>
    <hyperlink ref="H9" location="KRAKEN!A1" display="KRAKEN" xr:uid="{00000000-0004-0000-0000-000005000000}"/>
    <hyperlink ref="D10" location="FLYERS!A1" display="FLYERS" xr:uid="{00000000-0004-0000-0000-000006000000}"/>
    <hyperlink ref="F10" location="JETS!A1" display="JETS" xr:uid="{00000000-0004-0000-0000-000007000000}"/>
    <hyperlink ref="H10" location="LEAFS!A1" display="LEAFS" xr:uid="{00000000-0004-0000-0000-000008000000}"/>
    <hyperlink ref="D11" location="KNIGHTS!A1" display="KNIGHTS" xr:uid="{00000000-0004-0000-0000-000009000000}"/>
    <hyperlink ref="F11" location="KINGS!A1" display="KINGS" xr:uid="{00000000-0004-0000-0000-00000A000000}"/>
    <hyperlink ref="H11" location="OILERS!A1" display="OILERS" xr:uid="{00000000-0004-0000-0000-00000B000000}"/>
    <hyperlink ref="D12" location="RANGERS!A1" display="RANGERS" xr:uid="{00000000-0004-0000-0000-00000C000000}"/>
    <hyperlink ref="F12" location="STARS!A1" display="STARS" xr:uid="{00000000-0004-0000-0000-00000D000000}"/>
    <hyperlink ref="D13" location="WINGS!A1" display="WINGS" xr:uid="{00000000-0004-0000-0000-00000E000000}"/>
    <hyperlink ref="F13" r:id="rId1" xr:uid="{00000000-0004-0000-0000-00000F000000}"/>
    <hyperlink ref="E20" r:id="rId2" xr:uid="{00000000-0004-0000-0000-000010000000}"/>
    <hyperlink ref="E28" location="SCHEDULE!A1" display="SCHEDULE" xr:uid="{00000000-0004-0000-0000-000011000000}"/>
  </hyperlinks>
  <printOptions horizontalCentered="1" gridLines="1"/>
  <pageMargins left="0.7" right="0.7" top="0.75" bottom="0.75" header="0" footer="0"/>
  <pageSetup fitToHeight="0" pageOrder="overThenDown" orientation="landscape" cellComments="atEnd"/>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8" t="s">
        <v>9</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IFERROR(__xludf.DUMMYFUNCTION("IMPORTRANGE(""https://docs.google.com/spreadsheets/d/1ldE5MesCa2eBaR-LJ5T1U9LDDK99iepgD4XKD9i_8LY/edit?gid=1325443074#gid=1325443074"",CONCATENATE(A1,""!B5""))"),"Norman Darichuk")</f>
        <v>Norman Darichuk</v>
      </c>
      <c r="C4" s="315"/>
      <c r="D4" s="317"/>
      <c r="E4" s="354" t="s">
        <v>59</v>
      </c>
      <c r="F4" s="317"/>
      <c r="G4" s="268"/>
    </row>
    <row r="5" spans="1:7" ht="22.5" customHeight="1" x14ac:dyDescent="0.25">
      <c r="A5" s="266"/>
      <c r="B5" s="266"/>
      <c r="C5" s="266"/>
      <c r="D5" s="266"/>
      <c r="E5" s="266"/>
      <c r="F5" s="266"/>
      <c r="G5" s="266"/>
    </row>
    <row r="6" spans="1:7" ht="22.5" customHeight="1" x14ac:dyDescent="0.25">
      <c r="A6" s="269" t="s">
        <v>60</v>
      </c>
      <c r="B6" s="355" t="s">
        <v>61</v>
      </c>
      <c r="C6" s="351"/>
      <c r="D6" s="351"/>
      <c r="E6" s="356" t="s">
        <v>62</v>
      </c>
      <c r="F6" s="298"/>
      <c r="G6" s="28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IFERROR(__xludf.DUMMYFUNCTION("IMPORTRANGE(""https://docs.google.com/spreadsheets/d/1ldE5MesCa2eBaR-LJ5T1U9LDDK99iepgD4XKD9i_8LY/edit?gid=1325443074#gid=1325443074"",CONCATENATE($A$1,""!I3:I5""))"),"9:15 – 10:30")</f>
        <v>9:15 – 10:30</v>
      </c>
      <c r="D7" s="317"/>
      <c r="E7" s="357" t="str">
        <f ca="1">IFERROR(__xludf.DUMMYFUNCTION("IMPORTRANGE(""https://docs.google.com/spreadsheets/d/1ldE5MesCa2eBaR-LJ5T1U9LDDK99iepgD4XKD9i_8LY/edit?gid=1325443074#gid=1325443074"",CONCATENATE($A$1,""!J3:J5""))"),"WILD")</f>
        <v>WILD</v>
      </c>
      <c r="F7" s="317"/>
      <c r="G7" s="272" t="str">
        <f ca="1">IFERROR(__xludf.DUMMYFUNCTION("IMPORTRANGE(""https://docs.google.com/spreadsheets/d/1ldE5MesCa2eBaR-LJ5T1U9LDDK99iepgD4XKD9i_8LY/edit?gid=1325443074#gid=1325443074"",CONCATENATE($A$1,""!K3:K5""))"),"RINK 4")</f>
        <v>RINK 4</v>
      </c>
    </row>
    <row r="8" spans="1:7" ht="22.5" customHeight="1" x14ac:dyDescent="0.25">
      <c r="A8" s="273" t="s">
        <v>65</v>
      </c>
      <c r="B8" s="274" t="str">
        <f ca="1">IFERROR(__xludf.DUMMYFUNCTION("""COMPUTED_VALUE"""),"11:45 – 1:00")</f>
        <v>11:45 – 1:00</v>
      </c>
      <c r="C8" s="348" t="str">
        <f ca="1">IFERROR(__xludf.DUMMYFUNCTION("""COMPUTED_VALUE"""),"")</f>
        <v/>
      </c>
      <c r="D8" s="315"/>
      <c r="E8" s="348" t="str">
        <f ca="1">IFERROR(__xludf.DUMMYFUNCTION("""COMPUTED_VALUE"""),"CANUCKS")</f>
        <v>CANUCKS</v>
      </c>
      <c r="F8" s="317"/>
      <c r="G8" s="273" t="str">
        <f ca="1">IFERROR(__xludf.DUMMYFUNCTION("""COMPUTED_VALUE"""),"RINK 2")</f>
        <v>RINK 2</v>
      </c>
    </row>
    <row r="9" spans="1:7" ht="22.5" customHeight="1" x14ac:dyDescent="0.25">
      <c r="A9" s="275" t="s">
        <v>66</v>
      </c>
      <c r="B9" s="274" t="str">
        <f ca="1">IFERROR(__xludf.DUMMYFUNCTION("""COMPUTED_VALUE"""),"12:00 – 1:15")</f>
        <v>12:00 – 1:15</v>
      </c>
      <c r="C9" s="347" t="str">
        <f ca="1">IFERROR(__xludf.DUMMYFUNCTION("""COMPUTED_VALUE"""),"")</f>
        <v/>
      </c>
      <c r="D9" s="315"/>
      <c r="E9" s="348" t="str">
        <f ca="1">IFERROR(__xludf.DUMMYFUNCTION("""COMPUTED_VALUE"""),"KINGS")</f>
        <v>KINGS</v>
      </c>
      <c r="F9" s="317"/>
      <c r="G9" s="272" t="str">
        <f ca="1">IFERROR(__xludf.DUMMYFUNCTION("""COMPUTED_VALUE"""),"RINK 1 ")</f>
        <v xml:space="preserve">RINK 1 </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65"/>
    </row>
    <row r="12" spans="1:7" ht="28.5" customHeight="1" x14ac:dyDescent="0.25">
      <c r="A12" s="349" t="s">
        <v>68</v>
      </c>
      <c r="B12" s="317"/>
      <c r="C12" s="277" t="s">
        <v>69</v>
      </c>
      <c r="D12" s="278" t="s">
        <v>64</v>
      </c>
      <c r="E12" s="278" t="s">
        <v>65</v>
      </c>
      <c r="F12" s="278" t="s">
        <v>66</v>
      </c>
      <c r="G12" s="265"/>
    </row>
    <row r="13" spans="1:7" ht="5.25" customHeight="1" x14ac:dyDescent="0.25">
      <c r="A13" s="279"/>
      <c r="B13" s="280"/>
      <c r="C13" s="281"/>
      <c r="D13" s="280"/>
      <c r="E13" s="280"/>
      <c r="F13" s="282"/>
      <c r="G13" s="265"/>
    </row>
    <row r="14" spans="1:7" ht="22.5" customHeight="1" x14ac:dyDescent="0.25">
      <c r="A14" s="283" t="str">
        <f ca="1">IFERROR(__xludf.DUMMYFUNCTION("QUERY(IMPORTRANGE(""https://docs.google.com/spreadsheets/d/1ldE5MesCa2eBaR-LJ5T1U9LDDK99iepgD4XKD9i_8LY/edit?gid=20346383#gid=20346383"",""Div2A Roster!A6:I100""), ""SELECT Col1, Col2, Col4, Col5, Col6, Col7 WHERE Col3 = '""&amp;A1&amp;""'"")"),"CURLEY")</f>
        <v>CURLEY</v>
      </c>
      <c r="B14" s="284" t="str">
        <f ca="1">IFERROR(__xludf.DUMMYFUNCTION("""COMPUTED_VALUE"""),"DALE")</f>
        <v>DALE</v>
      </c>
      <c r="C14" s="285" t="str">
        <f ca="1">IFERROR(__xludf.DUMMYFUNCTION("""COMPUTED_VALUE"""),"F")</f>
        <v>F</v>
      </c>
      <c r="D14" s="286" t="str">
        <f ca="1">IFERROR(__xludf.DUMMYFUNCTION("""COMPUTED_VALUE"""),"Y")</f>
        <v>Y</v>
      </c>
      <c r="E14" s="286" t="str">
        <f ca="1">IFERROR(__xludf.DUMMYFUNCTION("""COMPUTED_VALUE"""),"Y")</f>
        <v>Y</v>
      </c>
      <c r="F14" s="286" t="str">
        <f ca="1">IFERROR(__xludf.DUMMYFUNCTION("""COMPUTED_VALUE"""),"Y")</f>
        <v>Y</v>
      </c>
      <c r="G14" s="265"/>
    </row>
    <row r="15" spans="1:7" ht="22.5" customHeight="1" x14ac:dyDescent="0.25">
      <c r="A15" s="283" t="str">
        <f ca="1">IFERROR(__xludf.DUMMYFUNCTION("""COMPUTED_VALUE"""),"DARICHUK")</f>
        <v>DARICHUK</v>
      </c>
      <c r="B15" s="284" t="str">
        <f ca="1">IFERROR(__xludf.DUMMYFUNCTION("""COMPUTED_VALUE"""),"NORMAN")</f>
        <v>NORMAN</v>
      </c>
      <c r="C15" s="285" t="str">
        <f ca="1">IFERROR(__xludf.DUMMYFUNCTION("""COMPUTED_VALUE"""),"D")</f>
        <v>D</v>
      </c>
      <c r="D15" s="286" t="str">
        <f ca="1">IFERROR(__xludf.DUMMYFUNCTION("""COMPUTED_VALUE"""),"Y")</f>
        <v>Y</v>
      </c>
      <c r="E15" s="286" t="str">
        <f ca="1">IFERROR(__xludf.DUMMYFUNCTION("""COMPUTED_VALUE"""),"Y")</f>
        <v>Y</v>
      </c>
      <c r="F15" s="286" t="str">
        <f ca="1">IFERROR(__xludf.DUMMYFUNCTION("""COMPUTED_VALUE"""),"Y")</f>
        <v>Y</v>
      </c>
      <c r="G15" s="265"/>
    </row>
    <row r="16" spans="1:7" ht="22.5" customHeight="1" x14ac:dyDescent="0.25">
      <c r="A16" s="283" t="str">
        <f ca="1">IFERROR(__xludf.DUMMYFUNCTION("""COMPUTED_VALUE"""),"HINZ")</f>
        <v>HINZ</v>
      </c>
      <c r="B16" s="284" t="str">
        <f ca="1">IFERROR(__xludf.DUMMYFUNCTION("""COMPUTED_VALUE"""),"KEVIN")</f>
        <v>KEVIN</v>
      </c>
      <c r="C16" s="285" t="str">
        <f ca="1">IFERROR(__xludf.DUMMYFUNCTION("""COMPUTED_VALUE"""),"D")</f>
        <v>D</v>
      </c>
      <c r="D16" s="286" t="str">
        <f ca="1">IFERROR(__xludf.DUMMYFUNCTION("""COMPUTED_VALUE"""),"Y")</f>
        <v>Y</v>
      </c>
      <c r="E16" s="286" t="str">
        <f ca="1">IFERROR(__xludf.DUMMYFUNCTION("""COMPUTED_VALUE"""),"Y")</f>
        <v>Y</v>
      </c>
      <c r="F16" s="286" t="str">
        <f ca="1">IFERROR(__xludf.DUMMYFUNCTION("""COMPUTED_VALUE"""),"Y")</f>
        <v>Y</v>
      </c>
      <c r="G16" s="265"/>
    </row>
    <row r="17" spans="1:7" ht="22.5" customHeight="1" x14ac:dyDescent="0.25">
      <c r="A17" s="283" t="str">
        <f ca="1">IFERROR(__xludf.DUMMYFUNCTION("""COMPUTED_VALUE"""),"HUDEC")</f>
        <v>HUDEC</v>
      </c>
      <c r="B17" s="284" t="str">
        <f ca="1">IFERROR(__xludf.DUMMYFUNCTION("""COMPUTED_VALUE"""),"PAUL")</f>
        <v>PAUL</v>
      </c>
      <c r="C17" s="285" t="str">
        <f ca="1">IFERROR(__xludf.DUMMYFUNCTION("""COMPUTED_VALUE"""),"D")</f>
        <v>D</v>
      </c>
      <c r="D17" s="286" t="str">
        <f ca="1">IFERROR(__xludf.DUMMYFUNCTION("""COMPUTED_VALUE"""),"Y")</f>
        <v>Y</v>
      </c>
      <c r="E17" s="286" t="str">
        <f ca="1">IFERROR(__xludf.DUMMYFUNCTION("""COMPUTED_VALUE"""),"Y")</f>
        <v>Y</v>
      </c>
      <c r="F17" s="286" t="str">
        <f ca="1">IFERROR(__xludf.DUMMYFUNCTION("""COMPUTED_VALUE"""),"Y")</f>
        <v>Y</v>
      </c>
      <c r="G17" s="265"/>
    </row>
    <row r="18" spans="1:7" ht="22.5" customHeight="1" x14ac:dyDescent="0.25">
      <c r="A18" s="283" t="str">
        <f ca="1">IFERROR(__xludf.DUMMYFUNCTION("""COMPUTED_VALUE"""),"KATYAL")</f>
        <v>KATYAL</v>
      </c>
      <c r="B18" s="284" t="str">
        <f ca="1">IFERROR(__xludf.DUMMYFUNCTION("""COMPUTED_VALUE"""),"GAURAV")</f>
        <v>GAURAV</v>
      </c>
      <c r="C18" s="285" t="str">
        <f ca="1">IFERROR(__xludf.DUMMYFUNCTION("""COMPUTED_VALUE"""),"G")</f>
        <v>G</v>
      </c>
      <c r="D18" s="286" t="str">
        <f ca="1">IFERROR(__xludf.DUMMYFUNCTION("""COMPUTED_VALUE"""),"N")</f>
        <v>N</v>
      </c>
      <c r="E18" s="286" t="str">
        <f ca="1">IFERROR(__xludf.DUMMYFUNCTION("""COMPUTED_VALUE"""),"N")</f>
        <v>N</v>
      </c>
      <c r="F18" s="286" t="str">
        <f ca="1">IFERROR(__xludf.DUMMYFUNCTION("""COMPUTED_VALUE"""),"Y")</f>
        <v>Y</v>
      </c>
      <c r="G18" s="265"/>
    </row>
    <row r="19" spans="1:7" ht="22.5" customHeight="1" x14ac:dyDescent="0.25">
      <c r="A19" s="283" t="str">
        <f ca="1">IFERROR(__xludf.DUMMYFUNCTION("""COMPUTED_VALUE"""),"KUINDERSMA")</f>
        <v>KUINDERSMA</v>
      </c>
      <c r="B19" s="284" t="str">
        <f ca="1">IFERROR(__xludf.DUMMYFUNCTION("""COMPUTED_VALUE"""),"DAVID")</f>
        <v>DAVID</v>
      </c>
      <c r="C19" s="285" t="str">
        <f ca="1">IFERROR(__xludf.DUMMYFUNCTION("""COMPUTED_VALUE"""),"F(LW)")</f>
        <v>F(LW)</v>
      </c>
      <c r="D19" s="286" t="str">
        <f ca="1">IFERROR(__xludf.DUMMYFUNCTION("""COMPUTED_VALUE"""),"Y")</f>
        <v>Y</v>
      </c>
      <c r="E19" s="286" t="str">
        <f ca="1">IFERROR(__xludf.DUMMYFUNCTION("""COMPUTED_VALUE"""),"Y")</f>
        <v>Y</v>
      </c>
      <c r="F19" s="286" t="str">
        <f ca="1">IFERROR(__xludf.DUMMYFUNCTION("""COMPUTED_VALUE"""),"Y")</f>
        <v>Y</v>
      </c>
      <c r="G19" s="265"/>
    </row>
    <row r="20" spans="1:7" ht="22.5" customHeight="1" x14ac:dyDescent="0.25">
      <c r="A20" s="283" t="str">
        <f ca="1">IFERROR(__xludf.DUMMYFUNCTION("""COMPUTED_VALUE"""),"LASHMAR")</f>
        <v>LASHMAR</v>
      </c>
      <c r="B20" s="284" t="str">
        <f ca="1">IFERROR(__xludf.DUMMYFUNCTION("""COMPUTED_VALUE"""),"GUY")</f>
        <v>GUY</v>
      </c>
      <c r="C20" s="285" t="str">
        <f ca="1">IFERROR(__xludf.DUMMYFUNCTION("""COMPUTED_VALUE"""),"G/?")</f>
        <v>G/?</v>
      </c>
      <c r="D20" s="286" t="str">
        <f ca="1">IFERROR(__xludf.DUMMYFUNCTION("""COMPUTED_VALUE"""),"N")</f>
        <v>N</v>
      </c>
      <c r="E20" s="286" t="str">
        <f ca="1">IFERROR(__xludf.DUMMYFUNCTION("""COMPUTED_VALUE"""),"Y")</f>
        <v>Y</v>
      </c>
      <c r="F20" s="286" t="str">
        <f ca="1">IFERROR(__xludf.DUMMYFUNCTION("""COMPUTED_VALUE"""),"N")</f>
        <v>N</v>
      </c>
      <c r="G20" s="265"/>
    </row>
    <row r="21" spans="1:7" ht="22.5" customHeight="1" x14ac:dyDescent="0.25">
      <c r="A21" s="283" t="str">
        <f ca="1">IFERROR(__xludf.DUMMYFUNCTION("""COMPUTED_VALUE"""),"LAWRICK")</f>
        <v>LAWRICK</v>
      </c>
      <c r="B21" s="284" t="str">
        <f ca="1">IFERROR(__xludf.DUMMYFUNCTION("""COMPUTED_VALUE"""),"CLIFF")</f>
        <v>CLIFF</v>
      </c>
      <c r="C21" s="285" t="str">
        <f ca="1">IFERROR(__xludf.DUMMYFUNCTION("""COMPUTED_VALUE"""),"C")</f>
        <v>C</v>
      </c>
      <c r="D21" s="286" t="str">
        <f ca="1">IFERROR(__xludf.DUMMYFUNCTION("""COMPUTED_VALUE"""),"Y")</f>
        <v>Y</v>
      </c>
      <c r="E21" s="286" t="str">
        <f ca="1">IFERROR(__xludf.DUMMYFUNCTION("""COMPUTED_VALUE"""),"Y")</f>
        <v>Y</v>
      </c>
      <c r="F21" s="286" t="str">
        <f ca="1">IFERROR(__xludf.DUMMYFUNCTION("""COMPUTED_VALUE"""),"Y")</f>
        <v>Y</v>
      </c>
      <c r="G21" s="265"/>
    </row>
    <row r="22" spans="1:7" ht="22.5" customHeight="1" x14ac:dyDescent="0.25">
      <c r="A22" s="283" t="str">
        <f ca="1">IFERROR(__xludf.DUMMYFUNCTION("""COMPUTED_VALUE"""),"LEIKAM")</f>
        <v>LEIKAM</v>
      </c>
      <c r="B22" s="284" t="str">
        <f ca="1">IFERROR(__xludf.DUMMYFUNCTION("""COMPUTED_VALUE"""),"TERRY")</f>
        <v>TERRY</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5"/>
    </row>
    <row r="23" spans="1:7" ht="22.5" customHeight="1" x14ac:dyDescent="0.25">
      <c r="A23" s="283" t="str">
        <f ca="1">IFERROR(__xludf.DUMMYFUNCTION("""COMPUTED_VALUE"""),"MACKENZIE")</f>
        <v>MACKENZIE</v>
      </c>
      <c r="B23" s="284" t="str">
        <f ca="1">IFERROR(__xludf.DUMMYFUNCTION("""COMPUTED_VALUE"""),"DARRELL")</f>
        <v>DARRELL</v>
      </c>
      <c r="C23" s="285" t="str">
        <f ca="1">IFERROR(__xludf.DUMMYFUNCTION("""COMPUTED_VALUE"""),"F")</f>
        <v>F</v>
      </c>
      <c r="D23" s="286" t="str">
        <f ca="1">IFERROR(__xludf.DUMMYFUNCTION("""COMPUTED_VALUE"""),"Y")</f>
        <v>Y</v>
      </c>
      <c r="E23" s="286" t="str">
        <f ca="1">IFERROR(__xludf.DUMMYFUNCTION("""COMPUTED_VALUE"""),"Y")</f>
        <v>Y</v>
      </c>
      <c r="F23" s="286" t="str">
        <f ca="1">IFERROR(__xludf.DUMMYFUNCTION("""COMPUTED_VALUE"""),"Y")</f>
        <v>Y</v>
      </c>
      <c r="G23" s="265"/>
    </row>
    <row r="24" spans="1:7" ht="22.5" customHeight="1" x14ac:dyDescent="0.25">
      <c r="A24" s="283" t="str">
        <f ca="1">IFERROR(__xludf.DUMMYFUNCTION("""COMPUTED_VALUE"""),"MCCAIG")</f>
        <v>MCCAIG</v>
      </c>
      <c r="B24" s="284" t="str">
        <f ca="1">IFERROR(__xludf.DUMMYFUNCTION("""COMPUTED_VALUE"""),"DAVE")</f>
        <v>DAVE</v>
      </c>
      <c r="C24" s="285" t="str">
        <f ca="1">IFERROR(__xludf.DUMMYFUNCTION("""COMPUTED_VALUE"""),"G/D")</f>
        <v>G/D</v>
      </c>
      <c r="D24" s="286" t="str">
        <f ca="1">IFERROR(__xludf.DUMMYFUNCTION("""COMPUTED_VALUE"""),"Y")</f>
        <v>Y</v>
      </c>
      <c r="E24" s="286" t="str">
        <f ca="1">IFERROR(__xludf.DUMMYFUNCTION("""COMPUTED_VALUE"""),"N")</f>
        <v>N</v>
      </c>
      <c r="F24" s="286" t="str">
        <f ca="1">IFERROR(__xludf.DUMMYFUNCTION("""COMPUTED_VALUE"""),"N")</f>
        <v>N</v>
      </c>
      <c r="G24" s="265"/>
    </row>
    <row r="25" spans="1:7" ht="22.5" customHeight="1" x14ac:dyDescent="0.25">
      <c r="A25" s="283" t="str">
        <f ca="1">IFERROR(__xludf.DUMMYFUNCTION("""COMPUTED_VALUE"""),"MOYER")</f>
        <v>MOYER</v>
      </c>
      <c r="B25" s="284" t="str">
        <f ca="1">IFERROR(__xludf.DUMMYFUNCTION("""COMPUTED_VALUE"""),"DARCY")</f>
        <v>DARCY</v>
      </c>
      <c r="C25" s="285" t="str">
        <f ca="1">IFERROR(__xludf.DUMMYFUNCTION("""COMPUTED_VALUE"""),"D")</f>
        <v>D</v>
      </c>
      <c r="D25" s="286" t="str">
        <f ca="1">IFERROR(__xludf.DUMMYFUNCTION("""COMPUTED_VALUE"""),"Y")</f>
        <v>Y</v>
      </c>
      <c r="E25" s="286" t="str">
        <f ca="1">IFERROR(__xludf.DUMMYFUNCTION("""COMPUTED_VALUE"""),"Y")</f>
        <v>Y</v>
      </c>
      <c r="F25" s="286" t="str">
        <f ca="1">IFERROR(__xludf.DUMMYFUNCTION("""COMPUTED_VALUE"""),"Y")</f>
        <v>Y</v>
      </c>
      <c r="G25" s="265"/>
    </row>
    <row r="26" spans="1:7" ht="22.5" customHeight="1" x14ac:dyDescent="0.25">
      <c r="A26" s="283" t="str">
        <f ca="1">IFERROR(__xludf.DUMMYFUNCTION("""COMPUTED_VALUE"""),"SANDERSON")</f>
        <v>SANDERSON</v>
      </c>
      <c r="B26" s="284" t="str">
        <f ca="1">IFERROR(__xludf.DUMMYFUNCTION("""COMPUTED_VALUE"""),"BILL")</f>
        <v>BILL</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IFERROR(__xludf.DUMMYFUNCTION("""COMPUTED_VALUE"""),"Y")</f>
        <v>Y</v>
      </c>
      <c r="G26" s="265"/>
    </row>
    <row r="27" spans="1:7" ht="22.5" customHeight="1" x14ac:dyDescent="0.25">
      <c r="A27" s="283" t="str">
        <f ca="1">IFERROR(__xludf.DUMMYFUNCTION("""COMPUTED_VALUE"""),"STECKLEY")</f>
        <v>STECKLEY</v>
      </c>
      <c r="B27" s="284" t="str">
        <f ca="1">IFERROR(__xludf.DUMMYFUNCTION("""COMPUTED_VALUE"""),"WARREN")</f>
        <v>WARREN</v>
      </c>
      <c r="C27" s="285" t="str">
        <f ca="1">IFERROR(__xludf.DUMMYFUNCTION("""COMPUTED_VALUE"""),"F(RW)")</f>
        <v>F(RW)</v>
      </c>
      <c r="D27" s="286" t="str">
        <f ca="1">IFERROR(__xludf.DUMMYFUNCTION("""COMPUTED_VALUE"""),"Y")</f>
        <v>Y</v>
      </c>
      <c r="E27" s="286" t="str">
        <f ca="1">IFERROR(__xludf.DUMMYFUNCTION("""COMPUTED_VALUE"""),"Y")</f>
        <v>Y</v>
      </c>
      <c r="F27" s="286" t="str">
        <f ca="1">IFERROR(__xludf.DUMMYFUNCTION("""COMPUTED_VALUE"""),"Y")</f>
        <v>Y</v>
      </c>
      <c r="G27" s="265"/>
    </row>
    <row r="28" spans="1:7" ht="22.5" customHeight="1" x14ac:dyDescent="0.25">
      <c r="A28" s="283" t="str">
        <f ca="1">IFERROR(__xludf.DUMMYFUNCTION("""COMPUTED_VALUE"""),"VELDING")</f>
        <v>VELDING</v>
      </c>
      <c r="B28" s="284" t="str">
        <f ca="1">IFERROR(__xludf.DUMMYFUNCTION("""COMPUTED_VALUE"""),"GERRIT")</f>
        <v>GERRIT</v>
      </c>
      <c r="C28" s="285" t="str">
        <f ca="1">IFERROR(__xludf.DUMMYFUNCTION("""COMPUTED_VALUE"""),"F/D")</f>
        <v>F/D</v>
      </c>
      <c r="D28" s="286" t="str">
        <f ca="1">IFERROR(__xludf.DUMMYFUNCTION("""COMPUTED_VALUE"""),"Y")</f>
        <v>Y</v>
      </c>
      <c r="E28" s="286" t="str">
        <f ca="1">IFERROR(__xludf.DUMMYFUNCTION("""COMPUTED_VALUE"""),"Y")</f>
        <v>Y</v>
      </c>
      <c r="F28" s="286" t="str">
        <f ca="1">IFERROR(__xludf.DUMMYFUNCTION("""COMPUTED_VALUE"""),"Y")</f>
        <v>Y</v>
      </c>
      <c r="G28" s="265"/>
    </row>
    <row r="29" spans="1:7" ht="22.5" customHeight="1" x14ac:dyDescent="0.25">
      <c r="A29" s="283" t="str">
        <f ca="1">IFERROR(__xludf.DUMMYFUNCTION("""COMPUTED_VALUE"""),"YOUNG")</f>
        <v>YOUNG</v>
      </c>
      <c r="B29" s="284" t="str">
        <f ca="1">IFERROR(__xludf.DUMMYFUNCTION("""COMPUTED_VALUE"""),"BARRY")</f>
        <v>BARRY</v>
      </c>
      <c r="C29" s="285" t="str">
        <f ca="1">IFERROR(__xludf.DUMMYFUNCTION("""COMPUTED_VALUE"""),"F/RW")</f>
        <v>F/RW</v>
      </c>
      <c r="D29" s="286" t="str">
        <f ca="1">IFERROR(__xludf.DUMMYFUNCTION("""COMPUTED_VALUE"""),"Y")</f>
        <v>Y</v>
      </c>
      <c r="E29" s="286" t="str">
        <f ca="1">IFERROR(__xludf.DUMMYFUNCTION("""COMPUTED_VALUE"""),"Y")</f>
        <v>Y</v>
      </c>
      <c r="F29" s="286" t="str">
        <f ca="1">IFERROR(__xludf.DUMMYFUNCTION("""COMPUTED_VALUE"""),"Y")</f>
        <v>Y</v>
      </c>
      <c r="G29" s="265"/>
    </row>
    <row r="30" spans="1:7" ht="22.5" customHeight="1" x14ac:dyDescent="0.25">
      <c r="A30" s="283"/>
      <c r="B30" s="284"/>
      <c r="C30" s="285"/>
      <c r="D30" s="286"/>
      <c r="E30" s="286"/>
      <c r="F30" s="286"/>
      <c r="G30" s="265"/>
    </row>
    <row r="31" spans="1:7" ht="22.5" customHeight="1" x14ac:dyDescent="0.25">
      <c r="A31" s="283"/>
      <c r="B31" s="284"/>
      <c r="C31" s="285"/>
      <c r="D31" s="286"/>
      <c r="E31" s="286"/>
      <c r="F31" s="286"/>
      <c r="G31" s="265"/>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62" priority="5">
      <formula>LEN(TRIM(B7))&gt;0</formula>
    </cfRule>
  </conditionalFormatting>
  <conditionalFormatting sqref="C7:D9">
    <cfRule type="notContainsBlanks" dxfId="61" priority="4">
      <formula>LEN(TRIM(C7))&gt;0</formula>
    </cfRule>
  </conditionalFormatting>
  <conditionalFormatting sqref="D14:F31">
    <cfRule type="endsWith" dxfId="60" priority="1" operator="endsWith" text="M">
      <formula>RIGHT((D14),LEN("M"))=("M")</formula>
    </cfRule>
    <cfRule type="cellIs" dxfId="59" priority="2" operator="equal">
      <formula>"N"</formula>
    </cfRule>
    <cfRule type="cellIs" dxfId="58" priority="3" operator="equal">
      <formula>"Y"</formula>
    </cfRule>
  </conditionalFormatting>
  <conditionalFormatting sqref="E7:F9">
    <cfRule type="expression" dxfId="57" priority="6">
      <formula>B7=""</formula>
    </cfRule>
    <cfRule type="expression" dxfId="56" priority="7">
      <formula>C7=""</formula>
    </cfRule>
  </conditionalFormatting>
  <hyperlinks>
    <hyperlink ref="E4" location="LOOKUP!A1" display="Back to Lookup" xr:uid="{00000000-0004-0000-0900-000000000000}"/>
  </hyperlinks>
  <printOptions horizontalCentered="1" gridLines="1"/>
  <pageMargins left="0.7" right="0.7" top="0.75" bottom="0.75" header="0" footer="0"/>
  <pageSetup pageOrder="overThenDown"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8" t="s">
        <v>12</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IFERROR(__xludf.DUMMYFUNCTION("IMPORTRANGE(""https://docs.google.com/spreadsheets/d/1ldE5MesCa2eBaR-LJ5T1U9LDDK99iepgD4XKD9i_8LY/edit?gid=1325443074#gid=1325443074"",CONCATENATE(A1,""!B5""))"),"Wayne Ford")</f>
        <v>Wayne Ford</v>
      </c>
      <c r="C4" s="315"/>
      <c r="D4" s="317"/>
      <c r="E4" s="354" t="s">
        <v>59</v>
      </c>
      <c r="F4" s="317"/>
      <c r="G4" s="268"/>
    </row>
    <row r="5" spans="1:7" ht="22.5" customHeight="1" x14ac:dyDescent="0.25">
      <c r="A5" s="266"/>
      <c r="B5" s="266"/>
      <c r="C5" s="266"/>
      <c r="D5" s="266"/>
      <c r="E5" s="266"/>
      <c r="F5" s="268"/>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IFERROR(__xludf.DUMMYFUNCTION("IMPORTRANGE(""https://docs.google.com/spreadsheets/d/1ldE5MesCa2eBaR-LJ5T1U9LDDK99iepgD4XKD9i_8LY/edit?gid=1325443074#gid=1325443074"",CONCATENATE(A1,""!H3:H5""))"),"11:00 – 12:15")</f>
        <v>11:00 – 12:15</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IFERROR(__xludf.DUMMYFUNCTION("IMPORTRANGE(""https://docs.google.com/spreadsheets/d/1ldE5MesCa2eBaR-LJ5T1U9LDDK99iepgD4XKD9i_8LY/edit?gid=1325443074#gid=1325443074"",CONCATENATE($A$1,""!J3:J5""))"),"KINGS")</f>
        <v>KINGS</v>
      </c>
      <c r="F7" s="317"/>
      <c r="G7" s="272" t="str">
        <f ca="1">IFERROR(__xludf.DUMMYFUNCTION("IMPORTRANGE(""https://docs.google.com/spreadsheets/d/1ldE5MesCa2eBaR-LJ5T1U9LDDK99iepgD4XKD9i_8LY/edit?gid=1325443074#gid=1325443074"",CONCATENATE($A$1,""!K3:K5""))"),"RINK 2")</f>
        <v>RINK 2</v>
      </c>
    </row>
    <row r="8" spans="1:7" ht="22.5" customHeight="1" x14ac:dyDescent="0.25">
      <c r="A8" s="273" t="s">
        <v>65</v>
      </c>
      <c r="B8" s="274" t="str">
        <f ca="1">IFERROR(__xludf.DUMMYFUNCTION("""COMPUTED_VALUE"""),"")</f>
        <v/>
      </c>
      <c r="C8" s="348" t="str">
        <f ca="1">IFERROR(__xludf.DUMMYFUNCTION("""COMPUTED_VALUE"""),"12:00 – 1:15")</f>
        <v>12:00 – 1:15</v>
      </c>
      <c r="D8" s="315"/>
      <c r="E8" s="348" t="str">
        <f ca="1">IFERROR(__xludf.DUMMYFUNCTION("""COMPUTED_VALUE"""),"WILD")</f>
        <v>WILD</v>
      </c>
      <c r="F8" s="317"/>
      <c r="G8" s="273" t="str">
        <f ca="1">IFERROR(__xludf.DUMMYFUNCTION("""COMPUTED_VALUE"""),"RINK 1")</f>
        <v>RINK 1</v>
      </c>
    </row>
    <row r="9" spans="1:7" ht="22.5" customHeight="1" x14ac:dyDescent="0.25">
      <c r="A9" s="275" t="s">
        <v>66</v>
      </c>
      <c r="B9" s="274" t="str">
        <f ca="1">IFERROR(__xludf.DUMMYFUNCTION("""COMPUTED_VALUE"""),"12:15 – 1:30")</f>
        <v>12:15 – 1:30</v>
      </c>
      <c r="C9" s="347" t="str">
        <f ca="1">IFERROR(__xludf.DUMMYFUNCTION("""COMPUTED_VALUE"""),"")</f>
        <v/>
      </c>
      <c r="D9" s="315"/>
      <c r="E9" s="348" t="str">
        <f ca="1">IFERROR(__xludf.DUMMYFUNCTION("""COMPUTED_VALUE"""),"CANUCKS")</f>
        <v>CANUCKS</v>
      </c>
      <c r="F9" s="317"/>
      <c r="G9" s="272" t="str">
        <f ca="1">IFERROR(__xludf.DUMMYFUNCTION("""COMPUTED_VALUE"""),"RINK 4")</f>
        <v>RINK 4</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IFERROR(__xludf.DUMMYFUNCTION("QUERY(IMPORTRANGE(""https://docs.google.com/spreadsheets/d/1ldE5MesCa2eBaR-LJ5T1U9LDDK99iepgD4XKD9i_8LY/edit?gid=20346383#gid=20346383"",""Div2A Roster!A6:I100""), ""SELECT Col1, Col2, Col4, Col5, Col6, Col7 WHERE Col3 = '""&amp;A1&amp;""'"")"),"CHAN")</f>
        <v>CHAN</v>
      </c>
      <c r="B14" s="284" t="str">
        <f ca="1">IFERROR(__xludf.DUMMYFUNCTION("""COMPUTED_VALUE"""),"CHUCK")</f>
        <v>CHUCK</v>
      </c>
      <c r="C14" s="285" t="str">
        <f ca="1">IFERROR(__xludf.DUMMYFUNCTION("""COMPUTED_VALUE"""),"D")</f>
        <v>D</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IFERROR(__xludf.DUMMYFUNCTION("""COMPUTED_VALUE"""),"COCHRANE")</f>
        <v>COCHRANE</v>
      </c>
      <c r="B15" s="284" t="str">
        <f ca="1">IFERROR(__xludf.DUMMYFUNCTION("""COMPUTED_VALUE"""),"BOB")</f>
        <v>BOB</v>
      </c>
      <c r="C15" s="285" t="str">
        <f ca="1">IFERROR(__xludf.DUMMYFUNCTION("""COMPUTED_VALUE"""),"D")</f>
        <v>D</v>
      </c>
      <c r="D15" s="286" t="str">
        <f ca="1">IFERROR(__xludf.DUMMYFUNCTION("""COMPUTED_VALUE"""),"Y")</f>
        <v>Y</v>
      </c>
      <c r="E15" s="286" t="str">
        <f ca="1">IFERROR(__xludf.DUMMYFUNCTION("""COMPUTED_VALUE"""),"Y")</f>
        <v>Y</v>
      </c>
      <c r="F15" s="286" t="str">
        <f ca="1">IFERROR(__xludf.DUMMYFUNCTION("""COMPUTED_VALUE"""),"Y")</f>
        <v>Y</v>
      </c>
      <c r="G15" s="268"/>
    </row>
    <row r="16" spans="1:7" ht="22.5" customHeight="1" x14ac:dyDescent="0.25">
      <c r="A16" s="283" t="str">
        <f ca="1">IFERROR(__xludf.DUMMYFUNCTION("""COMPUTED_VALUE"""),"DRURY")</f>
        <v>DRURY</v>
      </c>
      <c r="B16" s="284" t="str">
        <f ca="1">IFERROR(__xludf.DUMMYFUNCTION("""COMPUTED_VALUE"""),"STEVE")</f>
        <v>STEVE</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8"/>
    </row>
    <row r="17" spans="1:7" ht="22.5" customHeight="1" x14ac:dyDescent="0.25">
      <c r="A17" s="283" t="str">
        <f ca="1">IFERROR(__xludf.DUMMYFUNCTION("""COMPUTED_VALUE"""),"FORD")</f>
        <v>FORD</v>
      </c>
      <c r="B17" s="284" t="str">
        <f ca="1">IFERROR(__xludf.DUMMYFUNCTION("""COMPUTED_VALUE"""),"WAYNE")</f>
        <v>WAYNE</v>
      </c>
      <c r="C17" s="285" t="str">
        <f ca="1">IFERROR(__xludf.DUMMYFUNCTION("""COMPUTED_VALUE"""),"D")</f>
        <v>D</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IFERROR(__xludf.DUMMYFUNCTION("""COMPUTED_VALUE"""),"HANNA")</f>
        <v>HANNA</v>
      </c>
      <c r="B18" s="284" t="str">
        <f ca="1">IFERROR(__xludf.DUMMYFUNCTION("""COMPUTED_VALUE"""),"DEREK")</f>
        <v>DEREK</v>
      </c>
      <c r="C18" s="285" t="str">
        <f ca="1">IFERROR(__xludf.DUMMYFUNCTION("""COMPUTED_VALUE"""),"F(LW)")</f>
        <v>F(LW)</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IFERROR(__xludf.DUMMYFUNCTION("""COMPUTED_VALUE"""),"LEA")</f>
        <v>LEA</v>
      </c>
      <c r="B19" s="284" t="str">
        <f ca="1">IFERROR(__xludf.DUMMYFUNCTION("""COMPUTED_VALUE"""),"JOHN")</f>
        <v>JOHN</v>
      </c>
      <c r="C19" s="285" t="str">
        <f ca="1">IFERROR(__xludf.DUMMYFUNCTION("""COMPUTED_VALUE"""),"F(RW)")</f>
        <v>F(RW)</v>
      </c>
      <c r="D19" s="286" t="str">
        <f ca="1">IFERROR(__xludf.DUMMYFUNCTION("""COMPUTED_VALUE"""),"Y")</f>
        <v>Y</v>
      </c>
      <c r="E19" s="286" t="str">
        <f ca="1">IFERROR(__xludf.DUMMYFUNCTION("""COMPUTED_VALUE"""),"Y")</f>
        <v>Y</v>
      </c>
      <c r="F19" s="286" t="str">
        <f ca="1">IFERROR(__xludf.DUMMYFUNCTION("""COMPUTED_VALUE"""),"Y")</f>
        <v>Y</v>
      </c>
      <c r="G19" s="268"/>
    </row>
    <row r="20" spans="1:7" ht="22.5" customHeight="1" x14ac:dyDescent="0.25">
      <c r="A20" s="283" t="str">
        <f ca="1">IFERROR(__xludf.DUMMYFUNCTION("""COMPUTED_VALUE"""),"NIXON")</f>
        <v>NIXON</v>
      </c>
      <c r="B20" s="284" t="str">
        <f ca="1">IFERROR(__xludf.DUMMYFUNCTION("""COMPUTED_VALUE"""),"MILES")</f>
        <v>MILES</v>
      </c>
      <c r="C20" s="285" t="str">
        <f ca="1">IFERROR(__xludf.DUMMYFUNCTION("""COMPUTED_VALUE"""),"F")</f>
        <v>F</v>
      </c>
      <c r="D20" s="286" t="str">
        <f ca="1">IFERROR(__xludf.DUMMYFUNCTION("""COMPUTED_VALUE"""),"Y")</f>
        <v>Y</v>
      </c>
      <c r="E20" s="286" t="str">
        <f ca="1">IFERROR(__xludf.DUMMYFUNCTION("""COMPUTED_VALUE"""),"Y")</f>
        <v>Y</v>
      </c>
      <c r="F20" s="286" t="str">
        <f ca="1">IFERROR(__xludf.DUMMYFUNCTION("""COMPUTED_VALUE"""),"Y")</f>
        <v>Y</v>
      </c>
      <c r="G20" s="268"/>
    </row>
    <row r="21" spans="1:7" ht="22.5" customHeight="1" x14ac:dyDescent="0.25">
      <c r="A21" s="283" t="str">
        <f ca="1">IFERROR(__xludf.DUMMYFUNCTION("""COMPUTED_VALUE"""),"O'BRAY")</f>
        <v>O'BRAY</v>
      </c>
      <c r="B21" s="284" t="str">
        <f ca="1">IFERROR(__xludf.DUMMYFUNCTION("""COMPUTED_VALUE"""),"TIM")</f>
        <v>TIM</v>
      </c>
      <c r="C21" s="285" t="str">
        <f ca="1">IFERROR(__xludf.DUMMYFUNCTION("""COMPUTED_VALUE"""),"F/D")</f>
        <v>F/D</v>
      </c>
      <c r="D21" s="286" t="str">
        <f ca="1">IFERROR(__xludf.DUMMYFUNCTION("""COMPUTED_VALUE"""),"Y")</f>
        <v>Y</v>
      </c>
      <c r="E21" s="286" t="str">
        <f ca="1">IFERROR(__xludf.DUMMYFUNCTION("""COMPUTED_VALUE"""),"Y")</f>
        <v>Y</v>
      </c>
      <c r="F21" s="286" t="str">
        <f ca="1">IFERROR(__xludf.DUMMYFUNCTION("""COMPUTED_VALUE"""),"Y")</f>
        <v>Y</v>
      </c>
      <c r="G21" s="268"/>
    </row>
    <row r="22" spans="1:7" ht="22.5" customHeight="1" x14ac:dyDescent="0.25">
      <c r="A22" s="283" t="str">
        <f ca="1">IFERROR(__xludf.DUMMYFUNCTION("""COMPUTED_VALUE"""),"O'REILLY")</f>
        <v>O'REILLY</v>
      </c>
      <c r="B22" s="284" t="str">
        <f ca="1">IFERROR(__xludf.DUMMYFUNCTION("""COMPUTED_VALUE"""),"DAVE")</f>
        <v>DAVE</v>
      </c>
      <c r="C22" s="285" t="str">
        <f ca="1">IFERROR(__xludf.DUMMYFUNCTION("""COMPUTED_VALUE"""),"C")</f>
        <v>C</v>
      </c>
      <c r="D22" s="286" t="str">
        <f ca="1">IFERROR(__xludf.DUMMYFUNCTION("""COMPUTED_VALUE"""),"Y")</f>
        <v>Y</v>
      </c>
      <c r="E22" s="286" t="str">
        <f ca="1">IFERROR(__xludf.DUMMYFUNCTION("""COMPUTED_VALUE"""),"Y")</f>
        <v>Y</v>
      </c>
      <c r="F22" s="286" t="str">
        <f ca="1">IFERROR(__xludf.DUMMYFUNCTION("""COMPUTED_VALUE"""),"Y")</f>
        <v>Y</v>
      </c>
      <c r="G22" s="268"/>
    </row>
    <row r="23" spans="1:7" ht="22.5" customHeight="1" x14ac:dyDescent="0.25">
      <c r="A23" s="283" t="str">
        <f ca="1">IFERROR(__xludf.DUMMYFUNCTION("""COMPUTED_VALUE"""),"PIGEON")</f>
        <v>PIGEON</v>
      </c>
      <c r="B23" s="284" t="str">
        <f ca="1">IFERROR(__xludf.DUMMYFUNCTION("""COMPUTED_VALUE"""),"DAN")</f>
        <v>DAN</v>
      </c>
      <c r="C23" s="285" t="str">
        <f ca="1">IFERROR(__xludf.DUMMYFUNCTION("""COMPUTED_VALUE"""),"F")</f>
        <v>F</v>
      </c>
      <c r="D23" s="286" t="str">
        <f ca="1">IFERROR(__xludf.DUMMYFUNCTION("""COMPUTED_VALUE"""),"Y")</f>
        <v>Y</v>
      </c>
      <c r="E23" s="286" t="str">
        <f ca="1">IFERROR(__xludf.DUMMYFUNCTION("""COMPUTED_VALUE"""),"N")</f>
        <v>N</v>
      </c>
      <c r="F23" s="286" t="str">
        <f ca="1">IFERROR(__xludf.DUMMYFUNCTION("""COMPUTED_VALUE"""),"Y")</f>
        <v>Y</v>
      </c>
      <c r="G23" s="268"/>
    </row>
    <row r="24" spans="1:7" ht="22.5" customHeight="1" x14ac:dyDescent="0.25">
      <c r="A24" s="283" t="str">
        <f ca="1">IFERROR(__xludf.DUMMYFUNCTION("""COMPUTED_VALUE"""),"SKEET")</f>
        <v>SKEET</v>
      </c>
      <c r="B24" s="284" t="str">
        <f ca="1">IFERROR(__xludf.DUMMYFUNCTION("""COMPUTED_VALUE"""),"KEN")</f>
        <v>KEN</v>
      </c>
      <c r="C24" s="285" t="str">
        <f ca="1">IFERROR(__xludf.DUMMYFUNCTION("""COMPUTED_VALUE"""),"G")</f>
        <v>G</v>
      </c>
      <c r="D24" s="286" t="str">
        <f ca="1">IFERROR(__xludf.DUMMYFUNCTION("""COMPUTED_VALUE"""),"Y")</f>
        <v>Y</v>
      </c>
      <c r="E24" s="286" t="str">
        <f ca="1">IFERROR(__xludf.DUMMYFUNCTION("""COMPUTED_VALUE"""),"Y")</f>
        <v>Y</v>
      </c>
      <c r="F24" s="286" t="str">
        <f ca="1">IFERROR(__xludf.DUMMYFUNCTION("""COMPUTED_VALUE"""),"Y")</f>
        <v>Y</v>
      </c>
      <c r="G24" s="268"/>
    </row>
    <row r="25" spans="1:7" ht="22.5" customHeight="1" x14ac:dyDescent="0.25">
      <c r="A25" s="283" t="str">
        <f ca="1">IFERROR(__xludf.DUMMYFUNCTION("""COMPUTED_VALUE"""),"STAPLETON")</f>
        <v>STAPLETON</v>
      </c>
      <c r="B25" s="284" t="str">
        <f ca="1">IFERROR(__xludf.DUMMYFUNCTION("""COMPUTED_VALUE"""),"PETER")</f>
        <v>PETER</v>
      </c>
      <c r="C25" s="285" t="str">
        <f ca="1">IFERROR(__xludf.DUMMYFUNCTION("""COMPUTED_VALUE"""),"F")</f>
        <v>F</v>
      </c>
      <c r="D25" s="286" t="str">
        <f ca="1">IFERROR(__xludf.DUMMYFUNCTION("""COMPUTED_VALUE"""),"Y")</f>
        <v>Y</v>
      </c>
      <c r="E25" s="286" t="str">
        <f ca="1">IFERROR(__xludf.DUMMYFUNCTION("""COMPUTED_VALUE"""),"Y")</f>
        <v>Y</v>
      </c>
      <c r="F25" s="286" t="str">
        <f ca="1">IFERROR(__xludf.DUMMYFUNCTION("""COMPUTED_VALUE"""),"Y")</f>
        <v>Y</v>
      </c>
      <c r="G25" s="268"/>
    </row>
    <row r="26" spans="1:7" ht="22.5" customHeight="1" x14ac:dyDescent="0.25">
      <c r="A26" s="283" t="str">
        <f ca="1">IFERROR(__xludf.DUMMYFUNCTION("""COMPUTED_VALUE"""),"STRONG")</f>
        <v>STRONG</v>
      </c>
      <c r="B26" s="284" t="str">
        <f ca="1">IFERROR(__xludf.DUMMYFUNCTION("""COMPUTED_VALUE"""),"JOHN")</f>
        <v>JOHN</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IFERROR(__xludf.DUMMYFUNCTION("""COMPUTED_VALUE"""),"Y")</f>
        <v>Y</v>
      </c>
      <c r="G26" s="268"/>
    </row>
    <row r="27" spans="1:7" ht="22.5" customHeight="1" x14ac:dyDescent="0.25">
      <c r="A27" s="283" t="str">
        <f ca="1">IFERROR(__xludf.DUMMYFUNCTION("""COMPUTED_VALUE"""),"ZVANCIUK")</f>
        <v>ZVANCIUK</v>
      </c>
      <c r="B27" s="284" t="str">
        <f ca="1">IFERROR(__xludf.DUMMYFUNCTION("""COMPUTED_VALUE"""),"RICHARD")</f>
        <v>RICHARD</v>
      </c>
      <c r="C27" s="285" t="str">
        <f ca="1">IFERROR(__xludf.DUMMYFUNCTION("""COMPUTED_VALUE"""),"F")</f>
        <v>F</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c r="B28" s="284"/>
      <c r="C28" s="285"/>
      <c r="D28" s="286"/>
      <c r="E28" s="286"/>
      <c r="F28" s="286"/>
      <c r="G28" s="268"/>
    </row>
    <row r="29" spans="1:7" ht="22.5" customHeight="1" x14ac:dyDescent="0.25">
      <c r="A29" s="283"/>
      <c r="B29" s="284"/>
      <c r="C29" s="285"/>
      <c r="D29" s="286"/>
      <c r="E29" s="286"/>
      <c r="F29" s="286"/>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55" priority="5">
      <formula>LEN(TRIM(B7))&gt;0</formula>
    </cfRule>
  </conditionalFormatting>
  <conditionalFormatting sqref="C7:D9">
    <cfRule type="notContainsBlanks" dxfId="54" priority="4">
      <formula>LEN(TRIM(C7))&gt;0</formula>
    </cfRule>
  </conditionalFormatting>
  <conditionalFormatting sqref="D14:F31">
    <cfRule type="endsWith" dxfId="53" priority="1" operator="endsWith" text="M">
      <formula>RIGHT((D14),LEN("M"))=("M")</formula>
    </cfRule>
    <cfRule type="cellIs" dxfId="52" priority="2" operator="equal">
      <formula>"N"</formula>
    </cfRule>
    <cfRule type="cellIs" dxfId="51" priority="3" operator="equal">
      <formula>"Y"</formula>
    </cfRule>
  </conditionalFormatting>
  <conditionalFormatting sqref="E7:F9">
    <cfRule type="expression" dxfId="50" priority="6">
      <formula>B7=""</formula>
    </cfRule>
    <cfRule type="expression" dxfId="49" priority="7">
      <formula>C7=""</formula>
    </cfRule>
  </conditionalFormatting>
  <hyperlinks>
    <hyperlink ref="E4" location="LOOKUP!A1" display="Back to Lookup" xr:uid="{00000000-0004-0000-0A00-000000000000}"/>
  </hyperlinks>
  <printOptions horizontalCentered="1" gridLines="1"/>
  <pageMargins left="0.7" right="0.7" top="0.75" bottom="0.75" header="0" footer="0"/>
  <pageSetup pageOrder="overThenDown" orientation="landscape" cellComments="atEnd"/>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8" t="s">
        <v>18</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IFERROR(__xludf.DUMMYFUNCTION("IMPORTRANGE(""https://docs.google.com/spreadsheets/d/1ldE5MesCa2eBaR-LJ5T1U9LDDK99iepgD4XKD9i_8LY/edit?gid=1325443074#gid=1325443074"",CONCATENATE(A1,""!B5""))"),"Conor Murphy")</f>
        <v>Conor Murphy</v>
      </c>
      <c r="C4" s="315"/>
      <c r="D4" s="317"/>
      <c r="E4" s="354" t="s">
        <v>59</v>
      </c>
      <c r="F4" s="317"/>
      <c r="G4" s="268"/>
    </row>
    <row r="5" spans="1:7" ht="22.5" customHeight="1" x14ac:dyDescent="0.25">
      <c r="A5" s="265"/>
      <c r="B5" s="266"/>
      <c r="C5" s="266"/>
      <c r="D5" s="266"/>
      <c r="E5" s="266"/>
      <c r="F5" s="266"/>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IFERROR(__xludf.DUMMYFUNCTION("IMPORTRANGE(""https://docs.google.com/spreadsheets/d/1ldE5MesCa2eBaR-LJ5T1U9LDDK99iepgD4XKD9i_8LY/edit?gid=1325443074#gid=1325443074"",CONCATENATE($A$1,""!I3:I5""))"),"10:30 – 11:45")</f>
        <v>10:30 – 11:45</v>
      </c>
      <c r="D7" s="317"/>
      <c r="E7" s="357" t="str">
        <f ca="1">IFERROR(__xludf.DUMMYFUNCTION("IMPORTRANGE(""https://docs.google.com/spreadsheets/d/1ldE5MesCa2eBaR-LJ5T1U9LDDK99iepgD4XKD9i_8LY/edit?gid=1325443074#gid=1325443074"",CONCATENATE($A$1,""!J3:J5""))"),"CANUCKS")</f>
        <v>CANUCKS</v>
      </c>
      <c r="F7" s="317"/>
      <c r="G7" s="272" t="str">
        <f ca="1">IFERROR(__xludf.DUMMYFUNCTION("IMPORTRANGE(""https://docs.google.com/spreadsheets/d/1ldE5MesCa2eBaR-LJ5T1U9LDDK99iepgD4XKD9i_8LY/edit?gid=1325443074#gid=1325443074"",CONCATENATE($A$1,""!K3:K5""))"),"RINK 3")</f>
        <v>RINK 3</v>
      </c>
    </row>
    <row r="8" spans="1:7" ht="22.5" customHeight="1" x14ac:dyDescent="0.25">
      <c r="A8" s="273" t="s">
        <v>65</v>
      </c>
      <c r="B8" s="274" t="str">
        <f ca="1">IFERROR(__xludf.DUMMYFUNCTION("""COMPUTED_VALUE"""),"9:15 – 10:30")</f>
        <v>9:15 – 10:30</v>
      </c>
      <c r="C8" s="348" t="str">
        <f ca="1">IFERROR(__xludf.DUMMYFUNCTION("""COMPUTED_VALUE"""),"")</f>
        <v/>
      </c>
      <c r="D8" s="315"/>
      <c r="E8" s="348" t="str">
        <f ca="1">IFERROR(__xludf.DUMMYFUNCTION("""COMPUTED_VALUE"""),"KINGS")</f>
        <v>KINGS</v>
      </c>
      <c r="F8" s="317"/>
      <c r="G8" s="273" t="str">
        <f ca="1">IFERROR(__xludf.DUMMYFUNCTION("""COMPUTED_VALUE"""),"RINK 4")</f>
        <v>RINK 4</v>
      </c>
    </row>
    <row r="9" spans="1:7" ht="22.5" customHeight="1" x14ac:dyDescent="0.25">
      <c r="A9" s="275" t="s">
        <v>66</v>
      </c>
      <c r="B9" s="274" t="str">
        <f ca="1">IFERROR(__xludf.DUMMYFUNCTION("""COMPUTED_VALUE"""),"10:45 – 12:00")</f>
        <v>10:45 – 12:00</v>
      </c>
      <c r="C9" s="347" t="str">
        <f ca="1">IFERROR(__xludf.DUMMYFUNCTION("""COMPUTED_VALUE"""),"")</f>
        <v/>
      </c>
      <c r="D9" s="315"/>
      <c r="E9" s="348" t="str">
        <f ca="1">IFERROR(__xludf.DUMMYFUNCTION("""COMPUTED_VALUE"""),"WILD")</f>
        <v>WILD</v>
      </c>
      <c r="F9" s="317"/>
      <c r="G9" s="272" t="str">
        <f ca="1">IFERROR(__xludf.DUMMYFUNCTION("""COMPUTED_VALUE"""),"RINK 4")</f>
        <v>RINK 4</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IFERROR(__xludf.DUMMYFUNCTION("QUERY(IMPORTRANGE(""https://docs.google.com/spreadsheets/d/1ldE5MesCa2eBaR-LJ5T1U9LDDK99iepgD4XKD9i_8LY/edit?gid=20346383#gid=20346383"",""Div2A Roster!A6:I100""), ""SELECT Col1, Col2, Col4, Col5, Col6, Col7 WHERE Col3 = '""&amp;A1&amp;""'"")"),"BERGER")</f>
        <v>BERGER</v>
      </c>
      <c r="B14" s="284" t="str">
        <f ca="1">IFERROR(__xludf.DUMMYFUNCTION("""COMPUTED_VALUE"""),"HARRY")</f>
        <v>HARRY</v>
      </c>
      <c r="C14" s="285" t="str">
        <f ca="1">IFERROR(__xludf.DUMMYFUNCTION("""COMPUTED_VALUE"""),"F(LW)")</f>
        <v>F(LW)</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IFERROR(__xludf.DUMMYFUNCTION("""COMPUTED_VALUE"""),"COWAN")</f>
        <v>COWAN</v>
      </c>
      <c r="B15" s="284" t="str">
        <f ca="1">IFERROR(__xludf.DUMMYFUNCTION("""COMPUTED_VALUE"""),"BRAD")</f>
        <v>BRAD</v>
      </c>
      <c r="C15" s="285" t="str">
        <f ca="1">IFERROR(__xludf.DUMMYFUNCTION("""COMPUTED_VALUE"""),"D")</f>
        <v>D</v>
      </c>
      <c r="D15" s="286" t="str">
        <f ca="1">IFERROR(__xludf.DUMMYFUNCTION("""COMPUTED_VALUE"""),"Y")</f>
        <v>Y</v>
      </c>
      <c r="E15" s="286" t="str">
        <f ca="1">IFERROR(__xludf.DUMMYFUNCTION("""COMPUTED_VALUE"""),"Y")</f>
        <v>Y</v>
      </c>
      <c r="F15" s="286" t="str">
        <f ca="1">IFERROR(__xludf.DUMMYFUNCTION("""COMPUTED_VALUE"""),"Y")</f>
        <v>Y</v>
      </c>
      <c r="G15" s="268"/>
    </row>
    <row r="16" spans="1:7" ht="22.5" customHeight="1" x14ac:dyDescent="0.25">
      <c r="A16" s="283" t="str">
        <f ca="1">IFERROR(__xludf.DUMMYFUNCTION("""COMPUTED_VALUE"""),"CRAIGMILE")</f>
        <v>CRAIGMILE</v>
      </c>
      <c r="B16" s="284" t="str">
        <f ca="1">IFERROR(__xludf.DUMMYFUNCTION("""COMPUTED_VALUE"""),"TERRY")</f>
        <v>TERRY</v>
      </c>
      <c r="C16" s="285" t="str">
        <f ca="1">IFERROR(__xludf.DUMMYFUNCTION("""COMPUTED_VALUE"""),"D")</f>
        <v>D</v>
      </c>
      <c r="D16" s="286" t="str">
        <f ca="1">IFERROR(__xludf.DUMMYFUNCTION("""COMPUTED_VALUE"""),"Y")</f>
        <v>Y</v>
      </c>
      <c r="E16" s="286" t="str">
        <f ca="1">IFERROR(__xludf.DUMMYFUNCTION("""COMPUTED_VALUE"""),"Y")</f>
        <v>Y</v>
      </c>
      <c r="F16" s="286" t="str">
        <f ca="1">IFERROR(__xludf.DUMMYFUNCTION("""COMPUTED_VALUE"""),"Y")</f>
        <v>Y</v>
      </c>
      <c r="G16" s="268"/>
    </row>
    <row r="17" spans="1:7" ht="22.5" customHeight="1" x14ac:dyDescent="0.25">
      <c r="A17" s="283" t="str">
        <f ca="1">IFERROR(__xludf.DUMMYFUNCTION("""COMPUTED_VALUE"""),"DONNELLY")</f>
        <v>DONNELLY</v>
      </c>
      <c r="B17" s="284" t="str">
        <f ca="1">IFERROR(__xludf.DUMMYFUNCTION("""COMPUTED_VALUE"""),"PAT")</f>
        <v>PAT</v>
      </c>
      <c r="C17" s="285" t="str">
        <f ca="1">IFERROR(__xludf.DUMMYFUNCTION("""COMPUTED_VALUE"""),"F")</f>
        <v>F</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IFERROR(__xludf.DUMMYFUNCTION("""COMPUTED_VALUE"""),"GRAUPNER")</f>
        <v>GRAUPNER</v>
      </c>
      <c r="B18" s="284" t="str">
        <f ca="1">IFERROR(__xludf.DUMMYFUNCTION("""COMPUTED_VALUE"""),"JOHN")</f>
        <v>JOHN</v>
      </c>
      <c r="C18" s="285" t="str">
        <f ca="1">IFERROR(__xludf.DUMMYFUNCTION("""COMPUTED_VALUE"""),"G")</f>
        <v>G</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IFERROR(__xludf.DUMMYFUNCTION("""COMPUTED_VALUE"""),"JUNGER")</f>
        <v>JUNGER</v>
      </c>
      <c r="B19" s="284" t="str">
        <f ca="1">IFERROR(__xludf.DUMMYFUNCTION("""COMPUTED_VALUE"""),"ROBIN")</f>
        <v>ROBIN</v>
      </c>
      <c r="C19" s="285" t="str">
        <f ca="1">IFERROR(__xludf.DUMMYFUNCTION("""COMPUTED_VALUE"""),"F")</f>
        <v>F</v>
      </c>
      <c r="D19" s="286" t="str">
        <f ca="1">IFERROR(__xludf.DUMMYFUNCTION("""COMPUTED_VALUE"""),"Y")</f>
        <v>Y</v>
      </c>
      <c r="E19" s="286" t="str">
        <f ca="1">IFERROR(__xludf.DUMMYFUNCTION("""COMPUTED_VALUE"""),"Y")</f>
        <v>Y</v>
      </c>
      <c r="F19" s="286" t="str">
        <f ca="1">IFERROR(__xludf.DUMMYFUNCTION("""COMPUTED_VALUE"""),"N")</f>
        <v>N</v>
      </c>
      <c r="G19" s="268"/>
    </row>
    <row r="20" spans="1:7" ht="22.5" customHeight="1" x14ac:dyDescent="0.25">
      <c r="A20" s="283" t="str">
        <f ca="1">IFERROR(__xludf.DUMMYFUNCTION("""COMPUTED_VALUE"""),"KINSMAN")</f>
        <v>KINSMAN</v>
      </c>
      <c r="B20" s="284" t="str">
        <f ca="1">IFERROR(__xludf.DUMMYFUNCTION("""COMPUTED_VALUE"""),"TOM")</f>
        <v>TOM</v>
      </c>
      <c r="C20" s="285" t="str">
        <f ca="1">IFERROR(__xludf.DUMMYFUNCTION("""COMPUTED_VALUE"""),"D")</f>
        <v>D</v>
      </c>
      <c r="D20" s="286" t="str">
        <f ca="1">IFERROR(__xludf.DUMMYFUNCTION("""COMPUTED_VALUE"""),"Y")</f>
        <v>Y</v>
      </c>
      <c r="E20" s="286" t="str">
        <f ca="1">IFERROR(__xludf.DUMMYFUNCTION("""COMPUTED_VALUE"""),"Y")</f>
        <v>Y</v>
      </c>
      <c r="F20" s="286" t="str">
        <f ca="1">IFERROR(__xludf.DUMMYFUNCTION("""COMPUTED_VALUE"""),"Y")</f>
        <v>Y</v>
      </c>
      <c r="G20" s="268"/>
    </row>
    <row r="21" spans="1:7" ht="22.5" customHeight="1" x14ac:dyDescent="0.25">
      <c r="A21" s="283" t="str">
        <f ca="1">IFERROR(__xludf.DUMMYFUNCTION("""COMPUTED_VALUE"""),"LAMBERT")</f>
        <v>LAMBERT</v>
      </c>
      <c r="B21" s="284" t="str">
        <f ca="1">IFERROR(__xludf.DUMMYFUNCTION("""COMPUTED_VALUE"""),"MIKE")</f>
        <v>MIKE</v>
      </c>
      <c r="C21" s="285" t="str">
        <f ca="1">IFERROR(__xludf.DUMMYFUNCTION("""COMPUTED_VALUE"""),"F")</f>
        <v>F</v>
      </c>
      <c r="D21" s="286" t="str">
        <f ca="1">IFERROR(__xludf.DUMMYFUNCTION("""COMPUTED_VALUE"""),"Y")</f>
        <v>Y</v>
      </c>
      <c r="E21" s="286" t="str">
        <f ca="1">IFERROR(__xludf.DUMMYFUNCTION("""COMPUTED_VALUE"""),"Y")</f>
        <v>Y</v>
      </c>
      <c r="F21" s="286" t="str">
        <f ca="1">IFERROR(__xludf.DUMMYFUNCTION("""COMPUTED_VALUE"""),"Y")</f>
        <v>Y</v>
      </c>
      <c r="G21" s="268"/>
    </row>
    <row r="22" spans="1:7" ht="22.5" customHeight="1" x14ac:dyDescent="0.25">
      <c r="A22" s="283" t="str">
        <f ca="1">IFERROR(__xludf.DUMMYFUNCTION("""COMPUTED_VALUE"""),"MURPHY")</f>
        <v>MURPHY</v>
      </c>
      <c r="B22" s="284" t="str">
        <f ca="1">IFERROR(__xludf.DUMMYFUNCTION("""COMPUTED_VALUE"""),"CONOR")</f>
        <v>CONOR</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8"/>
    </row>
    <row r="23" spans="1:7" ht="22.5" customHeight="1" x14ac:dyDescent="0.25">
      <c r="A23" s="283" t="str">
        <f ca="1">IFERROR(__xludf.DUMMYFUNCTION("""COMPUTED_VALUE"""),"ODYNSKI")</f>
        <v>ODYNSKI</v>
      </c>
      <c r="B23" s="284" t="str">
        <f ca="1">IFERROR(__xludf.DUMMYFUNCTION("""COMPUTED_VALUE"""),"DAVE")</f>
        <v>DAVE</v>
      </c>
      <c r="C23" s="285" t="str">
        <f ca="1">IFERROR(__xludf.DUMMYFUNCTION("""COMPUTED_VALUE"""),"F(LW)")</f>
        <v>F(LW)</v>
      </c>
      <c r="D23" s="286" t="str">
        <f ca="1">IFERROR(__xludf.DUMMYFUNCTION("""COMPUTED_VALUE"""),"Y")</f>
        <v>Y</v>
      </c>
      <c r="E23" s="286" t="str">
        <f ca="1">IFERROR(__xludf.DUMMYFUNCTION("""COMPUTED_VALUE"""),"Y")</f>
        <v>Y</v>
      </c>
      <c r="F23" s="286" t="str">
        <f ca="1">IFERROR(__xludf.DUMMYFUNCTION("""COMPUTED_VALUE"""),"Y")</f>
        <v>Y</v>
      </c>
      <c r="G23" s="268"/>
    </row>
    <row r="24" spans="1:7" ht="22.5" customHeight="1" x14ac:dyDescent="0.25">
      <c r="A24" s="283" t="str">
        <f ca="1">IFERROR(__xludf.DUMMYFUNCTION("""COMPUTED_VALUE"""),"POIRIER")</f>
        <v>POIRIER</v>
      </c>
      <c r="B24" s="284" t="str">
        <f ca="1">IFERROR(__xludf.DUMMYFUNCTION("""COMPUTED_VALUE"""),"GREG")</f>
        <v>GREG</v>
      </c>
      <c r="C24" s="285" t="str">
        <f ca="1">IFERROR(__xludf.DUMMYFUNCTION("""COMPUTED_VALUE"""),"F/C")</f>
        <v>F/C</v>
      </c>
      <c r="D24" s="286" t="str">
        <f ca="1">IFERROR(__xludf.DUMMYFUNCTION("""COMPUTED_VALUE"""),"Y")</f>
        <v>Y</v>
      </c>
      <c r="E24" s="286" t="str">
        <f ca="1">IFERROR(__xludf.DUMMYFUNCTION("""COMPUTED_VALUE"""),"Y")</f>
        <v>Y</v>
      </c>
      <c r="F24" s="286" t="str">
        <f ca="1">IFERROR(__xludf.DUMMYFUNCTION("""COMPUTED_VALUE"""),"Y")</f>
        <v>Y</v>
      </c>
      <c r="G24" s="268"/>
    </row>
    <row r="25" spans="1:7" ht="22.5" customHeight="1" x14ac:dyDescent="0.25">
      <c r="A25" s="283" t="str">
        <f ca="1">IFERROR(__xludf.DUMMYFUNCTION("""COMPUTED_VALUE"""),"ROHOVE")</f>
        <v>ROHOVE</v>
      </c>
      <c r="B25" s="284" t="str">
        <f ca="1">IFERROR(__xludf.DUMMYFUNCTION("""COMPUTED_VALUE"""),"TOM")</f>
        <v>TOM</v>
      </c>
      <c r="C25" s="285" t="str">
        <f ca="1">IFERROR(__xludf.DUMMYFUNCTION("""COMPUTED_VALUE"""),"D/F(LW)")</f>
        <v>D/F(LW)</v>
      </c>
      <c r="D25" s="286" t="str">
        <f ca="1">IFERROR(__xludf.DUMMYFUNCTION("""COMPUTED_VALUE"""),"Y")</f>
        <v>Y</v>
      </c>
      <c r="E25" s="286" t="str">
        <f ca="1">IFERROR(__xludf.DUMMYFUNCTION("""COMPUTED_VALUE"""),"Y")</f>
        <v>Y</v>
      </c>
      <c r="F25" s="286" t="str">
        <f ca="1">IFERROR(__xludf.DUMMYFUNCTION("""COMPUTED_VALUE"""),"Y")</f>
        <v>Y</v>
      </c>
      <c r="G25" s="268"/>
    </row>
    <row r="26" spans="1:7" ht="22.5" customHeight="1" x14ac:dyDescent="0.25">
      <c r="A26" s="283" t="str">
        <f ca="1">IFERROR(__xludf.DUMMYFUNCTION("""COMPUTED_VALUE"""),"STASIUK")</f>
        <v>STASIUK</v>
      </c>
      <c r="B26" s="284" t="str">
        <f ca="1">IFERROR(__xludf.DUMMYFUNCTION("""COMPUTED_VALUE"""),"JAIME")</f>
        <v>JAIME</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IFERROR(__xludf.DUMMYFUNCTION("""COMPUTED_VALUE"""),"Y")</f>
        <v>Y</v>
      </c>
      <c r="G26" s="268"/>
    </row>
    <row r="27" spans="1:7" ht="22.5" customHeight="1" x14ac:dyDescent="0.25">
      <c r="A27" s="283" t="str">
        <f ca="1">IFERROR(__xludf.DUMMYFUNCTION("""COMPUTED_VALUE"""),"WASKO")</f>
        <v>WASKO</v>
      </c>
      <c r="B27" s="284" t="str">
        <f ca="1">IFERROR(__xludf.DUMMYFUNCTION("""COMPUTED_VALUE"""),"WAYNE")</f>
        <v>WAYNE</v>
      </c>
      <c r="C27" s="285" t="str">
        <f ca="1">IFERROR(__xludf.DUMMYFUNCTION("""COMPUTED_VALUE"""),"F/D")</f>
        <v>F/D</v>
      </c>
      <c r="D27" s="286" t="str">
        <f ca="1">IFERROR(__xludf.DUMMYFUNCTION("""COMPUTED_VALUE"""),"N")</f>
        <v>N</v>
      </c>
      <c r="E27" s="286" t="str">
        <f ca="1">IFERROR(__xludf.DUMMYFUNCTION("""COMPUTED_VALUE"""),"N")</f>
        <v>N</v>
      </c>
      <c r="F27" s="286" t="str">
        <f ca="1">IFERROR(__xludf.DUMMYFUNCTION("""COMPUTED_VALUE"""),"Y")</f>
        <v>Y</v>
      </c>
      <c r="G27" s="268"/>
    </row>
    <row r="28" spans="1:7" ht="22.5" customHeight="1" x14ac:dyDescent="0.25">
      <c r="A28" s="283"/>
      <c r="B28" s="284"/>
      <c r="C28" s="285"/>
      <c r="D28" s="286"/>
      <c r="E28" s="286"/>
      <c r="F28" s="286"/>
      <c r="G28" s="268"/>
    </row>
    <row r="29" spans="1:7" ht="22.5" customHeight="1" x14ac:dyDescent="0.25">
      <c r="A29" s="283"/>
      <c r="B29" s="284"/>
      <c r="C29" s="285"/>
      <c r="D29" s="286"/>
      <c r="E29" s="286"/>
      <c r="F29" s="286"/>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48" priority="5">
      <formula>LEN(TRIM(B7))&gt;0</formula>
    </cfRule>
  </conditionalFormatting>
  <conditionalFormatting sqref="C7:D9">
    <cfRule type="notContainsBlanks" dxfId="47" priority="4">
      <formula>LEN(TRIM(C7))&gt;0</formula>
    </cfRule>
  </conditionalFormatting>
  <conditionalFormatting sqref="D14:F31">
    <cfRule type="endsWith" dxfId="46" priority="1" operator="endsWith" text="M">
      <formula>RIGHT((D14),LEN("M"))=("M")</formula>
    </cfRule>
    <cfRule type="cellIs" dxfId="45" priority="2" operator="equal">
      <formula>"N"</formula>
    </cfRule>
    <cfRule type="cellIs" dxfId="44" priority="3" operator="equal">
      <formula>"Y"</formula>
    </cfRule>
  </conditionalFormatting>
  <conditionalFormatting sqref="E7:F9">
    <cfRule type="expression" dxfId="43" priority="6">
      <formula>B7=""</formula>
    </cfRule>
    <cfRule type="expression" dxfId="42" priority="7">
      <formula>C7=""</formula>
    </cfRule>
  </conditionalFormatting>
  <hyperlinks>
    <hyperlink ref="E4" location="LOOKUP!A1" display="Back to Lookup" xr:uid="{00000000-0004-0000-0B00-000000000000}"/>
  </hyperlinks>
  <printOptions horizontalCentered="1" gridLines="1"/>
  <pageMargins left="0.7" right="0.7" top="0.75" bottom="0.75" header="0" footer="0"/>
  <pageSetup pageOrder="overThenDown" orientation="landscape" cellComments="atEnd"/>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8" t="s">
        <v>15</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IFERROR(__xludf.DUMMYFUNCTION("IMPORTRANGE(""https://docs.google.com/spreadsheets/d/1ldE5MesCa2eBaR-LJ5T1U9LDDK99iepgD4XKD9i_8LY/edit?gid=1325443074#gid=1325443074"",CONCATENATE(A1,""!B5""))"),"Jerry Prevett")</f>
        <v>Jerry Prevett</v>
      </c>
      <c r="C4" s="315"/>
      <c r="D4" s="317"/>
      <c r="E4" s="354" t="s">
        <v>59</v>
      </c>
      <c r="F4" s="317"/>
      <c r="G4" s="268"/>
    </row>
    <row r="5" spans="1:7" ht="22.5" customHeight="1" x14ac:dyDescent="0.25">
      <c r="A5" s="266"/>
      <c r="B5" s="266"/>
      <c r="C5" s="266"/>
      <c r="D5" s="266"/>
      <c r="E5" s="266"/>
      <c r="F5" s="265"/>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IFERROR(__xludf.DUMMYFUNCTION("IMPORTRANGE(""https://docs.google.com/spreadsheets/d/1ldE5MesCa2eBaR-LJ5T1U9LDDK99iepgD4XKD9i_8LY/edit?gid=1325443074#gid=1325443074"",CONCATENATE($A$1,""!I3:I5""))"),"11:00 – 12:15")</f>
        <v>11:00 – 12:15</v>
      </c>
      <c r="D7" s="317"/>
      <c r="E7" s="357" t="str">
        <f ca="1">IFERROR(__xludf.DUMMYFUNCTION("IMPORTRANGE(""https://docs.google.com/spreadsheets/d/1ldE5MesCa2eBaR-LJ5T1U9LDDK99iepgD4XKD9i_8LY/edit?gid=1325443074#gid=1325443074"",CONCATENATE($A$1,""!J3:J5""))"),"JETS")</f>
        <v>JETS</v>
      </c>
      <c r="F7" s="317"/>
      <c r="G7" s="272" t="str">
        <f ca="1">IFERROR(__xludf.DUMMYFUNCTION("IMPORTRANGE(""https://docs.google.com/spreadsheets/d/1ldE5MesCa2eBaR-LJ5T1U9LDDK99iepgD4XKD9i_8LY/edit?gid=1325443074#gid=1325443074"",CONCATENATE($A$1,""!K3:K5""))"),"RINK 2")</f>
        <v>RINK 2</v>
      </c>
    </row>
    <row r="8" spans="1:7" ht="22.5" customHeight="1" x14ac:dyDescent="0.25">
      <c r="A8" s="273" t="s">
        <v>65</v>
      </c>
      <c r="B8" s="274" t="str">
        <f ca="1">IFERROR(__xludf.DUMMYFUNCTION("""COMPUTED_VALUE"""),"")</f>
        <v/>
      </c>
      <c r="C8" s="348" t="str">
        <f ca="1">IFERROR(__xludf.DUMMYFUNCTION("""COMPUTED_VALUE"""),"9:15 – 10:30")</f>
        <v>9:15 – 10:30</v>
      </c>
      <c r="D8" s="315"/>
      <c r="E8" s="348" t="str">
        <f ca="1">IFERROR(__xludf.DUMMYFUNCTION("""COMPUTED_VALUE"""),"STARS")</f>
        <v>STARS</v>
      </c>
      <c r="F8" s="317"/>
      <c r="G8" s="273" t="str">
        <f ca="1">IFERROR(__xludf.DUMMYFUNCTION("""COMPUTED_VALUE"""),"RINK 4")</f>
        <v>RINK 4</v>
      </c>
    </row>
    <row r="9" spans="1:7" ht="22.5" customHeight="1" x14ac:dyDescent="0.25">
      <c r="A9" s="275" t="s">
        <v>66</v>
      </c>
      <c r="B9" s="274" t="str">
        <f ca="1">IFERROR(__xludf.DUMMYFUNCTION("""COMPUTED_VALUE"""),"")</f>
        <v/>
      </c>
      <c r="C9" s="347" t="str">
        <f ca="1">IFERROR(__xludf.DUMMYFUNCTION("""COMPUTED_VALUE"""),"12:00 – 1:15")</f>
        <v>12:00 – 1:15</v>
      </c>
      <c r="D9" s="315"/>
      <c r="E9" s="348" t="str">
        <f ca="1">IFERROR(__xludf.DUMMYFUNCTION("""COMPUTED_VALUE"""),"FLAMES")</f>
        <v>FLAMES</v>
      </c>
      <c r="F9" s="317"/>
      <c r="G9" s="272" t="str">
        <f ca="1">IFERROR(__xludf.DUMMYFUNCTION("""COMPUTED_VALUE"""),"RINK 1 ")</f>
        <v xml:space="preserve">RINK 1 </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IFERROR(__xludf.DUMMYFUNCTION("QUERY(IMPORTRANGE(""https://docs.google.com/spreadsheets/d/1ldE5MesCa2eBaR-LJ5T1U9LDDK99iepgD4XKD9i_8LY/edit?gid=20346383#gid=20346383"",""Div2A Roster!A6:I100""), ""SELECT Col1, Col2, Col4, Col5, Col6, Col7 WHERE Col3 = '""&amp;A1&amp;""'"")"),"ANDREW")</f>
        <v>ANDREW</v>
      </c>
      <c r="B14" s="284" t="str">
        <f ca="1">IFERROR(__xludf.DUMMYFUNCTION("""COMPUTED_VALUE"""),"BOB")</f>
        <v>BOB</v>
      </c>
      <c r="C14" s="285" t="str">
        <f ca="1">IFERROR(__xludf.DUMMYFUNCTION("""COMPUTED_VALUE"""),"F/C")</f>
        <v>F/C</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IFERROR(__xludf.DUMMYFUNCTION("""COMPUTED_VALUE"""),"ARNESON")</f>
        <v>ARNESON</v>
      </c>
      <c r="B15" s="284" t="str">
        <f ca="1">IFERROR(__xludf.DUMMYFUNCTION("""COMPUTED_VALUE"""),"BRUCE")</f>
        <v>BRUCE</v>
      </c>
      <c r="C15" s="285" t="str">
        <f ca="1">IFERROR(__xludf.DUMMYFUNCTION("""COMPUTED_VALUE"""),"F(LW)")</f>
        <v>F(LW)</v>
      </c>
      <c r="D15" s="286" t="str">
        <f ca="1">IFERROR(__xludf.DUMMYFUNCTION("""COMPUTED_VALUE"""),"Y")</f>
        <v>Y</v>
      </c>
      <c r="E15" s="286" t="str">
        <f ca="1">IFERROR(__xludf.DUMMYFUNCTION("""COMPUTED_VALUE"""),"Y")</f>
        <v>Y</v>
      </c>
      <c r="F15" s="286" t="str">
        <f ca="1">IFERROR(__xludf.DUMMYFUNCTION("""COMPUTED_VALUE"""),"Y")</f>
        <v>Y</v>
      </c>
      <c r="G15" s="268"/>
    </row>
    <row r="16" spans="1:7" ht="22.5" customHeight="1" x14ac:dyDescent="0.25">
      <c r="A16" s="283" t="str">
        <f ca="1">IFERROR(__xludf.DUMMYFUNCTION("""COMPUTED_VALUE"""),"BARADOY")</f>
        <v>BARADOY</v>
      </c>
      <c r="B16" s="284" t="str">
        <f ca="1">IFERROR(__xludf.DUMMYFUNCTION("""COMPUTED_VALUE"""),"GARY")</f>
        <v>GARY</v>
      </c>
      <c r="C16" s="285" t="str">
        <f ca="1">IFERROR(__xludf.DUMMYFUNCTION("""COMPUTED_VALUE"""),"G")</f>
        <v>G</v>
      </c>
      <c r="D16" s="286" t="str">
        <f ca="1">IFERROR(__xludf.DUMMYFUNCTION("""COMPUTED_VALUE"""),"Y")</f>
        <v>Y</v>
      </c>
      <c r="E16" s="286" t="str">
        <f ca="1">IFERROR(__xludf.DUMMYFUNCTION("""COMPUTED_VALUE"""),"Y")</f>
        <v>Y</v>
      </c>
      <c r="F16" s="286" t="str">
        <f ca="1">IFERROR(__xludf.DUMMYFUNCTION("""COMPUTED_VALUE"""),"N")</f>
        <v>N</v>
      </c>
      <c r="G16" s="268"/>
    </row>
    <row r="17" spans="1:7" ht="22.5" customHeight="1" x14ac:dyDescent="0.25">
      <c r="A17" s="283" t="str">
        <f ca="1">IFERROR(__xludf.DUMMYFUNCTION("""COMPUTED_VALUE"""),"BROWN")</f>
        <v>BROWN</v>
      </c>
      <c r="B17" s="284" t="str">
        <f ca="1">IFERROR(__xludf.DUMMYFUNCTION("""COMPUTED_VALUE"""),"ROB")</f>
        <v>ROB</v>
      </c>
      <c r="C17" s="285" t="str">
        <f ca="1">IFERROR(__xludf.DUMMYFUNCTION("""COMPUTED_VALUE"""),"F(LW)")</f>
        <v>F(LW)</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IFERROR(__xludf.DUMMYFUNCTION("""COMPUTED_VALUE"""),"DOMENICHELLI")</f>
        <v>DOMENICHELLI</v>
      </c>
      <c r="B18" s="284" t="str">
        <f ca="1">IFERROR(__xludf.DUMMYFUNCTION("""COMPUTED_VALUE"""),"GENE")</f>
        <v>GENE</v>
      </c>
      <c r="C18" s="285" t="str">
        <f ca="1">IFERROR(__xludf.DUMMYFUNCTION("""COMPUTED_VALUE"""),"F/C")</f>
        <v>F/C</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IFERROR(__xludf.DUMMYFUNCTION("""COMPUTED_VALUE"""),"DOMMASCH")</f>
        <v>DOMMASCH</v>
      </c>
      <c r="B19" s="284" t="str">
        <f ca="1">IFERROR(__xludf.DUMMYFUNCTION("""COMPUTED_VALUE"""),"AARON")</f>
        <v>AARON</v>
      </c>
      <c r="C19" s="285" t="str">
        <f ca="1">IFERROR(__xludf.DUMMYFUNCTION("""COMPUTED_VALUE"""),"F")</f>
        <v>F</v>
      </c>
      <c r="D19" s="286" t="str">
        <f ca="1">IFERROR(__xludf.DUMMYFUNCTION("""COMPUTED_VALUE"""),"Y")</f>
        <v>Y</v>
      </c>
      <c r="E19" s="286" t="str">
        <f ca="1">IFERROR(__xludf.DUMMYFUNCTION("""COMPUTED_VALUE"""),"Y")</f>
        <v>Y</v>
      </c>
      <c r="F19" s="286" t="str">
        <f ca="1">IFERROR(__xludf.DUMMYFUNCTION("""COMPUTED_VALUE"""),"Y")</f>
        <v>Y</v>
      </c>
      <c r="G19" s="268"/>
    </row>
    <row r="20" spans="1:7" ht="22.5" customHeight="1" x14ac:dyDescent="0.25">
      <c r="A20" s="283" t="str">
        <f ca="1">IFERROR(__xludf.DUMMYFUNCTION("""COMPUTED_VALUE"""),"GILLIGAN")</f>
        <v>GILLIGAN</v>
      </c>
      <c r="B20" s="284" t="str">
        <f ca="1">IFERROR(__xludf.DUMMYFUNCTION("""COMPUTED_VALUE"""),"MICHAEL")</f>
        <v>MICHAEL</v>
      </c>
      <c r="C20" s="285" t="str">
        <f ca="1">IFERROR(__xludf.DUMMYFUNCTION("""COMPUTED_VALUE"""),"D")</f>
        <v>D</v>
      </c>
      <c r="D20" s="286" t="str">
        <f ca="1">IFERROR(__xludf.DUMMYFUNCTION("""COMPUTED_VALUE"""),"N")</f>
        <v>N</v>
      </c>
      <c r="E20" s="286" t="str">
        <f ca="1">IFERROR(__xludf.DUMMYFUNCTION("""COMPUTED_VALUE"""),"Y")</f>
        <v>Y</v>
      </c>
      <c r="F20" s="286" t="str">
        <f ca="1">IFERROR(__xludf.DUMMYFUNCTION("""COMPUTED_VALUE"""),"Y")</f>
        <v>Y</v>
      </c>
      <c r="G20" s="268"/>
    </row>
    <row r="21" spans="1:7" ht="22.5" customHeight="1" x14ac:dyDescent="0.25">
      <c r="A21" s="283" t="str">
        <f ca="1">IFERROR(__xludf.DUMMYFUNCTION("""COMPUTED_VALUE"""),"GUNN")</f>
        <v>GUNN</v>
      </c>
      <c r="B21" s="284" t="str">
        <f ca="1">IFERROR(__xludf.DUMMYFUNCTION("""COMPUTED_VALUE"""),"ROBERT")</f>
        <v>ROBERT</v>
      </c>
      <c r="C21" s="285" t="str">
        <f ca="1">IFERROR(__xludf.DUMMYFUNCTION("""COMPUTED_VALUE"""),"D")</f>
        <v>D</v>
      </c>
      <c r="D21" s="286" t="str">
        <f ca="1">IFERROR(__xludf.DUMMYFUNCTION("""COMPUTED_VALUE"""),"Y")</f>
        <v>Y</v>
      </c>
      <c r="E21" s="286" t="str">
        <f ca="1">IFERROR(__xludf.DUMMYFUNCTION("""COMPUTED_VALUE"""),"Y")</f>
        <v>Y</v>
      </c>
      <c r="F21" s="286" t="str">
        <f ca="1">IFERROR(__xludf.DUMMYFUNCTION("""COMPUTED_VALUE"""),"Y")</f>
        <v>Y</v>
      </c>
      <c r="G21" s="268"/>
    </row>
    <row r="22" spans="1:7" ht="22.5" customHeight="1" x14ac:dyDescent="0.25">
      <c r="A22" s="283" t="str">
        <f ca="1">IFERROR(__xludf.DUMMYFUNCTION("""COMPUTED_VALUE"""),"HANLEY")</f>
        <v>HANLEY</v>
      </c>
      <c r="B22" s="284" t="str">
        <f ca="1">IFERROR(__xludf.DUMMYFUNCTION("""COMPUTED_VALUE"""),"JIM")</f>
        <v>JIM</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8"/>
    </row>
    <row r="23" spans="1:7" ht="22.5" customHeight="1" x14ac:dyDescent="0.25">
      <c r="A23" s="283" t="str">
        <f ca="1">IFERROR(__xludf.DUMMYFUNCTION("""COMPUTED_VALUE"""),"JACOBY")</f>
        <v>JACOBY</v>
      </c>
      <c r="B23" s="284" t="str">
        <f ca="1">IFERROR(__xludf.DUMMYFUNCTION("""COMPUTED_VALUE"""),"LARRY")</f>
        <v>LARRY</v>
      </c>
      <c r="C23" s="285" t="str">
        <f ca="1">IFERROR(__xludf.DUMMYFUNCTION("""COMPUTED_VALUE"""),"D")</f>
        <v>D</v>
      </c>
      <c r="D23" s="286" t="str">
        <f ca="1">IFERROR(__xludf.DUMMYFUNCTION("""COMPUTED_VALUE"""),"Y")</f>
        <v>Y</v>
      </c>
      <c r="E23" s="286" t="str">
        <f ca="1">IFERROR(__xludf.DUMMYFUNCTION("""COMPUTED_VALUE"""),"Y")</f>
        <v>Y</v>
      </c>
      <c r="F23" s="286" t="str">
        <f ca="1">IFERROR(__xludf.DUMMYFUNCTION("""COMPUTED_VALUE"""),"Y")</f>
        <v>Y</v>
      </c>
      <c r="G23" s="268"/>
    </row>
    <row r="24" spans="1:7" ht="22.5" customHeight="1" x14ac:dyDescent="0.25">
      <c r="A24" s="283" t="str">
        <f ca="1">IFERROR(__xludf.DUMMYFUNCTION("""COMPUTED_VALUE"""),"LOCKRIDGE")</f>
        <v>LOCKRIDGE</v>
      </c>
      <c r="B24" s="284" t="str">
        <f ca="1">IFERROR(__xludf.DUMMYFUNCTION("""COMPUTED_VALUE"""),"TIM")</f>
        <v>TIM</v>
      </c>
      <c r="C24" s="285" t="str">
        <f ca="1">IFERROR(__xludf.DUMMYFUNCTION("""COMPUTED_VALUE"""),"F")</f>
        <v>F</v>
      </c>
      <c r="D24" s="286" t="str">
        <f ca="1">IFERROR(__xludf.DUMMYFUNCTION("""COMPUTED_VALUE"""),"Y")</f>
        <v>Y</v>
      </c>
      <c r="E24" s="286" t="str">
        <f ca="1">IFERROR(__xludf.DUMMYFUNCTION("""COMPUTED_VALUE"""),"Y")</f>
        <v>Y</v>
      </c>
      <c r="F24" s="286" t="str">
        <f ca="1">IFERROR(__xludf.DUMMYFUNCTION("""COMPUTED_VALUE"""),"Y")</f>
        <v>Y</v>
      </c>
      <c r="G24" s="268"/>
    </row>
    <row r="25" spans="1:7" ht="22.5" customHeight="1" x14ac:dyDescent="0.25">
      <c r="A25" s="283" t="str">
        <f ca="1">IFERROR(__xludf.DUMMYFUNCTION("""COMPUTED_VALUE"""),"MCCAIG")</f>
        <v>MCCAIG</v>
      </c>
      <c r="B25" s="284" t="str">
        <f ca="1">IFERROR(__xludf.DUMMYFUNCTION("""COMPUTED_VALUE"""),"DAVE")</f>
        <v>DAVE</v>
      </c>
      <c r="C25" s="285" t="str">
        <f ca="1">IFERROR(__xludf.DUMMYFUNCTION("""COMPUTED_VALUE"""),"G/D")</f>
        <v>G/D</v>
      </c>
      <c r="D25" s="286" t="str">
        <f ca="1">IFERROR(__xludf.DUMMYFUNCTION("""COMPUTED_VALUE"""),"N")</f>
        <v>N</v>
      </c>
      <c r="E25" s="286" t="str">
        <f ca="1">IFERROR(__xludf.DUMMYFUNCTION("""COMPUTED_VALUE"""),"N")</f>
        <v>N</v>
      </c>
      <c r="F25" s="286" t="str">
        <f ca="1">IFERROR(__xludf.DUMMYFUNCTION("""COMPUTED_VALUE"""),"Y")</f>
        <v>Y</v>
      </c>
      <c r="G25" s="268"/>
    </row>
    <row r="26" spans="1:7" ht="22.5" customHeight="1" x14ac:dyDescent="0.25">
      <c r="A26" s="283" t="str">
        <f ca="1">IFERROR(__xludf.DUMMYFUNCTION("""COMPUTED_VALUE"""),"MOYER")</f>
        <v>MOYER</v>
      </c>
      <c r="B26" s="284" t="str">
        <f ca="1">IFERROR(__xludf.DUMMYFUNCTION("""COMPUTED_VALUE"""),"DARCY")</f>
        <v>DARCY</v>
      </c>
      <c r="C26" s="285" t="str">
        <f ca="1">IFERROR(__xludf.DUMMYFUNCTION("""COMPUTED_VALUE"""),"D")</f>
        <v>D</v>
      </c>
      <c r="D26" s="286" t="str">
        <f ca="1">IFERROR(__xludf.DUMMYFUNCTION("""COMPUTED_VALUE"""),"Y")</f>
        <v>Y</v>
      </c>
      <c r="E26" s="286" t="str">
        <f ca="1">IFERROR(__xludf.DUMMYFUNCTION("""COMPUTED_VALUE"""),"N")</f>
        <v>N</v>
      </c>
      <c r="F26" s="286" t="str">
        <f ca="1">IFERROR(__xludf.DUMMYFUNCTION("""COMPUTED_VALUE"""),"N")</f>
        <v>N</v>
      </c>
      <c r="G26" s="268"/>
    </row>
    <row r="27" spans="1:7" ht="22.5" customHeight="1" x14ac:dyDescent="0.25">
      <c r="A27" s="283" t="str">
        <f ca="1">IFERROR(__xludf.DUMMYFUNCTION("""COMPUTED_VALUE"""),"NEUBER")</f>
        <v>NEUBER</v>
      </c>
      <c r="B27" s="284" t="str">
        <f ca="1">IFERROR(__xludf.DUMMYFUNCTION("""COMPUTED_VALUE"""),"TERRY")</f>
        <v>TERRY</v>
      </c>
      <c r="C27" s="285" t="str">
        <f ca="1">IFERROR(__xludf.DUMMYFUNCTION("""COMPUTED_VALUE"""),"F")</f>
        <v>F</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t="str">
        <f ca="1">IFERROR(__xludf.DUMMYFUNCTION("""COMPUTED_VALUE"""),"PREVETT")</f>
        <v>PREVETT</v>
      </c>
      <c r="B28" s="284" t="str">
        <f ca="1">IFERROR(__xludf.DUMMYFUNCTION("""COMPUTED_VALUE"""),"JERRY")</f>
        <v>JERRY</v>
      </c>
      <c r="C28" s="285" t="str">
        <f ca="1">IFERROR(__xludf.DUMMYFUNCTION("""COMPUTED_VALUE"""),"F(LW)")</f>
        <v>F(LW)</v>
      </c>
      <c r="D28" s="286" t="str">
        <f ca="1">IFERROR(__xludf.DUMMYFUNCTION("""COMPUTED_VALUE"""),"Y")</f>
        <v>Y</v>
      </c>
      <c r="E28" s="286" t="str">
        <f ca="1">IFERROR(__xludf.DUMMYFUNCTION("""COMPUTED_VALUE"""),"Y")</f>
        <v>Y</v>
      </c>
      <c r="F28" s="286" t="str">
        <f ca="1">IFERROR(__xludf.DUMMYFUNCTION("""COMPUTED_VALUE"""),"Y")</f>
        <v>Y</v>
      </c>
      <c r="G28" s="268"/>
    </row>
    <row r="29" spans="1:7" ht="22.5" customHeight="1" x14ac:dyDescent="0.25">
      <c r="A29" s="283"/>
      <c r="B29" s="284"/>
      <c r="C29" s="285"/>
      <c r="D29" s="286"/>
      <c r="E29" s="286"/>
      <c r="F29" s="286"/>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41" priority="5">
      <formula>LEN(TRIM(B7))&gt;0</formula>
    </cfRule>
  </conditionalFormatting>
  <conditionalFormatting sqref="C7:D9">
    <cfRule type="notContainsBlanks" dxfId="40" priority="4">
      <formula>LEN(TRIM(C7))&gt;0</formula>
    </cfRule>
  </conditionalFormatting>
  <conditionalFormatting sqref="D14:F31">
    <cfRule type="endsWith" dxfId="39" priority="1" operator="endsWith" text="M">
      <formula>RIGHT((D14),LEN("M"))=("M")</formula>
    </cfRule>
    <cfRule type="cellIs" dxfId="38" priority="2" operator="equal">
      <formula>"N"</formula>
    </cfRule>
    <cfRule type="cellIs" dxfId="37" priority="3" operator="equal">
      <formula>"Y"</formula>
    </cfRule>
  </conditionalFormatting>
  <conditionalFormatting sqref="E7:F9">
    <cfRule type="expression" dxfId="36" priority="6">
      <formula>B7=""</formula>
    </cfRule>
    <cfRule type="expression" dxfId="35" priority="7">
      <formula>C7=""</formula>
    </cfRule>
  </conditionalFormatting>
  <hyperlinks>
    <hyperlink ref="E4" location="LOOKUP!A1" display="Back to Lookup" xr:uid="{00000000-0004-0000-0C00-000000000000}"/>
  </hyperlinks>
  <printOptions horizontalCentered="1" gridLines="1"/>
  <pageMargins left="0.7" right="0.7" top="0.75" bottom="0.75" header="0" footer="0"/>
  <pageSetup pageOrder="overThenDown" orientation="landscape" cellComments="atEnd"/>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8" t="s">
        <v>20</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IFERROR(__xludf.DUMMYFUNCTION("IMPORTRANGE(""https://docs.google.com/spreadsheets/d/1ldE5MesCa2eBaR-LJ5T1U9LDDK99iepgD4XKD9i_8LY/edit?gid=1325443074#gid=1325443074"",CONCATENATE(A1,""!B5""))"),"Gary Gunning")</f>
        <v>Gary Gunning</v>
      </c>
      <c r="C4" s="315"/>
      <c r="D4" s="317"/>
      <c r="E4" s="354" t="s">
        <v>59</v>
      </c>
      <c r="F4" s="317"/>
      <c r="G4" s="268"/>
    </row>
    <row r="5" spans="1:7" ht="22.5" customHeight="1" x14ac:dyDescent="0.25">
      <c r="A5" s="266"/>
      <c r="B5" s="266"/>
      <c r="C5" s="266"/>
      <c r="D5" s="266"/>
      <c r="E5" s="266"/>
      <c r="F5" s="265"/>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IFERROR(__xludf.DUMMYFUNCTION("IMPORTRANGE(""https://docs.google.com/spreadsheets/d/1ldE5MesCa2eBaR-LJ5T1U9LDDK99iepgD4XKD9i_8LY/edit?gid=1325443074#gid=1325443074"",CONCATENATE(A1,""!H3:H5""))"),"9:15 – 10:30")</f>
        <v>9:15 – 10:30</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IFERROR(__xludf.DUMMYFUNCTION("IMPORTRANGE(""https://docs.google.com/spreadsheets/d/1ldE5MesCa2eBaR-LJ5T1U9LDDK99iepgD4XKD9i_8LY/edit?gid=1325443074#gid=1325443074"",CONCATENATE($A$1,""!J3:J5""))"),"FLAMES")</f>
        <v>FLAMES</v>
      </c>
      <c r="F7" s="317"/>
      <c r="G7" s="272" t="str">
        <f ca="1">IFERROR(__xludf.DUMMYFUNCTION("IMPORTRANGE(""https://docs.google.com/spreadsheets/d/1ldE5MesCa2eBaR-LJ5T1U9LDDK99iepgD4XKD9i_8LY/edit?gid=1325443074#gid=1325443074"",CONCATENATE($A$1,""!K3:K5""))"),"RINK 4")</f>
        <v>RINK 4</v>
      </c>
    </row>
    <row r="8" spans="1:7" ht="22.5" customHeight="1" x14ac:dyDescent="0.25">
      <c r="A8" s="273" t="s">
        <v>65</v>
      </c>
      <c r="B8" s="274" t="str">
        <f ca="1">IFERROR(__xludf.DUMMYFUNCTION("""COMPUTED_VALUE"""),"12:00 – 1:15")</f>
        <v>12:00 – 1:15</v>
      </c>
      <c r="C8" s="348" t="str">
        <f ca="1">IFERROR(__xludf.DUMMYFUNCTION("""COMPUTED_VALUE"""),"")</f>
        <v/>
      </c>
      <c r="D8" s="315"/>
      <c r="E8" s="348" t="str">
        <f ca="1">IFERROR(__xludf.DUMMYFUNCTION("""COMPUTED_VALUE"""),"JETS")</f>
        <v>JETS</v>
      </c>
      <c r="F8" s="317"/>
      <c r="G8" s="273" t="str">
        <f ca="1">IFERROR(__xludf.DUMMYFUNCTION("""COMPUTED_VALUE"""),"RINK 1")</f>
        <v>RINK 1</v>
      </c>
    </row>
    <row r="9" spans="1:7" ht="22.5" customHeight="1" x14ac:dyDescent="0.25">
      <c r="A9" s="275" t="s">
        <v>66</v>
      </c>
      <c r="B9" s="274" t="str">
        <f ca="1">IFERROR(__xludf.DUMMYFUNCTION("""COMPUTED_VALUE"""),"")</f>
        <v/>
      </c>
      <c r="C9" s="347" t="str">
        <f ca="1">IFERROR(__xludf.DUMMYFUNCTION("""COMPUTED_VALUE"""),"10:45 – 12:00")</f>
        <v>10:45 – 12:00</v>
      </c>
      <c r="D9" s="315"/>
      <c r="E9" s="348" t="str">
        <f ca="1">IFERROR(__xludf.DUMMYFUNCTION("""COMPUTED_VALUE"""),"STARS")</f>
        <v>STARS</v>
      </c>
      <c r="F9" s="317"/>
      <c r="G9" s="272" t="str">
        <f ca="1">IFERROR(__xludf.DUMMYFUNCTION("""COMPUTED_VALUE"""),"RINK 4")</f>
        <v>RINK 4</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IFERROR(__xludf.DUMMYFUNCTION("QUERY(IMPORTRANGE(""https://docs.google.com/spreadsheets/d/1ldE5MesCa2eBaR-LJ5T1U9LDDK99iepgD4XKD9i_8LY/edit?gid=20346383#gid=20346383"",""Div2A Roster!A6:I100""), ""SELECT Col1, Col2, Col4, Col5, Col6, Col7 WHERE Col3 = '""&amp;A1&amp;""'"")"),"BALDWIN")</f>
        <v>BALDWIN</v>
      </c>
      <c r="B14" s="284" t="str">
        <f ca="1">IFERROR(__xludf.DUMMYFUNCTION("""COMPUTED_VALUE"""),"MORGAN")</f>
        <v>MORGAN</v>
      </c>
      <c r="C14" s="285" t="str">
        <f ca="1">IFERROR(__xludf.DUMMYFUNCTION("""COMPUTED_VALUE"""),"D")</f>
        <v>D</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IFERROR(__xludf.DUMMYFUNCTION("""COMPUTED_VALUE"""),"BYE")</f>
        <v>BYE</v>
      </c>
      <c r="B15" s="284" t="str">
        <f ca="1">IFERROR(__xludf.DUMMYFUNCTION("""COMPUTED_VALUE"""),"DARCY")</f>
        <v>DARCY</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8"/>
    </row>
    <row r="16" spans="1:7" ht="22.5" customHeight="1" x14ac:dyDescent="0.25">
      <c r="A16" s="283" t="str">
        <f ca="1">IFERROR(__xludf.DUMMYFUNCTION("""COMPUTED_VALUE"""),"CHURCH")</f>
        <v>CHURCH</v>
      </c>
      <c r="B16" s="284" t="str">
        <f ca="1">IFERROR(__xludf.DUMMYFUNCTION("""COMPUTED_VALUE"""),"BOB")</f>
        <v>BOB</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8"/>
    </row>
    <row r="17" spans="1:7" ht="22.5" customHeight="1" x14ac:dyDescent="0.25">
      <c r="A17" s="283" t="str">
        <f ca="1">IFERROR(__xludf.DUMMYFUNCTION("""COMPUTED_VALUE"""),"FRIESEN")</f>
        <v>FRIESEN</v>
      </c>
      <c r="B17" s="284" t="str">
        <f ca="1">IFERROR(__xludf.DUMMYFUNCTION("""COMPUTED_VALUE"""),"LINDSAY")</f>
        <v>LINDSAY</v>
      </c>
      <c r="C17" s="285" t="str">
        <f ca="1">IFERROR(__xludf.DUMMYFUNCTION("""COMPUTED_VALUE"""),"F")</f>
        <v>F</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IFERROR(__xludf.DUMMYFUNCTION("""COMPUTED_VALUE"""),"GUNNING")</f>
        <v>GUNNING</v>
      </c>
      <c r="B18" s="284" t="str">
        <f ca="1">IFERROR(__xludf.DUMMYFUNCTION("""COMPUTED_VALUE"""),"GARY")</f>
        <v>GARY</v>
      </c>
      <c r="C18" s="285" t="str">
        <f ca="1">IFERROR(__xludf.DUMMYFUNCTION("""COMPUTED_VALUE"""),"F")</f>
        <v>F</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IFERROR(__xludf.DUMMYFUNCTION("""COMPUTED_VALUE"""),"HUTCHINSON")</f>
        <v>HUTCHINSON</v>
      </c>
      <c r="B19" s="284" t="str">
        <f ca="1">IFERROR(__xludf.DUMMYFUNCTION("""COMPUTED_VALUE"""),"BILL")</f>
        <v>BILL</v>
      </c>
      <c r="C19" s="285" t="str">
        <f ca="1">IFERROR(__xludf.DUMMYFUNCTION("""COMPUTED_VALUE"""),"C/D")</f>
        <v>C/D</v>
      </c>
      <c r="D19" s="286" t="str">
        <f ca="1">IFERROR(__xludf.DUMMYFUNCTION("""COMPUTED_VALUE"""),"Y")</f>
        <v>Y</v>
      </c>
      <c r="E19" s="286" t="str">
        <f ca="1">IFERROR(__xludf.DUMMYFUNCTION("""COMPUTED_VALUE"""),"N")</f>
        <v>N</v>
      </c>
      <c r="F19" s="286" t="str">
        <f ca="1">IFERROR(__xludf.DUMMYFUNCTION("""COMPUTED_VALUE"""),"N")</f>
        <v>N</v>
      </c>
      <c r="G19" s="268"/>
    </row>
    <row r="20" spans="1:7" ht="22.5" customHeight="1" x14ac:dyDescent="0.25">
      <c r="A20" s="283" t="str">
        <f ca="1">IFERROR(__xludf.DUMMYFUNCTION("""COMPUTED_VALUE"""),"KOWALSKI")</f>
        <v>KOWALSKI</v>
      </c>
      <c r="B20" s="284" t="str">
        <f ca="1">IFERROR(__xludf.DUMMYFUNCTION("""COMPUTED_VALUE"""),"JEFFREY")</f>
        <v>JEFFREY</v>
      </c>
      <c r="C20" s="285" t="str">
        <f ca="1">IFERROR(__xludf.DUMMYFUNCTION("""COMPUTED_VALUE"""),"G")</f>
        <v>G</v>
      </c>
      <c r="D20" s="286" t="str">
        <f ca="1">IFERROR(__xludf.DUMMYFUNCTION("""COMPUTED_VALUE"""),"Y")</f>
        <v>Y</v>
      </c>
      <c r="E20" s="286" t="str">
        <f ca="1">IFERROR(__xludf.DUMMYFUNCTION("""COMPUTED_VALUE"""),"Y")</f>
        <v>Y</v>
      </c>
      <c r="F20" s="286" t="str">
        <f ca="1">IFERROR(__xludf.DUMMYFUNCTION("""COMPUTED_VALUE"""),"Y")</f>
        <v>Y</v>
      </c>
      <c r="G20" s="268"/>
    </row>
    <row r="21" spans="1:7" ht="22.5" customHeight="1" x14ac:dyDescent="0.25">
      <c r="A21" s="283" t="str">
        <f ca="1">IFERROR(__xludf.DUMMYFUNCTION("""COMPUTED_VALUE"""),"MACDONALD")</f>
        <v>MACDONALD</v>
      </c>
      <c r="B21" s="284" t="str">
        <f ca="1">IFERROR(__xludf.DUMMYFUNCTION("""COMPUTED_VALUE"""),"IAN")</f>
        <v>IAN</v>
      </c>
      <c r="C21" s="285" t="str">
        <f ca="1">IFERROR(__xludf.DUMMYFUNCTION("""COMPUTED_VALUE"""),"F")</f>
        <v>F</v>
      </c>
      <c r="D21" s="286" t="str">
        <f ca="1">IFERROR(__xludf.DUMMYFUNCTION("""COMPUTED_VALUE"""),"Y")</f>
        <v>Y</v>
      </c>
      <c r="E21" s="286" t="str">
        <f ca="1">IFERROR(__xludf.DUMMYFUNCTION("""COMPUTED_VALUE"""),"Y")</f>
        <v>Y</v>
      </c>
      <c r="F21" s="286" t="str">
        <f ca="1">IFERROR(__xludf.DUMMYFUNCTION("""COMPUTED_VALUE"""),"Y")</f>
        <v>Y</v>
      </c>
      <c r="G21" s="268"/>
    </row>
    <row r="22" spans="1:7" ht="22.5" customHeight="1" x14ac:dyDescent="0.25">
      <c r="A22" s="283" t="str">
        <f ca="1">IFERROR(__xludf.DUMMYFUNCTION("""COMPUTED_VALUE"""),"MCBRIDE")</f>
        <v>MCBRIDE</v>
      </c>
      <c r="B22" s="284" t="str">
        <f ca="1">IFERROR(__xludf.DUMMYFUNCTION("""COMPUTED_VALUE"""),"MILES")</f>
        <v>MILES</v>
      </c>
      <c r="C22" s="285" t="str">
        <f ca="1">IFERROR(__xludf.DUMMYFUNCTION("""COMPUTED_VALUE"""),"D")</f>
        <v>D</v>
      </c>
      <c r="D22" s="286" t="str">
        <f ca="1">IFERROR(__xludf.DUMMYFUNCTION("""COMPUTED_VALUE"""),"Y")</f>
        <v>Y</v>
      </c>
      <c r="E22" s="286" t="str">
        <f ca="1">IFERROR(__xludf.DUMMYFUNCTION("""COMPUTED_VALUE"""),"Y")</f>
        <v>Y</v>
      </c>
      <c r="F22" s="286" t="str">
        <f ca="1">IFERROR(__xludf.DUMMYFUNCTION("""COMPUTED_VALUE"""),"Y")</f>
        <v>Y</v>
      </c>
      <c r="G22" s="268"/>
    </row>
    <row r="23" spans="1:7" ht="22.5" customHeight="1" x14ac:dyDescent="0.25">
      <c r="A23" s="283" t="str">
        <f ca="1">IFERROR(__xludf.DUMMYFUNCTION("""COMPUTED_VALUE"""),"NEWBIGGING")</f>
        <v>NEWBIGGING</v>
      </c>
      <c r="B23" s="284" t="str">
        <f ca="1">IFERROR(__xludf.DUMMYFUNCTION("""COMPUTED_VALUE"""),"PHIL")</f>
        <v>PHIL</v>
      </c>
      <c r="C23" s="285" t="str">
        <f ca="1">IFERROR(__xludf.DUMMYFUNCTION("""COMPUTED_VALUE"""),"F")</f>
        <v>F</v>
      </c>
      <c r="D23" s="286" t="str">
        <f ca="1">IFERROR(__xludf.DUMMYFUNCTION("""COMPUTED_VALUE"""),"Y")</f>
        <v>Y</v>
      </c>
      <c r="E23" s="286" t="str">
        <f ca="1">IFERROR(__xludf.DUMMYFUNCTION("""COMPUTED_VALUE"""),"Y")</f>
        <v>Y</v>
      </c>
      <c r="F23" s="286" t="str">
        <f ca="1">IFERROR(__xludf.DUMMYFUNCTION("""COMPUTED_VALUE"""),"Y")</f>
        <v>Y</v>
      </c>
      <c r="G23" s="268"/>
    </row>
    <row r="24" spans="1:7" ht="22.5" customHeight="1" x14ac:dyDescent="0.25">
      <c r="A24" s="283" t="str">
        <f ca="1">IFERROR(__xludf.DUMMYFUNCTION("""COMPUTED_VALUE"""),"NODA")</f>
        <v>NODA</v>
      </c>
      <c r="B24" s="284" t="str">
        <f ca="1">IFERROR(__xludf.DUMMYFUNCTION("""COMPUTED_VALUE"""),"BOB")</f>
        <v>BOB</v>
      </c>
      <c r="C24" s="285" t="str">
        <f ca="1">IFERROR(__xludf.DUMMYFUNCTION("""COMPUTED_VALUE"""),"F")</f>
        <v>F</v>
      </c>
      <c r="D24" s="286" t="str">
        <f ca="1">IFERROR(__xludf.DUMMYFUNCTION("""COMPUTED_VALUE"""),"Y")</f>
        <v>Y</v>
      </c>
      <c r="E24" s="286" t="str">
        <f ca="1">IFERROR(__xludf.DUMMYFUNCTION("""COMPUTED_VALUE"""),"Y")</f>
        <v>Y</v>
      </c>
      <c r="F24" s="286" t="str">
        <f ca="1">IFERROR(__xludf.DUMMYFUNCTION("""COMPUTED_VALUE"""),"Y")</f>
        <v>Y</v>
      </c>
      <c r="G24" s="268"/>
    </row>
    <row r="25" spans="1:7" ht="22.5" customHeight="1" x14ac:dyDescent="0.25">
      <c r="A25" s="283" t="str">
        <f ca="1">IFERROR(__xludf.DUMMYFUNCTION("""COMPUTED_VALUE"""),"O'GORMAN")</f>
        <v>O'GORMAN</v>
      </c>
      <c r="B25" s="284" t="str">
        <f ca="1">IFERROR(__xludf.DUMMYFUNCTION("""COMPUTED_VALUE"""),"PETER")</f>
        <v>PETER</v>
      </c>
      <c r="C25" s="285" t="str">
        <f ca="1">IFERROR(__xludf.DUMMYFUNCTION("""COMPUTED_VALUE"""),"D")</f>
        <v>D</v>
      </c>
      <c r="D25" s="286" t="str">
        <f ca="1">IFERROR(__xludf.DUMMYFUNCTION("""COMPUTED_VALUE"""),"N")</f>
        <v>N</v>
      </c>
      <c r="E25" s="286" t="str">
        <f ca="1">IFERROR(__xludf.DUMMYFUNCTION("""COMPUTED_VALUE"""),"Y")</f>
        <v>Y</v>
      </c>
      <c r="F25" s="286" t="str">
        <f ca="1">IFERROR(__xludf.DUMMYFUNCTION("""COMPUTED_VALUE"""),"Y")</f>
        <v>Y</v>
      </c>
      <c r="G25" s="268"/>
    </row>
    <row r="26" spans="1:7" ht="22.5" customHeight="1" x14ac:dyDescent="0.25">
      <c r="A26" s="283" t="str">
        <f ca="1">IFERROR(__xludf.DUMMYFUNCTION("""COMPUTED_VALUE"""),"SMITH")</f>
        <v>SMITH</v>
      </c>
      <c r="B26" s="284" t="str">
        <f ca="1">IFERROR(__xludf.DUMMYFUNCTION("""COMPUTED_VALUE"""),"GARY")</f>
        <v>GARY</v>
      </c>
      <c r="C26" s="285" t="str">
        <f ca="1">IFERROR(__xludf.DUMMYFUNCTION("""COMPUTED_VALUE"""),"D")</f>
        <v>D</v>
      </c>
      <c r="D26" s="286" t="str">
        <f ca="1">IFERROR(__xludf.DUMMYFUNCTION("""COMPUTED_VALUE"""),"Y")</f>
        <v>Y</v>
      </c>
      <c r="E26" s="286" t="str">
        <f ca="1">IFERROR(__xludf.DUMMYFUNCTION("""COMPUTED_VALUE"""),"Y")</f>
        <v>Y</v>
      </c>
      <c r="F26" s="286" t="str">
        <f ca="1">IFERROR(__xludf.DUMMYFUNCTION("""COMPUTED_VALUE"""),"Y")</f>
        <v>Y</v>
      </c>
      <c r="G26" s="268"/>
    </row>
    <row r="27" spans="1:7" ht="22.5" customHeight="1" x14ac:dyDescent="0.25">
      <c r="A27" s="283" t="str">
        <f ca="1">IFERROR(__xludf.DUMMYFUNCTION("""COMPUTED_VALUE"""),"SOTSKI")</f>
        <v>SOTSKI</v>
      </c>
      <c r="B27" s="284" t="str">
        <f ca="1">IFERROR(__xludf.DUMMYFUNCTION("""COMPUTED_VALUE"""),"MIKE")</f>
        <v>MIKE</v>
      </c>
      <c r="C27" s="285" t="str">
        <f ca="1">IFERROR(__xludf.DUMMYFUNCTION("""COMPUTED_VALUE"""),"F")</f>
        <v>F</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c r="B28" s="284"/>
      <c r="C28" s="285"/>
      <c r="D28" s="286"/>
      <c r="E28" s="286"/>
      <c r="F28" s="286"/>
      <c r="G28" s="268"/>
    </row>
    <row r="29" spans="1:7" ht="22.5" customHeight="1" x14ac:dyDescent="0.25">
      <c r="A29" s="283"/>
      <c r="B29" s="284"/>
      <c r="C29" s="285"/>
      <c r="D29" s="286"/>
      <c r="E29" s="286"/>
      <c r="F29" s="286"/>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34" priority="5">
      <formula>LEN(TRIM(B7))&gt;0</formula>
    </cfRule>
  </conditionalFormatting>
  <conditionalFormatting sqref="C7:D9">
    <cfRule type="notContainsBlanks" dxfId="33" priority="4">
      <formula>LEN(TRIM(C7))&gt;0</formula>
    </cfRule>
  </conditionalFormatting>
  <conditionalFormatting sqref="D14:F31">
    <cfRule type="endsWith" dxfId="32" priority="1" operator="endsWith" text="M">
      <formula>RIGHT((D14),LEN("M"))=("M")</formula>
    </cfRule>
    <cfRule type="cellIs" dxfId="31" priority="2" operator="equal">
      <formula>"N"</formula>
    </cfRule>
    <cfRule type="cellIs" dxfId="30" priority="3" operator="equal">
      <formula>"Y"</formula>
    </cfRule>
  </conditionalFormatting>
  <conditionalFormatting sqref="E7:F9">
    <cfRule type="expression" dxfId="29" priority="6">
      <formula>B7=""</formula>
    </cfRule>
    <cfRule type="expression" dxfId="28" priority="7">
      <formula>C7=""</formula>
    </cfRule>
  </conditionalFormatting>
  <hyperlinks>
    <hyperlink ref="E4" location="LOOKUP!A1" display="Back to Lookup" xr:uid="{00000000-0004-0000-0D00-000000000000}"/>
  </hyperlinks>
  <printOptions horizontalCentered="1" gridLines="1"/>
  <pageMargins left="0.7" right="0.7" top="0.75" bottom="0.75" header="0" footer="0"/>
  <pageSetup pageOrder="overThenDown" orientation="landscape" cellComments="atEnd"/>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9" t="s">
        <v>7</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IFERROR(__xludf.DUMMYFUNCTION("IMPORTRANGE(""https://docs.google.com/spreadsheets/d/1ldE5MesCa2eBaR-LJ5T1U9LDDK99iepgD4XKD9i_8LY/edit?gid=1325443074#gid=1325443074"",CONCATENATE(A1,""!B5""))"),"Barry O'Sullivan")</f>
        <v>Barry O'Sullivan</v>
      </c>
      <c r="C4" s="315"/>
      <c r="D4" s="317"/>
      <c r="E4" s="354" t="s">
        <v>59</v>
      </c>
      <c r="F4" s="317"/>
      <c r="G4" s="268"/>
    </row>
    <row r="5" spans="1:7" ht="22.5" customHeight="1" x14ac:dyDescent="0.25">
      <c r="A5" s="266"/>
      <c r="B5" s="266"/>
      <c r="C5" s="266"/>
      <c r="D5" s="266"/>
      <c r="E5" s="266"/>
      <c r="F5" s="265"/>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IFERROR(__xludf.DUMMYFUNCTION("IMPORTRANGE(""https://docs.google.com/spreadsheets/d/1ldE5MesCa2eBaR-LJ5T1U9LDDK99iepgD4XKD9i_8LY/edit?gid=1325443074#gid=1325443074"",CONCATENATE($A$1,""!I3:I5""))"),"12:15 – 1:30")</f>
        <v>12:15 – 1:30</v>
      </c>
      <c r="D7" s="317"/>
      <c r="E7" s="357" t="str">
        <f ca="1">IFERROR(__xludf.DUMMYFUNCTION("IMPORTRANGE(""https://docs.google.com/spreadsheets/d/1ldE5MesCa2eBaR-LJ5T1U9LDDK99iepgD4XKD9i_8LY/edit?gid=1325443074#gid=1325443074"",CONCATENATE($A$1,""!J3:J5""))"),"LEAFS")</f>
        <v>LEAFS</v>
      </c>
      <c r="F7" s="317"/>
      <c r="G7" s="272" t="str">
        <f ca="1">IFERROR(__xludf.DUMMYFUNCTION("IMPORTRANGE(""https://docs.google.com/spreadsheets/d/1ldE5MesCa2eBaR-LJ5T1U9LDDK99iepgD4XKD9i_8LY/edit?gid=1325443074#gid=1325443074"",CONCATENATE($A$1,""!K3:K5""))"),"RINK 4")</f>
        <v>RINK 4</v>
      </c>
    </row>
    <row r="8" spans="1:7" ht="22.5" customHeight="1" x14ac:dyDescent="0.25">
      <c r="A8" s="273" t="s">
        <v>65</v>
      </c>
      <c r="B8" s="274" t="str">
        <f ca="1">IFERROR(__xludf.DUMMYFUNCTION("""COMPUTED_VALUE"""),"10:45 – 12:00")</f>
        <v>10:45 – 12:00</v>
      </c>
      <c r="C8" s="348" t="str">
        <f ca="1">IFERROR(__xludf.DUMMYFUNCTION("""COMPUTED_VALUE"""),"")</f>
        <v/>
      </c>
      <c r="D8" s="315"/>
      <c r="E8" s="348" t="str">
        <f ca="1">IFERROR(__xludf.DUMMYFUNCTION("""COMPUTED_VALUE"""),"KRAKEN")</f>
        <v>KRAKEN</v>
      </c>
      <c r="F8" s="317"/>
      <c r="G8" s="273" t="str">
        <f ca="1">IFERROR(__xludf.DUMMYFUNCTION("""COMPUTED_VALUE"""),"RINK 4")</f>
        <v>RINK 4</v>
      </c>
    </row>
    <row r="9" spans="1:7" ht="22.5" customHeight="1" x14ac:dyDescent="0.25">
      <c r="A9" s="275" t="s">
        <v>66</v>
      </c>
      <c r="B9" s="274" t="str">
        <f ca="1">IFERROR(__xludf.DUMMYFUNCTION("""COMPUTED_VALUE"""),"")</f>
        <v/>
      </c>
      <c r="C9" s="347" t="str">
        <f ca="1">IFERROR(__xludf.DUMMYFUNCTION("""COMPUTED_VALUE"""),"12:30 – 1:45")</f>
        <v>12:30 – 1:45</v>
      </c>
      <c r="D9" s="315"/>
      <c r="E9" s="348" t="str">
        <f ca="1">IFERROR(__xludf.DUMMYFUNCTION("""COMPUTED_VALUE"""),"OILERS")</f>
        <v>OILERS</v>
      </c>
      <c r="F9" s="317"/>
      <c r="G9" s="272" t="str">
        <f ca="1">IFERROR(__xludf.DUMMYFUNCTION("""COMPUTED_VALUE"""),"RINK 2")</f>
        <v>RINK 2</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IFERROR(__xludf.DUMMYFUNCTION("QUERY(IMPORTRANGE(""https://docs.google.com/spreadsheets/d/1ldE5MesCa2eBaR-LJ5T1U9LDDK99iepgD4XKD9i_8LY/edit?gid=20346383#gid=20346383"",""Div2B Roster!A6:I72""), ""SELECT Col1, Col2, Col4, Col5, Col6, Col7 WHERE Col3 = '""&amp;A1&amp;""'"")"),"ALCOCK")</f>
        <v>ALCOCK</v>
      </c>
      <c r="B14" s="284" t="str">
        <f ca="1">IFERROR(__xludf.DUMMYFUNCTION("""COMPUTED_VALUE"""),"BRYAN")</f>
        <v>BRYAN</v>
      </c>
      <c r="C14" s="285" t="str">
        <f ca="1">IFERROR(__xludf.DUMMYFUNCTION("""COMPUTED_VALUE"""),"F")</f>
        <v>F</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IFERROR(__xludf.DUMMYFUNCTION("""COMPUTED_VALUE"""),"CAMMACK")</f>
        <v>CAMMACK</v>
      </c>
      <c r="B15" s="284" t="str">
        <f ca="1">IFERROR(__xludf.DUMMYFUNCTION("""COMPUTED_VALUE"""),"PAUL")</f>
        <v>PAUL</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8"/>
    </row>
    <row r="16" spans="1:7" ht="22.5" customHeight="1" x14ac:dyDescent="0.25">
      <c r="A16" s="283" t="str">
        <f ca="1">IFERROR(__xludf.DUMMYFUNCTION("""COMPUTED_VALUE"""),"CARTER")</f>
        <v>CARTER</v>
      </c>
      <c r="B16" s="284" t="str">
        <f ca="1">IFERROR(__xludf.DUMMYFUNCTION("""COMPUTED_VALUE"""),"DAVID")</f>
        <v>DAVID</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8"/>
    </row>
    <row r="17" spans="1:7" ht="22.5" customHeight="1" x14ac:dyDescent="0.25">
      <c r="A17" s="283" t="str">
        <f ca="1">IFERROR(__xludf.DUMMYFUNCTION("""COMPUTED_VALUE"""),"DEBRUYN")</f>
        <v>DEBRUYN</v>
      </c>
      <c r="B17" s="284" t="str">
        <f ca="1">IFERROR(__xludf.DUMMYFUNCTION("""COMPUTED_VALUE"""),"VIC")</f>
        <v>VIC</v>
      </c>
      <c r="C17" s="285" t="str">
        <f ca="1">IFERROR(__xludf.DUMMYFUNCTION("""COMPUTED_VALUE"""),"F(RW)")</f>
        <v>F(RW)</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IFERROR(__xludf.DUMMYFUNCTION("""COMPUTED_VALUE"""),"DUECK")</f>
        <v>DUECK</v>
      </c>
      <c r="B18" s="284" t="str">
        <f ca="1">IFERROR(__xludf.DUMMYFUNCTION("""COMPUTED_VALUE"""),"DENNIS")</f>
        <v>DENNIS</v>
      </c>
      <c r="C18" s="285" t="str">
        <f ca="1">IFERROR(__xludf.DUMMYFUNCTION("""COMPUTED_VALUE"""),"F/C")</f>
        <v>F/C</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IFERROR(__xludf.DUMMYFUNCTION("""COMPUTED_VALUE"""),"HABETLER")</f>
        <v>HABETLER</v>
      </c>
      <c r="B19" s="284" t="str">
        <f ca="1">IFERROR(__xludf.DUMMYFUNCTION("""COMPUTED_VALUE"""),"DON")</f>
        <v>DON</v>
      </c>
      <c r="C19" s="285" t="str">
        <f ca="1">IFERROR(__xludf.DUMMYFUNCTION("""COMPUTED_VALUE"""),"F")</f>
        <v>F</v>
      </c>
      <c r="D19" s="286" t="str">
        <f ca="1">IFERROR(__xludf.DUMMYFUNCTION("""COMPUTED_VALUE"""),"Y")</f>
        <v>Y</v>
      </c>
      <c r="E19" s="286" t="str">
        <f ca="1">IFERROR(__xludf.DUMMYFUNCTION("""COMPUTED_VALUE"""),"N")</f>
        <v>N</v>
      </c>
      <c r="F19" s="286" t="str">
        <f ca="1">IFERROR(__xludf.DUMMYFUNCTION("""COMPUTED_VALUE"""),"Y")</f>
        <v>Y</v>
      </c>
      <c r="G19" s="268"/>
    </row>
    <row r="20" spans="1:7" ht="22.5" customHeight="1" x14ac:dyDescent="0.25">
      <c r="A20" s="283" t="str">
        <f ca="1">IFERROR(__xludf.DUMMYFUNCTION("""COMPUTED_VALUE"""),"HARDER")</f>
        <v>HARDER</v>
      </c>
      <c r="B20" s="284" t="str">
        <f ca="1">IFERROR(__xludf.DUMMYFUNCTION("""COMPUTED_VALUE"""),"HARRY")</f>
        <v>HARRY</v>
      </c>
      <c r="C20" s="285" t="str">
        <f ca="1">IFERROR(__xludf.DUMMYFUNCTION("""COMPUTED_VALUE"""),"G")</f>
        <v>G</v>
      </c>
      <c r="D20" s="286" t="str">
        <f ca="1">IFERROR(__xludf.DUMMYFUNCTION("""COMPUTED_VALUE"""),"Y")</f>
        <v>Y</v>
      </c>
      <c r="E20" s="286" t="str">
        <f ca="1">IFERROR(__xludf.DUMMYFUNCTION("""COMPUTED_VALUE"""),"N")</f>
        <v>N</v>
      </c>
      <c r="F20" s="286" t="str">
        <f ca="1">IFERROR(__xludf.DUMMYFUNCTION("""COMPUTED_VALUE"""),"Y")</f>
        <v>Y</v>
      </c>
      <c r="G20" s="268"/>
    </row>
    <row r="21" spans="1:7" ht="22.5" customHeight="1" x14ac:dyDescent="0.25">
      <c r="A21" s="283" t="str">
        <f ca="1">IFERROR(__xludf.DUMMYFUNCTION("""COMPUTED_VALUE"""),"HUNTER")</f>
        <v>HUNTER</v>
      </c>
      <c r="B21" s="284" t="str">
        <f ca="1">IFERROR(__xludf.DUMMYFUNCTION("""COMPUTED_VALUE"""),"AL")</f>
        <v>AL</v>
      </c>
      <c r="C21" s="285" t="str">
        <f ca="1">IFERROR(__xludf.DUMMYFUNCTION("""COMPUTED_VALUE"""),"F")</f>
        <v>F</v>
      </c>
      <c r="D21" s="286" t="str">
        <f ca="1">IFERROR(__xludf.DUMMYFUNCTION("""COMPUTED_VALUE"""),"Y")</f>
        <v>Y</v>
      </c>
      <c r="E21" s="286" t="str">
        <f ca="1">IFERROR(__xludf.DUMMYFUNCTION("""COMPUTED_VALUE"""),"Y")</f>
        <v>Y</v>
      </c>
      <c r="F21" s="286" t="str">
        <f ca="1">IFERROR(__xludf.DUMMYFUNCTION("""COMPUTED_VALUE"""),"Y")</f>
        <v>Y</v>
      </c>
      <c r="G21" s="268"/>
    </row>
    <row r="22" spans="1:7" ht="22.5" customHeight="1" x14ac:dyDescent="0.25">
      <c r="A22" s="283" t="str">
        <f ca="1">IFERROR(__xludf.DUMMYFUNCTION("""COMPUTED_VALUE"""),"MANLEY")</f>
        <v>MANLEY</v>
      </c>
      <c r="B22" s="284" t="str">
        <f ca="1">IFERROR(__xludf.DUMMYFUNCTION("""COMPUTED_VALUE"""),"JIM")</f>
        <v>JIM</v>
      </c>
      <c r="C22" s="285" t="str">
        <f ca="1">IFERROR(__xludf.DUMMYFUNCTION("""COMPUTED_VALUE"""),"D(R)")</f>
        <v>D(R)</v>
      </c>
      <c r="D22" s="286" t="str">
        <f ca="1">IFERROR(__xludf.DUMMYFUNCTION("""COMPUTED_VALUE"""),"Y")</f>
        <v>Y</v>
      </c>
      <c r="E22" s="286" t="str">
        <f ca="1">IFERROR(__xludf.DUMMYFUNCTION("""COMPUTED_VALUE"""),"Y")</f>
        <v>Y</v>
      </c>
      <c r="F22" s="286" t="str">
        <f ca="1">IFERROR(__xludf.DUMMYFUNCTION("""COMPUTED_VALUE"""),"Y")</f>
        <v>Y</v>
      </c>
      <c r="G22" s="268"/>
    </row>
    <row r="23" spans="1:7" ht="22.5" customHeight="1" x14ac:dyDescent="0.25">
      <c r="A23" s="283" t="str">
        <f ca="1">IFERROR(__xludf.DUMMYFUNCTION("""COMPUTED_VALUE"""),"MARKSTROM")</f>
        <v>MARKSTROM</v>
      </c>
      <c r="B23" s="284" t="str">
        <f ca="1">IFERROR(__xludf.DUMMYFUNCTION("""COMPUTED_VALUE"""),"DAVE")</f>
        <v>DAVE</v>
      </c>
      <c r="C23" s="285" t="str">
        <f ca="1">IFERROR(__xludf.DUMMYFUNCTION("""COMPUTED_VALUE"""),"D")</f>
        <v>D</v>
      </c>
      <c r="D23" s="286" t="str">
        <f ca="1">IFERROR(__xludf.DUMMYFUNCTION("""COMPUTED_VALUE"""),"Y")</f>
        <v>Y</v>
      </c>
      <c r="E23" s="286" t="str">
        <f ca="1">IFERROR(__xludf.DUMMYFUNCTION("""COMPUTED_VALUE"""),"Y")</f>
        <v>Y</v>
      </c>
      <c r="F23" s="286" t="str">
        <f ca="1">IFERROR(__xludf.DUMMYFUNCTION("""COMPUTED_VALUE"""),"Y")</f>
        <v>Y</v>
      </c>
      <c r="G23" s="268"/>
    </row>
    <row r="24" spans="1:7" ht="22.5" customHeight="1" x14ac:dyDescent="0.25">
      <c r="A24" s="283" t="str">
        <f ca="1">IFERROR(__xludf.DUMMYFUNCTION("""COMPUTED_VALUE"""),"MCINNES")</f>
        <v>MCINNES</v>
      </c>
      <c r="B24" s="284" t="str">
        <f ca="1">IFERROR(__xludf.DUMMYFUNCTION("""COMPUTED_VALUE"""),"KEVIN")</f>
        <v>KEVIN</v>
      </c>
      <c r="C24" s="285" t="str">
        <f ca="1">IFERROR(__xludf.DUMMYFUNCTION("""COMPUTED_VALUE"""),"G")</f>
        <v>G</v>
      </c>
      <c r="D24" s="286" t="str">
        <f ca="1">IFERROR(__xludf.DUMMYFUNCTION("""COMPUTED_VALUE"""),"N")</f>
        <v>N</v>
      </c>
      <c r="E24" s="286" t="str">
        <f ca="1">IFERROR(__xludf.DUMMYFUNCTION("""COMPUTED_VALUE"""),"Y")</f>
        <v>Y</v>
      </c>
      <c r="F24" s="286" t="str">
        <f ca="1">IFERROR(__xludf.DUMMYFUNCTION("""COMPUTED_VALUE"""),"N")</f>
        <v>N</v>
      </c>
      <c r="G24" s="268"/>
    </row>
    <row r="25" spans="1:7" ht="22.5" customHeight="1" x14ac:dyDescent="0.25">
      <c r="A25" s="283" t="str">
        <f ca="1">IFERROR(__xludf.DUMMYFUNCTION("""COMPUTED_VALUE"""),"MESSNER")</f>
        <v>MESSNER</v>
      </c>
      <c r="B25" s="284" t="str">
        <f ca="1">IFERROR(__xludf.DUMMYFUNCTION("""COMPUTED_VALUE"""),"MARV")</f>
        <v>MARV</v>
      </c>
      <c r="C25" s="285" t="str">
        <f ca="1">IFERROR(__xludf.DUMMYFUNCTION("""COMPUTED_VALUE"""),"F")</f>
        <v>F</v>
      </c>
      <c r="D25" s="286" t="str">
        <f ca="1">IFERROR(__xludf.DUMMYFUNCTION("""COMPUTED_VALUE"""),"Y")</f>
        <v>Y</v>
      </c>
      <c r="E25" s="286" t="str">
        <f ca="1">IFERROR(__xludf.DUMMYFUNCTION("""COMPUTED_VALUE"""),"Y")</f>
        <v>Y</v>
      </c>
      <c r="F25" s="286" t="str">
        <f ca="1">IFERROR(__xludf.DUMMYFUNCTION("""COMPUTED_VALUE"""),"Y")</f>
        <v>Y</v>
      </c>
      <c r="G25" s="268"/>
    </row>
    <row r="26" spans="1:7" ht="22.5" customHeight="1" x14ac:dyDescent="0.25">
      <c r="A26" s="283" t="str">
        <f ca="1">IFERROR(__xludf.DUMMYFUNCTION("""COMPUTED_VALUE"""),"O'SULLIVAN")</f>
        <v>O'SULLIVAN</v>
      </c>
      <c r="B26" s="284" t="str">
        <f ca="1">IFERROR(__xludf.DUMMYFUNCTION("""COMPUTED_VALUE"""),"BARRY")</f>
        <v>BARRY</v>
      </c>
      <c r="C26" s="285" t="str">
        <f ca="1">IFERROR(__xludf.DUMMYFUNCTION("""COMPUTED_VALUE"""),"D")</f>
        <v>D</v>
      </c>
      <c r="D26" s="286" t="str">
        <f ca="1">IFERROR(__xludf.DUMMYFUNCTION("""COMPUTED_VALUE"""),"Y")</f>
        <v>Y</v>
      </c>
      <c r="E26" s="286" t="str">
        <f ca="1">IFERROR(__xludf.DUMMYFUNCTION("""COMPUTED_VALUE"""),"Y")</f>
        <v>Y</v>
      </c>
      <c r="F26" s="286" t="str">
        <f ca="1">IFERROR(__xludf.DUMMYFUNCTION("""COMPUTED_VALUE"""),"Y")</f>
        <v>Y</v>
      </c>
      <c r="G26" s="268"/>
    </row>
    <row r="27" spans="1:7" ht="22.5" customHeight="1" x14ac:dyDescent="0.25">
      <c r="A27" s="283" t="str">
        <f ca="1">IFERROR(__xludf.DUMMYFUNCTION("""COMPUTED_VALUE"""),"STORRY")</f>
        <v>STORRY</v>
      </c>
      <c r="B27" s="284" t="str">
        <f ca="1">IFERROR(__xludf.DUMMYFUNCTION("""COMPUTED_VALUE"""),"BOB")</f>
        <v>BOB</v>
      </c>
      <c r="C27" s="285" t="str">
        <f ca="1">IFERROR(__xludf.DUMMYFUNCTION("""COMPUTED_VALUE"""),"F")</f>
        <v>F</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t="str">
        <f ca="1">IFERROR(__xludf.DUMMYFUNCTION("""COMPUTED_VALUE"""),"VANGILST")</f>
        <v>VANGILST</v>
      </c>
      <c r="B28" s="284" t="str">
        <f ca="1">IFERROR(__xludf.DUMMYFUNCTION("""COMPUTED_VALUE"""),"JIM")</f>
        <v>JIM</v>
      </c>
      <c r="C28" s="285" t="str">
        <f ca="1">IFERROR(__xludf.DUMMYFUNCTION("""COMPUTED_VALUE"""),"D(L)/F(LW)")</f>
        <v>D(L)/F(LW)</v>
      </c>
      <c r="D28" s="286" t="str">
        <f ca="1">IFERROR(__xludf.DUMMYFUNCTION("""COMPUTED_VALUE"""),"Y")</f>
        <v>Y</v>
      </c>
      <c r="E28" s="286" t="str">
        <f ca="1">IFERROR(__xludf.DUMMYFUNCTION("""COMPUTED_VALUE"""),"Y")</f>
        <v>Y</v>
      </c>
      <c r="F28" s="286" t="str">
        <f ca="1">IFERROR(__xludf.DUMMYFUNCTION("""COMPUTED_VALUE"""),"Y")</f>
        <v>Y</v>
      </c>
      <c r="G28" s="268"/>
    </row>
    <row r="29" spans="1:7" ht="22.5" customHeight="1" x14ac:dyDescent="0.25">
      <c r="A29" s="283" t="str">
        <f ca="1">IFERROR(__xludf.DUMMYFUNCTION("""COMPUTED_VALUE"""),"ZORN")</f>
        <v>ZORN</v>
      </c>
      <c r="B29" s="284" t="str">
        <f ca="1">IFERROR(__xludf.DUMMYFUNCTION("""COMPUTED_VALUE"""),"GARY")</f>
        <v>GARY</v>
      </c>
      <c r="C29" s="285" t="str">
        <f ca="1">IFERROR(__xludf.DUMMYFUNCTION("""COMPUTED_VALUE"""),"D")</f>
        <v>D</v>
      </c>
      <c r="D29" s="286" t="str">
        <f ca="1">IFERROR(__xludf.DUMMYFUNCTION("""COMPUTED_VALUE"""),"Y")</f>
        <v>Y</v>
      </c>
      <c r="E29" s="286" t="str">
        <f ca="1">IFERROR(__xludf.DUMMYFUNCTION("""COMPUTED_VALUE"""),"Y")</f>
        <v>Y</v>
      </c>
      <c r="F29" s="286" t="str">
        <f ca="1">IFERROR(__xludf.DUMMYFUNCTION("""COMPUTED_VALUE"""),"Y")</f>
        <v>Y</v>
      </c>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27" priority="5">
      <formula>LEN(TRIM(B7))&gt;0</formula>
    </cfRule>
  </conditionalFormatting>
  <conditionalFormatting sqref="C7:D9">
    <cfRule type="notContainsBlanks" dxfId="26" priority="4">
      <formula>LEN(TRIM(C7))&gt;0</formula>
    </cfRule>
  </conditionalFormatting>
  <conditionalFormatting sqref="D14:F31">
    <cfRule type="endsWith" dxfId="25" priority="1" operator="endsWith" text="M">
      <formula>RIGHT((D14),LEN("M"))=("M")</formula>
    </cfRule>
    <cfRule type="cellIs" dxfId="24" priority="2" operator="equal">
      <formula>"N"</formula>
    </cfRule>
    <cfRule type="cellIs" dxfId="23" priority="3" operator="equal">
      <formula>"Y"</formula>
    </cfRule>
  </conditionalFormatting>
  <conditionalFormatting sqref="E7:F9">
    <cfRule type="expression" dxfId="22" priority="6">
      <formula>B7=""</formula>
    </cfRule>
    <cfRule type="expression" dxfId="21" priority="7">
      <formula>C7=""</formula>
    </cfRule>
  </conditionalFormatting>
  <hyperlinks>
    <hyperlink ref="E4" location="LOOKUP!A1" display="Back to Lookup" xr:uid="{00000000-0004-0000-0E00-000000000000}"/>
  </hyperlinks>
  <printOptions horizontalCentered="1" gridLines="1"/>
  <pageMargins left="0.7" right="0.7" top="0.75" bottom="0.75" header="0" footer="0"/>
  <pageSetup pageOrder="overThenDown" orientation="landscape" cellComments="atEnd"/>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9" t="s">
        <v>10</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IFERROR(__xludf.DUMMYFUNCTION("IMPORTRANGE(""https://docs.google.com/spreadsheets/d/1ldE5MesCa2eBaR-LJ5T1U9LDDK99iepgD4XKD9i_8LY/edit?gid=1325443074#gid=1325443074"",CONCATENATE(A1,""!B5""))"),"Rob Pariseau")</f>
        <v>Rob Pariseau</v>
      </c>
      <c r="C4" s="315"/>
      <c r="D4" s="317"/>
      <c r="E4" s="354" t="s">
        <v>59</v>
      </c>
      <c r="F4" s="317"/>
      <c r="G4" s="268"/>
    </row>
    <row r="5" spans="1:7" ht="22.5" customHeight="1" x14ac:dyDescent="0.25">
      <c r="A5" s="266"/>
      <c r="B5" s="266"/>
      <c r="C5" s="266"/>
      <c r="D5" s="266"/>
      <c r="E5" s="266"/>
      <c r="F5" s="265"/>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IFERROR(__xludf.DUMMYFUNCTION("IMPORTRANGE(""https://docs.google.com/spreadsheets/d/1ldE5MesCa2eBaR-LJ5T1U9LDDK99iepgD4XKD9i_8LY/edit?gid=1325443074#gid=1325443074"",CONCATENATE(A1,""!H3:H5""))"),"9:00 – 10:15")</f>
        <v>9:00 – 10:15</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IFERROR(__xludf.DUMMYFUNCTION("IMPORTRANGE(""https://docs.google.com/spreadsheets/d/1ldE5MesCa2eBaR-LJ5T1U9LDDK99iepgD4XKD9i_8LY/edit?gid=1325443074#gid=1325443074"",CONCATENATE($A$1,""!J3:J5""))"),"OILERS")</f>
        <v>OILERS</v>
      </c>
      <c r="F7" s="317"/>
      <c r="G7" s="272" t="str">
        <f ca="1">IFERROR(__xludf.DUMMYFUNCTION("IMPORTRANGE(""https://docs.google.com/spreadsheets/d/1ldE5MesCa2eBaR-LJ5T1U9LDDK99iepgD4XKD9i_8LY/edit?gid=1325443074#gid=1325443074"",CONCATENATE($A$1,""!K3:K5""))"),"RINK 3")</f>
        <v>RINK 3</v>
      </c>
    </row>
    <row r="8" spans="1:7" ht="22.5" customHeight="1" x14ac:dyDescent="0.25">
      <c r="A8" s="273" t="s">
        <v>65</v>
      </c>
      <c r="B8" s="274" t="str">
        <f ca="1">IFERROR(__xludf.DUMMYFUNCTION("""COMPUTED_VALUE"""),"")</f>
        <v/>
      </c>
      <c r="C8" s="348" t="str">
        <f ca="1">IFERROR(__xludf.DUMMYFUNCTION("""COMPUTED_VALUE"""),"10:45 – 12:00")</f>
        <v>10:45 – 12:00</v>
      </c>
      <c r="D8" s="315"/>
      <c r="E8" s="348" t="str">
        <f ca="1">IFERROR(__xludf.DUMMYFUNCTION("""COMPUTED_VALUE"""),"BLUES")</f>
        <v>BLUES</v>
      </c>
      <c r="F8" s="317"/>
      <c r="G8" s="273" t="str">
        <f ca="1">IFERROR(__xludf.DUMMYFUNCTION("""COMPUTED_VALUE"""),"RINK 4")</f>
        <v>RINK 4</v>
      </c>
    </row>
    <row r="9" spans="1:7" ht="22.5" customHeight="1" x14ac:dyDescent="0.25">
      <c r="A9" s="275" t="s">
        <v>66</v>
      </c>
      <c r="B9" s="274" t="str">
        <f ca="1">IFERROR(__xludf.DUMMYFUNCTION("""COMPUTED_VALUE"""),"")</f>
        <v/>
      </c>
      <c r="C9" s="347" t="str">
        <f ca="1">IFERROR(__xludf.DUMMYFUNCTION("""COMPUTED_VALUE"""),"9:15 – 10:30")</f>
        <v>9:15 – 10:30</v>
      </c>
      <c r="D9" s="315"/>
      <c r="E9" s="348" t="str">
        <f ca="1">IFERROR(__xludf.DUMMYFUNCTION("""COMPUTED_VALUE"""),"LEAFS")</f>
        <v>LEAFS</v>
      </c>
      <c r="F9" s="317"/>
      <c r="G9" s="272" t="str">
        <f ca="1">IFERROR(__xludf.DUMMYFUNCTION("""COMPUTED_VALUE"""),"RINK 4")</f>
        <v>RINK 4</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IFERROR(__xludf.DUMMYFUNCTION("QUERY(IMPORTRANGE(""https://docs.google.com/spreadsheets/d/1ldE5MesCa2eBaR-LJ5T1U9LDDK99iepgD4XKD9i_8LY/edit?gid=20346383#gid=20346383"",""Div2B Roster!A6:I72""), ""SELECT Col1, Col2, Col4, Col5, Col6, Col7 WHERE Col3 = '""&amp;A1&amp;""'"")"),"BILAWCHUK")</f>
        <v>BILAWCHUK</v>
      </c>
      <c r="B14" s="284" t="str">
        <f ca="1">IFERROR(__xludf.DUMMYFUNCTION("""COMPUTED_VALUE"""),"ALLEN")</f>
        <v>ALLEN</v>
      </c>
      <c r="C14" s="285" t="str">
        <f ca="1">IFERROR(__xludf.DUMMYFUNCTION("""COMPUTED_VALUE"""),"F(RW)")</f>
        <v>F(RW)</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IFERROR(__xludf.DUMMYFUNCTION("""COMPUTED_VALUE"""),"BRANDT")</f>
        <v>BRANDT</v>
      </c>
      <c r="B15" s="284" t="str">
        <f ca="1">IFERROR(__xludf.DUMMYFUNCTION("""COMPUTED_VALUE"""),"RON")</f>
        <v>RON</v>
      </c>
      <c r="C15" s="285" t="str">
        <f ca="1">IFERROR(__xludf.DUMMYFUNCTION("""COMPUTED_VALUE"""),"D")</f>
        <v>D</v>
      </c>
      <c r="D15" s="286" t="str">
        <f ca="1">IFERROR(__xludf.DUMMYFUNCTION("""COMPUTED_VALUE"""),"N")</f>
        <v>N</v>
      </c>
      <c r="E15" s="286" t="str">
        <f ca="1">IFERROR(__xludf.DUMMYFUNCTION("""COMPUTED_VALUE"""),"N")</f>
        <v>N</v>
      </c>
      <c r="F15" s="286" t="str">
        <f ca="1">IFERROR(__xludf.DUMMYFUNCTION("""COMPUTED_VALUE"""),"Y")</f>
        <v>Y</v>
      </c>
      <c r="G15" s="268"/>
    </row>
    <row r="16" spans="1:7" ht="22.5" customHeight="1" x14ac:dyDescent="0.25">
      <c r="A16" s="283" t="str">
        <f ca="1">IFERROR(__xludf.DUMMYFUNCTION("""COMPUTED_VALUE"""),"CROWELL")</f>
        <v>CROWELL</v>
      </c>
      <c r="B16" s="284" t="str">
        <f ca="1">IFERROR(__xludf.DUMMYFUNCTION("""COMPUTED_VALUE"""),"DON")</f>
        <v>DON</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8"/>
    </row>
    <row r="17" spans="1:7" ht="22.5" customHeight="1" x14ac:dyDescent="0.25">
      <c r="A17" s="283" t="str">
        <f ca="1">IFERROR(__xludf.DUMMYFUNCTION("""COMPUTED_VALUE"""),"DUBAUSKAS")</f>
        <v>DUBAUSKAS</v>
      </c>
      <c r="B17" s="284" t="str">
        <f ca="1">IFERROR(__xludf.DUMMYFUNCTION("""COMPUTED_VALUE"""),"VITUS")</f>
        <v>VITUS</v>
      </c>
      <c r="C17" s="285" t="str">
        <f ca="1">IFERROR(__xludf.DUMMYFUNCTION("""COMPUTED_VALUE"""),"F(LW)")</f>
        <v>F(LW)</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IFERROR(__xludf.DUMMYFUNCTION("""COMPUTED_VALUE"""),"ELGERT")</f>
        <v>ELGERT</v>
      </c>
      <c r="B18" s="284" t="str">
        <f ca="1">IFERROR(__xludf.DUMMYFUNCTION("""COMPUTED_VALUE"""),"ROSS")</f>
        <v>ROSS</v>
      </c>
      <c r="C18" s="285" t="str">
        <f ca="1">IFERROR(__xludf.DUMMYFUNCTION("""COMPUTED_VALUE"""),"D(R)")</f>
        <v>D(R)</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IFERROR(__xludf.DUMMYFUNCTION("""COMPUTED_VALUE"""),"GRIGG")</f>
        <v>GRIGG</v>
      </c>
      <c r="B19" s="284" t="str">
        <f ca="1">IFERROR(__xludf.DUMMYFUNCTION("""COMPUTED_VALUE"""),"JON")</f>
        <v>JON</v>
      </c>
      <c r="C19" s="285" t="str">
        <f ca="1">IFERROR(__xludf.DUMMYFUNCTION("""COMPUTED_VALUE"""),"F(LW)")</f>
        <v>F(LW)</v>
      </c>
      <c r="D19" s="286" t="str">
        <f ca="1">IFERROR(__xludf.DUMMYFUNCTION("""COMPUTED_VALUE"""),"Y")</f>
        <v>Y</v>
      </c>
      <c r="E19" s="286" t="str">
        <f ca="1">IFERROR(__xludf.DUMMYFUNCTION("""COMPUTED_VALUE"""),"Y")</f>
        <v>Y</v>
      </c>
      <c r="F19" s="286" t="str">
        <f ca="1">IFERROR(__xludf.DUMMYFUNCTION("""COMPUTED_VALUE"""),"Y")</f>
        <v>Y</v>
      </c>
      <c r="G19" s="268"/>
    </row>
    <row r="20" spans="1:7" ht="22.5" customHeight="1" x14ac:dyDescent="0.25">
      <c r="A20" s="283" t="str">
        <f ca="1">IFERROR(__xludf.DUMMYFUNCTION("""COMPUTED_VALUE"""),"HOJZAN")</f>
        <v>HOJZAN</v>
      </c>
      <c r="B20" s="284" t="str">
        <f ca="1">IFERROR(__xludf.DUMMYFUNCTION("""COMPUTED_VALUE"""),"IGGY")</f>
        <v>IGGY</v>
      </c>
      <c r="C20" s="285" t="str">
        <f ca="1">IFERROR(__xludf.DUMMYFUNCTION("""COMPUTED_VALUE"""),"F")</f>
        <v>F</v>
      </c>
      <c r="D20" s="286" t="str">
        <f ca="1">IFERROR(__xludf.DUMMYFUNCTION("""COMPUTED_VALUE"""),"Y")</f>
        <v>Y</v>
      </c>
      <c r="E20" s="286" t="str">
        <f ca="1">IFERROR(__xludf.DUMMYFUNCTION("""COMPUTED_VALUE"""),"Y")</f>
        <v>Y</v>
      </c>
      <c r="F20" s="286" t="str">
        <f ca="1">IFERROR(__xludf.DUMMYFUNCTION("""COMPUTED_VALUE"""),"Y")</f>
        <v>Y</v>
      </c>
      <c r="G20" s="268"/>
    </row>
    <row r="21" spans="1:7" ht="22.5" customHeight="1" x14ac:dyDescent="0.25">
      <c r="A21" s="283" t="str">
        <f ca="1">IFERROR(__xludf.DUMMYFUNCTION("""COMPUTED_VALUE"""),"JONES")</f>
        <v>JONES</v>
      </c>
      <c r="B21" s="284" t="str">
        <f ca="1">IFERROR(__xludf.DUMMYFUNCTION("""COMPUTED_VALUE"""),"JIM")</f>
        <v>JIM</v>
      </c>
      <c r="C21" s="285" t="str">
        <f ca="1">IFERROR(__xludf.DUMMYFUNCTION("""COMPUTED_VALUE"""),"G")</f>
        <v>G</v>
      </c>
      <c r="D21" s="286" t="str">
        <f ca="1">IFERROR(__xludf.DUMMYFUNCTION("""COMPUTED_VALUE"""),"Y")</f>
        <v>Y</v>
      </c>
      <c r="E21" s="286" t="str">
        <f ca="1">IFERROR(__xludf.DUMMYFUNCTION("""COMPUTED_VALUE"""),"Y")</f>
        <v>Y</v>
      </c>
      <c r="F21" s="286" t="str">
        <f ca="1">IFERROR(__xludf.DUMMYFUNCTION("""COMPUTED_VALUE"""),"Y")</f>
        <v>Y</v>
      </c>
      <c r="G21" s="268"/>
    </row>
    <row r="22" spans="1:7" ht="22.5" customHeight="1" x14ac:dyDescent="0.25">
      <c r="A22" s="283" t="str">
        <f ca="1">IFERROR(__xludf.DUMMYFUNCTION("""COMPUTED_VALUE"""),"LAMBERT")</f>
        <v>LAMBERT</v>
      </c>
      <c r="B22" s="284" t="str">
        <f ca="1">IFERROR(__xludf.DUMMYFUNCTION("""COMPUTED_VALUE"""),"BRIAN")</f>
        <v>BRIAN</v>
      </c>
      <c r="C22" s="285" t="str">
        <f ca="1">IFERROR(__xludf.DUMMYFUNCTION("""COMPUTED_VALUE"""),"F(RW)")</f>
        <v>F(RW)</v>
      </c>
      <c r="D22" s="286" t="str">
        <f ca="1">IFERROR(__xludf.DUMMYFUNCTION("""COMPUTED_VALUE"""),"Y")</f>
        <v>Y</v>
      </c>
      <c r="E22" s="286" t="str">
        <f ca="1">IFERROR(__xludf.DUMMYFUNCTION("""COMPUTED_VALUE"""),"Y")</f>
        <v>Y</v>
      </c>
      <c r="F22" s="286" t="str">
        <f ca="1">IFERROR(__xludf.DUMMYFUNCTION("""COMPUTED_VALUE"""),"Y")</f>
        <v>Y</v>
      </c>
      <c r="G22" s="268"/>
    </row>
    <row r="23" spans="1:7" ht="22.5" customHeight="1" x14ac:dyDescent="0.25">
      <c r="A23" s="283" t="str">
        <f ca="1">IFERROR(__xludf.DUMMYFUNCTION("""COMPUTED_VALUE"""),"LIBICH")</f>
        <v>LIBICH</v>
      </c>
      <c r="B23" s="284" t="str">
        <f ca="1">IFERROR(__xludf.DUMMYFUNCTION("""COMPUTED_VALUE"""),"PAUL")</f>
        <v>PAUL</v>
      </c>
      <c r="C23" s="285" t="str">
        <f ca="1">IFERROR(__xludf.DUMMYFUNCTION("""COMPUTED_VALUE"""),"F(RW)/D")</f>
        <v>F(RW)/D</v>
      </c>
      <c r="D23" s="286" t="str">
        <f ca="1">IFERROR(__xludf.DUMMYFUNCTION("""COMPUTED_VALUE"""),"N")</f>
        <v>N</v>
      </c>
      <c r="E23" s="286" t="str">
        <f ca="1">IFERROR(__xludf.DUMMYFUNCTION("""COMPUTED_VALUE"""),"Y")</f>
        <v>Y</v>
      </c>
      <c r="F23" s="286" t="str">
        <f ca="1">IFERROR(__xludf.DUMMYFUNCTION("""COMPUTED_VALUE"""),"N")</f>
        <v>N</v>
      </c>
      <c r="G23" s="268"/>
    </row>
    <row r="24" spans="1:7" ht="22.5" customHeight="1" x14ac:dyDescent="0.25">
      <c r="A24" s="283" t="str">
        <f ca="1">IFERROR(__xludf.DUMMYFUNCTION("""COMPUTED_VALUE"""),"MACKILLOP")</f>
        <v>MACKILLOP</v>
      </c>
      <c r="B24" s="284" t="str">
        <f ca="1">IFERROR(__xludf.DUMMYFUNCTION("""COMPUTED_VALUE"""),"JOHN")</f>
        <v>JOHN</v>
      </c>
      <c r="C24" s="285" t="str">
        <f ca="1">IFERROR(__xludf.DUMMYFUNCTION("""COMPUTED_VALUE"""),"F(LW)")</f>
        <v>F(LW)</v>
      </c>
      <c r="D24" s="286" t="str">
        <f ca="1">IFERROR(__xludf.DUMMYFUNCTION("""COMPUTED_VALUE"""),"Y")</f>
        <v>Y</v>
      </c>
      <c r="E24" s="286" t="str">
        <f ca="1">IFERROR(__xludf.DUMMYFUNCTION("""COMPUTED_VALUE"""),"N")</f>
        <v>N</v>
      </c>
      <c r="F24" s="286" t="str">
        <f ca="1">IFERROR(__xludf.DUMMYFUNCTION("""COMPUTED_VALUE"""),"Y")</f>
        <v>Y</v>
      </c>
      <c r="G24" s="268"/>
    </row>
    <row r="25" spans="1:7" ht="22.5" customHeight="1" x14ac:dyDescent="0.25">
      <c r="A25" s="283" t="str">
        <f ca="1">IFERROR(__xludf.DUMMYFUNCTION("""COMPUTED_VALUE"""),"MCKEOWN")</f>
        <v>MCKEOWN</v>
      </c>
      <c r="B25" s="284" t="str">
        <f ca="1">IFERROR(__xludf.DUMMYFUNCTION("""COMPUTED_VALUE"""),"NEIL")</f>
        <v>NEIL</v>
      </c>
      <c r="C25" s="285" t="str">
        <f ca="1">IFERROR(__xludf.DUMMYFUNCTION("""COMPUTED_VALUE"""),"D")</f>
        <v>D</v>
      </c>
      <c r="D25" s="286" t="str">
        <f ca="1">IFERROR(__xludf.DUMMYFUNCTION("""COMPUTED_VALUE"""),"Y")</f>
        <v>Y</v>
      </c>
      <c r="E25" s="286" t="str">
        <f ca="1">IFERROR(__xludf.DUMMYFUNCTION("""COMPUTED_VALUE"""),"Y")</f>
        <v>Y</v>
      </c>
      <c r="F25" s="286" t="str">
        <f ca="1">IFERROR(__xludf.DUMMYFUNCTION("""COMPUTED_VALUE"""),"Y")</f>
        <v>Y</v>
      </c>
      <c r="G25" s="268"/>
    </row>
    <row r="26" spans="1:7" ht="22.5" customHeight="1" x14ac:dyDescent="0.25">
      <c r="A26" s="283" t="str">
        <f ca="1">IFERROR(__xludf.DUMMYFUNCTION("""COMPUTED_VALUE"""),"MISFELDT")</f>
        <v>MISFELDT</v>
      </c>
      <c r="B26" s="284" t="str">
        <f ca="1">IFERROR(__xludf.DUMMYFUNCTION("""COMPUTED_VALUE"""),"DAVE")</f>
        <v>DAVE</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IFERROR(__xludf.DUMMYFUNCTION("""COMPUTED_VALUE"""),"Y")</f>
        <v>Y</v>
      </c>
      <c r="G26" s="268"/>
    </row>
    <row r="27" spans="1:7" ht="22.5" customHeight="1" x14ac:dyDescent="0.25">
      <c r="A27" s="283" t="str">
        <f ca="1">IFERROR(__xludf.DUMMYFUNCTION("""COMPUTED_VALUE"""),"PARISEAU")</f>
        <v>PARISEAU</v>
      </c>
      <c r="B27" s="284" t="str">
        <f ca="1">IFERROR(__xludf.DUMMYFUNCTION("""COMPUTED_VALUE"""),"ROB")</f>
        <v>ROB</v>
      </c>
      <c r="C27" s="285" t="str">
        <f ca="1">IFERROR(__xludf.DUMMYFUNCTION("""COMPUTED_VALUE"""),"F/D")</f>
        <v>F/D</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t="str">
        <f ca="1">IFERROR(__xludf.DUMMYFUNCTION("""COMPUTED_VALUE"""),"RICHARDSON")</f>
        <v>RICHARDSON</v>
      </c>
      <c r="B28" s="284" t="str">
        <f ca="1">IFERROR(__xludf.DUMMYFUNCTION("""COMPUTED_VALUE"""),"DALE")</f>
        <v>DALE</v>
      </c>
      <c r="C28" s="285" t="str">
        <f ca="1">IFERROR(__xludf.DUMMYFUNCTION("""COMPUTED_VALUE"""),"D")</f>
        <v>D</v>
      </c>
      <c r="D28" s="286" t="str">
        <f ca="1">IFERROR(__xludf.DUMMYFUNCTION("""COMPUTED_VALUE"""),"Y")</f>
        <v>Y</v>
      </c>
      <c r="E28" s="286" t="str">
        <f ca="1">IFERROR(__xludf.DUMMYFUNCTION("""COMPUTED_VALUE"""),"Y")</f>
        <v>Y</v>
      </c>
      <c r="F28" s="286" t="str">
        <f ca="1">IFERROR(__xludf.DUMMYFUNCTION("""COMPUTED_VALUE"""),"Y")</f>
        <v>Y</v>
      </c>
      <c r="G28" s="268"/>
    </row>
    <row r="29" spans="1:7" ht="22.5" customHeight="1" x14ac:dyDescent="0.25">
      <c r="A29" s="283" t="str">
        <f ca="1">IFERROR(__xludf.DUMMYFUNCTION("""COMPUTED_VALUE"""),"YOUNG")</f>
        <v>YOUNG</v>
      </c>
      <c r="B29" s="284" t="str">
        <f ca="1">IFERROR(__xludf.DUMMYFUNCTION("""COMPUTED_VALUE"""),"RICHARD")</f>
        <v>RICHARD</v>
      </c>
      <c r="C29" s="285" t="str">
        <f ca="1">IFERROR(__xludf.DUMMYFUNCTION("""COMPUTED_VALUE"""),"D")</f>
        <v>D</v>
      </c>
      <c r="D29" s="286" t="str">
        <f ca="1">IFERROR(__xludf.DUMMYFUNCTION("""COMPUTED_VALUE"""),"Y")</f>
        <v>Y</v>
      </c>
      <c r="E29" s="286" t="str">
        <f ca="1">IFERROR(__xludf.DUMMYFUNCTION("""COMPUTED_VALUE"""),"Y")</f>
        <v>Y</v>
      </c>
      <c r="F29" s="286" t="str">
        <f ca="1">IFERROR(__xludf.DUMMYFUNCTION("""COMPUTED_VALUE"""),"Y")</f>
        <v>Y</v>
      </c>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20" priority="5">
      <formula>LEN(TRIM(B7))&gt;0</formula>
    </cfRule>
  </conditionalFormatting>
  <conditionalFormatting sqref="C7:D9">
    <cfRule type="notContainsBlanks" dxfId="19" priority="4">
      <formula>LEN(TRIM(C7))&gt;0</formula>
    </cfRule>
  </conditionalFormatting>
  <conditionalFormatting sqref="D14:F31">
    <cfRule type="endsWith" dxfId="18" priority="1" operator="endsWith" text="M">
      <formula>RIGHT((D14),LEN("M"))=("M")</formula>
    </cfRule>
    <cfRule type="cellIs" dxfId="17" priority="2" operator="equal">
      <formula>"N"</formula>
    </cfRule>
    <cfRule type="cellIs" dxfId="16" priority="3" operator="equal">
      <formula>"Y"</formula>
    </cfRule>
  </conditionalFormatting>
  <conditionalFormatting sqref="E7:F9">
    <cfRule type="expression" dxfId="15" priority="6">
      <formula>B7=""</formula>
    </cfRule>
    <cfRule type="expression" dxfId="14" priority="7">
      <formula>C7=""</formula>
    </cfRule>
  </conditionalFormatting>
  <hyperlinks>
    <hyperlink ref="E4" location="LOOKUP!A1" display="Back to Lookup" xr:uid="{00000000-0004-0000-0F00-000000000000}"/>
  </hyperlinks>
  <printOptions horizontalCentered="1" gridLines="1"/>
  <pageMargins left="0.7" right="0.7" top="0.75" bottom="0.75" header="0" footer="0"/>
  <pageSetup pageOrder="overThenDown" orientation="landscape" cellComments="atEnd"/>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9" t="s">
        <v>13</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IFERROR(__xludf.DUMMYFUNCTION("IMPORTRANGE(""https://docs.google.com/spreadsheets/d/1ldE5MesCa2eBaR-LJ5T1U9LDDK99iepgD4XKD9i_8LY/edit?gid=1325443074#gid=1325443074"",CONCATENATE(A1,""!B5""))"),"Keith Clayton")</f>
        <v>Keith Clayton</v>
      </c>
      <c r="C4" s="315"/>
      <c r="D4" s="317"/>
      <c r="E4" s="354" t="s">
        <v>59</v>
      </c>
      <c r="F4" s="317"/>
      <c r="G4" s="268"/>
    </row>
    <row r="5" spans="1:7" ht="22.5" customHeight="1" x14ac:dyDescent="0.25">
      <c r="A5" s="266"/>
      <c r="B5" s="266"/>
      <c r="C5" s="266"/>
      <c r="D5" s="266"/>
      <c r="E5" s="266"/>
      <c r="F5" s="265"/>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IFERROR(__xludf.DUMMYFUNCTION("IMPORTRANGE(""https://docs.google.com/spreadsheets/d/1ldE5MesCa2eBaR-LJ5T1U9LDDK99iepgD4XKD9i_8LY/edit?gid=1325443074#gid=1325443074"",CONCATENATE(A1,""!H3:H5""))"),"12:15 – 1:30")</f>
        <v>12:15 – 1:30</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IFERROR(__xludf.DUMMYFUNCTION("IMPORTRANGE(""https://docs.google.com/spreadsheets/d/1ldE5MesCa2eBaR-LJ5T1U9LDDK99iepgD4XKD9i_8LY/edit?gid=1325443074#gid=1325443074"",CONCATENATE($A$1,""!J3:J5""))"),"BLUES")</f>
        <v>BLUES</v>
      </c>
      <c r="F7" s="317"/>
      <c r="G7" s="272" t="str">
        <f ca="1">IFERROR(__xludf.DUMMYFUNCTION("IMPORTRANGE(""https://docs.google.com/spreadsheets/d/1ldE5MesCa2eBaR-LJ5T1U9LDDK99iepgD4XKD9i_8LY/edit?gid=1325443074#gid=1325443074"",CONCATENATE($A$1,""!K3:K5""))"),"RINK 4")</f>
        <v>RINK 4</v>
      </c>
    </row>
    <row r="8" spans="1:7" ht="22.5" customHeight="1" x14ac:dyDescent="0.25">
      <c r="A8" s="273" t="s">
        <v>65</v>
      </c>
      <c r="B8" s="274" t="str">
        <f ca="1">IFERROR(__xludf.DUMMYFUNCTION("""COMPUTED_VALUE"""),"10:30 – 11:45")</f>
        <v>10:30 – 11:45</v>
      </c>
      <c r="C8" s="348" t="str">
        <f ca="1">IFERROR(__xludf.DUMMYFUNCTION("""COMPUTED_VALUE"""),"")</f>
        <v/>
      </c>
      <c r="D8" s="315"/>
      <c r="E8" s="348" t="str">
        <f ca="1">IFERROR(__xludf.DUMMYFUNCTION("""COMPUTED_VALUE"""),"OILERS")</f>
        <v>OILERS</v>
      </c>
      <c r="F8" s="317"/>
      <c r="G8" s="273" t="str">
        <f ca="1">IFERROR(__xludf.DUMMYFUNCTION("""COMPUTED_VALUE"""),"RINK 1 ")</f>
        <v xml:space="preserve">RINK 1 </v>
      </c>
    </row>
    <row r="9" spans="1:7" ht="22.5" customHeight="1" x14ac:dyDescent="0.25">
      <c r="A9" s="275" t="s">
        <v>66</v>
      </c>
      <c r="B9" s="274" t="str">
        <f ca="1">IFERROR(__xludf.DUMMYFUNCTION("""COMPUTED_VALUE"""),"9:15 – 10:30")</f>
        <v>9:15 – 10:30</v>
      </c>
      <c r="C9" s="347" t="str">
        <f ca="1">IFERROR(__xludf.DUMMYFUNCTION("""COMPUTED_VALUE"""),"")</f>
        <v/>
      </c>
      <c r="D9" s="315"/>
      <c r="E9" s="348" t="str">
        <f ca="1">IFERROR(__xludf.DUMMYFUNCTION("""COMPUTED_VALUE"""),"KRAKEN")</f>
        <v>KRAKEN</v>
      </c>
      <c r="F9" s="317"/>
      <c r="G9" s="272" t="str">
        <f ca="1">IFERROR(__xludf.DUMMYFUNCTION("""COMPUTED_VALUE"""),"RINK 4")</f>
        <v>RINK 4</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IFERROR(__xludf.DUMMYFUNCTION("QUERY(IMPORTRANGE(""https://docs.google.com/spreadsheets/d/1ldE5MesCa2eBaR-LJ5T1U9LDDK99iepgD4XKD9i_8LY/edit?gid=20346383#gid=20346383"",""Div2B Roster!A6:I72""), ""SELECT Col1, Col2, Col4, Col5, Col6, Col7 WHERE Col3 = '""&amp;A1&amp;""'"")"),"CARTON")</f>
        <v>CARTON</v>
      </c>
      <c r="B14" s="284" t="str">
        <f ca="1">IFERROR(__xludf.DUMMYFUNCTION("""COMPUTED_VALUE"""),"DEAN")</f>
        <v>DEAN</v>
      </c>
      <c r="C14" s="285" t="str">
        <f ca="1">IFERROR(__xludf.DUMMYFUNCTION("""COMPUTED_VALUE"""),"F(RW)")</f>
        <v>F(RW)</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IFERROR(__xludf.DUMMYFUNCTION("""COMPUTED_VALUE"""),"CHARLTON")</f>
        <v>CHARLTON</v>
      </c>
      <c r="B15" s="284" t="str">
        <f ca="1">IFERROR(__xludf.DUMMYFUNCTION("""COMPUTED_VALUE"""),"EARL")</f>
        <v>EARL</v>
      </c>
      <c r="C15" s="285" t="str">
        <f ca="1">IFERROR(__xludf.DUMMYFUNCTION("""COMPUTED_VALUE"""),"F/D")</f>
        <v>F/D</v>
      </c>
      <c r="D15" s="286" t="str">
        <f ca="1">IFERROR(__xludf.DUMMYFUNCTION("""COMPUTED_VALUE"""),"Y")</f>
        <v>Y</v>
      </c>
      <c r="E15" s="286" t="str">
        <f ca="1">IFERROR(__xludf.DUMMYFUNCTION("""COMPUTED_VALUE"""),"Y")</f>
        <v>Y</v>
      </c>
      <c r="F15" s="286" t="str">
        <f ca="1">IFERROR(__xludf.DUMMYFUNCTION("""COMPUTED_VALUE"""),"Y")</f>
        <v>Y</v>
      </c>
      <c r="G15" s="268"/>
    </row>
    <row r="16" spans="1:7" ht="22.5" customHeight="1" x14ac:dyDescent="0.25">
      <c r="A16" s="283" t="str">
        <f ca="1">IFERROR(__xludf.DUMMYFUNCTION("""COMPUTED_VALUE"""),"CLAYTON")</f>
        <v>CLAYTON</v>
      </c>
      <c r="B16" s="284" t="str">
        <f ca="1">IFERROR(__xludf.DUMMYFUNCTION("""COMPUTED_VALUE"""),"KEITH")</f>
        <v>KEITH</v>
      </c>
      <c r="C16" s="285" t="str">
        <f ca="1">IFERROR(__xludf.DUMMYFUNCTION("""COMPUTED_VALUE"""),"D(R)/F(RW)")</f>
        <v>D(R)/F(RW)</v>
      </c>
      <c r="D16" s="286" t="str">
        <f ca="1">IFERROR(__xludf.DUMMYFUNCTION("""COMPUTED_VALUE"""),"Y")</f>
        <v>Y</v>
      </c>
      <c r="E16" s="286" t="str">
        <f ca="1">IFERROR(__xludf.DUMMYFUNCTION("""COMPUTED_VALUE"""),"Y")</f>
        <v>Y</v>
      </c>
      <c r="F16" s="286" t="str">
        <f ca="1">IFERROR(__xludf.DUMMYFUNCTION("""COMPUTED_VALUE"""),"Y")</f>
        <v>Y</v>
      </c>
      <c r="G16" s="268"/>
    </row>
    <row r="17" spans="1:7" ht="22.5" customHeight="1" x14ac:dyDescent="0.25">
      <c r="A17" s="283" t="str">
        <f ca="1">IFERROR(__xludf.DUMMYFUNCTION("""COMPUTED_VALUE"""),"COOK")</f>
        <v>COOK</v>
      </c>
      <c r="B17" s="284" t="str">
        <f ca="1">IFERROR(__xludf.DUMMYFUNCTION("""COMPUTED_VALUE"""),"HOWARD")</f>
        <v>HOWARD</v>
      </c>
      <c r="C17" s="285" t="str">
        <f ca="1">IFERROR(__xludf.DUMMYFUNCTION("""COMPUTED_VALUE"""),"F")</f>
        <v>F</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IFERROR(__xludf.DUMMYFUNCTION("""COMPUTED_VALUE"""),"DRISCOLL")</f>
        <v>DRISCOLL</v>
      </c>
      <c r="B18" s="284" t="str">
        <f ca="1">IFERROR(__xludf.DUMMYFUNCTION("""COMPUTED_VALUE"""),"BOB")</f>
        <v>BOB</v>
      </c>
      <c r="C18" s="285" t="str">
        <f ca="1">IFERROR(__xludf.DUMMYFUNCTION("""COMPUTED_VALUE"""),"D")</f>
        <v>D</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IFERROR(__xludf.DUMMYFUNCTION("""COMPUTED_VALUE"""),"ELLIOTT")</f>
        <v>ELLIOTT</v>
      </c>
      <c r="B19" s="284" t="str">
        <f ca="1">IFERROR(__xludf.DUMMYFUNCTION("""COMPUTED_VALUE"""),"BOB")</f>
        <v>BOB</v>
      </c>
      <c r="C19" s="285" t="str">
        <f ca="1">IFERROR(__xludf.DUMMYFUNCTION("""COMPUTED_VALUE"""),"F/W")</f>
        <v>F/W</v>
      </c>
      <c r="D19" s="286" t="str">
        <f ca="1">IFERROR(__xludf.DUMMYFUNCTION("""COMPUTED_VALUE"""),"Y")</f>
        <v>Y</v>
      </c>
      <c r="E19" s="286" t="str">
        <f ca="1">IFERROR(__xludf.DUMMYFUNCTION("""COMPUTED_VALUE"""),"Y")</f>
        <v>Y</v>
      </c>
      <c r="F19" s="286" t="str">
        <f ca="1">IFERROR(__xludf.DUMMYFUNCTION("""COMPUTED_VALUE"""),"Y")</f>
        <v>Y</v>
      </c>
      <c r="G19" s="268"/>
    </row>
    <row r="20" spans="1:7" ht="22.5" customHeight="1" x14ac:dyDescent="0.25">
      <c r="A20" s="283" t="str">
        <f ca="1">IFERROR(__xludf.DUMMYFUNCTION("""COMPUTED_VALUE"""),"HOLDEN")</f>
        <v>HOLDEN</v>
      </c>
      <c r="B20" s="284" t="str">
        <f ca="1">IFERROR(__xludf.DUMMYFUNCTION("""COMPUTED_VALUE"""),"BOB")</f>
        <v>BOB</v>
      </c>
      <c r="C20" s="285" t="str">
        <f ca="1">IFERROR(__xludf.DUMMYFUNCTION("""COMPUTED_VALUE"""),"D(L)/F(LW)")</f>
        <v>D(L)/F(LW)</v>
      </c>
      <c r="D20" s="286" t="str">
        <f ca="1">IFERROR(__xludf.DUMMYFUNCTION("""COMPUTED_VALUE"""),"Y")</f>
        <v>Y</v>
      </c>
      <c r="E20" s="286" t="str">
        <f ca="1">IFERROR(__xludf.DUMMYFUNCTION("""COMPUTED_VALUE"""),"Y")</f>
        <v>Y</v>
      </c>
      <c r="F20" s="286" t="str">
        <f ca="1">IFERROR(__xludf.DUMMYFUNCTION("""COMPUTED_VALUE"""),"Y")</f>
        <v>Y</v>
      </c>
      <c r="G20" s="268"/>
    </row>
    <row r="21" spans="1:7" ht="22.5" customHeight="1" x14ac:dyDescent="0.25">
      <c r="A21" s="283" t="str">
        <f ca="1">IFERROR(__xludf.DUMMYFUNCTION("""COMPUTED_VALUE"""),"HORBACHEWSKI")</f>
        <v>HORBACHEWSKI</v>
      </c>
      <c r="B21" s="284" t="str">
        <f ca="1">IFERROR(__xludf.DUMMYFUNCTION("""COMPUTED_VALUE"""),"STAN")</f>
        <v>STAN</v>
      </c>
      <c r="C21" s="285" t="str">
        <f ca="1">IFERROR(__xludf.DUMMYFUNCTION("""COMPUTED_VALUE"""),"F(LW)")</f>
        <v>F(LW)</v>
      </c>
      <c r="D21" s="286" t="str">
        <f ca="1">IFERROR(__xludf.DUMMYFUNCTION("""COMPUTED_VALUE"""),"Y")</f>
        <v>Y</v>
      </c>
      <c r="E21" s="286" t="str">
        <f ca="1">IFERROR(__xludf.DUMMYFUNCTION("""COMPUTED_VALUE"""),"N")</f>
        <v>N</v>
      </c>
      <c r="F21" s="286" t="str">
        <f ca="1">IFERROR(__xludf.DUMMYFUNCTION("""COMPUTED_VALUE"""),"Y")</f>
        <v>Y</v>
      </c>
      <c r="G21" s="268"/>
    </row>
    <row r="22" spans="1:7" ht="22.5" customHeight="1" x14ac:dyDescent="0.25">
      <c r="A22" s="283" t="str">
        <f ca="1">IFERROR(__xludf.DUMMYFUNCTION("""COMPUTED_VALUE"""),"LOUS")</f>
        <v>LOUS</v>
      </c>
      <c r="B22" s="284" t="str">
        <f ca="1">IFERROR(__xludf.DUMMYFUNCTION("""COMPUTED_VALUE"""),"HANK")</f>
        <v>HANK</v>
      </c>
      <c r="C22" s="285" t="str">
        <f ca="1">IFERROR(__xludf.DUMMYFUNCTION("""COMPUTED_VALUE"""),"F/D")</f>
        <v>F/D</v>
      </c>
      <c r="D22" s="286" t="str">
        <f ca="1">IFERROR(__xludf.DUMMYFUNCTION("""COMPUTED_VALUE"""),"Y")</f>
        <v>Y</v>
      </c>
      <c r="E22" s="286" t="str">
        <f ca="1">IFERROR(__xludf.DUMMYFUNCTION("""COMPUTED_VALUE"""),"Y")</f>
        <v>Y</v>
      </c>
      <c r="F22" s="286" t="str">
        <f ca="1">IFERROR(__xludf.DUMMYFUNCTION("""COMPUTED_VALUE"""),"Y")</f>
        <v>Y</v>
      </c>
      <c r="G22" s="268"/>
    </row>
    <row r="23" spans="1:7" ht="22.5" customHeight="1" x14ac:dyDescent="0.25">
      <c r="A23" s="283" t="str">
        <f ca="1">IFERROR(__xludf.DUMMYFUNCTION("""COMPUTED_VALUE"""),"MANN")</f>
        <v>MANN</v>
      </c>
      <c r="B23" s="284" t="str">
        <f ca="1">IFERROR(__xludf.DUMMYFUNCTION("""COMPUTED_VALUE"""),"REGAN")</f>
        <v>REGAN</v>
      </c>
      <c r="C23" s="285" t="str">
        <f ca="1">IFERROR(__xludf.DUMMYFUNCTION("""COMPUTED_VALUE"""),"G")</f>
        <v>G</v>
      </c>
      <c r="D23" s="286" t="str">
        <f ca="1">IFERROR(__xludf.DUMMYFUNCTION("""COMPUTED_VALUE"""),"Y")</f>
        <v>Y</v>
      </c>
      <c r="E23" s="286" t="str">
        <f ca="1">IFERROR(__xludf.DUMMYFUNCTION("""COMPUTED_VALUE"""),"Y")</f>
        <v>Y</v>
      </c>
      <c r="F23" s="286" t="str">
        <f ca="1">IFERROR(__xludf.DUMMYFUNCTION("""COMPUTED_VALUE"""),"Y")</f>
        <v>Y</v>
      </c>
      <c r="G23" s="268"/>
    </row>
    <row r="24" spans="1:7" ht="22.5" customHeight="1" x14ac:dyDescent="0.25">
      <c r="A24" s="283" t="str">
        <f ca="1">IFERROR(__xludf.DUMMYFUNCTION("""COMPUTED_VALUE"""),"MULLER")</f>
        <v>MULLER</v>
      </c>
      <c r="B24" s="284" t="str">
        <f ca="1">IFERROR(__xludf.DUMMYFUNCTION("""COMPUTED_VALUE"""),"RANDY")</f>
        <v>RANDY</v>
      </c>
      <c r="C24" s="285" t="str">
        <f ca="1">IFERROR(__xludf.DUMMYFUNCTION("""COMPUTED_VALUE"""),"F")</f>
        <v>F</v>
      </c>
      <c r="D24" s="286" t="str">
        <f ca="1">IFERROR(__xludf.DUMMYFUNCTION("""COMPUTED_VALUE"""),"Y")</f>
        <v>Y</v>
      </c>
      <c r="E24" s="286" t="str">
        <f ca="1">IFERROR(__xludf.DUMMYFUNCTION("""COMPUTED_VALUE"""),"Y")</f>
        <v>Y</v>
      </c>
      <c r="F24" s="286" t="str">
        <f ca="1">IFERROR(__xludf.DUMMYFUNCTION("""COMPUTED_VALUE"""),"Y")</f>
        <v>Y</v>
      </c>
      <c r="G24" s="268"/>
    </row>
    <row r="25" spans="1:7" ht="22.5" customHeight="1" x14ac:dyDescent="0.25">
      <c r="A25" s="283" t="str">
        <f ca="1">IFERROR(__xludf.DUMMYFUNCTION("""COMPUTED_VALUE"""),"PARKER")</f>
        <v>PARKER</v>
      </c>
      <c r="B25" s="284" t="str">
        <f ca="1">IFERROR(__xludf.DUMMYFUNCTION("""COMPUTED_VALUE"""),"JERRY")</f>
        <v>JERRY</v>
      </c>
      <c r="C25" s="285" t="str">
        <f ca="1">IFERROR(__xludf.DUMMYFUNCTION("""COMPUTED_VALUE"""),"F")</f>
        <v>F</v>
      </c>
      <c r="D25" s="286" t="str">
        <f ca="1">IFERROR(__xludf.DUMMYFUNCTION("""COMPUTED_VALUE"""),"Y")</f>
        <v>Y</v>
      </c>
      <c r="E25" s="286" t="str">
        <f ca="1">IFERROR(__xludf.DUMMYFUNCTION("""COMPUTED_VALUE"""),"Y")</f>
        <v>Y</v>
      </c>
      <c r="F25" s="286" t="str">
        <f ca="1">IFERROR(__xludf.DUMMYFUNCTION("""COMPUTED_VALUE"""),"Y")</f>
        <v>Y</v>
      </c>
      <c r="G25" s="268"/>
    </row>
    <row r="26" spans="1:7" ht="22.5" customHeight="1" x14ac:dyDescent="0.25">
      <c r="A26" s="283" t="str">
        <f ca="1">IFERROR(__xludf.DUMMYFUNCTION("""COMPUTED_VALUE"""),"PHELPS")</f>
        <v>PHELPS</v>
      </c>
      <c r="B26" s="284" t="str">
        <f ca="1">IFERROR(__xludf.DUMMYFUNCTION("""COMPUTED_VALUE"""),"STEPHEN")</f>
        <v>STEPHEN</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IFERROR(__xludf.DUMMYFUNCTION("""COMPUTED_VALUE"""),"Y")</f>
        <v>Y</v>
      </c>
      <c r="G26" s="268"/>
    </row>
    <row r="27" spans="1:7" ht="22.5" customHeight="1" x14ac:dyDescent="0.25">
      <c r="A27" s="283" t="str">
        <f ca="1">IFERROR(__xludf.DUMMYFUNCTION("""COMPUTED_VALUE"""),"SCHURMAN")</f>
        <v>SCHURMAN</v>
      </c>
      <c r="B27" s="284" t="str">
        <f ca="1">IFERROR(__xludf.DUMMYFUNCTION("""COMPUTED_VALUE"""),"DOUG")</f>
        <v>DOUG</v>
      </c>
      <c r="C27" s="285" t="str">
        <f ca="1">IFERROR(__xludf.DUMMYFUNCTION("""COMPUTED_VALUE"""),"LW")</f>
        <v>LW</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t="str">
        <f ca="1">IFERROR(__xludf.DUMMYFUNCTION("""COMPUTED_VALUE"""),"STEER")</f>
        <v>STEER</v>
      </c>
      <c r="B28" s="284" t="str">
        <f ca="1">IFERROR(__xludf.DUMMYFUNCTION("""COMPUTED_VALUE"""),"DON")</f>
        <v>DON</v>
      </c>
      <c r="C28" s="285" t="str">
        <f ca="1">IFERROR(__xludf.DUMMYFUNCTION("""COMPUTED_VALUE"""),"C")</f>
        <v>C</v>
      </c>
      <c r="D28" s="286" t="str">
        <f ca="1">IFERROR(__xludf.DUMMYFUNCTION("""COMPUTED_VALUE"""),"Y")</f>
        <v>Y</v>
      </c>
      <c r="E28" s="286" t="str">
        <f ca="1">IFERROR(__xludf.DUMMYFUNCTION("""COMPUTED_VALUE"""),"Y")</f>
        <v>Y</v>
      </c>
      <c r="F28" s="286" t="str">
        <f ca="1">IFERROR(__xludf.DUMMYFUNCTION("""COMPUTED_VALUE"""),"Y")</f>
        <v>Y</v>
      </c>
      <c r="G28" s="268"/>
    </row>
    <row r="29" spans="1:7" ht="22.5" customHeight="1" x14ac:dyDescent="0.25">
      <c r="A29" s="283" t="str">
        <f ca="1">IFERROR(__xludf.DUMMYFUNCTION("""COMPUTED_VALUE"""),"TERAE")</f>
        <v>TERAE</v>
      </c>
      <c r="B29" s="284" t="str">
        <f ca="1">IFERROR(__xludf.DUMMYFUNCTION("""COMPUTED_VALUE"""),"AREND")</f>
        <v>AREND</v>
      </c>
      <c r="C29" s="285" t="str">
        <f ca="1">IFERROR(__xludf.DUMMYFUNCTION("""COMPUTED_VALUE"""),"F(LW)")</f>
        <v>F(LW)</v>
      </c>
      <c r="D29" s="286" t="str">
        <f ca="1">IFERROR(__xludf.DUMMYFUNCTION("""COMPUTED_VALUE"""),"10-1pm")</f>
        <v>10-1pm</v>
      </c>
      <c r="E29" s="286" t="str">
        <f ca="1">IFERROR(__xludf.DUMMYFUNCTION("""COMPUTED_VALUE"""),"10-1pm")</f>
        <v>10-1pm</v>
      </c>
      <c r="F29" s="286" t="str">
        <f ca="1">IFERROR(__xludf.DUMMYFUNCTION("""COMPUTED_VALUE"""),"10-1pm")</f>
        <v>10-1pm</v>
      </c>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13" priority="5">
      <formula>LEN(TRIM(B7))&gt;0</formula>
    </cfRule>
  </conditionalFormatting>
  <conditionalFormatting sqref="C7:D9">
    <cfRule type="notContainsBlanks" dxfId="12" priority="4">
      <formula>LEN(TRIM(C7))&gt;0</formula>
    </cfRule>
  </conditionalFormatting>
  <conditionalFormatting sqref="D14:F31">
    <cfRule type="endsWith" dxfId="11" priority="1" operator="endsWith" text="M">
      <formula>RIGHT((D14),LEN("M"))=("M")</formula>
    </cfRule>
    <cfRule type="cellIs" dxfId="10" priority="2" operator="equal">
      <formula>"N"</formula>
    </cfRule>
    <cfRule type="cellIs" dxfId="9" priority="3" operator="equal">
      <formula>"Y"</formula>
    </cfRule>
  </conditionalFormatting>
  <conditionalFormatting sqref="E7:F9">
    <cfRule type="expression" dxfId="8" priority="6">
      <formula>B7=""</formula>
    </cfRule>
    <cfRule type="expression" dxfId="7" priority="7">
      <formula>C7=""</formula>
    </cfRule>
  </conditionalFormatting>
  <hyperlinks>
    <hyperlink ref="E4" location="LOOKUP!A1" display="Back to Lookup" xr:uid="{00000000-0004-0000-1000-000000000000}"/>
  </hyperlinks>
  <printOptions horizontalCentered="1" gridLines="1"/>
  <pageMargins left="0.7" right="0.7" top="0.75" bottom="0.75" header="0" footer="0"/>
  <pageSetup pageOrder="overThenDown" orientation="landscape" cellComments="atEnd"/>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4.5703125" customWidth="1"/>
    <col min="4" max="4" width="10.140625" customWidth="1"/>
    <col min="5" max="5" width="8" customWidth="1"/>
    <col min="6" max="6" width="8.140625" customWidth="1"/>
    <col min="7" max="7" width="13" customWidth="1"/>
  </cols>
  <sheetData>
    <row r="1" spans="1:7" ht="28.5" customHeight="1" x14ac:dyDescent="0.2">
      <c r="A1" s="359" t="s">
        <v>16</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3">
      <c r="A4" s="290" t="s">
        <v>58</v>
      </c>
      <c r="B4" s="360" t="str">
        <f ca="1">IFERROR(__xludf.DUMMYFUNCTION("IMPORTRANGE(""https://docs.google.com/spreadsheets/d/1ldE5MesCa2eBaR-LJ5T1U9LDDK99iepgD4XKD9i_8LY/edit?gid=1325443074#gid=1325443074"",CONCATENATE(A1,""!B5""))"),"Allan Bon Bernard")</f>
        <v>Allan Bon Bernard</v>
      </c>
      <c r="C4" s="315"/>
      <c r="D4" s="317"/>
      <c r="E4" s="354" t="s">
        <v>59</v>
      </c>
      <c r="F4" s="317"/>
      <c r="G4" s="268"/>
    </row>
    <row r="5" spans="1:7" ht="22.5" customHeight="1" x14ac:dyDescent="0.25">
      <c r="A5" s="266"/>
      <c r="B5" s="266"/>
      <c r="C5" s="266"/>
      <c r="D5" s="266"/>
      <c r="E5" s="266"/>
      <c r="F5" s="265"/>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IFERROR(__xludf.DUMMYFUNCTION("IMPORTRANGE(""https://docs.google.com/spreadsheets/d/1ldE5MesCa2eBaR-LJ5T1U9LDDK99iepgD4XKD9i_8LY/edit?gid=1325443074#gid=1325443074"",CONCATENATE($A$1,""!I3:I5""))"),"9:00 – 10:15")</f>
        <v>9:00 – 10:15</v>
      </c>
      <c r="D7" s="317"/>
      <c r="E7" s="357" t="str">
        <f ca="1">IFERROR(__xludf.DUMMYFUNCTION("IMPORTRANGE(""https://docs.google.com/spreadsheets/d/1ldE5MesCa2eBaR-LJ5T1U9LDDK99iepgD4XKD9i_8LY/edit?gid=1325443074#gid=1325443074"",CONCATENATE($A$1,""!J3:J5""))"),"KRAKEN")</f>
        <v>KRAKEN</v>
      </c>
      <c r="F7" s="317"/>
      <c r="G7" s="272" t="str">
        <f ca="1">IFERROR(__xludf.DUMMYFUNCTION("IMPORTRANGE(""https://docs.google.com/spreadsheets/d/1ldE5MesCa2eBaR-LJ5T1U9LDDK99iepgD4XKD9i_8LY/edit?gid=1325443074#gid=1325443074"",CONCATENATE($A$1,""!K3:K5""))"),"RINK 3")</f>
        <v>RINK 3</v>
      </c>
    </row>
    <row r="8" spans="1:7" ht="22.5" customHeight="1" x14ac:dyDescent="0.25">
      <c r="A8" s="273" t="s">
        <v>65</v>
      </c>
      <c r="B8" s="274" t="str">
        <f ca="1">IFERROR(__xludf.DUMMYFUNCTION("""COMPUTED_VALUE"""),"")</f>
        <v/>
      </c>
      <c r="C8" s="348" t="str">
        <f ca="1">IFERROR(__xludf.DUMMYFUNCTION("""COMPUTED_VALUE"""),"10:30 – 11:45")</f>
        <v>10:30 – 11:45</v>
      </c>
      <c r="D8" s="315"/>
      <c r="E8" s="348" t="str">
        <f ca="1">IFERROR(__xludf.DUMMYFUNCTION("""COMPUTED_VALUE"""),"LEAFS")</f>
        <v>LEAFS</v>
      </c>
      <c r="F8" s="317"/>
      <c r="G8" s="273" t="str">
        <f ca="1">IFERROR(__xludf.DUMMYFUNCTION("""COMPUTED_VALUE"""),"RINK 1 ")</f>
        <v xml:space="preserve">RINK 1 </v>
      </c>
    </row>
    <row r="9" spans="1:7" ht="22.5" customHeight="1" x14ac:dyDescent="0.25">
      <c r="A9" s="275" t="s">
        <v>66</v>
      </c>
      <c r="B9" s="274" t="str">
        <f ca="1">IFERROR(__xludf.DUMMYFUNCTION("""COMPUTED_VALUE"""),"12:30 – 1:45")</f>
        <v>12:30 – 1:45</v>
      </c>
      <c r="C9" s="347" t="str">
        <f ca="1">IFERROR(__xludf.DUMMYFUNCTION("""COMPUTED_VALUE"""),"")</f>
        <v/>
      </c>
      <c r="D9" s="315"/>
      <c r="E9" s="348" t="str">
        <f ca="1">IFERROR(__xludf.DUMMYFUNCTION("""COMPUTED_VALUE"""),"BLUES")</f>
        <v>BLUES</v>
      </c>
      <c r="F9" s="317"/>
      <c r="G9" s="272" t="str">
        <f ca="1">IFERROR(__xludf.DUMMYFUNCTION("""COMPUTED_VALUE"""),"RINK 2")</f>
        <v>RINK 2</v>
      </c>
    </row>
    <row r="10" spans="1:7" ht="22.5" customHeight="1" x14ac:dyDescent="0.25">
      <c r="A10" s="265"/>
      <c r="B10" s="265"/>
      <c r="C10" s="265"/>
      <c r="D10" s="265"/>
      <c r="E10" s="265"/>
      <c r="F10" s="265"/>
      <c r="G10" s="268"/>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IFERROR(__xludf.DUMMYFUNCTION("QUERY(IMPORTRANGE(""https://docs.google.com/spreadsheets/d/1ldE5MesCa2eBaR-LJ5T1U9LDDK99iepgD4XKD9i_8LY/edit?gid=20346383#gid=20346383"",""Div2B Roster!A6:I72""), ""SELECT Col1, Col2, Col4, Col5, Col6, Col7 WHERE Col3 = '""&amp;A1&amp;""'"")"),"BON BERNARD")</f>
        <v>BON BERNARD</v>
      </c>
      <c r="B14" s="284" t="str">
        <f ca="1">IFERROR(__xludf.DUMMYFUNCTION("""COMPUTED_VALUE"""),"ALLAN")</f>
        <v>ALLAN</v>
      </c>
      <c r="C14" s="285" t="str">
        <f ca="1">IFERROR(__xludf.DUMMYFUNCTION("""COMPUTED_VALUE"""),"F/C")</f>
        <v>F/C</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IFERROR(__xludf.DUMMYFUNCTION("""COMPUTED_VALUE"""),"BURKE")</f>
        <v>BURKE</v>
      </c>
      <c r="B15" s="284" t="str">
        <f ca="1">IFERROR(__xludf.DUMMYFUNCTION("""COMPUTED_VALUE"""),"RICHARD")</f>
        <v>RICHARD</v>
      </c>
      <c r="C15" s="285" t="str">
        <f ca="1">IFERROR(__xludf.DUMMYFUNCTION("""COMPUTED_VALUE"""),"F(LW)")</f>
        <v>F(LW)</v>
      </c>
      <c r="D15" s="286" t="str">
        <f ca="1">IFERROR(__xludf.DUMMYFUNCTION("""COMPUTED_VALUE"""),"Y")</f>
        <v>Y</v>
      </c>
      <c r="E15" s="286" t="str">
        <f ca="1">IFERROR(__xludf.DUMMYFUNCTION("""COMPUTED_VALUE"""),"Y")</f>
        <v>Y</v>
      </c>
      <c r="F15" s="286" t="str">
        <f ca="1">IFERROR(__xludf.DUMMYFUNCTION("""COMPUTED_VALUE"""),"N")</f>
        <v>N</v>
      </c>
      <c r="G15" s="268"/>
    </row>
    <row r="16" spans="1:7" ht="22.5" customHeight="1" x14ac:dyDescent="0.25">
      <c r="A16" s="283" t="str">
        <f ca="1">IFERROR(__xludf.DUMMYFUNCTION("""COMPUTED_VALUE"""),"CARLYLE")</f>
        <v>CARLYLE</v>
      </c>
      <c r="B16" s="284" t="str">
        <f ca="1">IFERROR(__xludf.DUMMYFUNCTION("""COMPUTED_VALUE"""),"DAVID")</f>
        <v>DAVID</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8"/>
    </row>
    <row r="17" spans="1:7" ht="22.5" customHeight="1" x14ac:dyDescent="0.25">
      <c r="A17" s="283" t="str">
        <f ca="1">IFERROR(__xludf.DUMMYFUNCTION("""COMPUTED_VALUE"""),"CHIVERS")</f>
        <v>CHIVERS</v>
      </c>
      <c r="B17" s="284" t="str">
        <f ca="1">IFERROR(__xludf.DUMMYFUNCTION("""COMPUTED_VALUE"""),"BRUCE")</f>
        <v>BRUCE</v>
      </c>
      <c r="C17" s="285" t="str">
        <f ca="1">IFERROR(__xludf.DUMMYFUNCTION("""COMPUTED_VALUE"""),"C/F")</f>
        <v>C/F</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IFERROR(__xludf.DUMMYFUNCTION("""COMPUTED_VALUE"""),"DAVIS")</f>
        <v>DAVIS</v>
      </c>
      <c r="B18" s="284" t="str">
        <f ca="1">IFERROR(__xludf.DUMMYFUNCTION("""COMPUTED_VALUE"""),"GLEN")</f>
        <v>GLEN</v>
      </c>
      <c r="C18" s="285" t="str">
        <f ca="1">IFERROR(__xludf.DUMMYFUNCTION("""COMPUTED_VALUE"""),"F(RW)")</f>
        <v>F(RW)</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IFERROR(__xludf.DUMMYFUNCTION("""COMPUTED_VALUE"""),"DOCKSTADER")</f>
        <v>DOCKSTADER</v>
      </c>
      <c r="B19" s="284" t="str">
        <f ca="1">IFERROR(__xludf.DUMMYFUNCTION("""COMPUTED_VALUE"""),"LEWIS")</f>
        <v>LEWIS</v>
      </c>
      <c r="C19" s="285" t="str">
        <f ca="1">IFERROR(__xludf.DUMMYFUNCTION("""COMPUTED_VALUE"""),"D")</f>
        <v>D</v>
      </c>
      <c r="D19" s="286" t="str">
        <f ca="1">IFERROR(__xludf.DUMMYFUNCTION("""COMPUTED_VALUE"""),"Y")</f>
        <v>Y</v>
      </c>
      <c r="E19" s="286" t="str">
        <f ca="1">IFERROR(__xludf.DUMMYFUNCTION("""COMPUTED_VALUE"""),"Y")</f>
        <v>Y</v>
      </c>
      <c r="F19" s="286" t="str">
        <f ca="1">IFERROR(__xludf.DUMMYFUNCTION("""COMPUTED_VALUE"""),"N")</f>
        <v>N</v>
      </c>
      <c r="G19" s="268"/>
    </row>
    <row r="20" spans="1:7" ht="22.5" customHeight="1" x14ac:dyDescent="0.25">
      <c r="A20" s="283" t="str">
        <f ca="1">IFERROR(__xludf.DUMMYFUNCTION("""COMPUTED_VALUE"""),"EMERY")</f>
        <v>EMERY</v>
      </c>
      <c r="B20" s="284" t="str">
        <f ca="1">IFERROR(__xludf.DUMMYFUNCTION("""COMPUTED_VALUE"""),"GREG")</f>
        <v>GREG</v>
      </c>
      <c r="C20" s="285" t="str">
        <f ca="1">IFERROR(__xludf.DUMMYFUNCTION("""COMPUTED_VALUE"""),"D(R)/F(RW)")</f>
        <v>D(R)/F(RW)</v>
      </c>
      <c r="D20" s="286" t="str">
        <f ca="1">IFERROR(__xludf.DUMMYFUNCTION("""COMPUTED_VALUE"""),"N")</f>
        <v>N</v>
      </c>
      <c r="E20" s="286" t="str">
        <f ca="1">IFERROR(__xludf.DUMMYFUNCTION("""COMPUTED_VALUE"""),"N")</f>
        <v>N</v>
      </c>
      <c r="F20" s="286" t="str">
        <f ca="1">IFERROR(__xludf.DUMMYFUNCTION("""COMPUTED_VALUE"""),"Y")</f>
        <v>Y</v>
      </c>
      <c r="G20" s="268"/>
    </row>
    <row r="21" spans="1:7" ht="22.5" customHeight="1" x14ac:dyDescent="0.25">
      <c r="A21" s="283" t="str">
        <f ca="1">IFERROR(__xludf.DUMMYFUNCTION("""COMPUTED_VALUE"""),"EUSTACE")</f>
        <v>EUSTACE</v>
      </c>
      <c r="B21" s="284" t="str">
        <f ca="1">IFERROR(__xludf.DUMMYFUNCTION("""COMPUTED_VALUE"""),"TOM")</f>
        <v>TOM</v>
      </c>
      <c r="C21" s="285" t="str">
        <f ca="1">IFERROR(__xludf.DUMMYFUNCTION("""COMPUTED_VALUE"""),"D(R)")</f>
        <v>D(R)</v>
      </c>
      <c r="D21" s="286" t="str">
        <f ca="1">IFERROR(__xludf.DUMMYFUNCTION("""COMPUTED_VALUE"""),"Y")</f>
        <v>Y</v>
      </c>
      <c r="E21" s="286" t="str">
        <f ca="1">IFERROR(__xludf.DUMMYFUNCTION("""COMPUTED_VALUE"""),"Y")</f>
        <v>Y</v>
      </c>
      <c r="F21" s="286" t="str">
        <f ca="1">IFERROR(__xludf.DUMMYFUNCTION("""COMPUTED_VALUE"""),"Y")</f>
        <v>Y</v>
      </c>
      <c r="G21" s="268"/>
    </row>
    <row r="22" spans="1:7" ht="22.5" customHeight="1" x14ac:dyDescent="0.25">
      <c r="A22" s="283" t="str">
        <f ca="1">IFERROR(__xludf.DUMMYFUNCTION("""COMPUTED_VALUE"""),"HUGHES")</f>
        <v>HUGHES</v>
      </c>
      <c r="B22" s="284" t="str">
        <f ca="1">IFERROR(__xludf.DUMMYFUNCTION("""COMPUTED_VALUE"""),"JAMES")</f>
        <v>JAMES</v>
      </c>
      <c r="C22" s="285" t="str">
        <f ca="1">IFERROR(__xludf.DUMMYFUNCTION("""COMPUTED_VALUE"""),"F(LW)")</f>
        <v>F(LW)</v>
      </c>
      <c r="D22" s="286" t="str">
        <f ca="1">IFERROR(__xludf.DUMMYFUNCTION("""COMPUTED_VALUE"""),"Y")</f>
        <v>Y</v>
      </c>
      <c r="E22" s="286" t="str">
        <f ca="1">IFERROR(__xludf.DUMMYFUNCTION("""COMPUTED_VALUE"""),"N")</f>
        <v>N</v>
      </c>
      <c r="F22" s="286" t="str">
        <f ca="1">IFERROR(__xludf.DUMMYFUNCTION("""COMPUTED_VALUE"""),"Y")</f>
        <v>Y</v>
      </c>
      <c r="G22" s="268"/>
    </row>
    <row r="23" spans="1:7" ht="22.5" customHeight="1" x14ac:dyDescent="0.25">
      <c r="A23" s="283" t="str">
        <f ca="1">IFERROR(__xludf.DUMMYFUNCTION("""COMPUTED_VALUE"""),"JOHNSTON")</f>
        <v>JOHNSTON</v>
      </c>
      <c r="B23" s="284" t="str">
        <f ca="1">IFERROR(__xludf.DUMMYFUNCTION("""COMPUTED_VALUE"""),"RICK")</f>
        <v>RICK</v>
      </c>
      <c r="C23" s="285" t="str">
        <f ca="1">IFERROR(__xludf.DUMMYFUNCTION("""COMPUTED_VALUE"""),"F")</f>
        <v>F</v>
      </c>
      <c r="D23" s="286" t="str">
        <f ca="1">IFERROR(__xludf.DUMMYFUNCTION("""COMPUTED_VALUE"""),"Y")</f>
        <v>Y</v>
      </c>
      <c r="E23" s="286" t="str">
        <f ca="1">IFERROR(__xludf.DUMMYFUNCTION("""COMPUTED_VALUE"""),"Y")</f>
        <v>Y</v>
      </c>
      <c r="F23" s="286" t="str">
        <f ca="1">IFERROR(__xludf.DUMMYFUNCTION("""COMPUTED_VALUE"""),"Y")</f>
        <v>Y</v>
      </c>
      <c r="G23" s="268"/>
    </row>
    <row r="24" spans="1:7" ht="22.5" customHeight="1" x14ac:dyDescent="0.25">
      <c r="A24" s="283" t="str">
        <f ca="1">IFERROR(__xludf.DUMMYFUNCTION("""COMPUTED_VALUE"""),"MCGUINNESS")</f>
        <v>MCGUINNESS</v>
      </c>
      <c r="B24" s="284" t="str">
        <f ca="1">IFERROR(__xludf.DUMMYFUNCTION("""COMPUTED_VALUE"""),"JOHN")</f>
        <v>JOHN</v>
      </c>
      <c r="C24" s="285" t="str">
        <f ca="1">IFERROR(__xludf.DUMMYFUNCTION("""COMPUTED_VALUE"""),"D/F")</f>
        <v>D/F</v>
      </c>
      <c r="D24" s="286" t="str">
        <f ca="1">IFERROR(__xludf.DUMMYFUNCTION("""COMPUTED_VALUE"""),"N")</f>
        <v>N</v>
      </c>
      <c r="E24" s="286" t="str">
        <f ca="1">IFERROR(__xludf.DUMMYFUNCTION("""COMPUTED_VALUE"""),"N")</f>
        <v>N</v>
      </c>
      <c r="F24" s="286" t="str">
        <f ca="1">IFERROR(__xludf.DUMMYFUNCTION("""COMPUTED_VALUE"""),"Y")</f>
        <v>Y</v>
      </c>
      <c r="G24" s="268"/>
    </row>
    <row r="25" spans="1:7" ht="22.5" customHeight="1" x14ac:dyDescent="0.25">
      <c r="A25" s="283" t="str">
        <f ca="1">IFERROR(__xludf.DUMMYFUNCTION("""COMPUTED_VALUE"""),"MCINNES")</f>
        <v>MCINNES</v>
      </c>
      <c r="B25" s="284" t="str">
        <f ca="1">IFERROR(__xludf.DUMMYFUNCTION("""COMPUTED_VALUE"""),"KEVIN")</f>
        <v>KEVIN</v>
      </c>
      <c r="C25" s="285" t="str">
        <f ca="1">IFERROR(__xludf.DUMMYFUNCTION("""COMPUTED_VALUE"""),"G")</f>
        <v>G</v>
      </c>
      <c r="D25" s="286" t="str">
        <f ca="1">IFERROR(__xludf.DUMMYFUNCTION("""COMPUTED_VALUE"""),"N")</f>
        <v>N</v>
      </c>
      <c r="E25" s="286" t="str">
        <f ca="1">IFERROR(__xludf.DUMMYFUNCTION("""COMPUTED_VALUE"""),"N")</f>
        <v>N</v>
      </c>
      <c r="F25" s="286" t="str">
        <f ca="1">IFERROR(__xludf.DUMMYFUNCTION("""COMPUTED_VALUE"""),"Y")</f>
        <v>Y</v>
      </c>
      <c r="G25" s="268"/>
    </row>
    <row r="26" spans="1:7" ht="22.5" customHeight="1" x14ac:dyDescent="0.25">
      <c r="A26" s="283" t="str">
        <f ca="1">IFERROR(__xludf.DUMMYFUNCTION("""COMPUTED_VALUE"""),"MEILI")</f>
        <v>MEILI</v>
      </c>
      <c r="B26" s="284" t="str">
        <f ca="1">IFERROR(__xludf.DUMMYFUNCTION("""COMPUTED_VALUE"""),"WAYNE")</f>
        <v>WAYNE</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IFERROR(__xludf.DUMMYFUNCTION("""COMPUTED_VALUE"""),"Y")</f>
        <v>Y</v>
      </c>
      <c r="G26" s="268"/>
    </row>
    <row r="27" spans="1:7" ht="22.5" customHeight="1" x14ac:dyDescent="0.25">
      <c r="A27" s="283" t="str">
        <f ca="1">IFERROR(__xludf.DUMMYFUNCTION("""COMPUTED_VALUE"""),"ROWE")</f>
        <v>ROWE</v>
      </c>
      <c r="B27" s="284" t="str">
        <f ca="1">IFERROR(__xludf.DUMMYFUNCTION("""COMPUTED_VALUE"""),"FRANK")</f>
        <v>FRANK</v>
      </c>
      <c r="C27" s="285" t="str">
        <f ca="1">IFERROR(__xludf.DUMMYFUNCTION("""COMPUTED_VALUE"""),"D(R)")</f>
        <v>D(R)</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t="str">
        <f ca="1">IFERROR(__xludf.DUMMYFUNCTION("""COMPUTED_VALUE"""),"STALLARD")</f>
        <v>STALLARD</v>
      </c>
      <c r="B28" s="284" t="str">
        <f ca="1">IFERROR(__xludf.DUMMYFUNCTION("""COMPUTED_VALUE"""),"CHARLIE")</f>
        <v>CHARLIE</v>
      </c>
      <c r="C28" s="285" t="str">
        <f ca="1">IFERROR(__xludf.DUMMYFUNCTION("""COMPUTED_VALUE"""),"F(RW)")</f>
        <v>F(RW)</v>
      </c>
      <c r="D28" s="286" t="str">
        <f ca="1">IFERROR(__xludf.DUMMYFUNCTION("""COMPUTED_VALUE"""),"N")</f>
        <v>N</v>
      </c>
      <c r="E28" s="286" t="str">
        <f ca="1">IFERROR(__xludf.DUMMYFUNCTION("""COMPUTED_VALUE"""),"Y")</f>
        <v>Y</v>
      </c>
      <c r="F28" s="286" t="str">
        <f ca="1">IFERROR(__xludf.DUMMYFUNCTION("""COMPUTED_VALUE"""),"N")</f>
        <v>N</v>
      </c>
      <c r="G28" s="268"/>
    </row>
    <row r="29" spans="1:7" ht="22.5" customHeight="1" x14ac:dyDescent="0.25">
      <c r="A29" s="283" t="str">
        <f ca="1">IFERROR(__xludf.DUMMYFUNCTION("""COMPUTED_VALUE"""),"VAN HUMBECK")</f>
        <v>VAN HUMBECK</v>
      </c>
      <c r="B29" s="284" t="str">
        <f ca="1">IFERROR(__xludf.DUMMYFUNCTION("""COMPUTED_VALUE"""),"JIM")</f>
        <v>JIM</v>
      </c>
      <c r="C29" s="285" t="str">
        <f ca="1">IFERROR(__xludf.DUMMYFUNCTION("""COMPUTED_VALUE"""),"D(L)")</f>
        <v>D(L)</v>
      </c>
      <c r="D29" s="286" t="str">
        <f ca="1">IFERROR(__xludf.DUMMYFUNCTION("""COMPUTED_VALUE"""),"Y")</f>
        <v>Y</v>
      </c>
      <c r="E29" s="286" t="str">
        <f ca="1">IFERROR(__xludf.DUMMYFUNCTION("""COMPUTED_VALUE"""),"Y")</f>
        <v>Y</v>
      </c>
      <c r="F29" s="286" t="str">
        <f ca="1">IFERROR(__xludf.DUMMYFUNCTION("""COMPUTED_VALUE"""),"Y")</f>
        <v>Y</v>
      </c>
      <c r="G29" s="268"/>
    </row>
    <row r="30" spans="1:7" ht="22.5" customHeight="1" x14ac:dyDescent="0.25">
      <c r="A30" s="283" t="str">
        <f ca="1">IFERROR(__xludf.DUMMYFUNCTION("""COMPUTED_VALUE"""),"WEBB")</f>
        <v>WEBB</v>
      </c>
      <c r="B30" s="284" t="str">
        <f ca="1">IFERROR(__xludf.DUMMYFUNCTION("""COMPUTED_VALUE"""),"DOUGLAS")</f>
        <v>DOUGLAS</v>
      </c>
      <c r="C30" s="285" t="str">
        <f ca="1">IFERROR(__xludf.DUMMYFUNCTION("""COMPUTED_VALUE"""),"G")</f>
        <v>G</v>
      </c>
      <c r="D30" s="286" t="str">
        <f ca="1">IFERROR(__xludf.DUMMYFUNCTION("""COMPUTED_VALUE"""),"Y")</f>
        <v>Y</v>
      </c>
      <c r="E30" s="286" t="str">
        <f ca="1">IFERROR(__xludf.DUMMYFUNCTION("""COMPUTED_VALUE"""),"Y")</f>
        <v>Y</v>
      </c>
      <c r="F30" s="286" t="str">
        <f ca="1">IFERROR(__xludf.DUMMYFUNCTION("""COMPUTED_VALUE"""),"N")</f>
        <v>N</v>
      </c>
      <c r="G30" s="268"/>
    </row>
    <row r="31" spans="1:7" ht="22.5" customHeight="1" x14ac:dyDescent="0.25">
      <c r="A31" s="283" t="str">
        <f ca="1">IFERROR(__xludf.DUMMYFUNCTION("""COMPUTED_VALUE"""),"WOOD")</f>
        <v>WOOD</v>
      </c>
      <c r="B31" s="284" t="str">
        <f ca="1">IFERROR(__xludf.DUMMYFUNCTION("""COMPUTED_VALUE"""),"RAY")</f>
        <v>RAY</v>
      </c>
      <c r="C31" s="285" t="str">
        <f ca="1">IFERROR(__xludf.DUMMYFUNCTION("""COMPUTED_VALUE"""),"C")</f>
        <v>C</v>
      </c>
      <c r="D31" s="286" t="str">
        <f ca="1">IFERROR(__xludf.DUMMYFUNCTION("""COMPUTED_VALUE"""),"Y")</f>
        <v>Y</v>
      </c>
      <c r="E31" s="286" t="str">
        <f ca="1">IFERROR(__xludf.DUMMYFUNCTION("""COMPUTED_VALUE"""),"Y")</f>
        <v>Y</v>
      </c>
      <c r="F31" s="286" t="str">
        <f ca="1">IFERROR(__xludf.DUMMYFUNCTION("""COMPUTED_VALUE"""),"Y")</f>
        <v>Y</v>
      </c>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6" priority="5">
      <formula>LEN(TRIM(B7))&gt;0</formula>
    </cfRule>
  </conditionalFormatting>
  <conditionalFormatting sqref="C7:D9">
    <cfRule type="notContainsBlanks" dxfId="5" priority="4">
      <formula>LEN(TRIM(C7))&gt;0</formula>
    </cfRule>
  </conditionalFormatting>
  <conditionalFormatting sqref="D14:F31">
    <cfRule type="endsWith" dxfId="4" priority="1" operator="endsWith" text="M">
      <formula>RIGHT((D14),LEN("M"))=("M")</formula>
    </cfRule>
    <cfRule type="cellIs" dxfId="3" priority="2" operator="equal">
      <formula>"N"</formula>
    </cfRule>
    <cfRule type="cellIs" dxfId="2" priority="3" operator="equal">
      <formula>"Y"</formula>
    </cfRule>
  </conditionalFormatting>
  <conditionalFormatting sqref="E7:F9">
    <cfRule type="expression" dxfId="1" priority="6">
      <formula>B7=""</formula>
    </cfRule>
    <cfRule type="expression" dxfId="0" priority="7">
      <formula>C7=""</formula>
    </cfRule>
  </conditionalFormatting>
  <hyperlinks>
    <hyperlink ref="E4" location="LOOKUP!A1" display="Back to Lookup" xr:uid="{00000000-0004-0000-1100-000000000000}"/>
  </hyperlinks>
  <printOptions horizontalCentered="1" gridLines="1"/>
  <pageMargins left="0.7" right="0.7" top="0.75" bottom="0.75" header="0" footer="0"/>
  <pageSetup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O98"/>
  <sheetViews>
    <sheetView showGridLines="0" workbookViewId="0"/>
  </sheetViews>
  <sheetFormatPr defaultColWidth="12.5703125" defaultRowHeight="15.75" customHeight="1" x14ac:dyDescent="0.2"/>
  <cols>
    <col min="1" max="1" width="1.28515625" customWidth="1"/>
    <col min="2" max="2" width="3" customWidth="1"/>
    <col min="3" max="3" width="1.5703125" customWidth="1"/>
    <col min="4" max="4" width="1.42578125" customWidth="1"/>
    <col min="5" max="6" width="18.28515625" customWidth="1"/>
    <col min="7" max="7" width="2.5703125" customWidth="1"/>
    <col min="8" max="8" width="22.5703125" customWidth="1"/>
    <col min="10" max="10" width="22.28515625" customWidth="1"/>
    <col min="11" max="11" width="2.5703125" customWidth="1"/>
    <col min="12" max="12" width="18.28515625" customWidth="1"/>
    <col min="13" max="13" width="1.42578125" customWidth="1"/>
    <col min="14" max="14" width="2.42578125" customWidth="1"/>
    <col min="15" max="15" width="1.42578125" customWidth="1"/>
  </cols>
  <sheetData>
    <row r="1" spans="1:15" ht="28.5" customHeight="1" x14ac:dyDescent="0.2">
      <c r="A1" s="54"/>
      <c r="B1" s="336" t="s">
        <v>36</v>
      </c>
      <c r="C1" s="292"/>
      <c r="D1" s="292"/>
      <c r="E1" s="292"/>
      <c r="F1" s="292"/>
      <c r="G1" s="292"/>
      <c r="H1" s="292"/>
      <c r="I1" s="292"/>
      <c r="J1" s="292"/>
      <c r="K1" s="292"/>
      <c r="L1" s="292"/>
      <c r="M1" s="292"/>
      <c r="N1" s="292"/>
      <c r="O1" s="54"/>
    </row>
    <row r="2" spans="1:15" ht="7.5" customHeight="1" x14ac:dyDescent="0.2">
      <c r="A2" s="54"/>
      <c r="B2" s="337" t="s">
        <v>37</v>
      </c>
      <c r="C2" s="338"/>
      <c r="D2" s="338"/>
      <c r="E2" s="338"/>
      <c r="F2" s="338"/>
      <c r="G2" s="338"/>
      <c r="H2" s="338"/>
      <c r="I2" s="338"/>
      <c r="J2" s="338"/>
      <c r="K2" s="338"/>
      <c r="L2" s="338"/>
      <c r="M2" s="338"/>
      <c r="N2" s="339"/>
      <c r="O2" s="54"/>
    </row>
    <row r="3" spans="1:15" ht="7.5" customHeight="1" x14ac:dyDescent="0.2">
      <c r="A3" s="55"/>
      <c r="B3" s="56"/>
      <c r="C3" s="55"/>
      <c r="D3" s="55"/>
      <c r="E3" s="55"/>
      <c r="F3" s="55"/>
      <c r="G3" s="55"/>
      <c r="H3" s="55"/>
      <c r="I3" s="57"/>
      <c r="J3" s="55"/>
      <c r="K3" s="55"/>
      <c r="L3" s="55"/>
      <c r="M3" s="55"/>
      <c r="N3" s="58"/>
      <c r="O3" s="55"/>
    </row>
    <row r="4" spans="1:15" ht="7.5" customHeight="1" x14ac:dyDescent="0.2">
      <c r="A4" s="55"/>
      <c r="B4" s="56"/>
      <c r="C4" s="55"/>
      <c r="D4" s="55"/>
      <c r="E4" s="55"/>
      <c r="F4" s="55"/>
      <c r="G4" s="55"/>
      <c r="H4" s="55"/>
      <c r="I4" s="57"/>
      <c r="J4" s="55"/>
      <c r="K4" s="55"/>
      <c r="L4" s="55"/>
      <c r="M4" s="55"/>
      <c r="N4" s="58"/>
      <c r="O4" s="55"/>
    </row>
    <row r="5" spans="1:15" ht="33.75" customHeight="1" x14ac:dyDescent="0.2">
      <c r="A5" s="59"/>
      <c r="B5" s="60"/>
      <c r="C5" s="340">
        <v>45978</v>
      </c>
      <c r="D5" s="341"/>
      <c r="E5" s="341"/>
      <c r="F5" s="341"/>
      <c r="G5" s="341"/>
      <c r="H5" s="341"/>
      <c r="I5" s="341"/>
      <c r="J5" s="341"/>
      <c r="K5" s="341"/>
      <c r="L5" s="341"/>
      <c r="M5" s="335"/>
      <c r="N5" s="61"/>
      <c r="O5" s="59"/>
    </row>
    <row r="6" spans="1:15" ht="18" x14ac:dyDescent="0.2">
      <c r="A6" s="62"/>
      <c r="B6" s="63"/>
      <c r="C6" s="64"/>
      <c r="D6" s="62"/>
      <c r="E6" s="65"/>
      <c r="F6" s="66"/>
      <c r="G6" s="66"/>
      <c r="H6" s="66"/>
      <c r="I6" s="67"/>
      <c r="J6" s="66"/>
      <c r="K6" s="66"/>
      <c r="L6" s="68"/>
      <c r="M6" s="69"/>
      <c r="N6" s="70"/>
      <c r="O6" s="62"/>
    </row>
    <row r="7" spans="1:15" ht="18" x14ac:dyDescent="0.2">
      <c r="A7" s="62"/>
      <c r="B7" s="63"/>
      <c r="C7" s="342" t="s">
        <v>38</v>
      </c>
      <c r="D7" s="292"/>
      <c r="E7" s="292"/>
      <c r="F7" s="292"/>
      <c r="G7" s="292"/>
      <c r="H7" s="292"/>
      <c r="I7" s="292"/>
      <c r="J7" s="292"/>
      <c r="K7" s="292"/>
      <c r="L7" s="292"/>
      <c r="M7" s="343"/>
      <c r="N7" s="70"/>
      <c r="O7" s="62"/>
    </row>
    <row r="8" spans="1:15" ht="18" x14ac:dyDescent="0.2">
      <c r="A8" s="62"/>
      <c r="B8" s="63"/>
      <c r="C8" s="342" t="s">
        <v>39</v>
      </c>
      <c r="D8" s="292"/>
      <c r="E8" s="292"/>
      <c r="F8" s="292"/>
      <c r="G8" s="292"/>
      <c r="H8" s="292"/>
      <c r="I8" s="292"/>
      <c r="J8" s="292"/>
      <c r="K8" s="292"/>
      <c r="L8" s="292"/>
      <c r="M8" s="343"/>
      <c r="N8" s="70"/>
      <c r="O8" s="62"/>
    </row>
    <row r="9" spans="1:15" ht="18" x14ac:dyDescent="0.2">
      <c r="A9" s="62"/>
      <c r="B9" s="63"/>
      <c r="C9" s="64"/>
      <c r="D9" s="62"/>
      <c r="E9" s="71"/>
      <c r="F9" s="72"/>
      <c r="G9" s="72"/>
      <c r="H9" s="72"/>
      <c r="I9" s="73"/>
      <c r="J9" s="72"/>
      <c r="K9" s="72"/>
      <c r="L9" s="74"/>
      <c r="M9" s="69"/>
      <c r="N9" s="70"/>
      <c r="O9" s="62"/>
    </row>
    <row r="10" spans="1:15" ht="17.25" customHeight="1" x14ac:dyDescent="0.2">
      <c r="A10" s="75"/>
      <c r="B10" s="76"/>
      <c r="C10" s="77"/>
      <c r="D10" s="344" t="s">
        <v>40</v>
      </c>
      <c r="E10" s="315"/>
      <c r="F10" s="78" t="s">
        <v>41</v>
      </c>
      <c r="G10" s="79"/>
      <c r="H10" s="80" t="s">
        <v>42</v>
      </c>
      <c r="I10" s="81"/>
      <c r="J10" s="82" t="s">
        <v>7</v>
      </c>
      <c r="K10" s="83"/>
      <c r="L10" s="84" t="s">
        <v>41</v>
      </c>
      <c r="M10" s="69"/>
      <c r="N10" s="70"/>
      <c r="O10" s="62"/>
    </row>
    <row r="11" spans="1:15" ht="8.25" customHeight="1" x14ac:dyDescent="0.2">
      <c r="A11" s="85"/>
      <c r="B11" s="86"/>
      <c r="C11" s="87"/>
      <c r="D11" s="88"/>
      <c r="E11" s="88"/>
      <c r="F11" s="89"/>
      <c r="G11" s="90"/>
      <c r="H11" s="91"/>
      <c r="I11" s="91"/>
      <c r="J11" s="91"/>
      <c r="K11" s="92"/>
      <c r="L11" s="93"/>
      <c r="M11" s="94"/>
      <c r="N11" s="95"/>
      <c r="O11" s="96"/>
    </row>
    <row r="12" spans="1:15" ht="9" customHeight="1" x14ac:dyDescent="0.2">
      <c r="A12" s="85"/>
      <c r="B12" s="86"/>
      <c r="C12" s="87"/>
      <c r="D12" s="97"/>
      <c r="E12" s="98"/>
      <c r="F12" s="99"/>
      <c r="G12" s="100"/>
      <c r="H12" s="101"/>
      <c r="I12" s="102"/>
      <c r="J12" s="103"/>
      <c r="K12" s="104"/>
      <c r="L12" s="105"/>
      <c r="M12" s="94"/>
      <c r="N12" s="95"/>
      <c r="O12" s="96"/>
    </row>
    <row r="13" spans="1:15" ht="22.5" customHeight="1" x14ac:dyDescent="0.2">
      <c r="A13" s="106"/>
      <c r="B13" s="107"/>
      <c r="C13" s="108"/>
      <c r="D13" s="109"/>
      <c r="E13" s="110" t="s">
        <v>43</v>
      </c>
      <c r="F13" s="111" t="s">
        <v>44</v>
      </c>
      <c r="G13" s="112"/>
      <c r="H13" s="113" t="s">
        <v>12</v>
      </c>
      <c r="I13" s="114" t="s">
        <v>45</v>
      </c>
      <c r="J13" s="113" t="s">
        <v>15</v>
      </c>
      <c r="K13" s="115"/>
      <c r="L13" s="116" t="str">
        <f>F13</f>
        <v>11:00 – 12:15</v>
      </c>
      <c r="M13" s="117"/>
      <c r="N13" s="118"/>
      <c r="O13" s="119"/>
    </row>
    <row r="14" spans="1:15" ht="22.5" customHeight="1" x14ac:dyDescent="0.2">
      <c r="A14" s="120"/>
      <c r="B14" s="121"/>
      <c r="C14" s="122"/>
      <c r="D14" s="123"/>
      <c r="E14" s="124"/>
      <c r="F14" s="125"/>
      <c r="G14" s="126"/>
      <c r="H14" s="91"/>
      <c r="I14" s="127"/>
      <c r="J14" s="91"/>
      <c r="K14" s="128"/>
      <c r="L14" s="129"/>
      <c r="M14" s="117"/>
      <c r="N14" s="118"/>
      <c r="O14" s="119"/>
    </row>
    <row r="15" spans="1:15" ht="23.25" customHeight="1" x14ac:dyDescent="0.2">
      <c r="A15" s="120"/>
      <c r="B15" s="121"/>
      <c r="C15" s="122"/>
      <c r="D15" s="123"/>
      <c r="E15" s="130" t="s">
        <v>43</v>
      </c>
      <c r="F15" s="131" t="s">
        <v>46</v>
      </c>
      <c r="G15" s="132"/>
      <c r="H15" s="110" t="s">
        <v>5</v>
      </c>
      <c r="I15" s="133" t="s">
        <v>45</v>
      </c>
      <c r="J15" s="110" t="s">
        <v>8</v>
      </c>
      <c r="K15" s="134"/>
      <c r="L15" s="135" t="str">
        <f>F15</f>
        <v>12:30 – 1:45</v>
      </c>
      <c r="M15" s="136"/>
      <c r="N15" s="137"/>
      <c r="O15" s="138"/>
    </row>
    <row r="16" spans="1:15" ht="7.5" customHeight="1" x14ac:dyDescent="0.2">
      <c r="A16" s="120"/>
      <c r="B16" s="121"/>
      <c r="C16" s="122"/>
      <c r="D16" s="139"/>
      <c r="E16" s="140"/>
      <c r="F16" s="141"/>
      <c r="G16" s="142"/>
      <c r="H16" s="143"/>
      <c r="I16" s="144"/>
      <c r="J16" s="143"/>
      <c r="K16" s="145"/>
      <c r="L16" s="146"/>
      <c r="M16" s="136"/>
      <c r="N16" s="137"/>
      <c r="O16" s="138"/>
    </row>
    <row r="17" spans="1:15" ht="8.25" customHeight="1" x14ac:dyDescent="0.2">
      <c r="A17" s="85"/>
      <c r="B17" s="86"/>
      <c r="C17" s="87"/>
      <c r="D17" s="85"/>
      <c r="E17" s="88"/>
      <c r="F17" s="89"/>
      <c r="G17" s="90"/>
      <c r="H17" s="89"/>
      <c r="I17" s="147"/>
      <c r="J17" s="72"/>
      <c r="K17" s="92"/>
      <c r="L17" s="93"/>
      <c r="M17" s="94"/>
      <c r="N17" s="95"/>
      <c r="O17" s="96"/>
    </row>
    <row r="18" spans="1:15" ht="9" customHeight="1" x14ac:dyDescent="0.2">
      <c r="A18" s="85"/>
      <c r="B18" s="86"/>
      <c r="C18" s="87"/>
      <c r="D18" s="97"/>
      <c r="E18" s="98"/>
      <c r="F18" s="99"/>
      <c r="G18" s="100"/>
      <c r="H18" s="101"/>
      <c r="I18" s="102"/>
      <c r="J18" s="103"/>
      <c r="K18" s="104"/>
      <c r="L18" s="105"/>
      <c r="M18" s="94"/>
      <c r="N18" s="95"/>
      <c r="O18" s="96"/>
    </row>
    <row r="19" spans="1:15" ht="22.5" customHeight="1" x14ac:dyDescent="0.2">
      <c r="A19" s="119"/>
      <c r="B19" s="148"/>
      <c r="C19" s="149"/>
      <c r="D19" s="150"/>
      <c r="E19" s="151" t="s">
        <v>47</v>
      </c>
      <c r="F19" s="111" t="s">
        <v>48</v>
      </c>
      <c r="G19" s="152"/>
      <c r="H19" s="153" t="s">
        <v>10</v>
      </c>
      <c r="I19" s="114" t="s">
        <v>45</v>
      </c>
      <c r="J19" s="153" t="s">
        <v>16</v>
      </c>
      <c r="K19" s="115"/>
      <c r="L19" s="154" t="str">
        <f>F19</f>
        <v>9:00 – 10:15</v>
      </c>
      <c r="M19" s="136"/>
      <c r="N19" s="137"/>
      <c r="O19" s="138"/>
    </row>
    <row r="20" spans="1:15" ht="22.5" customHeight="1" x14ac:dyDescent="0.2">
      <c r="A20" s="85"/>
      <c r="B20" s="86"/>
      <c r="C20" s="87"/>
      <c r="D20" s="155"/>
      <c r="E20" s="156"/>
      <c r="F20" s="125"/>
      <c r="G20" s="126"/>
      <c r="H20" s="91"/>
      <c r="I20" s="127"/>
      <c r="J20" s="91"/>
      <c r="K20" s="128"/>
      <c r="L20" s="129"/>
      <c r="M20" s="117"/>
      <c r="N20" s="118"/>
      <c r="O20" s="119"/>
    </row>
    <row r="21" spans="1:15" ht="22.5" customHeight="1" x14ac:dyDescent="0.2">
      <c r="A21" s="120"/>
      <c r="B21" s="121"/>
      <c r="C21" s="122"/>
      <c r="D21" s="123"/>
      <c r="E21" s="124" t="s">
        <v>47</v>
      </c>
      <c r="F21" s="125" t="s">
        <v>49</v>
      </c>
      <c r="G21" s="157"/>
      <c r="H21" s="113" t="s">
        <v>6</v>
      </c>
      <c r="I21" s="158" t="s">
        <v>45</v>
      </c>
      <c r="J21" s="113" t="s">
        <v>18</v>
      </c>
      <c r="K21" s="159"/>
      <c r="L21" s="160" t="str">
        <f>F21</f>
        <v>10:30 – 11:45</v>
      </c>
      <c r="M21" s="136"/>
      <c r="N21" s="137"/>
      <c r="O21" s="138"/>
    </row>
    <row r="22" spans="1:15" ht="22.5" customHeight="1" x14ac:dyDescent="0.2">
      <c r="A22" s="120"/>
      <c r="B22" s="121"/>
      <c r="C22" s="122"/>
      <c r="D22" s="123"/>
      <c r="E22" s="161"/>
      <c r="F22" s="89"/>
      <c r="G22" s="162"/>
      <c r="H22" s="163"/>
      <c r="I22" s="164"/>
      <c r="J22" s="163"/>
      <c r="K22" s="165"/>
      <c r="L22" s="166"/>
      <c r="M22" s="136"/>
      <c r="N22" s="137"/>
      <c r="O22" s="138"/>
    </row>
    <row r="23" spans="1:15" ht="22.5" customHeight="1" x14ac:dyDescent="0.2">
      <c r="A23" s="120"/>
      <c r="B23" s="121"/>
      <c r="C23" s="122"/>
      <c r="D23" s="123"/>
      <c r="E23" s="124" t="s">
        <v>47</v>
      </c>
      <c r="F23" s="125" t="s">
        <v>50</v>
      </c>
      <c r="G23" s="162"/>
      <c r="H23" s="110" t="s">
        <v>17</v>
      </c>
      <c r="I23" s="164"/>
      <c r="J23" s="110" t="s">
        <v>19</v>
      </c>
      <c r="K23" s="165"/>
      <c r="L23" s="166" t="str">
        <f>F23</f>
        <v>12:00 – 1:15</v>
      </c>
      <c r="M23" s="136"/>
      <c r="N23" s="137"/>
      <c r="O23" s="138"/>
    </row>
    <row r="24" spans="1:15" ht="7.5" customHeight="1" x14ac:dyDescent="0.2">
      <c r="A24" s="120"/>
      <c r="B24" s="121"/>
      <c r="C24" s="122"/>
      <c r="D24" s="139"/>
      <c r="E24" s="140"/>
      <c r="F24" s="141"/>
      <c r="G24" s="142"/>
      <c r="H24" s="143"/>
      <c r="I24" s="144"/>
      <c r="J24" s="143"/>
      <c r="K24" s="145"/>
      <c r="L24" s="146"/>
      <c r="M24" s="136"/>
      <c r="N24" s="137"/>
      <c r="O24" s="138"/>
    </row>
    <row r="25" spans="1:15" ht="8.25" customHeight="1" x14ac:dyDescent="0.2">
      <c r="A25" s="85"/>
      <c r="B25" s="86"/>
      <c r="C25" s="87"/>
      <c r="D25" s="88"/>
      <c r="E25" s="88"/>
      <c r="F25" s="89"/>
      <c r="G25" s="90"/>
      <c r="H25" s="91"/>
      <c r="I25" s="91"/>
      <c r="J25" s="91"/>
      <c r="K25" s="92"/>
      <c r="L25" s="93"/>
      <c r="M25" s="94"/>
      <c r="N25" s="95"/>
      <c r="O25" s="96"/>
    </row>
    <row r="26" spans="1:15" ht="9" customHeight="1" x14ac:dyDescent="0.2">
      <c r="A26" s="85"/>
      <c r="B26" s="86"/>
      <c r="C26" s="87"/>
      <c r="D26" s="167"/>
      <c r="E26" s="98"/>
      <c r="F26" s="99"/>
      <c r="G26" s="100"/>
      <c r="H26" s="101"/>
      <c r="I26" s="102"/>
      <c r="J26" s="103"/>
      <c r="K26" s="104"/>
      <c r="L26" s="105"/>
      <c r="M26" s="136"/>
      <c r="N26" s="95"/>
      <c r="O26" s="96"/>
    </row>
    <row r="27" spans="1:15" ht="22.5" customHeight="1" x14ac:dyDescent="0.2">
      <c r="A27" s="106"/>
      <c r="B27" s="107"/>
      <c r="C27" s="108"/>
      <c r="D27" s="155"/>
      <c r="E27" s="168" t="s">
        <v>51</v>
      </c>
      <c r="F27" s="111" t="s">
        <v>52</v>
      </c>
      <c r="G27" s="152"/>
      <c r="H27" s="113" t="s">
        <v>20</v>
      </c>
      <c r="I27" s="114" t="s">
        <v>45</v>
      </c>
      <c r="J27" s="113" t="s">
        <v>9</v>
      </c>
      <c r="K27" s="115"/>
      <c r="L27" s="154" t="str">
        <f>F27</f>
        <v>9:15 – 10:30</v>
      </c>
      <c r="M27" s="136"/>
      <c r="N27" s="137"/>
      <c r="O27" s="138"/>
    </row>
    <row r="28" spans="1:15" ht="22.5" customHeight="1" x14ac:dyDescent="0.2">
      <c r="A28" s="85"/>
      <c r="B28" s="86"/>
      <c r="C28" s="87"/>
      <c r="D28" s="123"/>
      <c r="E28" s="156"/>
      <c r="F28" s="125"/>
      <c r="G28" s="126"/>
      <c r="H28" s="169"/>
      <c r="I28" s="127"/>
      <c r="J28" s="170"/>
      <c r="K28" s="171"/>
      <c r="L28" s="129"/>
      <c r="M28" s="117"/>
      <c r="N28" s="118"/>
      <c r="O28" s="119"/>
    </row>
    <row r="29" spans="1:15" ht="22.5" customHeight="1" x14ac:dyDescent="0.2">
      <c r="A29" s="120"/>
      <c r="B29" s="121"/>
      <c r="C29" s="122"/>
      <c r="D29" s="123"/>
      <c r="E29" s="124" t="s">
        <v>51</v>
      </c>
      <c r="F29" s="125" t="s">
        <v>53</v>
      </c>
      <c r="G29" s="157"/>
      <c r="H29" s="110" t="s">
        <v>14</v>
      </c>
      <c r="I29" s="158" t="s">
        <v>45</v>
      </c>
      <c r="J29" s="110" t="s">
        <v>11</v>
      </c>
      <c r="K29" s="159"/>
      <c r="L29" s="172" t="str">
        <f>F29</f>
        <v>10:45 – 12:00</v>
      </c>
      <c r="M29" s="136"/>
      <c r="N29" s="137"/>
      <c r="O29" s="138"/>
    </row>
    <row r="30" spans="1:15" ht="22.5" customHeight="1" x14ac:dyDescent="0.2">
      <c r="A30" s="85"/>
      <c r="B30" s="86"/>
      <c r="C30" s="87"/>
      <c r="D30" s="123"/>
      <c r="E30" s="156"/>
      <c r="F30" s="125"/>
      <c r="G30" s="173"/>
      <c r="H30" s="91"/>
      <c r="I30" s="127"/>
      <c r="J30" s="91"/>
      <c r="K30" s="174"/>
      <c r="L30" s="175"/>
      <c r="M30" s="117"/>
      <c r="N30" s="118"/>
      <c r="O30" s="119"/>
    </row>
    <row r="31" spans="1:15" ht="22.5" customHeight="1" x14ac:dyDescent="0.2">
      <c r="A31" s="120"/>
      <c r="B31" s="121"/>
      <c r="C31" s="122"/>
      <c r="D31" s="123"/>
      <c r="E31" s="176" t="s">
        <v>51</v>
      </c>
      <c r="F31" s="125" t="s">
        <v>54</v>
      </c>
      <c r="G31" s="157"/>
      <c r="H31" s="153" t="s">
        <v>13</v>
      </c>
      <c r="I31" s="158" t="s">
        <v>45</v>
      </c>
      <c r="J31" s="153" t="s">
        <v>7</v>
      </c>
      <c r="K31" s="159"/>
      <c r="L31" s="172" t="str">
        <f>F31</f>
        <v>12:15 – 1:30</v>
      </c>
      <c r="M31" s="136"/>
      <c r="N31" s="137"/>
      <c r="O31" s="138"/>
    </row>
    <row r="32" spans="1:15" ht="7.5" customHeight="1" x14ac:dyDescent="0.2">
      <c r="A32" s="120"/>
      <c r="B32" s="121"/>
      <c r="C32" s="177"/>
      <c r="D32" s="178"/>
      <c r="E32" s="178"/>
      <c r="F32" s="179"/>
      <c r="G32" s="180"/>
      <c r="H32" s="181"/>
      <c r="I32" s="182"/>
      <c r="J32" s="181"/>
      <c r="K32" s="183"/>
      <c r="L32" s="184"/>
      <c r="M32" s="185"/>
      <c r="N32" s="137"/>
      <c r="O32" s="138"/>
    </row>
    <row r="33" spans="1:15" ht="9" customHeight="1" x14ac:dyDescent="0.2">
      <c r="A33" s="85"/>
      <c r="B33" s="86"/>
      <c r="C33" s="85"/>
      <c r="D33" s="85"/>
      <c r="E33" s="88"/>
      <c r="F33" s="90"/>
      <c r="G33" s="90"/>
      <c r="H33" s="89"/>
      <c r="I33" s="147"/>
      <c r="J33" s="72"/>
      <c r="K33" s="92"/>
      <c r="L33" s="162"/>
      <c r="M33" s="186"/>
      <c r="N33" s="187"/>
      <c r="O33" s="186"/>
    </row>
    <row r="34" spans="1:15" ht="34.5" customHeight="1" x14ac:dyDescent="0.2">
      <c r="A34" s="188"/>
      <c r="B34" s="189"/>
      <c r="C34" s="340">
        <v>45979</v>
      </c>
      <c r="D34" s="341"/>
      <c r="E34" s="341"/>
      <c r="F34" s="341"/>
      <c r="G34" s="341"/>
      <c r="H34" s="341"/>
      <c r="I34" s="341"/>
      <c r="J34" s="341"/>
      <c r="K34" s="341"/>
      <c r="L34" s="341"/>
      <c r="M34" s="335"/>
      <c r="N34" s="190"/>
      <c r="O34" s="188"/>
    </row>
    <row r="35" spans="1:15" ht="12" customHeight="1" x14ac:dyDescent="0.2">
      <c r="A35" s="191"/>
      <c r="B35" s="192"/>
      <c r="C35" s="346"/>
      <c r="D35" s="292"/>
      <c r="E35" s="292"/>
      <c r="F35" s="292"/>
      <c r="G35" s="292"/>
      <c r="H35" s="292"/>
      <c r="I35" s="292"/>
      <c r="J35" s="292"/>
      <c r="K35" s="292"/>
      <c r="L35" s="292"/>
      <c r="M35" s="343"/>
      <c r="N35" s="193"/>
      <c r="O35" s="191"/>
    </row>
    <row r="36" spans="1:15" ht="18" x14ac:dyDescent="0.2">
      <c r="A36" s="62"/>
      <c r="B36" s="63"/>
      <c r="C36" s="342" t="s">
        <v>38</v>
      </c>
      <c r="D36" s="292"/>
      <c r="E36" s="292"/>
      <c r="F36" s="292"/>
      <c r="G36" s="292"/>
      <c r="H36" s="292"/>
      <c r="I36" s="292"/>
      <c r="J36" s="292"/>
      <c r="K36" s="292"/>
      <c r="L36" s="292"/>
      <c r="M36" s="343"/>
      <c r="N36" s="70"/>
      <c r="O36" s="62"/>
    </row>
    <row r="37" spans="1:15" ht="18" x14ac:dyDescent="0.2">
      <c r="A37" s="62"/>
      <c r="B37" s="63"/>
      <c r="C37" s="342" t="s">
        <v>39</v>
      </c>
      <c r="D37" s="292"/>
      <c r="E37" s="292"/>
      <c r="F37" s="292"/>
      <c r="G37" s="292"/>
      <c r="H37" s="292"/>
      <c r="I37" s="292"/>
      <c r="J37" s="292"/>
      <c r="K37" s="292"/>
      <c r="L37" s="292"/>
      <c r="M37" s="343"/>
      <c r="N37" s="70"/>
      <c r="O37" s="62"/>
    </row>
    <row r="38" spans="1:15" ht="12" customHeight="1" x14ac:dyDescent="0.2">
      <c r="A38" s="85"/>
      <c r="B38" s="86"/>
      <c r="C38" s="345"/>
      <c r="D38" s="292"/>
      <c r="E38" s="292"/>
      <c r="F38" s="292"/>
      <c r="G38" s="292"/>
      <c r="H38" s="292"/>
      <c r="I38" s="292"/>
      <c r="J38" s="292"/>
      <c r="K38" s="292"/>
      <c r="L38" s="292"/>
      <c r="M38" s="343"/>
      <c r="N38" s="194"/>
      <c r="O38" s="195"/>
    </row>
    <row r="39" spans="1:15" ht="15.75" customHeight="1" x14ac:dyDescent="0.2">
      <c r="A39" s="75"/>
      <c r="B39" s="76"/>
      <c r="C39" s="77"/>
      <c r="D39" s="344" t="s">
        <v>40</v>
      </c>
      <c r="E39" s="315"/>
      <c r="F39" s="78" t="s">
        <v>41</v>
      </c>
      <c r="G39" s="79"/>
      <c r="H39" s="80" t="s">
        <v>42</v>
      </c>
      <c r="I39" s="81"/>
      <c r="J39" s="82" t="s">
        <v>7</v>
      </c>
      <c r="K39" s="83"/>
      <c r="L39" s="84" t="s">
        <v>41</v>
      </c>
      <c r="M39" s="69"/>
      <c r="N39" s="70"/>
      <c r="O39" s="62"/>
    </row>
    <row r="40" spans="1:15" ht="11.25" customHeight="1" x14ac:dyDescent="0.25">
      <c r="A40" s="119"/>
      <c r="B40" s="148"/>
      <c r="C40" s="149"/>
      <c r="D40" s="119"/>
      <c r="E40" s="196"/>
      <c r="F40" s="196"/>
      <c r="G40" s="197"/>
      <c r="H40" s="197"/>
      <c r="I40" s="198"/>
      <c r="J40" s="197"/>
      <c r="K40" s="197"/>
      <c r="L40" s="196"/>
      <c r="M40" s="199"/>
      <c r="N40" s="200"/>
      <c r="O40" s="196"/>
    </row>
    <row r="41" spans="1:15" ht="8.25" customHeight="1" x14ac:dyDescent="0.25">
      <c r="A41" s="119"/>
      <c r="B41" s="148"/>
      <c r="C41" s="149"/>
      <c r="D41" s="167"/>
      <c r="E41" s="101"/>
      <c r="F41" s="201"/>
      <c r="G41" s="202"/>
      <c r="H41" s="202"/>
      <c r="I41" s="203"/>
      <c r="J41" s="202"/>
      <c r="K41" s="202"/>
      <c r="L41" s="204"/>
      <c r="M41" s="199"/>
      <c r="N41" s="200"/>
      <c r="O41" s="196"/>
    </row>
    <row r="42" spans="1:15" ht="20.25" customHeight="1" x14ac:dyDescent="0.2">
      <c r="A42" s="106"/>
      <c r="B42" s="107"/>
      <c r="C42" s="108"/>
      <c r="D42" s="109"/>
      <c r="E42" s="205" t="s">
        <v>55</v>
      </c>
      <c r="F42" s="111" t="s">
        <v>49</v>
      </c>
      <c r="G42" s="152"/>
      <c r="H42" s="153" t="s">
        <v>13</v>
      </c>
      <c r="I42" s="114" t="s">
        <v>45</v>
      </c>
      <c r="J42" s="153" t="s">
        <v>16</v>
      </c>
      <c r="K42" s="115"/>
      <c r="L42" s="154" t="str">
        <f>F42</f>
        <v>10:30 – 11:45</v>
      </c>
      <c r="M42" s="206"/>
      <c r="N42" s="207"/>
      <c r="O42" s="106"/>
    </row>
    <row r="43" spans="1:15" ht="20.25" customHeight="1" x14ac:dyDescent="0.2">
      <c r="A43" s="85"/>
      <c r="B43" s="86"/>
      <c r="C43" s="87"/>
      <c r="D43" s="155"/>
      <c r="E43" s="156"/>
      <c r="F43" s="208"/>
      <c r="G43" s="209"/>
      <c r="H43" s="91"/>
      <c r="I43" s="91"/>
      <c r="J43" s="91"/>
      <c r="K43" s="210"/>
      <c r="L43" s="116"/>
      <c r="M43" s="117"/>
      <c r="N43" s="118"/>
      <c r="O43" s="119"/>
    </row>
    <row r="44" spans="1:15" ht="20.25" customHeight="1" x14ac:dyDescent="0.2">
      <c r="A44" s="120"/>
      <c r="B44" s="121"/>
      <c r="C44" s="122"/>
      <c r="D44" s="123"/>
      <c r="E44" s="130" t="s">
        <v>56</v>
      </c>
      <c r="F44" s="131" t="s">
        <v>50</v>
      </c>
      <c r="G44" s="132"/>
      <c r="H44" s="113" t="s">
        <v>20</v>
      </c>
      <c r="I44" s="133" t="s">
        <v>45</v>
      </c>
      <c r="J44" s="113" t="s">
        <v>12</v>
      </c>
      <c r="K44" s="134"/>
      <c r="L44" s="135" t="str">
        <f>F44</f>
        <v>12:00 – 1:15</v>
      </c>
      <c r="M44" s="117"/>
      <c r="N44" s="119"/>
      <c r="O44" s="211"/>
    </row>
    <row r="45" spans="1:15" ht="7.5" customHeight="1" x14ac:dyDescent="0.2">
      <c r="A45" s="120"/>
      <c r="B45" s="121"/>
      <c r="C45" s="122"/>
      <c r="D45" s="139"/>
      <c r="E45" s="140"/>
      <c r="F45" s="141"/>
      <c r="G45" s="142"/>
      <c r="H45" s="143"/>
      <c r="I45" s="144"/>
      <c r="J45" s="143"/>
      <c r="K45" s="145"/>
      <c r="L45" s="146"/>
      <c r="M45" s="136"/>
      <c r="N45" s="137"/>
      <c r="O45" s="138"/>
    </row>
    <row r="46" spans="1:15" ht="10.5" customHeight="1" x14ac:dyDescent="0.2">
      <c r="A46" s="163"/>
      <c r="B46" s="212"/>
      <c r="C46" s="213"/>
      <c r="D46" s="163"/>
      <c r="E46" s="214"/>
      <c r="F46" s="89"/>
      <c r="G46" s="90"/>
      <c r="H46" s="91"/>
      <c r="I46" s="91"/>
      <c r="J46" s="91"/>
      <c r="K46" s="92"/>
      <c r="L46" s="215"/>
      <c r="M46" s="117"/>
      <c r="N46" s="118"/>
      <c r="O46" s="119"/>
    </row>
    <row r="47" spans="1:15" ht="8.25" customHeight="1" x14ac:dyDescent="0.2">
      <c r="A47" s="163"/>
      <c r="B47" s="212"/>
      <c r="C47" s="213"/>
      <c r="D47" s="216"/>
      <c r="E47" s="217"/>
      <c r="F47" s="218"/>
      <c r="G47" s="219"/>
      <c r="H47" s="220"/>
      <c r="I47" s="221"/>
      <c r="J47" s="220"/>
      <c r="K47" s="104"/>
      <c r="L47" s="222"/>
      <c r="M47" s="117"/>
      <c r="N47" s="118"/>
      <c r="O47" s="119"/>
    </row>
    <row r="48" spans="1:15" ht="20.25" customHeight="1" x14ac:dyDescent="0.2">
      <c r="A48" s="106"/>
      <c r="B48" s="107"/>
      <c r="C48" s="108"/>
      <c r="D48" s="109"/>
      <c r="E48" s="110" t="s">
        <v>43</v>
      </c>
      <c r="F48" s="111" t="s">
        <v>57</v>
      </c>
      <c r="G48" s="152"/>
      <c r="H48" s="113" t="s">
        <v>9</v>
      </c>
      <c r="I48" s="114" t="s">
        <v>45</v>
      </c>
      <c r="J48" s="113" t="s">
        <v>6</v>
      </c>
      <c r="K48" s="115"/>
      <c r="L48" s="154" t="str">
        <f>F48</f>
        <v>11:45 – 1:00</v>
      </c>
      <c r="M48" s="117"/>
      <c r="N48" s="118"/>
      <c r="O48" s="119"/>
    </row>
    <row r="49" spans="1:15" ht="7.5" customHeight="1" x14ac:dyDescent="0.2">
      <c r="A49" s="120"/>
      <c r="B49" s="121"/>
      <c r="C49" s="122"/>
      <c r="D49" s="139"/>
      <c r="E49" s="140"/>
      <c r="F49" s="141"/>
      <c r="G49" s="142"/>
      <c r="H49" s="143"/>
      <c r="I49" s="144"/>
      <c r="J49" s="143"/>
      <c r="K49" s="145"/>
      <c r="L49" s="146"/>
      <c r="M49" s="136"/>
      <c r="N49" s="137"/>
      <c r="O49" s="138"/>
    </row>
    <row r="50" spans="1:15" ht="10.5" customHeight="1" x14ac:dyDescent="0.2">
      <c r="A50" s="163"/>
      <c r="B50" s="212"/>
      <c r="C50" s="213"/>
      <c r="D50" s="163"/>
      <c r="E50" s="214"/>
      <c r="F50" s="89"/>
      <c r="G50" s="90"/>
      <c r="H50" s="91"/>
      <c r="I50" s="91"/>
      <c r="J50" s="91"/>
      <c r="K50" s="92"/>
      <c r="L50" s="215"/>
      <c r="M50" s="117"/>
      <c r="N50" s="118"/>
      <c r="O50" s="119"/>
    </row>
    <row r="51" spans="1:15" ht="9" customHeight="1" x14ac:dyDescent="0.2">
      <c r="A51" s="75"/>
      <c r="B51" s="76"/>
      <c r="C51" s="77"/>
      <c r="D51" s="223"/>
      <c r="E51" s="224"/>
      <c r="F51" s="99"/>
      <c r="G51" s="225"/>
      <c r="H51" s="220"/>
      <c r="I51" s="220"/>
      <c r="J51" s="220"/>
      <c r="K51" s="225"/>
      <c r="L51" s="226"/>
      <c r="M51" s="206"/>
      <c r="N51" s="207"/>
      <c r="O51" s="106"/>
    </row>
    <row r="52" spans="1:15" ht="20.25" customHeight="1" x14ac:dyDescent="0.2">
      <c r="A52" s="106"/>
      <c r="B52" s="107"/>
      <c r="C52" s="108"/>
      <c r="D52" s="109"/>
      <c r="E52" s="227" t="s">
        <v>47</v>
      </c>
      <c r="F52" s="111" t="s">
        <v>49</v>
      </c>
      <c r="G52" s="152"/>
      <c r="H52" s="110" t="s">
        <v>14</v>
      </c>
      <c r="I52" s="114" t="s">
        <v>45</v>
      </c>
      <c r="J52" s="110" t="s">
        <v>5</v>
      </c>
      <c r="K52" s="115"/>
      <c r="L52" s="154" t="str">
        <f>F52</f>
        <v>10:30 – 11:45</v>
      </c>
      <c r="M52" s="117"/>
      <c r="N52" s="118"/>
      <c r="O52" s="119"/>
    </row>
    <row r="53" spans="1:15" ht="20.25" customHeight="1" x14ac:dyDescent="0.2">
      <c r="A53" s="85"/>
      <c r="B53" s="86"/>
      <c r="C53" s="87"/>
      <c r="D53" s="155"/>
      <c r="E53" s="156"/>
      <c r="F53" s="125"/>
      <c r="G53" s="126"/>
      <c r="H53" s="91"/>
      <c r="I53" s="127"/>
      <c r="J53" s="91"/>
      <c r="K53" s="128"/>
      <c r="L53" s="129"/>
      <c r="M53" s="117"/>
      <c r="N53" s="118"/>
      <c r="O53" s="119"/>
    </row>
    <row r="54" spans="1:15" ht="20.25" customHeight="1" x14ac:dyDescent="0.2">
      <c r="A54" s="120"/>
      <c r="B54" s="121"/>
      <c r="C54" s="122"/>
      <c r="D54" s="123"/>
      <c r="E54" s="130" t="s">
        <v>47</v>
      </c>
      <c r="F54" s="131" t="s">
        <v>50</v>
      </c>
      <c r="G54" s="132"/>
      <c r="H54" s="110" t="s">
        <v>8</v>
      </c>
      <c r="I54" s="133" t="s">
        <v>45</v>
      </c>
      <c r="J54" s="110" t="s">
        <v>19</v>
      </c>
      <c r="K54" s="134"/>
      <c r="L54" s="135" t="str">
        <f>F54</f>
        <v>12:00 – 1:15</v>
      </c>
      <c r="M54" s="117"/>
      <c r="N54" s="118"/>
      <c r="O54" s="119"/>
    </row>
    <row r="55" spans="1:15" ht="7.5" customHeight="1" x14ac:dyDescent="0.2">
      <c r="A55" s="120"/>
      <c r="B55" s="121"/>
      <c r="C55" s="122"/>
      <c r="D55" s="139"/>
      <c r="E55" s="140"/>
      <c r="F55" s="141"/>
      <c r="G55" s="142"/>
      <c r="H55" s="143"/>
      <c r="I55" s="144"/>
      <c r="J55" s="143"/>
      <c r="K55" s="145"/>
      <c r="L55" s="146"/>
      <c r="M55" s="136"/>
      <c r="N55" s="137"/>
      <c r="O55" s="138"/>
    </row>
    <row r="56" spans="1:15" ht="20.25" customHeight="1" x14ac:dyDescent="0.2">
      <c r="A56" s="85"/>
      <c r="B56" s="86"/>
      <c r="C56" s="87"/>
      <c r="D56" s="85"/>
      <c r="E56" s="88"/>
      <c r="F56" s="85"/>
      <c r="G56" s="228"/>
      <c r="H56" s="91"/>
      <c r="I56" s="91"/>
      <c r="J56" s="91"/>
      <c r="K56" s="92"/>
      <c r="L56" s="85"/>
      <c r="M56" s="229"/>
      <c r="N56" s="230"/>
      <c r="O56" s="85"/>
    </row>
    <row r="57" spans="1:15" ht="10.5" customHeight="1" x14ac:dyDescent="0.2">
      <c r="A57" s="163"/>
      <c r="B57" s="212"/>
      <c r="C57" s="213"/>
      <c r="D57" s="216"/>
      <c r="E57" s="231"/>
      <c r="F57" s="218"/>
      <c r="G57" s="219"/>
      <c r="H57" s="232"/>
      <c r="I57" s="232"/>
      <c r="J57" s="232"/>
      <c r="K57" s="233"/>
      <c r="L57" s="222"/>
      <c r="M57" s="117"/>
      <c r="N57" s="118"/>
      <c r="O57" s="119"/>
    </row>
    <row r="58" spans="1:15" ht="20.25" customHeight="1" x14ac:dyDescent="0.2">
      <c r="A58" s="106"/>
      <c r="B58" s="107"/>
      <c r="C58" s="108"/>
      <c r="D58" s="109"/>
      <c r="E58" s="168" t="s">
        <v>51</v>
      </c>
      <c r="F58" s="111" t="s">
        <v>52</v>
      </c>
      <c r="G58" s="152"/>
      <c r="H58" s="113" t="s">
        <v>18</v>
      </c>
      <c r="I58" s="114" t="s">
        <v>45</v>
      </c>
      <c r="J58" s="113" t="s">
        <v>15</v>
      </c>
      <c r="K58" s="115"/>
      <c r="L58" s="154" t="str">
        <f>F58</f>
        <v>9:15 – 10:30</v>
      </c>
      <c r="M58" s="117"/>
      <c r="N58" s="118"/>
      <c r="O58" s="119"/>
    </row>
    <row r="59" spans="1:15" ht="20.25" customHeight="1" x14ac:dyDescent="0.2">
      <c r="A59" s="85"/>
      <c r="B59" s="86"/>
      <c r="C59" s="87"/>
      <c r="D59" s="155"/>
      <c r="E59" s="88"/>
      <c r="F59" s="131"/>
      <c r="G59" s="234"/>
      <c r="H59" s="91"/>
      <c r="I59" s="235"/>
      <c r="J59" s="91"/>
      <c r="K59" s="171"/>
      <c r="L59" s="236"/>
      <c r="M59" s="117"/>
      <c r="N59" s="118"/>
      <c r="O59" s="119"/>
    </row>
    <row r="60" spans="1:15" ht="20.25" customHeight="1" x14ac:dyDescent="0.2">
      <c r="A60" s="120"/>
      <c r="B60" s="121"/>
      <c r="C60" s="122"/>
      <c r="D60" s="123"/>
      <c r="E60" s="130" t="s">
        <v>51</v>
      </c>
      <c r="F60" s="111" t="s">
        <v>53</v>
      </c>
      <c r="G60" s="132"/>
      <c r="H60" s="153" t="s">
        <v>7</v>
      </c>
      <c r="I60" s="133" t="s">
        <v>45</v>
      </c>
      <c r="J60" s="153" t="s">
        <v>10</v>
      </c>
      <c r="K60" s="134"/>
      <c r="L60" s="135" t="str">
        <f>F60</f>
        <v>10:45 – 12:00</v>
      </c>
      <c r="M60" s="117"/>
      <c r="N60" s="118"/>
      <c r="O60" s="119"/>
    </row>
    <row r="61" spans="1:15" ht="20.25" customHeight="1" x14ac:dyDescent="0.2">
      <c r="A61" s="120"/>
      <c r="B61" s="121"/>
      <c r="C61" s="122"/>
      <c r="D61" s="123"/>
      <c r="E61" s="161"/>
      <c r="F61" s="237"/>
      <c r="G61" s="162"/>
      <c r="H61" s="163"/>
      <c r="I61" s="164"/>
      <c r="J61" s="163"/>
      <c r="K61" s="165"/>
      <c r="L61" s="166"/>
      <c r="M61" s="117"/>
      <c r="N61" s="118"/>
      <c r="O61" s="119"/>
    </row>
    <row r="62" spans="1:15" ht="20.25" customHeight="1" x14ac:dyDescent="0.2">
      <c r="A62" s="120"/>
      <c r="B62" s="121"/>
      <c r="C62" s="122"/>
      <c r="D62" s="123"/>
      <c r="E62" s="130" t="s">
        <v>51</v>
      </c>
      <c r="F62" s="111" t="s">
        <v>54</v>
      </c>
      <c r="G62" s="162"/>
      <c r="H62" s="110" t="s">
        <v>11</v>
      </c>
      <c r="I62" s="164"/>
      <c r="J62" s="110" t="s">
        <v>17</v>
      </c>
      <c r="K62" s="165"/>
      <c r="L62" s="166" t="str">
        <f>F62</f>
        <v>12:15 – 1:30</v>
      </c>
      <c r="M62" s="117"/>
      <c r="N62" s="118"/>
      <c r="O62" s="119"/>
    </row>
    <row r="63" spans="1:15" ht="10.5" customHeight="1" x14ac:dyDescent="0.2">
      <c r="A63" s="163"/>
      <c r="B63" s="212"/>
      <c r="C63" s="213"/>
      <c r="D63" s="238"/>
      <c r="E63" s="239"/>
      <c r="F63" s="141"/>
      <c r="G63" s="240"/>
      <c r="H63" s="241"/>
      <c r="I63" s="241"/>
      <c r="J63" s="241"/>
      <c r="K63" s="242"/>
      <c r="L63" s="243"/>
      <c r="M63" s="117"/>
      <c r="N63" s="118"/>
      <c r="O63" s="119"/>
    </row>
    <row r="64" spans="1:15" ht="8.25" customHeight="1" x14ac:dyDescent="0.2">
      <c r="A64" s="85"/>
      <c r="B64" s="86"/>
      <c r="C64" s="244"/>
      <c r="D64" s="245"/>
      <c r="E64" s="246"/>
      <c r="F64" s="246"/>
      <c r="G64" s="246"/>
      <c r="H64" s="179"/>
      <c r="I64" s="182"/>
      <c r="J64" s="247"/>
      <c r="K64" s="248"/>
      <c r="L64" s="180"/>
      <c r="M64" s="249"/>
      <c r="N64" s="118"/>
      <c r="O64" s="186"/>
    </row>
    <row r="65" spans="1:15" ht="9" customHeight="1" x14ac:dyDescent="0.2">
      <c r="A65" s="85"/>
      <c r="B65" s="86"/>
      <c r="C65" s="85"/>
      <c r="D65" s="85"/>
      <c r="E65" s="88"/>
      <c r="F65" s="90"/>
      <c r="G65" s="90"/>
      <c r="H65" s="89"/>
      <c r="I65" s="147"/>
      <c r="J65" s="72"/>
      <c r="K65" s="92"/>
      <c r="L65" s="162"/>
      <c r="M65" s="186"/>
      <c r="N65" s="187"/>
      <c r="O65" s="186"/>
    </row>
    <row r="66" spans="1:15" ht="37.5" customHeight="1" x14ac:dyDescent="0.2">
      <c r="A66" s="188"/>
      <c r="B66" s="189"/>
      <c r="C66" s="340">
        <v>45980</v>
      </c>
      <c r="D66" s="341"/>
      <c r="E66" s="341"/>
      <c r="F66" s="341"/>
      <c r="G66" s="341"/>
      <c r="H66" s="341"/>
      <c r="I66" s="341"/>
      <c r="J66" s="341"/>
      <c r="K66" s="341"/>
      <c r="L66" s="341"/>
      <c r="M66" s="335"/>
      <c r="N66" s="190"/>
      <c r="O66" s="188"/>
    </row>
    <row r="67" spans="1:15" ht="12" customHeight="1" x14ac:dyDescent="0.2">
      <c r="A67" s="191"/>
      <c r="B67" s="192"/>
      <c r="C67" s="346"/>
      <c r="D67" s="292"/>
      <c r="E67" s="292"/>
      <c r="F67" s="292"/>
      <c r="G67" s="292"/>
      <c r="H67" s="292"/>
      <c r="I67" s="292"/>
      <c r="J67" s="292"/>
      <c r="K67" s="292"/>
      <c r="L67" s="292"/>
      <c r="M67" s="343"/>
      <c r="N67" s="193"/>
      <c r="O67" s="191"/>
    </row>
    <row r="68" spans="1:15" ht="18" x14ac:dyDescent="0.2">
      <c r="A68" s="62"/>
      <c r="B68" s="63"/>
      <c r="C68" s="342" t="s">
        <v>38</v>
      </c>
      <c r="D68" s="292"/>
      <c r="E68" s="292"/>
      <c r="F68" s="292"/>
      <c r="G68" s="292"/>
      <c r="H68" s="292"/>
      <c r="I68" s="292"/>
      <c r="J68" s="292"/>
      <c r="K68" s="292"/>
      <c r="L68" s="292"/>
      <c r="M68" s="343"/>
      <c r="N68" s="70"/>
      <c r="O68" s="62"/>
    </row>
    <row r="69" spans="1:15" ht="18" x14ac:dyDescent="0.2">
      <c r="A69" s="62"/>
      <c r="B69" s="63"/>
      <c r="C69" s="342" t="s">
        <v>39</v>
      </c>
      <c r="D69" s="292"/>
      <c r="E69" s="292"/>
      <c r="F69" s="292"/>
      <c r="G69" s="292"/>
      <c r="H69" s="292"/>
      <c r="I69" s="292"/>
      <c r="J69" s="292"/>
      <c r="K69" s="292"/>
      <c r="L69" s="292"/>
      <c r="M69" s="343"/>
      <c r="N69" s="70"/>
      <c r="O69" s="62"/>
    </row>
    <row r="70" spans="1:15" ht="12" customHeight="1" x14ac:dyDescent="0.2">
      <c r="A70" s="85"/>
      <c r="B70" s="86"/>
      <c r="C70" s="345"/>
      <c r="D70" s="292"/>
      <c r="E70" s="292"/>
      <c r="F70" s="292"/>
      <c r="G70" s="292"/>
      <c r="H70" s="292"/>
      <c r="I70" s="292"/>
      <c r="J70" s="292"/>
      <c r="K70" s="292"/>
      <c r="L70" s="292"/>
      <c r="M70" s="343"/>
      <c r="N70" s="194"/>
      <c r="O70" s="195"/>
    </row>
    <row r="71" spans="1:15" ht="15.75" customHeight="1" x14ac:dyDescent="0.2">
      <c r="A71" s="75"/>
      <c r="B71" s="76"/>
      <c r="C71" s="77"/>
      <c r="D71" s="344" t="s">
        <v>40</v>
      </c>
      <c r="E71" s="315"/>
      <c r="F71" s="78" t="s">
        <v>41</v>
      </c>
      <c r="G71" s="79"/>
      <c r="H71" s="80" t="s">
        <v>42</v>
      </c>
      <c r="I71" s="81"/>
      <c r="J71" s="82" t="s">
        <v>7</v>
      </c>
      <c r="K71" s="83"/>
      <c r="L71" s="84" t="s">
        <v>41</v>
      </c>
      <c r="M71" s="69"/>
      <c r="N71" s="70"/>
      <c r="O71" s="62"/>
    </row>
    <row r="72" spans="1:15" ht="11.25" customHeight="1" x14ac:dyDescent="0.25">
      <c r="A72" s="119"/>
      <c r="B72" s="148"/>
      <c r="C72" s="149"/>
      <c r="D72" s="119"/>
      <c r="E72" s="196"/>
      <c r="F72" s="196"/>
      <c r="G72" s="197"/>
      <c r="H72" s="197"/>
      <c r="I72" s="198"/>
      <c r="J72" s="197"/>
      <c r="K72" s="197"/>
      <c r="L72" s="196"/>
      <c r="M72" s="199"/>
      <c r="N72" s="200"/>
      <c r="O72" s="196"/>
    </row>
    <row r="73" spans="1:15" ht="8.25" customHeight="1" x14ac:dyDescent="0.25">
      <c r="A73" s="119"/>
      <c r="B73" s="148"/>
      <c r="C73" s="149"/>
      <c r="D73" s="167"/>
      <c r="E73" s="101"/>
      <c r="F73" s="201"/>
      <c r="G73" s="202"/>
      <c r="H73" s="202"/>
      <c r="I73" s="203"/>
      <c r="J73" s="202"/>
      <c r="K73" s="202"/>
      <c r="L73" s="204"/>
      <c r="M73" s="199"/>
      <c r="N73" s="200"/>
      <c r="O73" s="196"/>
    </row>
    <row r="74" spans="1:15" ht="20.25" customHeight="1" x14ac:dyDescent="0.2">
      <c r="A74" s="106"/>
      <c r="B74" s="107"/>
      <c r="C74" s="108"/>
      <c r="D74" s="109"/>
      <c r="E74" s="205" t="s">
        <v>55</v>
      </c>
      <c r="F74" s="111" t="s">
        <v>50</v>
      </c>
      <c r="G74" s="152"/>
      <c r="H74" s="113" t="s">
        <v>9</v>
      </c>
      <c r="I74" s="114" t="s">
        <v>45</v>
      </c>
      <c r="J74" s="113" t="s">
        <v>15</v>
      </c>
      <c r="K74" s="115"/>
      <c r="L74" s="154" t="str">
        <f>F74</f>
        <v>12:00 – 1:15</v>
      </c>
      <c r="M74" s="206"/>
      <c r="N74" s="207"/>
      <c r="O74" s="106"/>
    </row>
    <row r="75" spans="1:15" ht="7.5" customHeight="1" x14ac:dyDescent="0.2">
      <c r="A75" s="120"/>
      <c r="B75" s="121"/>
      <c r="C75" s="122"/>
      <c r="D75" s="139"/>
      <c r="E75" s="140"/>
      <c r="F75" s="141"/>
      <c r="G75" s="142"/>
      <c r="H75" s="143"/>
      <c r="I75" s="144"/>
      <c r="J75" s="143"/>
      <c r="K75" s="145"/>
      <c r="L75" s="146"/>
      <c r="M75" s="136"/>
      <c r="N75" s="137"/>
      <c r="O75" s="138"/>
    </row>
    <row r="76" spans="1:15" ht="10.5" customHeight="1" x14ac:dyDescent="0.2">
      <c r="A76" s="163"/>
      <c r="B76" s="212"/>
      <c r="C76" s="213"/>
      <c r="D76" s="163"/>
      <c r="E76" s="214"/>
      <c r="F76" s="89"/>
      <c r="G76" s="90"/>
      <c r="H76" s="91"/>
      <c r="I76" s="91"/>
      <c r="J76" s="91"/>
      <c r="K76" s="92"/>
      <c r="L76" s="215"/>
      <c r="M76" s="117"/>
      <c r="N76" s="118"/>
      <c r="O76" s="119"/>
    </row>
    <row r="77" spans="1:15" ht="8.25" customHeight="1" x14ac:dyDescent="0.2">
      <c r="A77" s="163"/>
      <c r="B77" s="212"/>
      <c r="C77" s="213"/>
      <c r="D77" s="216"/>
      <c r="E77" s="217"/>
      <c r="F77" s="218"/>
      <c r="G77" s="219"/>
      <c r="H77" s="220"/>
      <c r="I77" s="221"/>
      <c r="J77" s="220"/>
      <c r="K77" s="104"/>
      <c r="L77" s="222"/>
      <c r="M77" s="117"/>
      <c r="N77" s="118"/>
      <c r="O77" s="119"/>
    </row>
    <row r="78" spans="1:15" ht="20.25" customHeight="1" x14ac:dyDescent="0.2">
      <c r="A78" s="106"/>
      <c r="B78" s="107"/>
      <c r="C78" s="108"/>
      <c r="D78" s="109"/>
      <c r="E78" s="110" t="s">
        <v>43</v>
      </c>
      <c r="F78" s="111" t="s">
        <v>44</v>
      </c>
      <c r="G78" s="152"/>
      <c r="H78" s="110" t="s">
        <v>17</v>
      </c>
      <c r="I78" s="114" t="s">
        <v>45</v>
      </c>
      <c r="J78" s="110" t="s">
        <v>8</v>
      </c>
      <c r="K78" s="115"/>
      <c r="L78" s="154" t="str">
        <f>F78</f>
        <v>11:00 – 12:15</v>
      </c>
      <c r="M78" s="117"/>
      <c r="N78" s="118"/>
      <c r="O78" s="119"/>
    </row>
    <row r="79" spans="1:15" ht="20.25" customHeight="1" x14ac:dyDescent="0.2">
      <c r="A79" s="106"/>
      <c r="B79" s="107"/>
      <c r="C79" s="108"/>
      <c r="D79" s="109"/>
      <c r="E79" s="106"/>
      <c r="F79" s="237"/>
      <c r="G79" s="250"/>
      <c r="H79" s="163"/>
      <c r="I79" s="251"/>
      <c r="J79" s="163"/>
      <c r="K79" s="165"/>
      <c r="L79" s="166"/>
      <c r="M79" s="117"/>
      <c r="N79" s="118"/>
      <c r="O79" s="119"/>
    </row>
    <row r="80" spans="1:15" ht="20.25" customHeight="1" x14ac:dyDescent="0.2">
      <c r="A80" s="106"/>
      <c r="B80" s="107"/>
      <c r="C80" s="108"/>
      <c r="D80" s="109"/>
      <c r="E80" s="130" t="s">
        <v>43</v>
      </c>
      <c r="F80" s="111" t="s">
        <v>46</v>
      </c>
      <c r="G80" s="250"/>
      <c r="H80" s="153" t="s">
        <v>16</v>
      </c>
      <c r="I80" s="251"/>
      <c r="J80" s="153" t="s">
        <v>7</v>
      </c>
      <c r="K80" s="165"/>
      <c r="L80" s="166" t="str">
        <f>F80</f>
        <v>12:30 – 1:45</v>
      </c>
      <c r="M80" s="117"/>
      <c r="N80" s="118"/>
      <c r="O80" s="119"/>
    </row>
    <row r="81" spans="1:15" ht="7.5" customHeight="1" x14ac:dyDescent="0.2">
      <c r="A81" s="120"/>
      <c r="B81" s="121"/>
      <c r="C81" s="122"/>
      <c r="D81" s="139"/>
      <c r="E81" s="140"/>
      <c r="F81" s="141"/>
      <c r="G81" s="142"/>
      <c r="H81" s="143"/>
      <c r="I81" s="144"/>
      <c r="J81" s="143"/>
      <c r="K81" s="145"/>
      <c r="L81" s="146"/>
      <c r="M81" s="136"/>
      <c r="N81" s="137"/>
      <c r="O81" s="138"/>
    </row>
    <row r="82" spans="1:15" ht="10.5" customHeight="1" x14ac:dyDescent="0.2">
      <c r="A82" s="163"/>
      <c r="B82" s="212"/>
      <c r="C82" s="213"/>
      <c r="D82" s="163"/>
      <c r="E82" s="214"/>
      <c r="F82" s="89"/>
      <c r="G82" s="90"/>
      <c r="H82" s="91"/>
      <c r="I82" s="91"/>
      <c r="J82" s="91"/>
      <c r="K82" s="92"/>
      <c r="L82" s="215"/>
      <c r="M82" s="117"/>
      <c r="N82" s="118"/>
      <c r="O82" s="119"/>
    </row>
    <row r="83" spans="1:15" ht="8.25" customHeight="1" x14ac:dyDescent="0.2">
      <c r="A83" s="163"/>
      <c r="B83" s="212"/>
      <c r="C83" s="213"/>
      <c r="D83" s="216"/>
      <c r="E83" s="217"/>
      <c r="F83" s="218"/>
      <c r="G83" s="219"/>
      <c r="H83" s="220"/>
      <c r="I83" s="221"/>
      <c r="J83" s="220"/>
      <c r="K83" s="104"/>
      <c r="L83" s="222"/>
      <c r="M83" s="117"/>
      <c r="N83" s="118"/>
      <c r="O83" s="119"/>
    </row>
    <row r="84" spans="1:15" ht="20.25" customHeight="1" x14ac:dyDescent="0.2">
      <c r="A84" s="106"/>
      <c r="B84" s="107"/>
      <c r="C84" s="108"/>
      <c r="D84" s="109"/>
      <c r="E84" s="227" t="s">
        <v>47</v>
      </c>
      <c r="F84" s="111" t="s">
        <v>48</v>
      </c>
      <c r="G84" s="152"/>
      <c r="H84" s="110" t="s">
        <v>5</v>
      </c>
      <c r="I84" s="114" t="s">
        <v>45</v>
      </c>
      <c r="J84" s="110" t="s">
        <v>11</v>
      </c>
      <c r="K84" s="115"/>
      <c r="L84" s="154" t="str">
        <f>F84</f>
        <v>9:00 – 10:15</v>
      </c>
      <c r="M84" s="69"/>
      <c r="N84" s="207"/>
      <c r="O84" s="106"/>
    </row>
    <row r="85" spans="1:15" ht="20.25" customHeight="1" x14ac:dyDescent="0.2">
      <c r="A85" s="85"/>
      <c r="B85" s="86"/>
      <c r="C85" s="87"/>
      <c r="D85" s="155"/>
      <c r="E85" s="156"/>
      <c r="F85" s="208"/>
      <c r="G85" s="209"/>
      <c r="H85" s="91"/>
      <c r="I85" s="91"/>
      <c r="J85" s="91"/>
      <c r="K85" s="210"/>
      <c r="L85" s="116"/>
      <c r="M85" s="117"/>
      <c r="N85" s="118"/>
      <c r="O85" s="119"/>
    </row>
    <row r="86" spans="1:15" ht="20.25" customHeight="1" x14ac:dyDescent="0.2">
      <c r="A86" s="120"/>
      <c r="B86" s="121"/>
      <c r="C86" s="122"/>
      <c r="D86" s="123"/>
      <c r="E86" s="130" t="s">
        <v>47</v>
      </c>
      <c r="F86" s="131" t="s">
        <v>49</v>
      </c>
      <c r="G86" s="132"/>
      <c r="H86" s="110" t="s">
        <v>19</v>
      </c>
      <c r="I86" s="133" t="s">
        <v>45</v>
      </c>
      <c r="J86" s="110" t="s">
        <v>14</v>
      </c>
      <c r="K86" s="134"/>
      <c r="L86" s="135" t="str">
        <f>F86</f>
        <v>10:30 – 11:45</v>
      </c>
      <c r="M86" s="117"/>
      <c r="N86" s="118"/>
      <c r="O86" s="119"/>
    </row>
    <row r="87" spans="1:15" ht="7.5" customHeight="1" x14ac:dyDescent="0.2">
      <c r="A87" s="120"/>
      <c r="B87" s="121"/>
      <c r="C87" s="122"/>
      <c r="D87" s="139"/>
      <c r="E87" s="140"/>
      <c r="F87" s="141"/>
      <c r="G87" s="142"/>
      <c r="H87" s="143"/>
      <c r="I87" s="144"/>
      <c r="J87" s="143"/>
      <c r="K87" s="145"/>
      <c r="L87" s="146"/>
      <c r="M87" s="136"/>
      <c r="N87" s="137"/>
      <c r="O87" s="138"/>
    </row>
    <row r="88" spans="1:15" ht="10.5" customHeight="1" x14ac:dyDescent="0.2">
      <c r="A88" s="163"/>
      <c r="B88" s="212"/>
      <c r="C88" s="213"/>
      <c r="D88" s="163"/>
      <c r="E88" s="214"/>
      <c r="F88" s="89"/>
      <c r="G88" s="90"/>
      <c r="H88" s="91"/>
      <c r="I88" s="91"/>
      <c r="J88" s="91"/>
      <c r="K88" s="92"/>
      <c r="L88" s="215"/>
      <c r="M88" s="117"/>
      <c r="N88" s="118"/>
      <c r="O88" s="119"/>
    </row>
    <row r="89" spans="1:15" ht="8.25" customHeight="1" x14ac:dyDescent="0.2">
      <c r="A89" s="163"/>
      <c r="B89" s="212"/>
      <c r="C89" s="213"/>
      <c r="D89" s="216"/>
      <c r="E89" s="217"/>
      <c r="F89" s="218"/>
      <c r="G89" s="219"/>
      <c r="H89" s="220"/>
      <c r="I89" s="221"/>
      <c r="J89" s="220"/>
      <c r="K89" s="104"/>
      <c r="L89" s="222"/>
      <c r="M89" s="117"/>
      <c r="N89" s="118"/>
      <c r="O89" s="119"/>
    </row>
    <row r="90" spans="1:15" ht="20.25" customHeight="1" x14ac:dyDescent="0.2">
      <c r="A90" s="106"/>
      <c r="B90" s="107"/>
      <c r="C90" s="108"/>
      <c r="D90" s="109"/>
      <c r="E90" s="168" t="s">
        <v>51</v>
      </c>
      <c r="F90" s="111" t="s">
        <v>52</v>
      </c>
      <c r="G90" s="152"/>
      <c r="H90" s="153" t="s">
        <v>13</v>
      </c>
      <c r="I90" s="114" t="s">
        <v>45</v>
      </c>
      <c r="J90" s="153" t="s">
        <v>10</v>
      </c>
      <c r="K90" s="115"/>
      <c r="L90" s="154" t="str">
        <f>F90</f>
        <v>9:15 – 10:30</v>
      </c>
      <c r="M90" s="69"/>
      <c r="N90" s="118"/>
      <c r="O90" s="119"/>
    </row>
    <row r="91" spans="1:15" ht="20.25" customHeight="1" x14ac:dyDescent="0.2">
      <c r="A91" s="85"/>
      <c r="B91" s="86"/>
      <c r="C91" s="87"/>
      <c r="D91" s="155"/>
      <c r="E91" s="156"/>
      <c r="F91" s="208"/>
      <c r="G91" s="209"/>
      <c r="H91" s="91"/>
      <c r="I91" s="91"/>
      <c r="J91" s="91"/>
      <c r="K91" s="210"/>
      <c r="L91" s="116"/>
      <c r="M91" s="117"/>
      <c r="N91" s="118"/>
      <c r="O91" s="119"/>
    </row>
    <row r="92" spans="1:15" ht="20.25" customHeight="1" x14ac:dyDescent="0.2">
      <c r="A92" s="120"/>
      <c r="B92" s="121"/>
      <c r="C92" s="122"/>
      <c r="D92" s="123"/>
      <c r="E92" s="130" t="s">
        <v>51</v>
      </c>
      <c r="F92" s="131" t="s">
        <v>53</v>
      </c>
      <c r="G92" s="132"/>
      <c r="H92" s="113" t="s">
        <v>18</v>
      </c>
      <c r="I92" s="133" t="s">
        <v>45</v>
      </c>
      <c r="J92" s="113" t="s">
        <v>20</v>
      </c>
      <c r="K92" s="134"/>
      <c r="L92" s="135" t="str">
        <f>F92</f>
        <v>10:45 – 12:00</v>
      </c>
      <c r="M92" s="117"/>
      <c r="N92" s="118"/>
      <c r="O92" s="119"/>
    </row>
    <row r="93" spans="1:15" ht="20.25" customHeight="1" x14ac:dyDescent="0.2">
      <c r="A93" s="85"/>
      <c r="B93" s="86"/>
      <c r="C93" s="87"/>
      <c r="D93" s="155"/>
      <c r="E93" s="156"/>
      <c r="F93" s="208"/>
      <c r="G93" s="209"/>
      <c r="H93" s="91"/>
      <c r="I93" s="91"/>
      <c r="J93" s="91"/>
      <c r="K93" s="210"/>
      <c r="L93" s="116"/>
      <c r="M93" s="117"/>
      <c r="N93" s="118"/>
      <c r="O93" s="119"/>
    </row>
    <row r="94" spans="1:15" ht="20.25" customHeight="1" x14ac:dyDescent="0.2">
      <c r="A94" s="120"/>
      <c r="B94" s="121"/>
      <c r="C94" s="122"/>
      <c r="D94" s="123"/>
      <c r="E94" s="130" t="s">
        <v>51</v>
      </c>
      <c r="F94" s="131" t="s">
        <v>54</v>
      </c>
      <c r="G94" s="132"/>
      <c r="H94" s="113" t="s">
        <v>12</v>
      </c>
      <c r="I94" s="133" t="s">
        <v>45</v>
      </c>
      <c r="J94" s="113" t="s">
        <v>6</v>
      </c>
      <c r="K94" s="134"/>
      <c r="L94" s="135" t="str">
        <f>F94</f>
        <v>12:15 – 1:30</v>
      </c>
      <c r="M94" s="117"/>
      <c r="N94" s="118"/>
      <c r="O94" s="119"/>
    </row>
    <row r="95" spans="1:15" ht="7.5" customHeight="1" x14ac:dyDescent="0.2">
      <c r="A95" s="120"/>
      <c r="B95" s="121"/>
      <c r="C95" s="122"/>
      <c r="D95" s="139"/>
      <c r="E95" s="140"/>
      <c r="F95" s="141"/>
      <c r="G95" s="142"/>
      <c r="H95" s="143"/>
      <c r="I95" s="144"/>
      <c r="J95" s="143"/>
      <c r="K95" s="145"/>
      <c r="L95" s="146"/>
      <c r="M95" s="136"/>
      <c r="N95" s="137"/>
      <c r="O95" s="138"/>
    </row>
    <row r="96" spans="1:15" ht="9.75" customHeight="1" x14ac:dyDescent="0.2">
      <c r="A96" s="85"/>
      <c r="B96" s="86"/>
      <c r="C96" s="244"/>
      <c r="D96" s="245"/>
      <c r="E96" s="252"/>
      <c r="F96" s="252"/>
      <c r="G96" s="252"/>
      <c r="H96" s="253"/>
      <c r="I96" s="254"/>
      <c r="J96" s="255"/>
      <c r="K96" s="256"/>
      <c r="L96" s="252"/>
      <c r="M96" s="249"/>
      <c r="N96" s="187"/>
      <c r="O96" s="186"/>
    </row>
    <row r="97" spans="1:15" ht="17.25" customHeight="1" x14ac:dyDescent="0.2">
      <c r="A97" s="85"/>
      <c r="B97" s="257"/>
      <c r="C97" s="258"/>
      <c r="D97" s="258"/>
      <c r="E97" s="259"/>
      <c r="F97" s="259"/>
      <c r="G97" s="259"/>
      <c r="H97" s="260"/>
      <c r="I97" s="261"/>
      <c r="J97" s="262"/>
      <c r="K97" s="263"/>
      <c r="L97" s="259"/>
      <c r="M97" s="259"/>
      <c r="N97" s="264"/>
      <c r="O97" s="186"/>
    </row>
    <row r="98" spans="1:15" ht="17.25" customHeight="1" x14ac:dyDescent="0.25">
      <c r="A98" s="196"/>
      <c r="B98" s="196"/>
      <c r="C98" s="196"/>
      <c r="D98" s="196"/>
      <c r="E98" s="196"/>
      <c r="F98" s="196"/>
      <c r="G98" s="196"/>
      <c r="H98" s="196"/>
      <c r="I98" s="196"/>
      <c r="J98" s="196"/>
      <c r="K98" s="196"/>
      <c r="L98" s="196"/>
      <c r="M98" s="196"/>
      <c r="N98" s="196"/>
      <c r="O98" s="196"/>
    </row>
  </sheetData>
  <mergeCells count="18">
    <mergeCell ref="D71:E71"/>
    <mergeCell ref="C35:M35"/>
    <mergeCell ref="C36:M36"/>
    <mergeCell ref="C37:M37"/>
    <mergeCell ref="C38:M38"/>
    <mergeCell ref="D39:E39"/>
    <mergeCell ref="C66:M66"/>
    <mergeCell ref="C67:M67"/>
    <mergeCell ref="D10:E10"/>
    <mergeCell ref="C34:M34"/>
    <mergeCell ref="C68:M68"/>
    <mergeCell ref="C69:M69"/>
    <mergeCell ref="C70:M70"/>
    <mergeCell ref="B1:N1"/>
    <mergeCell ref="B2:N2"/>
    <mergeCell ref="C5:M5"/>
    <mergeCell ref="C7:M7"/>
    <mergeCell ref="C8:M8"/>
  </mergeCells>
  <dataValidations count="1">
    <dataValidation type="list" allowBlank="1" showErrorMessage="1" sqref="H13 J13 H15 J15 H19 J19 H21:H23 J21:J23 H27 J27 H29 J29 H31 J31 H42 J42 H44 J44 H48 J48 H52 J52 H54 J54 H58 J58 H60:H62 J60:J62 H74 J74 H78:H80 J78:J80 H84 J84 H86 J86 H90 J90 H92 J92 H94 J94" xr:uid="{00000000-0002-0000-0100-000000000000}">
      <formula1>"AVALANCHE,BRUINS,FLYERS,KNIGHTS,RANGERS,WINGS,CANUCKS,FLAMES,JETS,KINGS,STARS,WILD,BLUES,KRAKEN,LEAFS,OILERS,PENDING"</formula1>
    </dataValidation>
  </dataValidations>
  <hyperlinks>
    <hyperlink ref="B1" location="LOOKUP!A1" display="Back to LookUp" xr:uid="{00000000-0004-0000-0100-000000000000}"/>
  </hyperlinks>
  <printOptions horizontalCentered="1" gridLines="1"/>
  <pageMargins left="0.25" right="0.25" top="0.75" bottom="0.75" header="0" footer="0"/>
  <pageSetup paperSize="3"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0" t="s">
        <v>5</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65"/>
      <c r="G3" s="265"/>
    </row>
    <row r="4" spans="1:7" ht="22.5" customHeight="1" x14ac:dyDescent="0.25">
      <c r="A4" s="267" t="s">
        <v>58</v>
      </c>
      <c r="B4" s="353" t="str">
        <f ca="1">IFERROR(__xludf.DUMMYFUNCTION("IMPORTRANGE(""https://docs.google.com/spreadsheets/d/1ldE5MesCa2eBaR-LJ5T1U9LDDK99iepgD4XKD9i_8LY/edit?gid=1325443074#gid=1325443074"",CONCATENATE(A1,""!B5""))"),"HAROLD VANDER SCHEE")</f>
        <v>HAROLD VANDER SCHEE</v>
      </c>
      <c r="C4" s="315"/>
      <c r="D4" s="317"/>
      <c r="E4" s="354" t="s">
        <v>59</v>
      </c>
      <c r="F4" s="317"/>
      <c r="G4" s="268"/>
    </row>
    <row r="5" spans="1:7" ht="22.5" customHeight="1" x14ac:dyDescent="0.25">
      <c r="A5" s="266"/>
      <c r="B5" s="266"/>
      <c r="C5" s="266"/>
      <c r="D5" s="266"/>
      <c r="E5" s="266"/>
      <c r="F5" s="265"/>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IFERROR(__xludf.DUMMYFUNCTION("IMPORTRANGE(""https://docs.google.com/spreadsheets/d/1ldE5MesCa2eBaR-LJ5T1U9LDDK99iepgD4XKD9i_8LY/edit?gid=1325443074#gid=1325443074"",CONCATENATE(A1,""!H3:H5""))"),"12:30 – 1:45")</f>
        <v>12:30 – 1:45</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IFERROR(__xludf.DUMMYFUNCTION("IMPORTRANGE(""https://docs.google.com/spreadsheets/d/1ldE5MesCa2eBaR-LJ5T1U9LDDK99iepgD4XKD9i_8LY/edit?gid=1325443074#gid=1325443074"",CONCATENATE($A$1,""!J3:J5""))"),"BRUINS")</f>
        <v>BRUINS</v>
      </c>
      <c r="F7" s="317"/>
      <c r="G7" s="272" t="str">
        <f ca="1">IFERROR(__xludf.DUMMYFUNCTION("IMPORTRANGE(""https://docs.google.com/spreadsheets/d/1ldE5MesCa2eBaR-LJ5T1U9LDDK99iepgD4XKD9i_8LY/edit?gid=1325443074#gid=1325443074"",CONCATENATE($A$1,""!K3:K5""))"),"RINK 2")</f>
        <v>RINK 2</v>
      </c>
    </row>
    <row r="8" spans="1:7" ht="22.5" customHeight="1" x14ac:dyDescent="0.25">
      <c r="A8" s="273" t="s">
        <v>65</v>
      </c>
      <c r="B8" s="274" t="str">
        <f ca="1">IFERROR(__xludf.DUMMYFUNCTION("""COMPUTED_VALUE"""),"")</f>
        <v/>
      </c>
      <c r="C8" s="347" t="str">
        <f ca="1">IFERROR(__xludf.DUMMYFUNCTION("""COMPUTED_VALUE"""),"10:30 – 11:45")</f>
        <v>10:30 – 11:45</v>
      </c>
      <c r="D8" s="315"/>
      <c r="E8" s="348" t="str">
        <f ca="1">IFERROR(__xludf.DUMMYFUNCTION("""COMPUTED_VALUE"""),"KNIGHTS")</f>
        <v>KNIGHTS</v>
      </c>
      <c r="F8" s="317"/>
      <c r="G8" s="273" t="str">
        <f ca="1">IFERROR(__xludf.DUMMYFUNCTION("""COMPUTED_VALUE"""),"RINK 3")</f>
        <v>RINK 3</v>
      </c>
    </row>
    <row r="9" spans="1:7" ht="22.5" customHeight="1" x14ac:dyDescent="0.25">
      <c r="A9" s="275" t="s">
        <v>66</v>
      </c>
      <c r="B9" s="274" t="str">
        <f ca="1">IFERROR(__xludf.DUMMYFUNCTION("""COMPUTED_VALUE"""),"9:00 – 10:15")</f>
        <v>9:00 – 10:15</v>
      </c>
      <c r="C9" s="347" t="str">
        <f ca="1">IFERROR(__xludf.DUMMYFUNCTION("""COMPUTED_VALUE"""),"")</f>
        <v/>
      </c>
      <c r="D9" s="315"/>
      <c r="E9" s="348" t="str">
        <f ca="1">IFERROR(__xludf.DUMMYFUNCTION("""COMPUTED_VALUE"""),"FLYERS")</f>
        <v>FLYERS</v>
      </c>
      <c r="F9" s="317"/>
      <c r="G9" s="272" t="str">
        <f ca="1">IFERROR(__xludf.DUMMYFUNCTION("""COMPUTED_VALUE"""),"RINK 3")</f>
        <v>RINK 3</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68"/>
    </row>
    <row r="12" spans="1:7" ht="28.5" customHeight="1" x14ac:dyDescent="0.25">
      <c r="A12" s="349" t="s">
        <v>68</v>
      </c>
      <c r="B12" s="317"/>
      <c r="C12" s="277" t="s">
        <v>69</v>
      </c>
      <c r="D12" s="278" t="s">
        <v>64</v>
      </c>
      <c r="E12" s="278" t="s">
        <v>65</v>
      </c>
      <c r="F12" s="278" t="s">
        <v>66</v>
      </c>
      <c r="G12" s="268"/>
    </row>
    <row r="13" spans="1:7" ht="5.25" customHeight="1" x14ac:dyDescent="0.25">
      <c r="A13" s="279"/>
      <c r="B13" s="280"/>
      <c r="C13" s="281"/>
      <c r="D13" s="280"/>
      <c r="E13" s="280"/>
      <c r="F13" s="282"/>
      <c r="G13" s="268"/>
    </row>
    <row r="14" spans="1:7" ht="22.5" customHeight="1" x14ac:dyDescent="0.25">
      <c r="A14" s="283" t="str">
        <f ca="1">IFERROR(__xludf.DUMMYFUNCTION("QUERY(IMPORTRANGE(""https://docs.google.com/spreadsheets/d/1ldE5MesCa2eBaR-LJ5T1U9LDDK99iepgD4XKD9i_8LY/edit?gid=20346383#gid=20346383"",""Div1 Roster!A6:I100""), ""SELECT Col1, Col2, Col4, Col5, Col6, Col7 WHERE Col3 = '""&amp;A1&amp;""'"")"),"BENDIAK")</f>
        <v>BENDIAK</v>
      </c>
      <c r="B14" s="284" t="str">
        <f ca="1">IFERROR(__xludf.DUMMYFUNCTION("""COMPUTED_VALUE"""),"LANCE")</f>
        <v>LANCE</v>
      </c>
      <c r="C14" s="285" t="str">
        <f ca="1">IFERROR(__xludf.DUMMYFUNCTION("""COMPUTED_VALUE"""),"G")</f>
        <v>G</v>
      </c>
      <c r="D14" s="286" t="str">
        <f ca="1">IFERROR(__xludf.DUMMYFUNCTION("""COMPUTED_VALUE"""),"Y")</f>
        <v>Y</v>
      </c>
      <c r="E14" s="286" t="str">
        <f ca="1">IFERROR(__xludf.DUMMYFUNCTION("""COMPUTED_VALUE"""),"Y")</f>
        <v>Y</v>
      </c>
      <c r="F14" s="286" t="str">
        <f ca="1">IFERROR(__xludf.DUMMYFUNCTION("""COMPUTED_VALUE"""),"Y")</f>
        <v>Y</v>
      </c>
      <c r="G14" s="268"/>
    </row>
    <row r="15" spans="1:7" ht="22.5" customHeight="1" x14ac:dyDescent="0.25">
      <c r="A15" s="283" t="str">
        <f ca="1">IFERROR(__xludf.DUMMYFUNCTION("""COMPUTED_VALUE"""),"CURTIS")</f>
        <v>CURTIS</v>
      </c>
      <c r="B15" s="284" t="str">
        <f ca="1">IFERROR(__xludf.DUMMYFUNCTION("""COMPUTED_VALUE"""),"MARTIN")</f>
        <v>MARTIN</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8"/>
    </row>
    <row r="16" spans="1:7" ht="22.5" customHeight="1" x14ac:dyDescent="0.25">
      <c r="A16" s="283" t="str">
        <f ca="1">IFERROR(__xludf.DUMMYFUNCTION("""COMPUTED_VALUE"""),"FONG")</f>
        <v>FONG</v>
      </c>
      <c r="B16" s="284" t="str">
        <f ca="1">IFERROR(__xludf.DUMMYFUNCTION("""COMPUTED_VALUE"""),"ROB")</f>
        <v>ROB</v>
      </c>
      <c r="C16" s="285" t="str">
        <f ca="1">IFERROR(__xludf.DUMMYFUNCTION("""COMPUTED_VALUE"""),"D")</f>
        <v>D</v>
      </c>
      <c r="D16" s="286" t="str">
        <f ca="1">IFERROR(__xludf.DUMMYFUNCTION("""COMPUTED_VALUE"""),"Y")</f>
        <v>Y</v>
      </c>
      <c r="E16" s="286" t="str">
        <f ca="1">IFERROR(__xludf.DUMMYFUNCTION("""COMPUTED_VALUE"""),"Y")</f>
        <v>Y</v>
      </c>
      <c r="F16" s="286" t="str">
        <f ca="1">IFERROR(__xludf.DUMMYFUNCTION("""COMPUTED_VALUE"""),"N")</f>
        <v>N</v>
      </c>
      <c r="G16" s="268"/>
    </row>
    <row r="17" spans="1:7" ht="22.5" customHeight="1" x14ac:dyDescent="0.25">
      <c r="A17" s="283" t="str">
        <f ca="1">IFERROR(__xludf.DUMMYFUNCTION("""COMPUTED_VALUE"""),"KAISER")</f>
        <v>KAISER</v>
      </c>
      <c r="B17" s="284" t="str">
        <f ca="1">IFERROR(__xludf.DUMMYFUNCTION("""COMPUTED_VALUE"""),"BLAIR")</f>
        <v>BLAIR</v>
      </c>
      <c r="C17" s="285" t="str">
        <f ca="1">IFERROR(__xludf.DUMMYFUNCTION("""COMPUTED_VALUE"""),"F")</f>
        <v>F</v>
      </c>
      <c r="D17" s="286" t="str">
        <f ca="1">IFERROR(__xludf.DUMMYFUNCTION("""COMPUTED_VALUE"""),"Y")</f>
        <v>Y</v>
      </c>
      <c r="E17" s="286" t="str">
        <f ca="1">IFERROR(__xludf.DUMMYFUNCTION("""COMPUTED_VALUE"""),"Y")</f>
        <v>Y</v>
      </c>
      <c r="F17" s="286" t="str">
        <f ca="1">IFERROR(__xludf.DUMMYFUNCTION("""COMPUTED_VALUE"""),"Y")</f>
        <v>Y</v>
      </c>
      <c r="G17" s="268"/>
    </row>
    <row r="18" spans="1:7" ht="22.5" customHeight="1" x14ac:dyDescent="0.25">
      <c r="A18" s="283" t="str">
        <f ca="1">IFERROR(__xludf.DUMMYFUNCTION("""COMPUTED_VALUE"""),"KERR")</f>
        <v>KERR</v>
      </c>
      <c r="B18" s="284" t="str">
        <f ca="1">IFERROR(__xludf.DUMMYFUNCTION("""COMPUTED_VALUE"""),"RANDY")</f>
        <v>RANDY</v>
      </c>
      <c r="C18" s="285" t="str">
        <f ca="1">IFERROR(__xludf.DUMMYFUNCTION("""COMPUTED_VALUE"""),"D/F")</f>
        <v>D/F</v>
      </c>
      <c r="D18" s="286" t="str">
        <f ca="1">IFERROR(__xludf.DUMMYFUNCTION("""COMPUTED_VALUE"""),"Y")</f>
        <v>Y</v>
      </c>
      <c r="E18" s="286" t="str">
        <f ca="1">IFERROR(__xludf.DUMMYFUNCTION("""COMPUTED_VALUE"""),"Y")</f>
        <v>Y</v>
      </c>
      <c r="F18" s="286" t="str">
        <f ca="1">IFERROR(__xludf.DUMMYFUNCTION("""COMPUTED_VALUE"""),"Y")</f>
        <v>Y</v>
      </c>
      <c r="G18" s="268"/>
    </row>
    <row r="19" spans="1:7" ht="22.5" customHeight="1" x14ac:dyDescent="0.25">
      <c r="A19" s="283" t="str">
        <f ca="1">IFERROR(__xludf.DUMMYFUNCTION("""COMPUTED_VALUE"""),"MIAZGA")</f>
        <v>MIAZGA</v>
      </c>
      <c r="B19" s="284" t="str">
        <f ca="1">IFERROR(__xludf.DUMMYFUNCTION("""COMPUTED_VALUE"""),"ALLAN")</f>
        <v>ALLAN</v>
      </c>
      <c r="C19" s="285" t="str">
        <f ca="1">IFERROR(__xludf.DUMMYFUNCTION("""COMPUTED_VALUE"""),"F")</f>
        <v>F</v>
      </c>
      <c r="D19" s="286" t="str">
        <f ca="1">IFERROR(__xludf.DUMMYFUNCTION("""COMPUTED_VALUE"""),"Y")</f>
        <v>Y</v>
      </c>
      <c r="E19" s="286" t="str">
        <f ca="1">IFERROR(__xludf.DUMMYFUNCTION("""COMPUTED_VALUE"""),"N")</f>
        <v>N</v>
      </c>
      <c r="F19" s="286" t="str">
        <f ca="1">IFERROR(__xludf.DUMMYFUNCTION("""COMPUTED_VALUE"""),"Y")</f>
        <v>Y</v>
      </c>
      <c r="G19" s="268"/>
    </row>
    <row r="20" spans="1:7" ht="22.5" customHeight="1" x14ac:dyDescent="0.25">
      <c r="A20" s="283" t="str">
        <f ca="1">IFERROR(__xludf.DUMMYFUNCTION("""COMPUTED_VALUE"""),"RIEDER")</f>
        <v>RIEDER</v>
      </c>
      <c r="B20" s="284" t="str">
        <f ca="1">IFERROR(__xludf.DUMMYFUNCTION("""COMPUTED_VALUE"""),"JIM")</f>
        <v>JIM</v>
      </c>
      <c r="C20" s="285" t="str">
        <f ca="1">IFERROR(__xludf.DUMMYFUNCTION("""COMPUTED_VALUE"""),"F")</f>
        <v>F</v>
      </c>
      <c r="D20" s="286" t="str">
        <f ca="1">IFERROR(__xludf.DUMMYFUNCTION("""COMPUTED_VALUE"""),"Y")</f>
        <v>Y</v>
      </c>
      <c r="E20" s="286" t="str">
        <f ca="1">IFERROR(__xludf.DUMMYFUNCTION("""COMPUTED_VALUE"""),"Y")</f>
        <v>Y</v>
      </c>
      <c r="F20" s="286" t="str">
        <f ca="1">IFERROR(__xludf.DUMMYFUNCTION("""COMPUTED_VALUE"""),"Y")</f>
        <v>Y</v>
      </c>
      <c r="G20" s="268"/>
    </row>
    <row r="21" spans="1:7" ht="22.5" customHeight="1" x14ac:dyDescent="0.25">
      <c r="A21" s="283" t="str">
        <f ca="1">IFERROR(__xludf.DUMMYFUNCTION("""COMPUTED_VALUE"""),"SCHAMBER")</f>
        <v>SCHAMBER</v>
      </c>
      <c r="B21" s="284" t="str">
        <f ca="1">IFERROR(__xludf.DUMMYFUNCTION("""COMPUTED_VALUE"""),"MATTHEW")</f>
        <v>MATTHEW</v>
      </c>
      <c r="C21" s="285" t="str">
        <f ca="1">IFERROR(__xludf.DUMMYFUNCTION("""COMPUTED_VALUE"""),"F")</f>
        <v>F</v>
      </c>
      <c r="D21" s="286" t="str">
        <f ca="1">IFERROR(__xludf.DUMMYFUNCTION("""COMPUTED_VALUE"""),"N")</f>
        <v>N</v>
      </c>
      <c r="E21" s="286" t="str">
        <f ca="1">IFERROR(__xludf.DUMMYFUNCTION("""COMPUTED_VALUE"""),"Y")</f>
        <v>Y</v>
      </c>
      <c r="F21" s="286" t="str">
        <f ca="1">IFERROR(__xludf.DUMMYFUNCTION("""COMPUTED_VALUE"""),"N")</f>
        <v>N</v>
      </c>
      <c r="G21" s="268"/>
    </row>
    <row r="22" spans="1:7" ht="22.5" customHeight="1" x14ac:dyDescent="0.25">
      <c r="A22" s="283" t="str">
        <f ca="1">IFERROR(__xludf.DUMMYFUNCTION("""COMPUTED_VALUE"""),"SCHAMBER")</f>
        <v>SCHAMBER</v>
      </c>
      <c r="B22" s="284" t="str">
        <f ca="1">IFERROR(__xludf.DUMMYFUNCTION("""COMPUTED_VALUE"""),"MATTHEW")</f>
        <v>MATTHEW</v>
      </c>
      <c r="C22" s="285" t="str">
        <f ca="1">IFERROR(__xludf.DUMMYFUNCTION("""COMPUTED_VALUE"""),"F/D")</f>
        <v>F/D</v>
      </c>
      <c r="D22" s="286" t="str">
        <f ca="1">IFERROR(__xludf.DUMMYFUNCTION("""COMPUTED_VALUE"""),"N")</f>
        <v>N</v>
      </c>
      <c r="E22" s="286" t="str">
        <f ca="1">IFERROR(__xludf.DUMMYFUNCTION("""COMPUTED_VALUE"""),"N")</f>
        <v>N</v>
      </c>
      <c r="F22" s="286" t="str">
        <f ca="1">IFERROR(__xludf.DUMMYFUNCTION("""COMPUTED_VALUE"""),"Y")</f>
        <v>Y</v>
      </c>
      <c r="G22" s="268"/>
    </row>
    <row r="23" spans="1:7" ht="22.5" customHeight="1" x14ac:dyDescent="0.25">
      <c r="A23" s="283" t="str">
        <f ca="1">IFERROR(__xludf.DUMMYFUNCTION("""COMPUTED_VALUE"""),"SELBY")</f>
        <v>SELBY</v>
      </c>
      <c r="B23" s="284" t="str">
        <f ca="1">IFERROR(__xludf.DUMMYFUNCTION("""COMPUTED_VALUE"""),"JOHN")</f>
        <v>JOHN</v>
      </c>
      <c r="C23" s="285" t="str">
        <f ca="1">IFERROR(__xludf.DUMMYFUNCTION("""COMPUTED_VALUE"""),"D")</f>
        <v>D</v>
      </c>
      <c r="D23" s="286" t="str">
        <f ca="1">IFERROR(__xludf.DUMMYFUNCTION("""COMPUTED_VALUE"""),"Y")</f>
        <v>Y</v>
      </c>
      <c r="E23" s="286" t="str">
        <f ca="1">IFERROR(__xludf.DUMMYFUNCTION("""COMPUTED_VALUE"""),"Y")</f>
        <v>Y</v>
      </c>
      <c r="F23" s="286" t="str">
        <f ca="1">IFERROR(__xludf.DUMMYFUNCTION("""COMPUTED_VALUE"""),"Y")</f>
        <v>Y</v>
      </c>
      <c r="G23" s="268"/>
    </row>
    <row r="24" spans="1:7" ht="22.5" customHeight="1" x14ac:dyDescent="0.25">
      <c r="A24" s="283" t="str">
        <f ca="1">IFERROR(__xludf.DUMMYFUNCTION("""COMPUTED_VALUE"""),"TOCHER")</f>
        <v>TOCHER</v>
      </c>
      <c r="B24" s="284" t="str">
        <f ca="1">IFERROR(__xludf.DUMMYFUNCTION("""COMPUTED_VALUE"""),"BRAD")</f>
        <v>BRAD</v>
      </c>
      <c r="C24" s="285" t="str">
        <f ca="1">IFERROR(__xludf.DUMMYFUNCTION("""COMPUTED_VALUE"""),"F")</f>
        <v>F</v>
      </c>
      <c r="D24" s="286" t="str">
        <f ca="1">IFERROR(__xludf.DUMMYFUNCTION("""COMPUTED_VALUE"""),"Y")</f>
        <v>Y</v>
      </c>
      <c r="E24" s="286" t="str">
        <f ca="1">IFERROR(__xludf.DUMMYFUNCTION("""COMPUTED_VALUE"""),"Y")</f>
        <v>Y</v>
      </c>
      <c r="F24" s="286" t="str">
        <f ca="1">IFERROR(__xludf.DUMMYFUNCTION("""COMPUTED_VALUE"""),"Y")</f>
        <v>Y</v>
      </c>
      <c r="G24" s="268"/>
    </row>
    <row r="25" spans="1:7" ht="22.5" customHeight="1" x14ac:dyDescent="0.25">
      <c r="A25" s="283" t="str">
        <f ca="1">IFERROR(__xludf.DUMMYFUNCTION("""COMPUTED_VALUE"""),"VANDER SCHEE")</f>
        <v>VANDER SCHEE</v>
      </c>
      <c r="B25" s="284" t="str">
        <f ca="1">IFERROR(__xludf.DUMMYFUNCTION("""COMPUTED_VALUE"""),"HAROLD")</f>
        <v>HAROLD</v>
      </c>
      <c r="C25" s="285" t="str">
        <f ca="1">IFERROR(__xludf.DUMMYFUNCTION("""COMPUTED_VALUE"""),"F")</f>
        <v>F</v>
      </c>
      <c r="D25" s="286" t="str">
        <f ca="1">IFERROR(__xludf.DUMMYFUNCTION("""COMPUTED_VALUE"""),"Y")</f>
        <v>Y</v>
      </c>
      <c r="E25" s="286" t="str">
        <f ca="1">IFERROR(__xludf.DUMMYFUNCTION("""COMPUTED_VALUE"""),"Y")</f>
        <v>Y</v>
      </c>
      <c r="F25" s="286" t="str">
        <f ca="1">IFERROR(__xludf.DUMMYFUNCTION("""COMPUTED_VALUE"""),"Y")</f>
        <v>Y</v>
      </c>
      <c r="G25" s="268"/>
    </row>
    <row r="26" spans="1:7" ht="22.5" customHeight="1" x14ac:dyDescent="0.25">
      <c r="A26" s="283" t="str">
        <f ca="1">IFERROR(__xludf.DUMMYFUNCTION("""COMPUTED_VALUE"""),"WALKER")</f>
        <v>WALKER</v>
      </c>
      <c r="B26" s="284" t="str">
        <f ca="1">IFERROR(__xludf.DUMMYFUNCTION("""COMPUTED_VALUE"""),"STEVE")</f>
        <v>STEVE</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IFERROR(__xludf.DUMMYFUNCTION("""COMPUTED_VALUE"""),"N")</f>
        <v>N</v>
      </c>
      <c r="G26" s="268"/>
    </row>
    <row r="27" spans="1:7" ht="22.5" customHeight="1" x14ac:dyDescent="0.25">
      <c r="A27" s="283" t="str">
        <f ca="1">IFERROR(__xludf.DUMMYFUNCTION("""COMPUTED_VALUE"""),"WARD")</f>
        <v>WARD</v>
      </c>
      <c r="B27" s="284" t="str">
        <f ca="1">IFERROR(__xludf.DUMMYFUNCTION("""COMPUTED_VALUE"""),"ADAIR")</f>
        <v>ADAIR</v>
      </c>
      <c r="C27" s="285" t="str">
        <f ca="1">IFERROR(__xludf.DUMMYFUNCTION("""COMPUTED_VALUE"""),"D(R)")</f>
        <v>D(R)</v>
      </c>
      <c r="D27" s="286" t="str">
        <f ca="1">IFERROR(__xludf.DUMMYFUNCTION("""COMPUTED_VALUE"""),"Y")</f>
        <v>Y</v>
      </c>
      <c r="E27" s="286" t="str">
        <f ca="1">IFERROR(__xludf.DUMMYFUNCTION("""COMPUTED_VALUE"""),"Y")</f>
        <v>Y</v>
      </c>
      <c r="F27" s="286" t="str">
        <f ca="1">IFERROR(__xludf.DUMMYFUNCTION("""COMPUTED_VALUE"""),"Y")</f>
        <v>Y</v>
      </c>
      <c r="G27" s="268"/>
    </row>
    <row r="28" spans="1:7" ht="22.5" customHeight="1" x14ac:dyDescent="0.25">
      <c r="A28" s="283"/>
      <c r="B28" s="284"/>
      <c r="C28" s="285"/>
      <c r="D28" s="286"/>
      <c r="E28" s="286"/>
      <c r="F28" s="286"/>
      <c r="G28" s="268"/>
    </row>
    <row r="29" spans="1:7" ht="22.5" customHeight="1" x14ac:dyDescent="0.25">
      <c r="A29" s="283"/>
      <c r="B29" s="284"/>
      <c r="C29" s="285"/>
      <c r="D29" s="286"/>
      <c r="E29" s="286"/>
      <c r="F29" s="286"/>
      <c r="G29" s="268"/>
    </row>
    <row r="30" spans="1:7" ht="22.5" customHeight="1" x14ac:dyDescent="0.25">
      <c r="A30" s="283"/>
      <c r="B30" s="284"/>
      <c r="C30" s="285"/>
      <c r="D30" s="286"/>
      <c r="E30" s="286"/>
      <c r="F30" s="286"/>
      <c r="G30" s="268"/>
    </row>
    <row r="31" spans="1:7" ht="22.5" customHeight="1" x14ac:dyDescent="0.25">
      <c r="A31" s="283"/>
      <c r="B31" s="284"/>
      <c r="C31" s="285"/>
      <c r="D31" s="286"/>
      <c r="E31" s="286"/>
      <c r="F31" s="286"/>
      <c r="G31" s="268"/>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111" priority="5">
      <formula>LEN(TRIM(B7))&gt;0</formula>
    </cfRule>
  </conditionalFormatting>
  <conditionalFormatting sqref="C7:D9">
    <cfRule type="notContainsBlanks" dxfId="110" priority="4">
      <formula>LEN(TRIM(C7))&gt;0</formula>
    </cfRule>
  </conditionalFormatting>
  <conditionalFormatting sqref="D14:F31">
    <cfRule type="endsWith" dxfId="109" priority="1" operator="endsWith" text="M">
      <formula>RIGHT((D14),LEN("M"))=("M")</formula>
    </cfRule>
    <cfRule type="cellIs" dxfId="108" priority="2" operator="equal">
      <formula>"N"</formula>
    </cfRule>
    <cfRule type="cellIs" dxfId="107" priority="3" operator="equal">
      <formula>"Y"</formula>
    </cfRule>
  </conditionalFormatting>
  <conditionalFormatting sqref="E7:F9">
    <cfRule type="expression" dxfId="106" priority="6">
      <formula>B7=""</formula>
    </cfRule>
    <cfRule type="expression" dxfId="105" priority="7">
      <formula>C7=""</formula>
    </cfRule>
  </conditionalFormatting>
  <hyperlinks>
    <hyperlink ref="E4" location="LOOKUP!A1" display="Back to Lookup" xr:uid="{00000000-0004-0000-0200-000000000000}"/>
  </hyperlinks>
  <printOptions horizontalCentered="1" gridLines="1"/>
  <pageMargins left="0.7" right="0.7" top="0.75" bottom="0.75" header="0" footer="0"/>
  <pageSetup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17.85546875" customWidth="1"/>
    <col min="3" max="3" width="18.42578125" customWidth="1"/>
    <col min="4" max="4" width="10.140625" customWidth="1"/>
    <col min="5" max="5" width="8" customWidth="1"/>
    <col min="6" max="6" width="8.140625" customWidth="1"/>
    <col min="7" max="7" width="13" customWidth="1"/>
  </cols>
  <sheetData>
    <row r="1" spans="1:7" ht="28.5" customHeight="1" x14ac:dyDescent="0.2">
      <c r="A1" s="350" t="s">
        <v>8</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66"/>
      <c r="G3" s="265"/>
    </row>
    <row r="4" spans="1:7" ht="22.5" customHeight="1" x14ac:dyDescent="0.25">
      <c r="A4" s="267" t="s">
        <v>58</v>
      </c>
      <c r="B4" s="353" t="str">
        <f ca="1">IFERROR(__xludf.DUMMYFUNCTION("IMPORTRANGE(""https://docs.google.com/spreadsheets/d/1ldE5MesCa2eBaR-LJ5T1U9LDDK99iepgD4XKD9i_8LY/edit?gid=1325443074#gid=1325443074"",CONCATENATE(A1,""!B5""))"),"SCOTT MACDONALD")</f>
        <v>SCOTT MACDONALD</v>
      </c>
      <c r="C4" s="315"/>
      <c r="D4" s="317"/>
      <c r="E4" s="354" t="s">
        <v>59</v>
      </c>
      <c r="F4" s="317"/>
      <c r="G4" s="268"/>
    </row>
    <row r="5" spans="1:7" ht="22.5" customHeight="1" x14ac:dyDescent="0.25">
      <c r="A5" s="266"/>
      <c r="B5" s="266"/>
      <c r="C5" s="266"/>
      <c r="D5" s="266"/>
      <c r="E5" s="266"/>
      <c r="F5" s="266"/>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IFERROR(__xludf.DUMMYFUNCTION("IMPORTRANGE(""https://docs.google.com/spreadsheets/d/1ldE5MesCa2eBaR-LJ5T1U9LDDK99iepgD4XKD9i_8LY/edit?gid=1325443074#gid=1325443074"",CONCATENATE($A$1,""!I3:I5""))"),"12:30 – 1:45")</f>
        <v>12:30 – 1:45</v>
      </c>
      <c r="D7" s="317"/>
      <c r="E7" s="357" t="str">
        <f ca="1">IFERROR(__xludf.DUMMYFUNCTION("IMPORTRANGE(""https://docs.google.com/spreadsheets/d/1ldE5MesCa2eBaR-LJ5T1U9LDDK99iepgD4XKD9i_8LY/edit?gid=1325443074#gid=1325443074"",CONCATENATE($A$1,""!J3:J5""))"),"AVALANCHE")</f>
        <v>AVALANCHE</v>
      </c>
      <c r="F7" s="317"/>
      <c r="G7" s="272" t="str">
        <f ca="1">IFERROR(__xludf.DUMMYFUNCTION("IMPORTRANGE(""https://docs.google.com/spreadsheets/d/1ldE5MesCa2eBaR-LJ5T1U9LDDK99iepgD4XKD9i_8LY/edit?gid=1325443074#gid=1325443074"",CONCATENATE($A$1,""!K3:K5""))"),"RINK 2")</f>
        <v>RINK 2</v>
      </c>
    </row>
    <row r="8" spans="1:7" ht="22.5" customHeight="1" x14ac:dyDescent="0.25">
      <c r="A8" s="273" t="s">
        <v>65</v>
      </c>
      <c r="B8" s="274" t="str">
        <f ca="1">IFERROR(__xludf.DUMMYFUNCTION("""COMPUTED_VALUE"""),"12:00 – 1:15")</f>
        <v>12:00 – 1:15</v>
      </c>
      <c r="C8" s="347" t="str">
        <f ca="1">IFERROR(__xludf.DUMMYFUNCTION("""COMPUTED_VALUE"""),"")</f>
        <v/>
      </c>
      <c r="D8" s="315"/>
      <c r="E8" s="348" t="str">
        <f ca="1">IFERROR(__xludf.DUMMYFUNCTION("""COMPUTED_VALUE"""),"WINGS")</f>
        <v>WINGS</v>
      </c>
      <c r="F8" s="317"/>
      <c r="G8" s="273" t="str">
        <f ca="1">IFERROR(__xludf.DUMMYFUNCTION("""COMPUTED_VALUE"""),"RINK 3")</f>
        <v>RINK 3</v>
      </c>
    </row>
    <row r="9" spans="1:7" ht="22.5" customHeight="1" x14ac:dyDescent="0.25">
      <c r="A9" s="275" t="s">
        <v>66</v>
      </c>
      <c r="B9" s="274" t="str">
        <f ca="1">IFERROR(__xludf.DUMMYFUNCTION("""COMPUTED_VALUE"""),"")</f>
        <v/>
      </c>
      <c r="C9" s="347" t="str">
        <f ca="1">IFERROR(__xludf.DUMMYFUNCTION("""COMPUTED_VALUE"""),"11:00 – 12:15")</f>
        <v>11:00 – 12:15</v>
      </c>
      <c r="D9" s="315"/>
      <c r="E9" s="348" t="str">
        <f ca="1">IFERROR(__xludf.DUMMYFUNCTION("""COMPUTED_VALUE"""),"RANGERS")</f>
        <v>RANGERS</v>
      </c>
      <c r="F9" s="317"/>
      <c r="G9" s="272" t="str">
        <f ca="1">IFERROR(__xludf.DUMMYFUNCTION("""COMPUTED_VALUE"""),"RINK 2")</f>
        <v>RINK 2</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87"/>
    </row>
    <row r="12" spans="1:7" ht="28.5" customHeight="1" x14ac:dyDescent="0.25">
      <c r="A12" s="349" t="s">
        <v>68</v>
      </c>
      <c r="B12" s="317"/>
      <c r="C12" s="277" t="s">
        <v>69</v>
      </c>
      <c r="D12" s="278" t="s">
        <v>64</v>
      </c>
      <c r="E12" s="278" t="s">
        <v>65</v>
      </c>
      <c r="F12" s="278" t="s">
        <v>66</v>
      </c>
      <c r="G12" s="265"/>
    </row>
    <row r="13" spans="1:7" ht="5.25" customHeight="1" x14ac:dyDescent="0.25">
      <c r="A13" s="279"/>
      <c r="B13" s="280"/>
      <c r="C13" s="281"/>
      <c r="D13" s="280"/>
      <c r="E13" s="280"/>
      <c r="F13" s="282"/>
      <c r="G13" s="265"/>
    </row>
    <row r="14" spans="1:7" ht="22.5" customHeight="1" x14ac:dyDescent="0.25">
      <c r="A14" s="283" t="str">
        <f ca="1">IFERROR(__xludf.DUMMYFUNCTION("QUERY(IMPORTRANGE(""https://docs.google.com/spreadsheets/d/1ldE5MesCa2eBaR-LJ5T1U9LDDK99iepgD4XKD9i_8LY/edit?gid=20346383#gid=20346383"",""Div1 Roster!A6:I100""), ""SELECT Col1, Col2, Col4, Col5, Col6, Col7 WHERE Col3 = '""&amp;A1&amp;""'"")"),"DAVIES")</f>
        <v>DAVIES</v>
      </c>
      <c r="B14" s="284" t="str">
        <f ca="1">IFERROR(__xludf.DUMMYFUNCTION("""COMPUTED_VALUE"""),"BOB")</f>
        <v>BOB</v>
      </c>
      <c r="C14" s="285" t="str">
        <f ca="1">IFERROR(__xludf.DUMMYFUNCTION("""COMPUTED_VALUE"""),"G")</f>
        <v>G</v>
      </c>
      <c r="D14" s="286" t="str">
        <f ca="1">IFERROR(__xludf.DUMMYFUNCTION("""COMPUTED_VALUE"""),"Y")</f>
        <v>Y</v>
      </c>
      <c r="E14" s="286" t="str">
        <f ca="1">IFERROR(__xludf.DUMMYFUNCTION("""COMPUTED_VALUE"""),"Y")</f>
        <v>Y</v>
      </c>
      <c r="F14" s="286" t="str">
        <f ca="1">IFERROR(__xludf.DUMMYFUNCTION("""COMPUTED_VALUE"""),"Y")</f>
        <v>Y</v>
      </c>
      <c r="G14" s="265"/>
    </row>
    <row r="15" spans="1:7" ht="22.5" customHeight="1" x14ac:dyDescent="0.25">
      <c r="A15" s="283" t="str">
        <f ca="1">IFERROR(__xludf.DUMMYFUNCTION("""COMPUTED_VALUE"""),"DEVLIN")</f>
        <v>DEVLIN</v>
      </c>
      <c r="B15" s="284" t="str">
        <f ca="1">IFERROR(__xludf.DUMMYFUNCTION("""COMPUTED_VALUE"""),"SHANE")</f>
        <v>SHANE</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5"/>
    </row>
    <row r="16" spans="1:7" ht="22.5" customHeight="1" x14ac:dyDescent="0.25">
      <c r="A16" s="283" t="str">
        <f ca="1">IFERROR(__xludf.DUMMYFUNCTION("""COMPUTED_VALUE"""),"EWANCHYNA")</f>
        <v>EWANCHYNA</v>
      </c>
      <c r="B16" s="284" t="str">
        <f ca="1">IFERROR(__xludf.DUMMYFUNCTION("""COMPUTED_VALUE"""),"MARK")</f>
        <v>MARK</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5"/>
    </row>
    <row r="17" spans="1:7" ht="22.5" customHeight="1" x14ac:dyDescent="0.25">
      <c r="A17" s="283" t="str">
        <f ca="1">IFERROR(__xludf.DUMMYFUNCTION("""COMPUTED_VALUE"""),"FIORETTI")</f>
        <v>FIORETTI</v>
      </c>
      <c r="B17" s="284" t="str">
        <f ca="1">IFERROR(__xludf.DUMMYFUNCTION("""COMPUTED_VALUE"""),"GARY")</f>
        <v>GARY</v>
      </c>
      <c r="C17" s="285" t="str">
        <f ca="1">IFERROR(__xludf.DUMMYFUNCTION("""COMPUTED_VALUE"""),"F")</f>
        <v>F</v>
      </c>
      <c r="D17" s="286" t="str">
        <f ca="1">IFERROR(__xludf.DUMMYFUNCTION("""COMPUTED_VALUE"""),"Y")</f>
        <v>Y</v>
      </c>
      <c r="E17" s="286" t="str">
        <f ca="1">IFERROR(__xludf.DUMMYFUNCTION("""COMPUTED_VALUE"""),"Y")</f>
        <v>Y</v>
      </c>
      <c r="F17" s="286" t="str">
        <f ca="1">IFERROR(__xludf.DUMMYFUNCTION("""COMPUTED_VALUE"""),"Y")</f>
        <v>Y</v>
      </c>
      <c r="G17" s="265"/>
    </row>
    <row r="18" spans="1:7" ht="22.5" customHeight="1" x14ac:dyDescent="0.25">
      <c r="A18" s="283" t="str">
        <f ca="1">IFERROR(__xludf.DUMMYFUNCTION("""COMPUTED_VALUE"""),"GAREAU")</f>
        <v>GAREAU</v>
      </c>
      <c r="B18" s="284" t="str">
        <f ca="1">IFERROR(__xludf.DUMMYFUNCTION("""COMPUTED_VALUE"""),"FRANK")</f>
        <v>FRANK</v>
      </c>
      <c r="C18" s="285" t="str">
        <f ca="1">IFERROR(__xludf.DUMMYFUNCTION("""COMPUTED_VALUE"""),"D")</f>
        <v>D</v>
      </c>
      <c r="D18" s="286" t="str">
        <f ca="1">IFERROR(__xludf.DUMMYFUNCTION("""COMPUTED_VALUE"""),"Y")</f>
        <v>Y</v>
      </c>
      <c r="E18" s="286" t="str">
        <f ca="1">IFERROR(__xludf.DUMMYFUNCTION("""COMPUTED_VALUE"""),"Y")</f>
        <v>Y</v>
      </c>
      <c r="F18" s="286" t="str">
        <f ca="1">IFERROR(__xludf.DUMMYFUNCTION("""COMPUTED_VALUE"""),"Y")</f>
        <v>Y</v>
      </c>
      <c r="G18" s="265"/>
    </row>
    <row r="19" spans="1:7" ht="22.5" customHeight="1" x14ac:dyDescent="0.25">
      <c r="A19" s="283" t="str">
        <f ca="1">IFERROR(__xludf.DUMMYFUNCTION("""COMPUTED_VALUE"""),"HALL")</f>
        <v>HALL</v>
      </c>
      <c r="B19" s="284" t="str">
        <f ca="1">IFERROR(__xludf.DUMMYFUNCTION("""COMPUTED_VALUE"""),"BOYD")</f>
        <v>BOYD</v>
      </c>
      <c r="C19" s="285" t="str">
        <f ca="1">IFERROR(__xludf.DUMMYFUNCTION("""COMPUTED_VALUE"""),"F")</f>
        <v>F</v>
      </c>
      <c r="D19" s="286" t="str">
        <f ca="1">IFERROR(__xludf.DUMMYFUNCTION("""COMPUTED_VALUE"""),"Y")</f>
        <v>Y</v>
      </c>
      <c r="E19" s="286" t="str">
        <f ca="1">IFERROR(__xludf.DUMMYFUNCTION("""COMPUTED_VALUE"""),"Y")</f>
        <v>Y</v>
      </c>
      <c r="F19" s="286" t="str">
        <f ca="1">IFERROR(__xludf.DUMMYFUNCTION("""COMPUTED_VALUE"""),"Y")</f>
        <v>Y</v>
      </c>
      <c r="G19" s="265"/>
    </row>
    <row r="20" spans="1:7" ht="22.5" customHeight="1" x14ac:dyDescent="0.25">
      <c r="A20" s="283" t="str">
        <f ca="1">IFERROR(__xludf.DUMMYFUNCTION("""COMPUTED_VALUE"""),"HUGHES")</f>
        <v>HUGHES</v>
      </c>
      <c r="B20" s="284" t="str">
        <f ca="1">IFERROR(__xludf.DUMMYFUNCTION("""COMPUTED_VALUE"""),"TOM")</f>
        <v>TOM</v>
      </c>
      <c r="C20" s="285" t="str">
        <f ca="1">IFERROR(__xludf.DUMMYFUNCTION("""COMPUTED_VALUE"""),"D")</f>
        <v>D</v>
      </c>
      <c r="D20" s="286" t="str">
        <f ca="1">IFERROR(__xludf.DUMMYFUNCTION("""COMPUTED_VALUE"""),"Y")</f>
        <v>Y</v>
      </c>
      <c r="E20" s="286" t="str">
        <f ca="1">IFERROR(__xludf.DUMMYFUNCTION("""COMPUTED_VALUE"""),"Y")</f>
        <v>Y</v>
      </c>
      <c r="F20" s="286" t="str">
        <f ca="1">IFERROR(__xludf.DUMMYFUNCTION("""COMPUTED_VALUE"""),"Y")</f>
        <v>Y</v>
      </c>
      <c r="G20" s="265"/>
    </row>
    <row r="21" spans="1:7" ht="22.5" customHeight="1" x14ac:dyDescent="0.25">
      <c r="A21" s="283" t="str">
        <f ca="1">IFERROR(__xludf.DUMMYFUNCTION("""COMPUTED_VALUE"""),"KNIBBS")</f>
        <v>KNIBBS</v>
      </c>
      <c r="B21" s="284" t="str">
        <f ca="1">IFERROR(__xludf.DUMMYFUNCTION("""COMPUTED_VALUE"""),"KEVIN")</f>
        <v>KEVIN</v>
      </c>
      <c r="C21" s="285" t="str">
        <f ca="1">IFERROR(__xludf.DUMMYFUNCTION("""COMPUTED_VALUE"""),"F")</f>
        <v>F</v>
      </c>
      <c r="D21" s="286" t="str">
        <f ca="1">IFERROR(__xludf.DUMMYFUNCTION("""COMPUTED_VALUE"""),"Y")</f>
        <v>Y</v>
      </c>
      <c r="E21" s="286" t="str">
        <f ca="1">IFERROR(__xludf.DUMMYFUNCTION("""COMPUTED_VALUE"""),"Y")</f>
        <v>Y</v>
      </c>
      <c r="F21" s="286" t="str">
        <f ca="1">IFERROR(__xludf.DUMMYFUNCTION("""COMPUTED_VALUE"""),"Y")</f>
        <v>Y</v>
      </c>
      <c r="G21" s="265"/>
    </row>
    <row r="22" spans="1:7" ht="22.5" customHeight="1" x14ac:dyDescent="0.25">
      <c r="A22" s="283" t="str">
        <f ca="1">IFERROR(__xludf.DUMMYFUNCTION("""COMPUTED_VALUE"""),"MACDONALD")</f>
        <v>MACDONALD</v>
      </c>
      <c r="B22" s="284" t="str">
        <f ca="1">IFERROR(__xludf.DUMMYFUNCTION("""COMPUTED_VALUE"""),"SCOTT")</f>
        <v>SCOTT</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5"/>
    </row>
    <row r="23" spans="1:7" ht="22.5" customHeight="1" x14ac:dyDescent="0.25">
      <c r="A23" s="283" t="str">
        <f ca="1">IFERROR(__xludf.DUMMYFUNCTION("""COMPUTED_VALUE"""),"ONESCHUK")</f>
        <v>ONESCHUK</v>
      </c>
      <c r="B23" s="284" t="str">
        <f ca="1">IFERROR(__xludf.DUMMYFUNCTION("""COMPUTED_VALUE"""),"DARRIN")</f>
        <v>DARRIN</v>
      </c>
      <c r="C23" s="285" t="str">
        <f ca="1">IFERROR(__xludf.DUMMYFUNCTION("""COMPUTED_VALUE"""),"F")</f>
        <v>F</v>
      </c>
      <c r="D23" s="286" t="str">
        <f ca="1">IFERROR(__xludf.DUMMYFUNCTION("""COMPUTED_VALUE"""),"Y")</f>
        <v>Y</v>
      </c>
      <c r="E23" s="286" t="str">
        <f ca="1">IFERROR(__xludf.DUMMYFUNCTION("""COMPUTED_VALUE"""),"Y")</f>
        <v>Y</v>
      </c>
      <c r="F23" s="286" t="str">
        <f ca="1">IFERROR(__xludf.DUMMYFUNCTION("""COMPUTED_VALUE"""),"Y")</f>
        <v>Y</v>
      </c>
      <c r="G23" s="265"/>
    </row>
    <row r="24" spans="1:7" ht="22.5" customHeight="1" x14ac:dyDescent="0.25">
      <c r="A24" s="283" t="str">
        <f ca="1">IFERROR(__xludf.DUMMYFUNCTION("""COMPUTED_VALUE"""),"RINK")</f>
        <v>RINK</v>
      </c>
      <c r="B24" s="284" t="str">
        <f ca="1">IFERROR(__xludf.DUMMYFUNCTION("""COMPUTED_VALUE"""),"RICK")</f>
        <v>RICK</v>
      </c>
      <c r="C24" s="285" t="str">
        <f ca="1">IFERROR(__xludf.DUMMYFUNCTION("""COMPUTED_VALUE"""),"D")</f>
        <v>D</v>
      </c>
      <c r="D24" s="286" t="str">
        <f ca="1">IFERROR(__xludf.DUMMYFUNCTION("""COMPUTED_VALUE"""),"Y")</f>
        <v>Y</v>
      </c>
      <c r="E24" s="286" t="str">
        <f ca="1">IFERROR(__xludf.DUMMYFUNCTION("""COMPUTED_VALUE"""),"Y")</f>
        <v>Y</v>
      </c>
      <c r="F24" s="286" t="str">
        <f ca="1">IFERROR(__xludf.DUMMYFUNCTION("""COMPUTED_VALUE"""),"Y")</f>
        <v>Y</v>
      </c>
      <c r="G24" s="265"/>
    </row>
    <row r="25" spans="1:7" ht="22.5" customHeight="1" x14ac:dyDescent="0.25">
      <c r="A25" s="283" t="str">
        <f ca="1">IFERROR(__xludf.DUMMYFUNCTION("""COMPUTED_VALUE"""),"TREICHEL")</f>
        <v>TREICHEL</v>
      </c>
      <c r="B25" s="284" t="str">
        <f ca="1">IFERROR(__xludf.DUMMYFUNCTION("""COMPUTED_VALUE"""),"DEAN")</f>
        <v>DEAN</v>
      </c>
      <c r="C25" s="285" t="str">
        <f ca="1">IFERROR(__xludf.DUMMYFUNCTION("""COMPUTED_VALUE"""),"D")</f>
        <v>D</v>
      </c>
      <c r="D25" s="286" t="str">
        <f ca="1">IFERROR(__xludf.DUMMYFUNCTION("""COMPUTED_VALUE"""),"Y")</f>
        <v>Y</v>
      </c>
      <c r="E25" s="286" t="str">
        <f ca="1">IFERROR(__xludf.DUMMYFUNCTION("""COMPUTED_VALUE"""),"Y")</f>
        <v>Y</v>
      </c>
      <c r="F25" s="286" t="str">
        <f ca="1">IFERROR(__xludf.DUMMYFUNCTION("""COMPUTED_VALUE"""),"Y")</f>
        <v>Y</v>
      </c>
      <c r="G25" s="265"/>
    </row>
    <row r="26" spans="1:7" ht="22.5" customHeight="1" x14ac:dyDescent="0.25">
      <c r="A26" s="283"/>
      <c r="B26" s="284"/>
      <c r="C26" s="285"/>
      <c r="D26" s="286"/>
      <c r="E26" s="286"/>
      <c r="F26" s="286"/>
      <c r="G26" s="265"/>
    </row>
    <row r="27" spans="1:7" ht="22.5" customHeight="1" x14ac:dyDescent="0.25">
      <c r="A27" s="283"/>
      <c r="B27" s="284"/>
      <c r="C27" s="285"/>
      <c r="D27" s="286"/>
      <c r="E27" s="286"/>
      <c r="F27" s="286"/>
      <c r="G27" s="265"/>
    </row>
    <row r="28" spans="1:7" ht="22.5" customHeight="1" x14ac:dyDescent="0.25">
      <c r="A28" s="283"/>
      <c r="B28" s="284"/>
      <c r="C28" s="285"/>
      <c r="D28" s="286"/>
      <c r="E28" s="286"/>
      <c r="F28" s="286"/>
      <c r="G28" s="265"/>
    </row>
    <row r="29" spans="1:7" ht="22.5" customHeight="1" x14ac:dyDescent="0.25">
      <c r="A29" s="283"/>
      <c r="B29" s="284"/>
      <c r="C29" s="285"/>
      <c r="D29" s="286"/>
      <c r="E29" s="286"/>
      <c r="F29" s="286"/>
      <c r="G29" s="265"/>
    </row>
    <row r="30" spans="1:7" ht="22.5" customHeight="1" x14ac:dyDescent="0.25">
      <c r="A30" s="283"/>
      <c r="B30" s="284"/>
      <c r="C30" s="285"/>
      <c r="D30" s="286"/>
      <c r="E30" s="286"/>
      <c r="F30" s="286"/>
      <c r="G30" s="265"/>
    </row>
    <row r="31" spans="1:7" ht="22.5" customHeight="1" x14ac:dyDescent="0.25">
      <c r="A31" s="283"/>
      <c r="B31" s="284"/>
      <c r="C31" s="285"/>
      <c r="D31" s="286"/>
      <c r="E31" s="286"/>
      <c r="F31" s="286"/>
      <c r="G31" s="265"/>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104" priority="5">
      <formula>LEN(TRIM(B7))&gt;0</formula>
    </cfRule>
  </conditionalFormatting>
  <conditionalFormatting sqref="C7:D9">
    <cfRule type="notContainsBlanks" dxfId="103" priority="4">
      <formula>LEN(TRIM(C7))&gt;0</formula>
    </cfRule>
  </conditionalFormatting>
  <conditionalFormatting sqref="D14:F31">
    <cfRule type="endsWith" dxfId="102" priority="1" operator="endsWith" text="M">
      <formula>RIGHT((D14),LEN("M"))=("M")</formula>
    </cfRule>
    <cfRule type="cellIs" dxfId="101" priority="2" operator="equal">
      <formula>"N"</formula>
    </cfRule>
    <cfRule type="cellIs" dxfId="100" priority="3" operator="equal">
      <formula>"Y"</formula>
    </cfRule>
  </conditionalFormatting>
  <conditionalFormatting sqref="E7:F9">
    <cfRule type="expression" dxfId="99" priority="6">
      <formula>B7=""</formula>
    </cfRule>
    <cfRule type="expression" dxfId="98" priority="7">
      <formula>C7=""</formula>
    </cfRule>
  </conditionalFormatting>
  <hyperlinks>
    <hyperlink ref="E4" location="LOOKUP!A1" display="Back to Lookup" xr:uid="{00000000-0004-0000-0300-000000000000}"/>
  </hyperlinks>
  <printOptions horizontalCentered="1" gridLines="1"/>
  <pageMargins left="0.7" right="0.7" top="0.75" bottom="0.75" header="0" footer="0"/>
  <pageSetup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0" t="s">
        <v>11</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66"/>
      <c r="G3" s="265"/>
    </row>
    <row r="4" spans="1:7" ht="22.5" customHeight="1" x14ac:dyDescent="0.25">
      <c r="A4" s="267" t="s">
        <v>58</v>
      </c>
      <c r="B4" s="353" t="str">
        <f ca="1">IFERROR(__xludf.DUMMYFUNCTION("IMPORTRANGE(""https://docs.google.com/spreadsheets/d/1ldE5MesCa2eBaR-LJ5T1U9LDDK99iepgD4XKD9i_8LY/edit?gid=1325443074#gid=1325443074"",CONCATENATE(A1,""!B5""))"),"OREST YASINSKI")</f>
        <v>OREST YASINSKI</v>
      </c>
      <c r="C4" s="315"/>
      <c r="D4" s="317"/>
      <c r="E4" s="354" t="s">
        <v>59</v>
      </c>
      <c r="F4" s="317"/>
      <c r="G4" s="268"/>
    </row>
    <row r="5" spans="1:7" ht="22.5" customHeight="1" x14ac:dyDescent="0.25">
      <c r="A5" s="266"/>
      <c r="B5" s="266"/>
      <c r="C5" s="266"/>
      <c r="D5" s="266"/>
      <c r="E5" s="266"/>
      <c r="F5" s="266"/>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IFERROR(__xludf.DUMMYFUNCTION("IMPORTRANGE(""https://docs.google.com/spreadsheets/d/1ldE5MesCa2eBaR-LJ5T1U9LDDK99iepgD4XKD9i_8LY/edit?gid=1325443074#gid=1325443074"",CONCATENATE($A$1,""!I3:I5""))"),"10:45 – 12:00")</f>
        <v>10:45 – 12:00</v>
      </c>
      <c r="D7" s="317"/>
      <c r="E7" s="357" t="str">
        <f ca="1">IFERROR(__xludf.DUMMYFUNCTION("IMPORTRANGE(""https://docs.google.com/spreadsheets/d/1ldE5MesCa2eBaR-LJ5T1U9LDDK99iepgD4XKD9i_8LY/edit?gid=1325443074#gid=1325443074"",CONCATENATE($A$1,""!J3:J5""))"),"KNIGHTS")</f>
        <v>KNIGHTS</v>
      </c>
      <c r="F7" s="317"/>
      <c r="G7" s="272" t="str">
        <f ca="1">IFERROR(__xludf.DUMMYFUNCTION("IMPORTRANGE(""https://docs.google.com/spreadsheets/d/1ldE5MesCa2eBaR-LJ5T1U9LDDK99iepgD4XKD9i_8LY/edit?gid=1325443074#gid=1325443074"",CONCATENATE($A$1,""!K3:K5""))"),"RINK 4")</f>
        <v>RINK 4</v>
      </c>
    </row>
    <row r="8" spans="1:7" ht="22.5" customHeight="1" x14ac:dyDescent="0.25">
      <c r="A8" s="273" t="s">
        <v>65</v>
      </c>
      <c r="B8" s="274" t="str">
        <f ca="1">IFERROR(__xludf.DUMMYFUNCTION("""COMPUTED_VALUE"""),"12:15 – 1:30")</f>
        <v>12:15 – 1:30</v>
      </c>
      <c r="C8" s="347" t="str">
        <f ca="1">IFERROR(__xludf.DUMMYFUNCTION("""COMPUTED_VALUE"""),"")</f>
        <v/>
      </c>
      <c r="D8" s="315"/>
      <c r="E8" s="348" t="str">
        <f ca="1">IFERROR(__xludf.DUMMYFUNCTION("""COMPUTED_VALUE"""),"RANGERS")</f>
        <v>RANGERS</v>
      </c>
      <c r="F8" s="317"/>
      <c r="G8" s="273" t="str">
        <f ca="1">IFERROR(__xludf.DUMMYFUNCTION("""COMPUTED_VALUE"""),"RINK 4")</f>
        <v>RINK 4</v>
      </c>
    </row>
    <row r="9" spans="1:7" ht="22.5" customHeight="1" x14ac:dyDescent="0.25">
      <c r="A9" s="275" t="s">
        <v>66</v>
      </c>
      <c r="B9" s="274" t="str">
        <f ca="1">IFERROR(__xludf.DUMMYFUNCTION("""COMPUTED_VALUE"""),"")</f>
        <v/>
      </c>
      <c r="C9" s="347" t="str">
        <f ca="1">IFERROR(__xludf.DUMMYFUNCTION("""COMPUTED_VALUE"""),"9:00 – 10:15")</f>
        <v>9:00 – 10:15</v>
      </c>
      <c r="D9" s="315"/>
      <c r="E9" s="348" t="str">
        <f ca="1">IFERROR(__xludf.DUMMYFUNCTION("""COMPUTED_VALUE"""),"AVALANCHE")</f>
        <v>AVALANCHE</v>
      </c>
      <c r="F9" s="317"/>
      <c r="G9" s="272" t="str">
        <f ca="1">IFERROR(__xludf.DUMMYFUNCTION("""COMPUTED_VALUE"""),"RINK 3")</f>
        <v>RINK 3</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87"/>
    </row>
    <row r="12" spans="1:7" ht="28.5" customHeight="1" x14ac:dyDescent="0.25">
      <c r="A12" s="349" t="s">
        <v>68</v>
      </c>
      <c r="B12" s="317"/>
      <c r="C12" s="277" t="s">
        <v>69</v>
      </c>
      <c r="D12" s="278" t="s">
        <v>64</v>
      </c>
      <c r="E12" s="278" t="s">
        <v>65</v>
      </c>
      <c r="F12" s="278" t="s">
        <v>66</v>
      </c>
      <c r="G12" s="265"/>
    </row>
    <row r="13" spans="1:7" ht="5.25" customHeight="1" x14ac:dyDescent="0.25">
      <c r="A13" s="279"/>
      <c r="B13" s="280"/>
      <c r="C13" s="281"/>
      <c r="D13" s="280"/>
      <c r="E13" s="280"/>
      <c r="F13" s="282"/>
      <c r="G13" s="265"/>
    </row>
    <row r="14" spans="1:7" ht="22.5" customHeight="1" x14ac:dyDescent="0.25">
      <c r="A14" s="283" t="str">
        <f ca="1">IFERROR(__xludf.DUMMYFUNCTION("QUERY(IMPORTRANGE(""https://docs.google.com/spreadsheets/d/1ldE5MesCa2eBaR-LJ5T1U9LDDK99iepgD4XKD9i_8LY/edit?gid=20346383#gid=20346383"",""Div1 Roster!A6:I100""), ""SELECT Col1, Col2, Col4, Col5, Col6, Col7 WHERE Col3 = '""&amp;A1&amp;""'"")"),"BENDIAK")</f>
        <v>BENDIAK</v>
      </c>
      <c r="B14" s="284" t="str">
        <f ca="1">IFERROR(__xludf.DUMMYFUNCTION("""COMPUTED_VALUE"""),"LANCE")</f>
        <v>LANCE</v>
      </c>
      <c r="C14" s="285" t="str">
        <f ca="1">IFERROR(__xludf.DUMMYFUNCTION("""COMPUTED_VALUE"""),"G")</f>
        <v>G</v>
      </c>
      <c r="D14" s="286" t="str">
        <f ca="1">IFERROR(__xludf.DUMMYFUNCTION("""COMPUTED_VALUE"""),"N")</f>
        <v>N</v>
      </c>
      <c r="E14" s="286" t="str">
        <f ca="1">IFERROR(__xludf.DUMMYFUNCTION("""COMPUTED_VALUE"""),"Y")</f>
        <v>Y</v>
      </c>
      <c r="F14" s="286" t="str">
        <f ca="1">IFERROR(__xludf.DUMMYFUNCTION("""COMPUTED_VALUE"""),"N")</f>
        <v>N</v>
      </c>
      <c r="G14" s="265"/>
    </row>
    <row r="15" spans="1:7" ht="22.5" customHeight="1" x14ac:dyDescent="0.25">
      <c r="A15" s="283" t="str">
        <f ca="1">IFERROR(__xludf.DUMMYFUNCTION("""COMPUTED_VALUE"""),"BIENSCH")</f>
        <v>BIENSCH</v>
      </c>
      <c r="B15" s="284" t="str">
        <f ca="1">IFERROR(__xludf.DUMMYFUNCTION("""COMPUTED_VALUE"""),"BILL")</f>
        <v>BILL</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5"/>
    </row>
    <row r="16" spans="1:7" ht="22.5" customHeight="1" x14ac:dyDescent="0.25">
      <c r="A16" s="283" t="str">
        <f ca="1">IFERROR(__xludf.DUMMYFUNCTION("""COMPUTED_VALUE"""),"DESCHAMPS")</f>
        <v>DESCHAMPS</v>
      </c>
      <c r="B16" s="284" t="str">
        <f ca="1">IFERROR(__xludf.DUMMYFUNCTION("""COMPUTED_VALUE"""),"BOB")</f>
        <v>BOB</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5"/>
    </row>
    <row r="17" spans="1:7" ht="22.5" customHeight="1" x14ac:dyDescent="0.25">
      <c r="A17" s="283" t="str">
        <f ca="1">IFERROR(__xludf.DUMMYFUNCTION("""COMPUTED_VALUE"""),"DOW")</f>
        <v>DOW</v>
      </c>
      <c r="B17" s="284" t="str">
        <f ca="1">IFERROR(__xludf.DUMMYFUNCTION("""COMPUTED_VALUE"""),"BRIAN")</f>
        <v>BRIAN</v>
      </c>
      <c r="C17" s="285" t="str">
        <f ca="1">IFERROR(__xludf.DUMMYFUNCTION("""COMPUTED_VALUE"""),"D")</f>
        <v>D</v>
      </c>
      <c r="D17" s="286" t="str">
        <f ca="1">IFERROR(__xludf.DUMMYFUNCTION("""COMPUTED_VALUE"""),"Y")</f>
        <v>Y</v>
      </c>
      <c r="E17" s="286" t="str">
        <f ca="1">IFERROR(__xludf.DUMMYFUNCTION("""COMPUTED_VALUE"""),"Y")</f>
        <v>Y</v>
      </c>
      <c r="F17" s="286" t="str">
        <f ca="1">IFERROR(__xludf.DUMMYFUNCTION("""COMPUTED_VALUE"""),"Y")</f>
        <v>Y</v>
      </c>
      <c r="G17" s="265"/>
    </row>
    <row r="18" spans="1:7" ht="22.5" customHeight="1" x14ac:dyDescent="0.25">
      <c r="A18" s="283" t="str">
        <f ca="1">IFERROR(__xludf.DUMMYFUNCTION("""COMPUTED_VALUE"""),"ELASCHUK")</f>
        <v>ELASCHUK</v>
      </c>
      <c r="B18" s="284" t="str">
        <f ca="1">IFERROR(__xludf.DUMMYFUNCTION("""COMPUTED_VALUE"""),"KIM")</f>
        <v>KIM</v>
      </c>
      <c r="C18" s="285" t="str">
        <f ca="1">IFERROR(__xludf.DUMMYFUNCTION("""COMPUTED_VALUE"""),"F")</f>
        <v>F</v>
      </c>
      <c r="D18" s="286" t="str">
        <f ca="1">IFERROR(__xludf.DUMMYFUNCTION("""COMPUTED_VALUE"""),"Y")</f>
        <v>Y</v>
      </c>
      <c r="E18" s="286" t="str">
        <f ca="1">IFERROR(__xludf.DUMMYFUNCTION("""COMPUTED_VALUE"""),"N")</f>
        <v>N</v>
      </c>
      <c r="F18" s="286" t="str">
        <f ca="1">IFERROR(__xludf.DUMMYFUNCTION("""COMPUTED_VALUE"""),"Y")</f>
        <v>Y</v>
      </c>
      <c r="G18" s="265"/>
    </row>
    <row r="19" spans="1:7" ht="22.5" customHeight="1" x14ac:dyDescent="0.25">
      <c r="A19" s="283" t="str">
        <f ca="1">IFERROR(__xludf.DUMMYFUNCTION("""COMPUTED_VALUE"""),"FISHER")</f>
        <v>FISHER</v>
      </c>
      <c r="B19" s="284" t="str">
        <f ca="1">IFERROR(__xludf.DUMMYFUNCTION("""COMPUTED_VALUE"""),"DARRIN")</f>
        <v>DARRIN</v>
      </c>
      <c r="C19" s="285" t="str">
        <f ca="1">IFERROR(__xludf.DUMMYFUNCTION("""COMPUTED_VALUE"""),"F/D")</f>
        <v>F/D</v>
      </c>
      <c r="D19" s="286" t="str">
        <f ca="1">IFERROR(__xludf.DUMMYFUNCTION("""COMPUTED_VALUE"""),"Y")</f>
        <v>Y</v>
      </c>
      <c r="E19" s="286" t="str">
        <f ca="1">IFERROR(__xludf.DUMMYFUNCTION("""COMPUTED_VALUE"""),"Y")</f>
        <v>Y</v>
      </c>
      <c r="F19" s="286" t="str">
        <f ca="1">IFERROR(__xludf.DUMMYFUNCTION("""COMPUTED_VALUE"""),"Y")</f>
        <v>Y</v>
      </c>
      <c r="G19" s="265"/>
    </row>
    <row r="20" spans="1:7" ht="22.5" customHeight="1" x14ac:dyDescent="0.25">
      <c r="A20" s="283" t="str">
        <f ca="1">IFERROR(__xludf.DUMMYFUNCTION("""COMPUTED_VALUE"""),"GRAUPNER")</f>
        <v>GRAUPNER</v>
      </c>
      <c r="B20" s="284" t="str">
        <f ca="1">IFERROR(__xludf.DUMMYFUNCTION("""COMPUTED_VALUE"""),"JOHN")</f>
        <v>JOHN</v>
      </c>
      <c r="C20" s="285" t="str">
        <f ca="1">IFERROR(__xludf.DUMMYFUNCTION("""COMPUTED_VALUE"""),"G")</f>
        <v>G</v>
      </c>
      <c r="D20" s="286" t="str">
        <f ca="1">IFERROR(__xludf.DUMMYFUNCTION("""COMPUTED_VALUE"""),"N")</f>
        <v>N</v>
      </c>
      <c r="E20" s="286" t="str">
        <f ca="1">IFERROR(__xludf.DUMMYFUNCTION("""COMPUTED_VALUE"""),"N")</f>
        <v>N</v>
      </c>
      <c r="F20" s="286" t="str">
        <f ca="1">IFERROR(__xludf.DUMMYFUNCTION("""COMPUTED_VALUE"""),"Y")</f>
        <v>Y</v>
      </c>
      <c r="G20" s="265"/>
    </row>
    <row r="21" spans="1:7" ht="22.5" customHeight="1" x14ac:dyDescent="0.25">
      <c r="A21" s="283" t="str">
        <f ca="1">IFERROR(__xludf.DUMMYFUNCTION("""COMPUTED_VALUE"""),"HINE")</f>
        <v>HINE</v>
      </c>
      <c r="B21" s="284" t="str">
        <f ca="1">IFERROR(__xludf.DUMMYFUNCTION("""COMPUTED_VALUE"""),"GREG")</f>
        <v>GREG</v>
      </c>
      <c r="C21" s="285" t="str">
        <f ca="1">IFERROR(__xludf.DUMMYFUNCTION("""COMPUTED_VALUE"""),"F")</f>
        <v>F</v>
      </c>
      <c r="D21" s="286" t="str">
        <f ca="1">IFERROR(__xludf.DUMMYFUNCTION("""COMPUTED_VALUE"""),"Y")</f>
        <v>Y</v>
      </c>
      <c r="E21" s="286" t="str">
        <f ca="1">IFERROR(__xludf.DUMMYFUNCTION("""COMPUTED_VALUE"""),"Y")</f>
        <v>Y</v>
      </c>
      <c r="F21" s="286" t="str">
        <f ca="1">IFERROR(__xludf.DUMMYFUNCTION("""COMPUTED_VALUE"""),"N")</f>
        <v>N</v>
      </c>
      <c r="G21" s="265"/>
    </row>
    <row r="22" spans="1:7" ht="22.5" customHeight="1" x14ac:dyDescent="0.25">
      <c r="A22" s="283" t="str">
        <f ca="1">IFERROR(__xludf.DUMMYFUNCTION("""COMPUTED_VALUE"""),"HUDAK")</f>
        <v>HUDAK</v>
      </c>
      <c r="B22" s="284" t="str">
        <f ca="1">IFERROR(__xludf.DUMMYFUNCTION("""COMPUTED_VALUE"""),"MARK")</f>
        <v>MARK</v>
      </c>
      <c r="C22" s="285" t="str">
        <f ca="1">IFERROR(__xludf.DUMMYFUNCTION("""COMPUTED_VALUE"""),"F/D")</f>
        <v>F/D</v>
      </c>
      <c r="D22" s="286" t="str">
        <f ca="1">IFERROR(__xludf.DUMMYFUNCTION("""COMPUTED_VALUE"""),"Y")</f>
        <v>Y</v>
      </c>
      <c r="E22" s="286" t="str">
        <f ca="1">IFERROR(__xludf.DUMMYFUNCTION("""COMPUTED_VALUE"""),"Y")</f>
        <v>Y</v>
      </c>
      <c r="F22" s="286" t="str">
        <f ca="1">IFERROR(__xludf.DUMMYFUNCTION("""COMPUTED_VALUE"""),"Y")</f>
        <v>Y</v>
      </c>
      <c r="G22" s="265"/>
    </row>
    <row r="23" spans="1:7" ht="22.5" customHeight="1" x14ac:dyDescent="0.25">
      <c r="A23" s="283" t="str">
        <f ca="1">IFERROR(__xludf.DUMMYFUNCTION("""COMPUTED_VALUE"""),"KLIMAVICIUS")</f>
        <v>KLIMAVICIUS</v>
      </c>
      <c r="B23" s="284" t="str">
        <f ca="1">IFERROR(__xludf.DUMMYFUNCTION("""COMPUTED_VALUE"""),"VIC")</f>
        <v>VIC</v>
      </c>
      <c r="C23" s="285" t="str">
        <f ca="1">IFERROR(__xludf.DUMMYFUNCTION("""COMPUTED_VALUE"""),"D")</f>
        <v>D</v>
      </c>
      <c r="D23" s="286" t="str">
        <f ca="1">IFERROR(__xludf.DUMMYFUNCTION("""COMPUTED_VALUE"""),"Y")</f>
        <v>Y</v>
      </c>
      <c r="E23" s="286" t="str">
        <f ca="1">IFERROR(__xludf.DUMMYFUNCTION("""COMPUTED_VALUE"""),"Y")</f>
        <v>Y</v>
      </c>
      <c r="F23" s="286" t="str">
        <f ca="1">IFERROR(__xludf.DUMMYFUNCTION("""COMPUTED_VALUE"""),"Y")</f>
        <v>Y</v>
      </c>
      <c r="G23" s="265"/>
    </row>
    <row r="24" spans="1:7" ht="22.5" customHeight="1" x14ac:dyDescent="0.25">
      <c r="A24" s="283" t="str">
        <f ca="1">IFERROR(__xludf.DUMMYFUNCTION("""COMPUTED_VALUE"""),"PRISNIE")</f>
        <v>PRISNIE</v>
      </c>
      <c r="B24" s="284" t="str">
        <f ca="1">IFERROR(__xludf.DUMMYFUNCTION("""COMPUTED_VALUE"""),"CURTIS")</f>
        <v>CURTIS</v>
      </c>
      <c r="C24" s="285" t="str">
        <f ca="1">IFERROR(__xludf.DUMMYFUNCTION("""COMPUTED_VALUE"""),"F/D")</f>
        <v>F/D</v>
      </c>
      <c r="D24" s="286" t="str">
        <f ca="1">IFERROR(__xludf.DUMMYFUNCTION("""COMPUTED_VALUE"""),"N")</f>
        <v>N</v>
      </c>
      <c r="E24" s="286" t="str">
        <f ca="1">IFERROR(__xludf.DUMMYFUNCTION("""COMPUTED_VALUE"""),"N")</f>
        <v>N</v>
      </c>
      <c r="F24" s="286" t="str">
        <f ca="1">IFERROR(__xludf.DUMMYFUNCTION("""COMPUTED_VALUE"""),"Y")</f>
        <v>Y</v>
      </c>
      <c r="G24" s="265"/>
    </row>
    <row r="25" spans="1:7" ht="22.5" customHeight="1" x14ac:dyDescent="0.25">
      <c r="A25" s="283" t="str">
        <f ca="1">IFERROR(__xludf.DUMMYFUNCTION("""COMPUTED_VALUE"""),"WALSH")</f>
        <v>WALSH</v>
      </c>
      <c r="B25" s="284" t="str">
        <f ca="1">IFERROR(__xludf.DUMMYFUNCTION("""COMPUTED_VALUE"""),"AIDAN")</f>
        <v>AIDAN</v>
      </c>
      <c r="C25" s="285" t="str">
        <f ca="1">IFERROR(__xludf.DUMMYFUNCTION("""COMPUTED_VALUE"""),"F")</f>
        <v>F</v>
      </c>
      <c r="D25" s="286" t="str">
        <f ca="1">IFERROR(__xludf.DUMMYFUNCTION("""COMPUTED_VALUE"""),"Y")</f>
        <v>Y</v>
      </c>
      <c r="E25" s="286" t="str">
        <f ca="1">IFERROR(__xludf.DUMMYFUNCTION("""COMPUTED_VALUE"""),"Y")</f>
        <v>Y</v>
      </c>
      <c r="F25" s="286" t="str">
        <f ca="1">IFERROR(__xludf.DUMMYFUNCTION("""COMPUTED_VALUE"""),"Y")</f>
        <v>Y</v>
      </c>
      <c r="G25" s="265"/>
    </row>
    <row r="26" spans="1:7" ht="22.5" customHeight="1" x14ac:dyDescent="0.25">
      <c r="A26" s="283" t="str">
        <f ca="1">IFERROR(__xludf.DUMMYFUNCTION("""COMPUTED_VALUE"""),"WEISNENSEL")</f>
        <v>WEISNENSEL</v>
      </c>
      <c r="B26" s="284" t="str">
        <f ca="1">IFERROR(__xludf.DUMMYFUNCTION("""COMPUTED_VALUE"""),"DEAN")</f>
        <v>DEAN</v>
      </c>
      <c r="C26" s="285" t="str">
        <f ca="1">IFERROR(__xludf.DUMMYFUNCTION("""COMPUTED_VALUE"""),"F")</f>
        <v>F</v>
      </c>
      <c r="D26" s="286" t="str">
        <f ca="1">IFERROR(__xludf.DUMMYFUNCTION("""COMPUTED_VALUE"""),"Y")</f>
        <v>Y</v>
      </c>
      <c r="E26" s="286" t="str">
        <f ca="1">IFERROR(__xludf.DUMMYFUNCTION("""COMPUTED_VALUE"""),"Y")</f>
        <v>Y</v>
      </c>
      <c r="F26" s="286" t="str">
        <f ca="1">IFERROR(__xludf.DUMMYFUNCTION("""COMPUTED_VALUE"""),"Y")</f>
        <v>Y</v>
      </c>
      <c r="G26" s="265"/>
    </row>
    <row r="27" spans="1:7" ht="22.5" customHeight="1" x14ac:dyDescent="0.25">
      <c r="A27" s="283" t="str">
        <f ca="1">IFERROR(__xludf.DUMMYFUNCTION("""COMPUTED_VALUE"""),"WOLIGROWSKI")</f>
        <v>WOLIGROWSKI</v>
      </c>
      <c r="B27" s="284" t="str">
        <f ca="1">IFERROR(__xludf.DUMMYFUNCTION("""COMPUTED_VALUE"""),"BENNY")</f>
        <v>BENNY</v>
      </c>
      <c r="C27" s="285" t="str">
        <f ca="1">IFERROR(__xludf.DUMMYFUNCTION("""COMPUTED_VALUE"""),"G")</f>
        <v>G</v>
      </c>
      <c r="D27" s="286" t="str">
        <f ca="1">IFERROR(__xludf.DUMMYFUNCTION("""COMPUTED_VALUE"""),"Y")</f>
        <v>Y</v>
      </c>
      <c r="E27" s="286" t="str">
        <f ca="1">IFERROR(__xludf.DUMMYFUNCTION("""COMPUTED_VALUE"""),"N")</f>
        <v>N</v>
      </c>
      <c r="F27" s="286" t="str">
        <f ca="1">IFERROR(__xludf.DUMMYFUNCTION("""COMPUTED_VALUE"""),"N")</f>
        <v>N</v>
      </c>
      <c r="G27" s="265"/>
    </row>
    <row r="28" spans="1:7" ht="22.5" customHeight="1" x14ac:dyDescent="0.25">
      <c r="A28" s="283" t="str">
        <f ca="1">IFERROR(__xludf.DUMMYFUNCTION("""COMPUTED_VALUE"""),"YASINSKI")</f>
        <v>YASINSKI</v>
      </c>
      <c r="B28" s="284" t="str">
        <f ca="1">IFERROR(__xludf.DUMMYFUNCTION("""COMPUTED_VALUE"""),"OREST")</f>
        <v>OREST</v>
      </c>
      <c r="C28" s="285" t="str">
        <f ca="1">IFERROR(__xludf.DUMMYFUNCTION("""COMPUTED_VALUE"""),"D")</f>
        <v>D</v>
      </c>
      <c r="D28" s="286" t="str">
        <f ca="1">IFERROR(__xludf.DUMMYFUNCTION("""COMPUTED_VALUE"""),"Y")</f>
        <v>Y</v>
      </c>
      <c r="E28" s="286" t="str">
        <f ca="1">IFERROR(__xludf.DUMMYFUNCTION("""COMPUTED_VALUE"""),"Y")</f>
        <v>Y</v>
      </c>
      <c r="F28" s="286" t="str">
        <f ca="1">IFERROR(__xludf.DUMMYFUNCTION("""COMPUTED_VALUE"""),"Y")</f>
        <v>Y</v>
      </c>
      <c r="G28" s="265"/>
    </row>
    <row r="29" spans="1:7" ht="22.5" customHeight="1" x14ac:dyDescent="0.25">
      <c r="A29" s="283"/>
      <c r="B29" s="284"/>
      <c r="C29" s="285"/>
      <c r="D29" s="286"/>
      <c r="E29" s="286"/>
      <c r="F29" s="286"/>
      <c r="G29" s="265"/>
    </row>
    <row r="30" spans="1:7" ht="22.5" customHeight="1" x14ac:dyDescent="0.25">
      <c r="A30" s="283"/>
      <c r="B30" s="284"/>
      <c r="C30" s="285"/>
      <c r="D30" s="286"/>
      <c r="E30" s="286"/>
      <c r="F30" s="286"/>
      <c r="G30" s="265"/>
    </row>
    <row r="31" spans="1:7" ht="22.5" customHeight="1" x14ac:dyDescent="0.25">
      <c r="A31" s="283"/>
      <c r="B31" s="284"/>
      <c r="C31" s="285"/>
      <c r="D31" s="286"/>
      <c r="E31" s="286"/>
      <c r="F31" s="286"/>
      <c r="G31" s="265"/>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97" priority="5">
      <formula>LEN(TRIM(B7))&gt;0</formula>
    </cfRule>
  </conditionalFormatting>
  <conditionalFormatting sqref="C7:D9">
    <cfRule type="notContainsBlanks" dxfId="96" priority="4">
      <formula>LEN(TRIM(C7))&gt;0</formula>
    </cfRule>
  </conditionalFormatting>
  <conditionalFormatting sqref="D14:F31">
    <cfRule type="endsWith" dxfId="95" priority="1" operator="endsWith" text="M">
      <formula>RIGHT((D14),LEN("M"))=("M")</formula>
    </cfRule>
    <cfRule type="cellIs" dxfId="94" priority="2" operator="equal">
      <formula>"N"</formula>
    </cfRule>
    <cfRule type="cellIs" dxfId="93" priority="3" operator="equal">
      <formula>"Y"</formula>
    </cfRule>
  </conditionalFormatting>
  <conditionalFormatting sqref="E7:F9">
    <cfRule type="expression" dxfId="92" priority="6">
      <formula>B7=""</formula>
    </cfRule>
    <cfRule type="expression" dxfId="91" priority="7">
      <formula>C7=""</formula>
    </cfRule>
  </conditionalFormatting>
  <hyperlinks>
    <hyperlink ref="E4" location="LOOKUP!A1" display="Back to Lookup" xr:uid="{00000000-0004-0000-0400-000000000000}"/>
  </hyperlinks>
  <printOptions horizontalCentered="1" gridLines="1"/>
  <pageMargins left="0.7" right="0.7" top="0.75" bottom="0.75" header="0" footer="0"/>
  <pageSetup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0" t="s">
        <v>14</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66"/>
      <c r="G3" s="265"/>
    </row>
    <row r="4" spans="1:7" ht="22.5" customHeight="1" x14ac:dyDescent="0.25">
      <c r="A4" s="267" t="s">
        <v>58</v>
      </c>
      <c r="B4" s="353" t="str">
        <f ca="1">IFERROR(__xludf.DUMMYFUNCTION("IMPORTRANGE(""https://docs.google.com/spreadsheets/d/1ldE5MesCa2eBaR-LJ5T1U9LDDK99iepgD4XKD9i_8LY/edit?gid=1325443074#gid=1325443074"",CONCATENATE(A1,""!B5""))"),"IAN PURDY")</f>
        <v>IAN PURDY</v>
      </c>
      <c r="C4" s="315"/>
      <c r="D4" s="317"/>
      <c r="E4" s="354" t="s">
        <v>59</v>
      </c>
      <c r="F4" s="317"/>
      <c r="G4" s="268"/>
    </row>
    <row r="5" spans="1:7" ht="22.5" customHeight="1" x14ac:dyDescent="0.25">
      <c r="A5" s="266"/>
      <c r="B5" s="266"/>
      <c r="C5" s="266"/>
      <c r="D5" s="266"/>
      <c r="E5" s="266"/>
      <c r="F5" s="266"/>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IFERROR(__xludf.DUMMYFUNCTION("IMPORTRANGE(""https://docs.google.com/spreadsheets/d/1ldE5MesCa2eBaR-LJ5T1U9LDDK99iepgD4XKD9i_8LY/edit?gid=1325443074#gid=1325443074"",CONCATENATE(A1,""!H3:H5""))"),"10:45 – 12:00")</f>
        <v>10:45 – 12:00</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IFERROR(__xludf.DUMMYFUNCTION("IMPORTRANGE(""https://docs.google.com/spreadsheets/d/1ldE5MesCa2eBaR-LJ5T1U9LDDK99iepgD4XKD9i_8LY/edit?gid=1325443074#gid=1325443074"",CONCATENATE($A$1,""!J3:J5""))"),"FLYERS")</f>
        <v>FLYERS</v>
      </c>
      <c r="F7" s="317"/>
      <c r="G7" s="272" t="str">
        <f ca="1">IFERROR(__xludf.DUMMYFUNCTION("IMPORTRANGE(""https://docs.google.com/spreadsheets/d/1ldE5MesCa2eBaR-LJ5T1U9LDDK99iepgD4XKD9i_8LY/edit?gid=1325443074#gid=1325443074"",CONCATENATE($A$1,""!K3:K5""))"),"RINK 4")</f>
        <v>RINK 4</v>
      </c>
    </row>
    <row r="8" spans="1:7" ht="22.5" customHeight="1" x14ac:dyDescent="0.25">
      <c r="A8" s="273" t="s">
        <v>65</v>
      </c>
      <c r="B8" s="274" t="str">
        <f ca="1">IFERROR(__xludf.DUMMYFUNCTION("""COMPUTED_VALUE"""),"10:30 – 11:45")</f>
        <v>10:30 – 11:45</v>
      </c>
      <c r="C8" s="347" t="str">
        <f ca="1">IFERROR(__xludf.DUMMYFUNCTION("""COMPUTED_VALUE"""),"")</f>
        <v/>
      </c>
      <c r="D8" s="315"/>
      <c r="E8" s="348" t="str">
        <f ca="1">IFERROR(__xludf.DUMMYFUNCTION("""COMPUTED_VALUE"""),"AVALANCHE")</f>
        <v>AVALANCHE</v>
      </c>
      <c r="F8" s="317"/>
      <c r="G8" s="273" t="str">
        <f ca="1">IFERROR(__xludf.DUMMYFUNCTION("""COMPUTED_VALUE"""),"RINK 3")</f>
        <v>RINK 3</v>
      </c>
    </row>
    <row r="9" spans="1:7" ht="22.5" customHeight="1" x14ac:dyDescent="0.25">
      <c r="A9" s="275" t="s">
        <v>66</v>
      </c>
      <c r="B9" s="274" t="str">
        <f ca="1">IFERROR(__xludf.DUMMYFUNCTION("""COMPUTED_VALUE"""),"")</f>
        <v/>
      </c>
      <c r="C9" s="347" t="str">
        <f ca="1">IFERROR(__xludf.DUMMYFUNCTION("""COMPUTED_VALUE"""),"10:30 – 11:45")</f>
        <v>10:30 – 11:45</v>
      </c>
      <c r="D9" s="315"/>
      <c r="E9" s="348" t="str">
        <f ca="1">IFERROR(__xludf.DUMMYFUNCTION("""COMPUTED_VALUE"""),"WINGS")</f>
        <v>WINGS</v>
      </c>
      <c r="F9" s="317"/>
      <c r="G9" s="272" t="str">
        <f ca="1">IFERROR(__xludf.DUMMYFUNCTION("""COMPUTED_VALUE"""),"RINK 3")</f>
        <v>RINK 3</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87"/>
    </row>
    <row r="12" spans="1:7" ht="28.5" customHeight="1" x14ac:dyDescent="0.25">
      <c r="A12" s="349" t="s">
        <v>68</v>
      </c>
      <c r="B12" s="317"/>
      <c r="C12" s="277" t="s">
        <v>69</v>
      </c>
      <c r="D12" s="278" t="s">
        <v>64</v>
      </c>
      <c r="E12" s="278" t="s">
        <v>65</v>
      </c>
      <c r="F12" s="278" t="s">
        <v>66</v>
      </c>
      <c r="G12" s="265"/>
    </row>
    <row r="13" spans="1:7" ht="5.25" customHeight="1" x14ac:dyDescent="0.25">
      <c r="A13" s="279"/>
      <c r="B13" s="280"/>
      <c r="C13" s="281"/>
      <c r="D13" s="280"/>
      <c r="E13" s="280"/>
      <c r="F13" s="282"/>
      <c r="G13" s="265"/>
    </row>
    <row r="14" spans="1:7" ht="22.5" customHeight="1" x14ac:dyDescent="0.25">
      <c r="A14" s="283" t="str">
        <f ca="1">IFERROR(__xludf.DUMMYFUNCTION("QUERY(IMPORTRANGE(""https://docs.google.com/spreadsheets/d/1ldE5MesCa2eBaR-LJ5T1U9LDDK99iepgD4XKD9i_8LY/edit?gid=20346383#gid=20346383"",""Div1 Roster!A6:I100""), ""SELECT Col1, Col2, Col4, Col5, Col6, Col7 WHERE Col3 = '""&amp;A1&amp;""'"")"),"BERSCHL")</f>
        <v>BERSCHL</v>
      </c>
      <c r="B14" s="284" t="str">
        <f ca="1">IFERROR(__xludf.DUMMYFUNCTION("""COMPUTED_VALUE"""),"DAVE")</f>
        <v>DAVE</v>
      </c>
      <c r="C14" s="285" t="str">
        <f ca="1">IFERROR(__xludf.DUMMYFUNCTION("""COMPUTED_VALUE"""),"F(LW)")</f>
        <v>F(LW)</v>
      </c>
      <c r="D14" s="286" t="str">
        <f ca="1">IFERROR(__xludf.DUMMYFUNCTION("""COMPUTED_VALUE"""),"Y")</f>
        <v>Y</v>
      </c>
      <c r="E14" s="286" t="str">
        <f ca="1">IFERROR(__xludf.DUMMYFUNCTION("""COMPUTED_VALUE"""),"Y")</f>
        <v>Y</v>
      </c>
      <c r="F14" s="286" t="str">
        <f ca="1">IFERROR(__xludf.DUMMYFUNCTION("""COMPUTED_VALUE"""),"Y")</f>
        <v>Y</v>
      </c>
      <c r="G14" s="265"/>
    </row>
    <row r="15" spans="1:7" ht="22.5" customHeight="1" x14ac:dyDescent="0.25">
      <c r="A15" s="283" t="str">
        <f ca="1">IFERROR(__xludf.DUMMYFUNCTION("""COMPUTED_VALUE"""),"BOUCHARD")</f>
        <v>BOUCHARD</v>
      </c>
      <c r="B15" s="284" t="str">
        <f ca="1">IFERROR(__xludf.DUMMYFUNCTION("""COMPUTED_VALUE"""),"MARC")</f>
        <v>MARC</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5"/>
    </row>
    <row r="16" spans="1:7" ht="22.5" customHeight="1" x14ac:dyDescent="0.25">
      <c r="A16" s="283" t="str">
        <f ca="1">IFERROR(__xludf.DUMMYFUNCTION("""COMPUTED_VALUE"""),"BURTON")</f>
        <v>BURTON</v>
      </c>
      <c r="B16" s="284" t="str">
        <f ca="1">IFERROR(__xludf.DUMMYFUNCTION("""COMPUTED_VALUE"""),"KEN")</f>
        <v>KEN</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5"/>
    </row>
    <row r="17" spans="1:7" ht="22.5" customHeight="1" x14ac:dyDescent="0.25">
      <c r="A17" s="283" t="str">
        <f ca="1">IFERROR(__xludf.DUMMYFUNCTION("""COMPUTED_VALUE"""),"COURONNE")</f>
        <v>COURONNE</v>
      </c>
      <c r="B17" s="284" t="str">
        <f ca="1">IFERROR(__xludf.DUMMYFUNCTION("""COMPUTED_VALUE"""),"LARRY")</f>
        <v>LARRY</v>
      </c>
      <c r="C17" s="285" t="str">
        <f ca="1">IFERROR(__xludf.DUMMYFUNCTION("""COMPUTED_VALUE"""),"D")</f>
        <v>D</v>
      </c>
      <c r="D17" s="286" t="str">
        <f ca="1">IFERROR(__xludf.DUMMYFUNCTION("""COMPUTED_VALUE"""),"Y")</f>
        <v>Y</v>
      </c>
      <c r="E17" s="286" t="str">
        <f ca="1">IFERROR(__xludf.DUMMYFUNCTION("""COMPUTED_VALUE"""),"Y")</f>
        <v>Y</v>
      </c>
      <c r="F17" s="286" t="str">
        <f ca="1">IFERROR(__xludf.DUMMYFUNCTION("""COMPUTED_VALUE"""),"Y")</f>
        <v>Y</v>
      </c>
      <c r="G17" s="265"/>
    </row>
    <row r="18" spans="1:7" ht="22.5" customHeight="1" x14ac:dyDescent="0.25">
      <c r="A18" s="283" t="str">
        <f ca="1">IFERROR(__xludf.DUMMYFUNCTION("""COMPUTED_VALUE"""),"DUMANOWSKI")</f>
        <v>DUMANOWSKI</v>
      </c>
      <c r="B18" s="284" t="str">
        <f ca="1">IFERROR(__xludf.DUMMYFUNCTION("""COMPUTED_VALUE"""),"DAVE")</f>
        <v>DAVE</v>
      </c>
      <c r="C18" s="285" t="str">
        <f ca="1">IFERROR(__xludf.DUMMYFUNCTION("""COMPUTED_VALUE"""),"D")</f>
        <v>D</v>
      </c>
      <c r="D18" s="286" t="str">
        <f ca="1">IFERROR(__xludf.DUMMYFUNCTION("""COMPUTED_VALUE"""),"Y")</f>
        <v>Y</v>
      </c>
      <c r="E18" s="286" t="str">
        <f ca="1">IFERROR(__xludf.DUMMYFUNCTION("""COMPUTED_VALUE"""),"Y")</f>
        <v>Y</v>
      </c>
      <c r="F18" s="286" t="str">
        <f ca="1">IFERROR(__xludf.DUMMYFUNCTION("""COMPUTED_VALUE"""),"Y")</f>
        <v>Y</v>
      </c>
      <c r="G18" s="265"/>
    </row>
    <row r="19" spans="1:7" ht="22.5" customHeight="1" x14ac:dyDescent="0.25">
      <c r="A19" s="283" t="str">
        <f ca="1">IFERROR(__xludf.DUMMYFUNCTION("""COMPUTED_VALUE"""),"FERRARA")</f>
        <v>FERRARA</v>
      </c>
      <c r="B19" s="284" t="str">
        <f ca="1">IFERROR(__xludf.DUMMYFUNCTION("""COMPUTED_VALUE"""),"RANDY")</f>
        <v>RANDY</v>
      </c>
      <c r="C19" s="285" t="str">
        <f ca="1">IFERROR(__xludf.DUMMYFUNCTION("""COMPUTED_VALUE"""),"D")</f>
        <v>D</v>
      </c>
      <c r="D19" s="286" t="str">
        <f ca="1">IFERROR(__xludf.DUMMYFUNCTION("""COMPUTED_VALUE"""),"Y")</f>
        <v>Y</v>
      </c>
      <c r="E19" s="286" t="str">
        <f ca="1">IFERROR(__xludf.DUMMYFUNCTION("""COMPUTED_VALUE"""),"Y")</f>
        <v>Y</v>
      </c>
      <c r="F19" s="286" t="str">
        <f ca="1">IFERROR(__xludf.DUMMYFUNCTION("""COMPUTED_VALUE"""),"Y")</f>
        <v>Y</v>
      </c>
      <c r="G19" s="265"/>
    </row>
    <row r="20" spans="1:7" ht="22.5" customHeight="1" x14ac:dyDescent="0.25">
      <c r="A20" s="283" t="str">
        <f ca="1">IFERROR(__xludf.DUMMYFUNCTION("""COMPUTED_VALUE"""),"FINNIGAN")</f>
        <v>FINNIGAN</v>
      </c>
      <c r="B20" s="284" t="str">
        <f ca="1">IFERROR(__xludf.DUMMYFUNCTION("""COMPUTED_VALUE"""),"TIM")</f>
        <v>TIM</v>
      </c>
      <c r="C20" s="285" t="str">
        <f ca="1">IFERROR(__xludf.DUMMYFUNCTION("""COMPUTED_VALUE"""),"G")</f>
        <v>G</v>
      </c>
      <c r="D20" s="286" t="str">
        <f ca="1">IFERROR(__xludf.DUMMYFUNCTION("""COMPUTED_VALUE"""),"N")</f>
        <v>N</v>
      </c>
      <c r="E20" s="286" t="str">
        <f ca="1">IFERROR(__xludf.DUMMYFUNCTION("""COMPUTED_VALUE"""),"Y")</f>
        <v>Y</v>
      </c>
      <c r="F20" s="286" t="str">
        <f ca="1">IFERROR(__xludf.DUMMYFUNCTION("""COMPUTED_VALUE"""),"Y")</f>
        <v>Y</v>
      </c>
      <c r="G20" s="265"/>
    </row>
    <row r="21" spans="1:7" ht="22.5" customHeight="1" x14ac:dyDescent="0.25">
      <c r="A21" s="283" t="str">
        <f ca="1">IFERROR(__xludf.DUMMYFUNCTION("""COMPUTED_VALUE"""),"HAGERMAN")</f>
        <v>HAGERMAN</v>
      </c>
      <c r="B21" s="284" t="str">
        <f ca="1">IFERROR(__xludf.DUMMYFUNCTION("""COMPUTED_VALUE"""),"TODD")</f>
        <v>TODD</v>
      </c>
      <c r="C21" s="285" t="str">
        <f ca="1">IFERROR(__xludf.DUMMYFUNCTION("""COMPUTED_VALUE"""),"F")</f>
        <v>F</v>
      </c>
      <c r="D21" s="286" t="str">
        <f ca="1">IFERROR(__xludf.DUMMYFUNCTION("""COMPUTED_VALUE"""),"Y")</f>
        <v>Y</v>
      </c>
      <c r="E21" s="286" t="str">
        <f ca="1">IFERROR(__xludf.DUMMYFUNCTION("""COMPUTED_VALUE"""),"Y")</f>
        <v>Y</v>
      </c>
      <c r="F21" s="286" t="str">
        <f ca="1">IFERROR(__xludf.DUMMYFUNCTION("""COMPUTED_VALUE"""),"Y")</f>
        <v>Y</v>
      </c>
      <c r="G21" s="265"/>
    </row>
    <row r="22" spans="1:7" ht="22.5" customHeight="1" x14ac:dyDescent="0.25">
      <c r="A22" s="283" t="str">
        <f ca="1">IFERROR(__xludf.DUMMYFUNCTION("""COMPUTED_VALUE"""),"LEIBEL")</f>
        <v>LEIBEL</v>
      </c>
      <c r="B22" s="284" t="str">
        <f ca="1">IFERROR(__xludf.DUMMYFUNCTION("""COMPUTED_VALUE"""),"BOB")</f>
        <v>BOB</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5"/>
    </row>
    <row r="23" spans="1:7" ht="22.5" customHeight="1" x14ac:dyDescent="0.25">
      <c r="A23" s="283" t="str">
        <f ca="1">IFERROR(__xludf.DUMMYFUNCTION("""COMPUTED_VALUE"""),"MCGRATH")</f>
        <v>MCGRATH</v>
      </c>
      <c r="B23" s="284" t="str">
        <f ca="1">IFERROR(__xludf.DUMMYFUNCTION("""COMPUTED_VALUE"""),"BRUCE")</f>
        <v>BRUCE</v>
      </c>
      <c r="C23" s="285" t="str">
        <f ca="1">IFERROR(__xludf.DUMMYFUNCTION("""COMPUTED_VALUE"""),"F")</f>
        <v>F</v>
      </c>
      <c r="D23" s="286" t="str">
        <f ca="1">IFERROR(__xludf.DUMMYFUNCTION("""COMPUTED_VALUE"""),"Y")</f>
        <v>Y</v>
      </c>
      <c r="E23" s="286" t="str">
        <f ca="1">IFERROR(__xludf.DUMMYFUNCTION("""COMPUTED_VALUE"""),"Y")</f>
        <v>Y</v>
      </c>
      <c r="F23" s="286" t="str">
        <f ca="1">IFERROR(__xludf.DUMMYFUNCTION("""COMPUTED_VALUE"""),"Y")</f>
        <v>Y</v>
      </c>
      <c r="G23" s="265"/>
    </row>
    <row r="24" spans="1:7" ht="22.5" customHeight="1" x14ac:dyDescent="0.25">
      <c r="A24" s="283" t="str">
        <f ca="1">IFERROR(__xludf.DUMMYFUNCTION("""COMPUTED_VALUE"""),"PURDY")</f>
        <v>PURDY</v>
      </c>
      <c r="B24" s="284" t="str">
        <f ca="1">IFERROR(__xludf.DUMMYFUNCTION("""COMPUTED_VALUE"""),"IAN")</f>
        <v>IAN</v>
      </c>
      <c r="C24" s="285" t="str">
        <f ca="1">IFERROR(__xludf.DUMMYFUNCTION("""COMPUTED_VALUE"""),"D")</f>
        <v>D</v>
      </c>
      <c r="D24" s="286" t="str">
        <f ca="1">IFERROR(__xludf.DUMMYFUNCTION("""COMPUTED_VALUE"""),"Y")</f>
        <v>Y</v>
      </c>
      <c r="E24" s="286" t="str">
        <f ca="1">IFERROR(__xludf.DUMMYFUNCTION("""COMPUTED_VALUE"""),"Y")</f>
        <v>Y</v>
      </c>
      <c r="F24" s="286" t="str">
        <f ca="1">IFERROR(__xludf.DUMMYFUNCTION("""COMPUTED_VALUE"""),"Y")</f>
        <v>Y</v>
      </c>
      <c r="G24" s="265"/>
    </row>
    <row r="25" spans="1:7" ht="22.5" customHeight="1" x14ac:dyDescent="0.25">
      <c r="A25" s="283" t="str">
        <f ca="1">IFERROR(__xludf.DUMMYFUNCTION("""COMPUTED_VALUE"""),"ROBERTS")</f>
        <v>ROBERTS</v>
      </c>
      <c r="B25" s="284" t="str">
        <f ca="1">IFERROR(__xludf.DUMMYFUNCTION("""COMPUTED_VALUE"""),"JOHN")</f>
        <v>JOHN</v>
      </c>
      <c r="C25" s="285" t="str">
        <f ca="1">IFERROR(__xludf.DUMMYFUNCTION("""COMPUTED_VALUE"""),"F")</f>
        <v>F</v>
      </c>
      <c r="D25" s="286" t="str">
        <f ca="1">IFERROR(__xludf.DUMMYFUNCTION("""COMPUTED_VALUE"""),"Y")</f>
        <v>Y</v>
      </c>
      <c r="E25" s="286" t="str">
        <f ca="1">IFERROR(__xludf.DUMMYFUNCTION("""COMPUTED_VALUE"""),"Y")</f>
        <v>Y</v>
      </c>
      <c r="F25" s="286" t="str">
        <f ca="1">IFERROR(__xludf.DUMMYFUNCTION("""COMPUTED_VALUE"""),"Y")</f>
        <v>Y</v>
      </c>
      <c r="G25" s="265"/>
    </row>
    <row r="26" spans="1:7" ht="22.5" customHeight="1" x14ac:dyDescent="0.25">
      <c r="A26" s="283" t="str">
        <f ca="1">IFERROR(__xludf.DUMMYFUNCTION("""COMPUTED_VALUE"""),"WELSH-MOSER")</f>
        <v>WELSH-MOSER</v>
      </c>
      <c r="B26" s="284" t="str">
        <f ca="1">IFERROR(__xludf.DUMMYFUNCTION("""COMPUTED_VALUE"""),"SHANNON")</f>
        <v>SHANNON</v>
      </c>
      <c r="C26" s="285" t="str">
        <f ca="1">IFERROR(__xludf.DUMMYFUNCTION("""COMPUTED_VALUE"""),"G")</f>
        <v>G</v>
      </c>
      <c r="D26" s="286" t="str">
        <f ca="1">IFERROR(__xludf.DUMMYFUNCTION("""COMPUTED_VALUE"""),"Y")</f>
        <v>Y</v>
      </c>
      <c r="E26" s="286" t="str">
        <f ca="1">IFERROR(__xludf.DUMMYFUNCTION("""COMPUTED_VALUE"""),"N")</f>
        <v>N</v>
      </c>
      <c r="F26" s="286" t="str">
        <f ca="1">IFERROR(__xludf.DUMMYFUNCTION("""COMPUTED_VALUE"""),"N")</f>
        <v>N</v>
      </c>
      <c r="G26" s="265"/>
    </row>
    <row r="27" spans="1:7" ht="22.5" customHeight="1" x14ac:dyDescent="0.25">
      <c r="A27" s="283"/>
      <c r="B27" s="284"/>
      <c r="C27" s="285"/>
      <c r="D27" s="286"/>
      <c r="E27" s="286"/>
      <c r="F27" s="286"/>
      <c r="G27" s="265"/>
    </row>
    <row r="28" spans="1:7" ht="22.5" customHeight="1" x14ac:dyDescent="0.25">
      <c r="A28" s="283"/>
      <c r="B28" s="284"/>
      <c r="C28" s="285"/>
      <c r="D28" s="286"/>
      <c r="E28" s="286"/>
      <c r="F28" s="286"/>
      <c r="G28" s="265"/>
    </row>
    <row r="29" spans="1:7" ht="22.5" customHeight="1" x14ac:dyDescent="0.25">
      <c r="A29" s="283"/>
      <c r="B29" s="284"/>
      <c r="C29" s="285"/>
      <c r="D29" s="286"/>
      <c r="E29" s="286"/>
      <c r="F29" s="286"/>
      <c r="G29" s="265"/>
    </row>
    <row r="30" spans="1:7" ht="22.5" customHeight="1" x14ac:dyDescent="0.25">
      <c r="A30" s="283"/>
      <c r="B30" s="284"/>
      <c r="C30" s="285"/>
      <c r="D30" s="286"/>
      <c r="E30" s="286"/>
      <c r="F30" s="286"/>
      <c r="G30" s="265"/>
    </row>
    <row r="31" spans="1:7" ht="22.5" customHeight="1" x14ac:dyDescent="0.25">
      <c r="A31" s="283"/>
      <c r="B31" s="284"/>
      <c r="C31" s="285"/>
      <c r="D31" s="286"/>
      <c r="E31" s="286"/>
      <c r="F31" s="286"/>
      <c r="G31" s="265"/>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90" priority="5">
      <formula>LEN(TRIM(B7))&gt;0</formula>
    </cfRule>
  </conditionalFormatting>
  <conditionalFormatting sqref="C7:D9">
    <cfRule type="notContainsBlanks" dxfId="89" priority="4">
      <formula>LEN(TRIM(C7))&gt;0</formula>
    </cfRule>
  </conditionalFormatting>
  <conditionalFormatting sqref="D14:F31">
    <cfRule type="endsWith" dxfId="88" priority="1" operator="endsWith" text="M">
      <formula>RIGHT((D14),LEN("M"))=("M")</formula>
    </cfRule>
    <cfRule type="cellIs" dxfId="87" priority="2" operator="equal">
      <formula>"N"</formula>
    </cfRule>
    <cfRule type="cellIs" dxfId="86" priority="3" operator="equal">
      <formula>"Y"</formula>
    </cfRule>
  </conditionalFormatting>
  <conditionalFormatting sqref="E7:F9">
    <cfRule type="expression" dxfId="85" priority="6">
      <formula>B7=""</formula>
    </cfRule>
    <cfRule type="expression" dxfId="84" priority="7">
      <formula>C7=""</formula>
    </cfRule>
  </conditionalFormatting>
  <hyperlinks>
    <hyperlink ref="E4" location="LOOKUP!A1" display="Back to Lookup" xr:uid="{00000000-0004-0000-0500-000000000000}"/>
  </hyperlinks>
  <printOptions horizontalCentered="1" gridLines="1"/>
  <pageMargins left="0.7" right="0.7" top="0.75" bottom="0.75" header="0" footer="0"/>
  <pageSetup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0" t="s">
        <v>17</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88"/>
      <c r="G3" s="265"/>
    </row>
    <row r="4" spans="1:7" ht="22.5" customHeight="1" x14ac:dyDescent="0.25">
      <c r="A4" s="267" t="s">
        <v>58</v>
      </c>
      <c r="B4" s="353" t="str">
        <f ca="1">IFERROR(__xludf.DUMMYFUNCTION("IMPORTRANGE(""https://docs.google.com/spreadsheets/d/1ldE5MesCa2eBaR-LJ5T1U9LDDK99iepgD4XKD9i_8LY/edit?gid=1325443074#gid=1325443074"",CONCATENATE(A1,""!B5""))"),"ANDY TAYLOR")</f>
        <v>ANDY TAYLOR</v>
      </c>
      <c r="C4" s="315"/>
      <c r="D4" s="317"/>
      <c r="E4" s="354" t="s">
        <v>59</v>
      </c>
      <c r="F4" s="317"/>
      <c r="G4" s="268"/>
    </row>
    <row r="5" spans="1:7" ht="22.5" customHeight="1" x14ac:dyDescent="0.25">
      <c r="A5" s="266"/>
      <c r="B5" s="266"/>
      <c r="C5" s="266"/>
      <c r="D5" s="266"/>
      <c r="E5" s="266"/>
      <c r="F5" s="266"/>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IFERROR(__xludf.DUMMYFUNCTION("IMPORTRANGE(""https://docs.google.com/spreadsheets/d/1ldE5MesCa2eBaR-LJ5T1U9LDDK99iepgD4XKD9i_8LY/edit?gid=1325443074#gid=1325443074"",CONCATENATE(A1,""!H3:H5""))"),"12:00 – 1:15")</f>
        <v>12:00 – 1:15</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IFERROR(__xludf.DUMMYFUNCTION("IMPORTRANGE(""https://docs.google.com/spreadsheets/d/1ldE5MesCa2eBaR-LJ5T1U9LDDK99iepgD4XKD9i_8LY/edit?gid=1325443074#gid=1325443074"",CONCATENATE($A$1,""!J3:J5""))"),"WINGS")</f>
        <v>WINGS</v>
      </c>
      <c r="F7" s="317"/>
      <c r="G7" s="272" t="str">
        <f ca="1">IFERROR(__xludf.DUMMYFUNCTION("IMPORTRANGE(""https://docs.google.com/spreadsheets/d/1ldE5MesCa2eBaR-LJ5T1U9LDDK99iepgD4XKD9i_8LY/edit?gid=1325443074#gid=1325443074"",CONCATENATE($A$1,""!K3:K5""))"),"RINK 3")</f>
        <v>RINK 3</v>
      </c>
    </row>
    <row r="8" spans="1:7" ht="22.5" customHeight="1" x14ac:dyDescent="0.25">
      <c r="A8" s="273" t="s">
        <v>65</v>
      </c>
      <c r="B8" s="274" t="str">
        <f ca="1">IFERROR(__xludf.DUMMYFUNCTION("""COMPUTED_VALUE"""),"")</f>
        <v/>
      </c>
      <c r="C8" s="348" t="str">
        <f ca="1">IFERROR(__xludf.DUMMYFUNCTION("""COMPUTED_VALUE"""),"12:15 – 1:30")</f>
        <v>12:15 – 1:30</v>
      </c>
      <c r="D8" s="315"/>
      <c r="E8" s="348" t="str">
        <f ca="1">IFERROR(__xludf.DUMMYFUNCTION("""COMPUTED_VALUE"""),"FLYERS")</f>
        <v>FLYERS</v>
      </c>
      <c r="F8" s="317"/>
      <c r="G8" s="273" t="str">
        <f ca="1">IFERROR(__xludf.DUMMYFUNCTION("""COMPUTED_VALUE"""),"RINK 4")</f>
        <v>RINK 4</v>
      </c>
    </row>
    <row r="9" spans="1:7" ht="22.5" customHeight="1" x14ac:dyDescent="0.25">
      <c r="A9" s="275" t="s">
        <v>66</v>
      </c>
      <c r="B9" s="274" t="str">
        <f ca="1">IFERROR(__xludf.DUMMYFUNCTION("""COMPUTED_VALUE"""),"11:00 – 12:15")</f>
        <v>11:00 – 12:15</v>
      </c>
      <c r="C9" s="347" t="str">
        <f ca="1">IFERROR(__xludf.DUMMYFUNCTION("""COMPUTED_VALUE"""),"")</f>
        <v/>
      </c>
      <c r="D9" s="315"/>
      <c r="E9" s="348" t="str">
        <f ca="1">IFERROR(__xludf.DUMMYFUNCTION("""COMPUTED_VALUE"""),"BRUINS")</f>
        <v>BRUINS</v>
      </c>
      <c r="F9" s="317"/>
      <c r="G9" s="272" t="str">
        <f ca="1">IFERROR(__xludf.DUMMYFUNCTION("""COMPUTED_VALUE"""),"RINK 2")</f>
        <v>RINK 2</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87"/>
    </row>
    <row r="12" spans="1:7" ht="28.5" customHeight="1" x14ac:dyDescent="0.25">
      <c r="A12" s="349" t="s">
        <v>68</v>
      </c>
      <c r="B12" s="317"/>
      <c r="C12" s="277" t="s">
        <v>69</v>
      </c>
      <c r="D12" s="278" t="s">
        <v>64</v>
      </c>
      <c r="E12" s="278" t="s">
        <v>65</v>
      </c>
      <c r="F12" s="278" t="s">
        <v>66</v>
      </c>
      <c r="G12" s="265"/>
    </row>
    <row r="13" spans="1:7" ht="5.25" customHeight="1" x14ac:dyDescent="0.25">
      <c r="A13" s="279"/>
      <c r="B13" s="280"/>
      <c r="C13" s="281"/>
      <c r="D13" s="280"/>
      <c r="E13" s="280"/>
      <c r="F13" s="282"/>
      <c r="G13" s="265"/>
    </row>
    <row r="14" spans="1:7" ht="22.5" customHeight="1" x14ac:dyDescent="0.25">
      <c r="A14" s="283" t="str">
        <f ca="1">IFERROR(__xludf.DUMMYFUNCTION("QUERY(IMPORTRANGE(""https://docs.google.com/spreadsheets/d/1ldE5MesCa2eBaR-LJ5T1U9LDDK99iepgD4XKD9i_8LY/edit?gid=20346383#gid=20346383"",""Div1 Roster!A6:I100""), ""SELECT Col1, Col2, Col4, Col5, Col6, Col7 WHERE Col3 = '""&amp;A1&amp;""'"")"),"BOYECHKO")</f>
        <v>BOYECHKO</v>
      </c>
      <c r="B14" s="284" t="str">
        <f ca="1">IFERROR(__xludf.DUMMYFUNCTION("""COMPUTED_VALUE"""),"LORNE")</f>
        <v>LORNE</v>
      </c>
      <c r="C14" s="285" t="str">
        <f ca="1">IFERROR(__xludf.DUMMYFUNCTION("""COMPUTED_VALUE"""),"C")</f>
        <v>C</v>
      </c>
      <c r="D14" s="286" t="str">
        <f ca="1">IFERROR(__xludf.DUMMYFUNCTION("""COMPUTED_VALUE"""),"Y")</f>
        <v>Y</v>
      </c>
      <c r="E14" s="286" t="str">
        <f ca="1">IFERROR(__xludf.DUMMYFUNCTION("""COMPUTED_VALUE"""),"Y")</f>
        <v>Y</v>
      </c>
      <c r="F14" s="286" t="str">
        <f ca="1">IFERROR(__xludf.DUMMYFUNCTION("""COMPUTED_VALUE"""),"Y")</f>
        <v>Y</v>
      </c>
      <c r="G14" s="265"/>
    </row>
    <row r="15" spans="1:7" ht="22.5" customHeight="1" x14ac:dyDescent="0.25">
      <c r="A15" s="283" t="str">
        <f ca="1">IFERROR(__xludf.DUMMYFUNCTION("""COMPUTED_VALUE"""),"BROWN")</f>
        <v>BROWN</v>
      </c>
      <c r="B15" s="284" t="str">
        <f ca="1">IFERROR(__xludf.DUMMYFUNCTION("""COMPUTED_VALUE"""),"WAYNE")</f>
        <v>WAYNE</v>
      </c>
      <c r="C15" s="285" t="str">
        <f ca="1">IFERROR(__xludf.DUMMYFUNCTION("""COMPUTED_VALUE"""),"F")</f>
        <v>F</v>
      </c>
      <c r="D15" s="286" t="str">
        <f ca="1">IFERROR(__xludf.DUMMYFUNCTION("""COMPUTED_VALUE"""),"Y")</f>
        <v>Y</v>
      </c>
      <c r="E15" s="286" t="str">
        <f ca="1">IFERROR(__xludf.DUMMYFUNCTION("""COMPUTED_VALUE"""),"N")</f>
        <v>N</v>
      </c>
      <c r="F15" s="286" t="str">
        <f ca="1">IFERROR(__xludf.DUMMYFUNCTION("""COMPUTED_VALUE"""),"Y")</f>
        <v>Y</v>
      </c>
      <c r="G15" s="265"/>
    </row>
    <row r="16" spans="1:7" ht="22.5" customHeight="1" x14ac:dyDescent="0.25">
      <c r="A16" s="283" t="str">
        <f ca="1">IFERROR(__xludf.DUMMYFUNCTION("""COMPUTED_VALUE"""),"CROWELL")</f>
        <v>CROWELL</v>
      </c>
      <c r="B16" s="284" t="str">
        <f ca="1">IFERROR(__xludf.DUMMYFUNCTION("""COMPUTED_VALUE"""),"TOM")</f>
        <v>TOM</v>
      </c>
      <c r="C16" s="285" t="str">
        <f ca="1">IFERROR(__xludf.DUMMYFUNCTION("""COMPUTED_VALUE"""),"D")</f>
        <v>D</v>
      </c>
      <c r="D16" s="286" t="str">
        <f ca="1">IFERROR(__xludf.DUMMYFUNCTION("""COMPUTED_VALUE"""),"Y")</f>
        <v>Y</v>
      </c>
      <c r="E16" s="286" t="str">
        <f ca="1">IFERROR(__xludf.DUMMYFUNCTION("""COMPUTED_VALUE"""),"Y")</f>
        <v>Y</v>
      </c>
      <c r="F16" s="286" t="str">
        <f ca="1">IFERROR(__xludf.DUMMYFUNCTION("""COMPUTED_VALUE"""),"Y")</f>
        <v>Y</v>
      </c>
      <c r="G16" s="265"/>
    </row>
    <row r="17" spans="1:7" ht="22.5" customHeight="1" x14ac:dyDescent="0.25">
      <c r="A17" s="283" t="str">
        <f ca="1">IFERROR(__xludf.DUMMYFUNCTION("""COMPUTED_VALUE"""),"DOBBS")</f>
        <v>DOBBS</v>
      </c>
      <c r="B17" s="284" t="str">
        <f ca="1">IFERROR(__xludf.DUMMYFUNCTION("""COMPUTED_VALUE"""),"DAVE")</f>
        <v>DAVE</v>
      </c>
      <c r="C17" s="285" t="str">
        <f ca="1">IFERROR(__xludf.DUMMYFUNCTION("""COMPUTED_VALUE"""),"F/D")</f>
        <v>F/D</v>
      </c>
      <c r="D17" s="286" t="str">
        <f ca="1">IFERROR(__xludf.DUMMYFUNCTION("""COMPUTED_VALUE"""),"Y")</f>
        <v>Y</v>
      </c>
      <c r="E17" s="286" t="str">
        <f ca="1">IFERROR(__xludf.DUMMYFUNCTION("""COMPUTED_VALUE"""),"Y")</f>
        <v>Y</v>
      </c>
      <c r="F17" s="286" t="str">
        <f ca="1">IFERROR(__xludf.DUMMYFUNCTION("""COMPUTED_VALUE"""),"Y")</f>
        <v>Y</v>
      </c>
      <c r="G17" s="265"/>
    </row>
    <row r="18" spans="1:7" ht="22.5" customHeight="1" x14ac:dyDescent="0.25">
      <c r="A18" s="283" t="str">
        <f ca="1">IFERROR(__xludf.DUMMYFUNCTION("""COMPUTED_VALUE"""),"GARDNER")</f>
        <v>GARDNER</v>
      </c>
      <c r="B18" s="284" t="str">
        <f ca="1">IFERROR(__xludf.DUMMYFUNCTION("""COMPUTED_VALUE"""),"KENNETH")</f>
        <v>KENNETH</v>
      </c>
      <c r="C18" s="285" t="str">
        <f ca="1">IFERROR(__xludf.DUMMYFUNCTION("""COMPUTED_VALUE"""),"F/D")</f>
        <v>F/D</v>
      </c>
      <c r="D18" s="286" t="str">
        <f ca="1">IFERROR(__xludf.DUMMYFUNCTION("""COMPUTED_VALUE"""),"Y")</f>
        <v>Y</v>
      </c>
      <c r="E18" s="286" t="str">
        <f ca="1">IFERROR(__xludf.DUMMYFUNCTION("""COMPUTED_VALUE"""),"Y")</f>
        <v>Y</v>
      </c>
      <c r="F18" s="286" t="str">
        <f ca="1">IFERROR(__xludf.DUMMYFUNCTION("""COMPUTED_VALUE"""),"Y")</f>
        <v>Y</v>
      </c>
      <c r="G18" s="265"/>
    </row>
    <row r="19" spans="1:7" ht="22.5" customHeight="1" x14ac:dyDescent="0.25">
      <c r="A19" s="283" t="str">
        <f ca="1">IFERROR(__xludf.DUMMYFUNCTION("""COMPUTED_VALUE"""),"GRAHAM")</f>
        <v>GRAHAM</v>
      </c>
      <c r="B19" s="284" t="str">
        <f ca="1">IFERROR(__xludf.DUMMYFUNCTION("""COMPUTED_VALUE"""),"BOB")</f>
        <v>BOB</v>
      </c>
      <c r="C19" s="285" t="str">
        <f ca="1">IFERROR(__xludf.DUMMYFUNCTION("""COMPUTED_VALUE"""),"F")</f>
        <v>F</v>
      </c>
      <c r="D19" s="286" t="str">
        <f ca="1">IFERROR(__xludf.DUMMYFUNCTION("""COMPUTED_VALUE"""),"Y")</f>
        <v>Y</v>
      </c>
      <c r="E19" s="286" t="str">
        <f ca="1">IFERROR(__xludf.DUMMYFUNCTION("""COMPUTED_VALUE"""),"Y")</f>
        <v>Y</v>
      </c>
      <c r="F19" s="286" t="str">
        <f ca="1">IFERROR(__xludf.DUMMYFUNCTION("""COMPUTED_VALUE"""),"Y")</f>
        <v>Y</v>
      </c>
      <c r="G19" s="265"/>
    </row>
    <row r="20" spans="1:7" ht="22.5" customHeight="1" x14ac:dyDescent="0.25">
      <c r="A20" s="283" t="str">
        <f ca="1">IFERROR(__xludf.DUMMYFUNCTION("""COMPUTED_VALUE"""),"KEARNS")</f>
        <v>KEARNS</v>
      </c>
      <c r="B20" s="284" t="str">
        <f ca="1">IFERROR(__xludf.DUMMYFUNCTION("""COMPUTED_VALUE"""),"KEVIN")</f>
        <v>KEVIN</v>
      </c>
      <c r="C20" s="285" t="str">
        <f ca="1">IFERROR(__xludf.DUMMYFUNCTION("""COMPUTED_VALUE"""),"F")</f>
        <v>F</v>
      </c>
      <c r="D20" s="286" t="str">
        <f ca="1">IFERROR(__xludf.DUMMYFUNCTION("""COMPUTED_VALUE"""),"Y")</f>
        <v>Y</v>
      </c>
      <c r="E20" s="286" t="str">
        <f ca="1">IFERROR(__xludf.DUMMYFUNCTION("""COMPUTED_VALUE"""),"Y")</f>
        <v>Y</v>
      </c>
      <c r="F20" s="286" t="str">
        <f ca="1">IFERROR(__xludf.DUMMYFUNCTION("""COMPUTED_VALUE"""),"Y")</f>
        <v>Y</v>
      </c>
      <c r="G20" s="265"/>
    </row>
    <row r="21" spans="1:7" ht="22.5" customHeight="1" x14ac:dyDescent="0.25">
      <c r="A21" s="283" t="str">
        <f ca="1">IFERROR(__xludf.DUMMYFUNCTION("""COMPUTED_VALUE"""),"KLOTZ")</f>
        <v>KLOTZ</v>
      </c>
      <c r="B21" s="284" t="str">
        <f ca="1">IFERROR(__xludf.DUMMYFUNCTION("""COMPUTED_VALUE"""),"GREG")</f>
        <v>GREG</v>
      </c>
      <c r="C21" s="285" t="str">
        <f ca="1">IFERROR(__xludf.DUMMYFUNCTION("""COMPUTED_VALUE"""),"C")</f>
        <v>C</v>
      </c>
      <c r="D21" s="286" t="str">
        <f ca="1">IFERROR(__xludf.DUMMYFUNCTION("""COMPUTED_VALUE"""),"Y")</f>
        <v>Y</v>
      </c>
      <c r="E21" s="286" t="str">
        <f ca="1">IFERROR(__xludf.DUMMYFUNCTION("""COMPUTED_VALUE"""),"N")</f>
        <v>N</v>
      </c>
      <c r="F21" s="286" t="str">
        <f ca="1">IFERROR(__xludf.DUMMYFUNCTION("""COMPUTED_VALUE"""),"Y")</f>
        <v>Y</v>
      </c>
      <c r="G21" s="265"/>
    </row>
    <row r="22" spans="1:7" ht="22.5" customHeight="1" x14ac:dyDescent="0.25">
      <c r="A22" s="283" t="str">
        <f ca="1">IFERROR(__xludf.DUMMYFUNCTION("""COMPUTED_VALUE"""),"LUZINE")</f>
        <v>LUZINE</v>
      </c>
      <c r="B22" s="284" t="str">
        <f ca="1">IFERROR(__xludf.DUMMYFUNCTION("""COMPUTED_VALUE"""),"MIKE")</f>
        <v>MIKE</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5"/>
    </row>
    <row r="23" spans="1:7" ht="22.5" customHeight="1" x14ac:dyDescent="0.25">
      <c r="A23" s="283" t="str">
        <f ca="1">IFERROR(__xludf.DUMMYFUNCTION("""COMPUTED_VALUE"""),"NIEMAN")</f>
        <v>NIEMAN</v>
      </c>
      <c r="B23" s="284" t="str">
        <f ca="1">IFERROR(__xludf.DUMMYFUNCTION("""COMPUTED_VALUE"""),"DAVID")</f>
        <v>DAVID</v>
      </c>
      <c r="C23" s="285" t="str">
        <f ca="1">IFERROR(__xludf.DUMMYFUNCTION("""COMPUTED_VALUE"""),"D")</f>
        <v>D</v>
      </c>
      <c r="D23" s="286" t="str">
        <f ca="1">IFERROR(__xludf.DUMMYFUNCTION("""COMPUTED_VALUE"""),"Y")</f>
        <v>Y</v>
      </c>
      <c r="E23" s="286" t="str">
        <f ca="1">IFERROR(__xludf.DUMMYFUNCTION("""COMPUTED_VALUE"""),"Y")</f>
        <v>Y</v>
      </c>
      <c r="F23" s="286" t="str">
        <f ca="1">IFERROR(__xludf.DUMMYFUNCTION("""COMPUTED_VALUE"""),"Y")</f>
        <v>Y</v>
      </c>
      <c r="G23" s="265"/>
    </row>
    <row r="24" spans="1:7" ht="22.5" customHeight="1" x14ac:dyDescent="0.25">
      <c r="A24" s="283" t="str">
        <f ca="1">IFERROR(__xludf.DUMMYFUNCTION("""COMPUTED_VALUE"""),"POALOZZI")</f>
        <v>POALOZZI</v>
      </c>
      <c r="B24" s="284" t="str">
        <f ca="1">IFERROR(__xludf.DUMMYFUNCTION("""COMPUTED_VALUE"""),"RICK")</f>
        <v>RICK</v>
      </c>
      <c r="C24" s="285" t="str">
        <f ca="1">IFERROR(__xludf.DUMMYFUNCTION("""COMPUTED_VALUE"""),"F")</f>
        <v>F</v>
      </c>
      <c r="D24" s="286" t="str">
        <f ca="1">IFERROR(__xludf.DUMMYFUNCTION("""COMPUTED_VALUE"""),"N")</f>
        <v>N</v>
      </c>
      <c r="E24" s="286" t="str">
        <f ca="1">IFERROR(__xludf.DUMMYFUNCTION("""COMPUTED_VALUE"""),"Y")</f>
        <v>Y</v>
      </c>
      <c r="F24" s="286" t="str">
        <f ca="1">IFERROR(__xludf.DUMMYFUNCTION("""COMPUTED_VALUE"""),"N")</f>
        <v>N</v>
      </c>
      <c r="G24" s="265"/>
    </row>
    <row r="25" spans="1:7" ht="22.5" customHeight="1" x14ac:dyDescent="0.25">
      <c r="A25" s="283" t="str">
        <f ca="1">IFERROR(__xludf.DUMMYFUNCTION("""COMPUTED_VALUE"""),"SORENSON")</f>
        <v>SORENSON</v>
      </c>
      <c r="B25" s="284" t="str">
        <f ca="1">IFERROR(__xludf.DUMMYFUNCTION("""COMPUTED_VALUE"""),"WAYNE")</f>
        <v>WAYNE</v>
      </c>
      <c r="C25" s="285" t="str">
        <f ca="1">IFERROR(__xludf.DUMMYFUNCTION("""COMPUTED_VALUE"""),"G")</f>
        <v>G</v>
      </c>
      <c r="D25" s="286" t="str">
        <f ca="1">IFERROR(__xludf.DUMMYFUNCTION("""COMPUTED_VALUE"""),"Y")</f>
        <v>Y</v>
      </c>
      <c r="E25" s="286" t="str">
        <f ca="1">IFERROR(__xludf.DUMMYFUNCTION("""COMPUTED_VALUE"""),"Y")</f>
        <v>Y</v>
      </c>
      <c r="F25" s="286" t="str">
        <f ca="1">IFERROR(__xludf.DUMMYFUNCTION("""COMPUTED_VALUE"""),"Y")</f>
        <v>Y</v>
      </c>
      <c r="G25" s="265"/>
    </row>
    <row r="26" spans="1:7" ht="22.5" customHeight="1" x14ac:dyDescent="0.25">
      <c r="A26" s="283" t="str">
        <f ca="1">IFERROR(__xludf.DUMMYFUNCTION("""COMPUTED_VALUE"""),"TAYLOR")</f>
        <v>TAYLOR</v>
      </c>
      <c r="B26" s="284" t="str">
        <f ca="1">IFERROR(__xludf.DUMMYFUNCTION("""COMPUTED_VALUE"""),"ANDY")</f>
        <v>ANDY</v>
      </c>
      <c r="C26" s="285" t="str">
        <f ca="1">IFERROR(__xludf.DUMMYFUNCTION("""COMPUTED_VALUE"""),"D")</f>
        <v>D</v>
      </c>
      <c r="D26" s="286" t="str">
        <f ca="1">IFERROR(__xludf.DUMMYFUNCTION("""COMPUTED_VALUE"""),"Y")</f>
        <v>Y</v>
      </c>
      <c r="E26" s="286" t="str">
        <f ca="1">IFERROR(__xludf.DUMMYFUNCTION("""COMPUTED_VALUE"""),"Y")</f>
        <v>Y</v>
      </c>
      <c r="F26" s="286" t="str">
        <f ca="1">IFERROR(__xludf.DUMMYFUNCTION("""COMPUTED_VALUE"""),"Y")</f>
        <v>Y</v>
      </c>
      <c r="G26" s="265"/>
    </row>
    <row r="27" spans="1:7" ht="22.5" customHeight="1" x14ac:dyDescent="0.25">
      <c r="A27" s="283"/>
      <c r="B27" s="284"/>
      <c r="C27" s="285"/>
      <c r="D27" s="286"/>
      <c r="E27" s="286"/>
      <c r="F27" s="286"/>
      <c r="G27" s="265"/>
    </row>
    <row r="28" spans="1:7" ht="22.5" customHeight="1" x14ac:dyDescent="0.25">
      <c r="A28" s="283"/>
      <c r="B28" s="284"/>
      <c r="C28" s="285"/>
      <c r="D28" s="286"/>
      <c r="E28" s="286"/>
      <c r="F28" s="286"/>
      <c r="G28" s="265"/>
    </row>
    <row r="29" spans="1:7" ht="22.5" customHeight="1" x14ac:dyDescent="0.25">
      <c r="A29" s="283"/>
      <c r="B29" s="284"/>
      <c r="C29" s="285"/>
      <c r="D29" s="286"/>
      <c r="E29" s="286"/>
      <c r="F29" s="286"/>
      <c r="G29" s="265"/>
    </row>
    <row r="30" spans="1:7" ht="22.5" customHeight="1" x14ac:dyDescent="0.25">
      <c r="A30" s="283"/>
      <c r="B30" s="284"/>
      <c r="C30" s="285"/>
      <c r="D30" s="286"/>
      <c r="E30" s="286"/>
      <c r="F30" s="286"/>
      <c r="G30" s="265"/>
    </row>
    <row r="31" spans="1:7" ht="22.5" customHeight="1" x14ac:dyDescent="0.25">
      <c r="A31" s="283"/>
      <c r="B31" s="284"/>
      <c r="C31" s="285"/>
      <c r="D31" s="286"/>
      <c r="E31" s="286"/>
      <c r="F31" s="286"/>
      <c r="G31" s="265"/>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83" priority="5">
      <formula>LEN(TRIM(B7))&gt;0</formula>
    </cfRule>
  </conditionalFormatting>
  <conditionalFormatting sqref="C7:D9">
    <cfRule type="notContainsBlanks" dxfId="82" priority="4">
      <formula>LEN(TRIM(C7))&gt;0</formula>
    </cfRule>
  </conditionalFormatting>
  <conditionalFormatting sqref="D14:F31">
    <cfRule type="endsWith" dxfId="81" priority="1" operator="endsWith" text="M">
      <formula>RIGHT((D14),LEN("M"))=("M")</formula>
    </cfRule>
    <cfRule type="cellIs" dxfId="80" priority="2" operator="equal">
      <formula>"N"</formula>
    </cfRule>
    <cfRule type="cellIs" dxfId="79" priority="3" operator="equal">
      <formula>"Y"</formula>
    </cfRule>
  </conditionalFormatting>
  <conditionalFormatting sqref="E7:F9">
    <cfRule type="expression" dxfId="78" priority="6">
      <formula>B7=""</formula>
    </cfRule>
    <cfRule type="expression" dxfId="77" priority="7">
      <formula>C7=""</formula>
    </cfRule>
  </conditionalFormatting>
  <hyperlinks>
    <hyperlink ref="E4" location="LOOKUP!A1" display="Back to Lookup" xr:uid="{00000000-0004-0000-0600-000000000000}"/>
  </hyperlinks>
  <printOptions horizontalCentered="1" gridLines="1"/>
  <pageMargins left="0.7" right="0.7" top="0.75" bottom="0.75" header="0" footer="0"/>
  <pageSetup pageOrder="overThenDown"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0" t="s">
        <v>19</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66"/>
      <c r="G3" s="265"/>
    </row>
    <row r="4" spans="1:7" ht="22.5" customHeight="1" x14ac:dyDescent="0.25">
      <c r="A4" s="267" t="s">
        <v>58</v>
      </c>
      <c r="B4" s="353" t="str">
        <f ca="1">IFERROR(__xludf.DUMMYFUNCTION("IMPORTRANGE(""https://docs.google.com/spreadsheets/d/1ldE5MesCa2eBaR-LJ5T1U9LDDK99iepgD4XKD9i_8LY/edit?gid=1325443074#gid=1325443074"",CONCATENATE(A1,""!B5""))"),"KEN NOWAKOWSKI")</f>
        <v>KEN NOWAKOWSKI</v>
      </c>
      <c r="C4" s="315"/>
      <c r="D4" s="317"/>
      <c r="E4" s="354" t="s">
        <v>59</v>
      </c>
      <c r="F4" s="317"/>
      <c r="G4" s="268"/>
    </row>
    <row r="5" spans="1:7" ht="22.5" customHeight="1" x14ac:dyDescent="0.25">
      <c r="A5" s="266"/>
      <c r="B5" s="266"/>
      <c r="C5" s="266"/>
      <c r="D5" s="266"/>
      <c r="E5" s="266"/>
      <c r="F5" s="266"/>
      <c r="G5" s="266"/>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f>
        <v/>
      </c>
      <c r="C7" s="357" t="str">
        <f ca="1">IFERROR(__xludf.DUMMYFUNCTION("IMPORTRANGE(""https://docs.google.com/spreadsheets/d/1ldE5MesCa2eBaR-LJ5T1U9LDDK99iepgD4XKD9i_8LY/edit?gid=1325443074#gid=1325443074"",CONCATENATE($A$1,""!I3:I5""))"),"12:00 – 1:15")</f>
        <v>12:00 – 1:15</v>
      </c>
      <c r="D7" s="317"/>
      <c r="E7" s="357" t="str">
        <f ca="1">IFERROR(__xludf.DUMMYFUNCTION("IMPORTRANGE(""https://docs.google.com/spreadsheets/d/1ldE5MesCa2eBaR-LJ5T1U9LDDK99iepgD4XKD9i_8LY/edit?gid=1325443074#gid=1325443074"",CONCATENATE($A$1,""!J3:J5""))"),"RANGERS")</f>
        <v>RANGERS</v>
      </c>
      <c r="F7" s="317"/>
      <c r="G7" s="272" t="str">
        <f ca="1">IFERROR(__xludf.DUMMYFUNCTION("IMPORTRANGE(""https://docs.google.com/spreadsheets/d/1ldE5MesCa2eBaR-LJ5T1U9LDDK99iepgD4XKD9i_8LY/edit?gid=1325443074#gid=1325443074"",CONCATENATE($A$1,""!K3:K5""))"),"RINK 3")</f>
        <v>RINK 3</v>
      </c>
    </row>
    <row r="8" spans="1:7" ht="22.5" customHeight="1" x14ac:dyDescent="0.25">
      <c r="A8" s="273" t="s">
        <v>65</v>
      </c>
      <c r="B8" s="274" t="str">
        <f ca="1">IFERROR(__xludf.DUMMYFUNCTION("""COMPUTED_VALUE"""),"")</f>
        <v/>
      </c>
      <c r="C8" s="348" t="str">
        <f ca="1">IFERROR(__xludf.DUMMYFUNCTION("""COMPUTED_VALUE"""),"12:00 – 1:15")</f>
        <v>12:00 – 1:15</v>
      </c>
      <c r="D8" s="315"/>
      <c r="E8" s="348" t="str">
        <f ca="1">IFERROR(__xludf.DUMMYFUNCTION("""COMPUTED_VALUE"""),"BRUINS")</f>
        <v>BRUINS</v>
      </c>
      <c r="F8" s="317"/>
      <c r="G8" s="273" t="str">
        <f ca="1">IFERROR(__xludf.DUMMYFUNCTION("""COMPUTED_VALUE"""),"RINK 3")</f>
        <v>RINK 3</v>
      </c>
    </row>
    <row r="9" spans="1:7" ht="22.5" customHeight="1" x14ac:dyDescent="0.25">
      <c r="A9" s="275" t="s">
        <v>66</v>
      </c>
      <c r="B9" s="274" t="str">
        <f ca="1">IFERROR(__xludf.DUMMYFUNCTION("""COMPUTED_VALUE"""),"10:30 – 11:45")</f>
        <v>10:30 – 11:45</v>
      </c>
      <c r="C9" s="347" t="str">
        <f ca="1">IFERROR(__xludf.DUMMYFUNCTION("""COMPUTED_VALUE"""),"")</f>
        <v/>
      </c>
      <c r="D9" s="315"/>
      <c r="E9" s="348" t="str">
        <f ca="1">IFERROR(__xludf.DUMMYFUNCTION("""COMPUTED_VALUE"""),"KNIGHTS")</f>
        <v>KNIGHTS</v>
      </c>
      <c r="F9" s="317"/>
      <c r="G9" s="272" t="str">
        <f ca="1">IFERROR(__xludf.DUMMYFUNCTION("""COMPUTED_VALUE"""),"RINK 3")</f>
        <v>RINK 3</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87"/>
    </row>
    <row r="12" spans="1:7" ht="28.5" customHeight="1" x14ac:dyDescent="0.25">
      <c r="A12" s="349" t="s">
        <v>68</v>
      </c>
      <c r="B12" s="317"/>
      <c r="C12" s="277" t="s">
        <v>69</v>
      </c>
      <c r="D12" s="278" t="s">
        <v>64</v>
      </c>
      <c r="E12" s="278" t="s">
        <v>65</v>
      </c>
      <c r="F12" s="278" t="s">
        <v>66</v>
      </c>
      <c r="G12" s="265"/>
    </row>
    <row r="13" spans="1:7" ht="5.25" customHeight="1" x14ac:dyDescent="0.25">
      <c r="A13" s="279"/>
      <c r="B13" s="280"/>
      <c r="C13" s="281"/>
      <c r="D13" s="280"/>
      <c r="E13" s="280"/>
      <c r="F13" s="282"/>
      <c r="G13" s="265"/>
    </row>
    <row r="14" spans="1:7" ht="22.5" customHeight="1" x14ac:dyDescent="0.25">
      <c r="A14" s="283" t="str">
        <f ca="1">IFERROR(__xludf.DUMMYFUNCTION("QUERY(IMPORTRANGE(""https://docs.google.com/spreadsheets/d/1ldE5MesCa2eBaR-LJ5T1U9LDDK99iepgD4XKD9i_8LY/edit?gid=20346383#gid=20346383"",""Div1 Roster!A6:I100""), ""SELECT Col1, Col2, Col4, Col5, Col6, Col7 WHERE Col3 = '""&amp;A1&amp;""'"")"),"CLARK")</f>
        <v>CLARK</v>
      </c>
      <c r="B14" s="284" t="str">
        <f ca="1">IFERROR(__xludf.DUMMYFUNCTION("""COMPUTED_VALUE"""),"BRIAN")</f>
        <v>BRIAN</v>
      </c>
      <c r="C14" s="285" t="str">
        <f ca="1">IFERROR(__xludf.DUMMYFUNCTION("""COMPUTED_VALUE"""),"D")</f>
        <v>D</v>
      </c>
      <c r="D14" s="286" t="str">
        <f ca="1">IFERROR(__xludf.DUMMYFUNCTION("""COMPUTED_VALUE"""),"Y")</f>
        <v>Y</v>
      </c>
      <c r="E14" s="286" t="str">
        <f ca="1">IFERROR(__xludf.DUMMYFUNCTION("""COMPUTED_VALUE"""),"Y")</f>
        <v>Y</v>
      </c>
      <c r="F14" s="286" t="str">
        <f ca="1">IFERROR(__xludf.DUMMYFUNCTION("""COMPUTED_VALUE"""),"Y")</f>
        <v>Y</v>
      </c>
      <c r="G14" s="265"/>
    </row>
    <row r="15" spans="1:7" ht="22.5" customHeight="1" x14ac:dyDescent="0.25">
      <c r="A15" s="283" t="str">
        <f ca="1">IFERROR(__xludf.DUMMYFUNCTION("""COMPUTED_VALUE"""),"DOBBERTHIEN")</f>
        <v>DOBBERTHIEN</v>
      </c>
      <c r="B15" s="284" t="str">
        <f ca="1">IFERROR(__xludf.DUMMYFUNCTION("""COMPUTED_VALUE"""),"PAT")</f>
        <v>PAT</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5"/>
    </row>
    <row r="16" spans="1:7" ht="22.5" customHeight="1" x14ac:dyDescent="0.25">
      <c r="A16" s="283" t="str">
        <f ca="1">IFERROR(__xludf.DUMMYFUNCTION("""COMPUTED_VALUE"""),"FERGUSON")</f>
        <v>FERGUSON</v>
      </c>
      <c r="B16" s="284" t="str">
        <f ca="1">IFERROR(__xludf.DUMMYFUNCTION("""COMPUTED_VALUE"""),"BRENT")</f>
        <v>BRENT</v>
      </c>
      <c r="C16" s="285" t="str">
        <f ca="1">IFERROR(__xludf.DUMMYFUNCTION("""COMPUTED_VALUE"""),"F")</f>
        <v>F</v>
      </c>
      <c r="D16" s="286" t="str">
        <f ca="1">IFERROR(__xludf.DUMMYFUNCTION("""COMPUTED_VALUE"""),"Y")</f>
        <v>Y</v>
      </c>
      <c r="E16" s="286" t="str">
        <f ca="1">IFERROR(__xludf.DUMMYFUNCTION("""COMPUTED_VALUE"""),"Y")</f>
        <v>Y</v>
      </c>
      <c r="F16" s="286" t="str">
        <f ca="1">IFERROR(__xludf.DUMMYFUNCTION("""COMPUTED_VALUE"""),"Y")</f>
        <v>Y</v>
      </c>
      <c r="G16" s="265"/>
    </row>
    <row r="17" spans="1:7" ht="22.5" customHeight="1" x14ac:dyDescent="0.25">
      <c r="A17" s="283" t="str">
        <f ca="1">IFERROR(__xludf.DUMMYFUNCTION("""COMPUTED_VALUE"""),"FILLMORE")</f>
        <v>FILLMORE</v>
      </c>
      <c r="B17" s="284" t="str">
        <f ca="1">IFERROR(__xludf.DUMMYFUNCTION("""COMPUTED_VALUE"""),"STEVE")</f>
        <v>STEVE</v>
      </c>
      <c r="C17" s="285" t="str">
        <f ca="1">IFERROR(__xludf.DUMMYFUNCTION("""COMPUTED_VALUE"""),"D/(L)")</f>
        <v>D/(L)</v>
      </c>
      <c r="D17" s="286" t="str">
        <f ca="1">IFERROR(__xludf.DUMMYFUNCTION("""COMPUTED_VALUE"""),"Y")</f>
        <v>Y</v>
      </c>
      <c r="E17" s="286" t="str">
        <f ca="1">IFERROR(__xludf.DUMMYFUNCTION("""COMPUTED_VALUE"""),"Y")</f>
        <v>Y</v>
      </c>
      <c r="F17" s="286" t="str">
        <f ca="1">IFERROR(__xludf.DUMMYFUNCTION("""COMPUTED_VALUE"""),"Y")</f>
        <v>Y</v>
      </c>
      <c r="G17" s="265"/>
    </row>
    <row r="18" spans="1:7" ht="22.5" customHeight="1" x14ac:dyDescent="0.25">
      <c r="A18" s="283" t="str">
        <f ca="1">IFERROR(__xludf.DUMMYFUNCTION("""COMPUTED_VALUE"""),"GREGG")</f>
        <v>GREGG</v>
      </c>
      <c r="B18" s="284" t="str">
        <f ca="1">IFERROR(__xludf.DUMMYFUNCTION("""COMPUTED_VALUE"""),"BRIAN")</f>
        <v>BRIAN</v>
      </c>
      <c r="C18" s="285" t="str">
        <f ca="1">IFERROR(__xludf.DUMMYFUNCTION("""COMPUTED_VALUE"""),"D")</f>
        <v>D</v>
      </c>
      <c r="D18" s="286" t="str">
        <f ca="1">IFERROR(__xludf.DUMMYFUNCTION("""COMPUTED_VALUE"""),"Y")</f>
        <v>Y</v>
      </c>
      <c r="E18" s="286" t="str">
        <f ca="1">IFERROR(__xludf.DUMMYFUNCTION("""COMPUTED_VALUE"""),"Y")</f>
        <v>Y</v>
      </c>
      <c r="F18" s="286" t="str">
        <f ca="1">IFERROR(__xludf.DUMMYFUNCTION("""COMPUTED_VALUE"""),"Y")</f>
        <v>Y</v>
      </c>
      <c r="G18" s="265"/>
    </row>
    <row r="19" spans="1:7" ht="22.5" customHeight="1" x14ac:dyDescent="0.25">
      <c r="A19" s="283" t="str">
        <f ca="1">IFERROR(__xludf.DUMMYFUNCTION("""COMPUTED_VALUE"""),"JANISCH")</f>
        <v>JANISCH</v>
      </c>
      <c r="B19" s="284" t="str">
        <f ca="1">IFERROR(__xludf.DUMMYFUNCTION("""COMPUTED_VALUE"""),"MARK")</f>
        <v>MARK</v>
      </c>
      <c r="C19" s="285" t="str">
        <f ca="1">IFERROR(__xludf.DUMMYFUNCTION("""COMPUTED_VALUE"""),"D")</f>
        <v>D</v>
      </c>
      <c r="D19" s="286" t="str">
        <f ca="1">IFERROR(__xludf.DUMMYFUNCTION("""COMPUTED_VALUE"""),"Y")</f>
        <v>Y</v>
      </c>
      <c r="E19" s="286" t="str">
        <f ca="1">IFERROR(__xludf.DUMMYFUNCTION("""COMPUTED_VALUE"""),"Y")</f>
        <v>Y</v>
      </c>
      <c r="F19" s="286" t="str">
        <f ca="1">IFERROR(__xludf.DUMMYFUNCTION("""COMPUTED_VALUE"""),"Y")</f>
        <v>Y</v>
      </c>
      <c r="G19" s="265"/>
    </row>
    <row r="20" spans="1:7" ht="22.5" customHeight="1" x14ac:dyDescent="0.25">
      <c r="A20" s="283" t="str">
        <f ca="1">IFERROR(__xludf.DUMMYFUNCTION("""COMPUTED_VALUE"""),"LEGERE")</f>
        <v>LEGERE</v>
      </c>
      <c r="B20" s="284" t="str">
        <f ca="1">IFERROR(__xludf.DUMMYFUNCTION("""COMPUTED_VALUE"""),"JEFFREY")</f>
        <v>JEFFREY</v>
      </c>
      <c r="C20" s="285" t="str">
        <f ca="1">IFERROR(__xludf.DUMMYFUNCTION("""COMPUTED_VALUE"""),"F")</f>
        <v>F</v>
      </c>
      <c r="D20" s="286" t="str">
        <f ca="1">IFERROR(__xludf.DUMMYFUNCTION("""COMPUTED_VALUE"""),"Y")</f>
        <v>Y</v>
      </c>
      <c r="E20" s="286" t="str">
        <f ca="1">IFERROR(__xludf.DUMMYFUNCTION("""COMPUTED_VALUE"""),"Y")</f>
        <v>Y</v>
      </c>
      <c r="F20" s="286" t="str">
        <f ca="1">IFERROR(__xludf.DUMMYFUNCTION("""COMPUTED_VALUE"""),"Y")</f>
        <v>Y</v>
      </c>
      <c r="G20" s="265"/>
    </row>
    <row r="21" spans="1:7" ht="22.5" customHeight="1" x14ac:dyDescent="0.25">
      <c r="A21" s="283" t="str">
        <f ca="1">IFERROR(__xludf.DUMMYFUNCTION("""COMPUTED_VALUE"""),"NEWMAN")</f>
        <v>NEWMAN</v>
      </c>
      <c r="B21" s="284" t="str">
        <f ca="1">IFERROR(__xludf.DUMMYFUNCTION("""COMPUTED_VALUE"""),"GARY")</f>
        <v>GARY</v>
      </c>
      <c r="C21" s="285" t="str">
        <f ca="1">IFERROR(__xludf.DUMMYFUNCTION("""COMPUTED_VALUE"""),"F/C")</f>
        <v>F/C</v>
      </c>
      <c r="D21" s="286" t="str">
        <f ca="1">IFERROR(__xludf.DUMMYFUNCTION("""COMPUTED_VALUE"""),"N")</f>
        <v>N</v>
      </c>
      <c r="E21" s="286" t="str">
        <f ca="1">IFERROR(__xludf.DUMMYFUNCTION("""COMPUTED_VALUE"""),"Y")</f>
        <v>Y</v>
      </c>
      <c r="F21" s="286" t="str">
        <f ca="1">IFERROR(__xludf.DUMMYFUNCTION("""COMPUTED_VALUE"""),"Y")</f>
        <v>Y</v>
      </c>
      <c r="G21" s="265"/>
    </row>
    <row r="22" spans="1:7" ht="22.5" customHeight="1" x14ac:dyDescent="0.25">
      <c r="A22" s="283" t="str">
        <f ca="1">IFERROR(__xludf.DUMMYFUNCTION("""COMPUTED_VALUE"""),"NOWAKOWSKI")</f>
        <v>NOWAKOWSKI</v>
      </c>
      <c r="B22" s="284" t="str">
        <f ca="1">IFERROR(__xludf.DUMMYFUNCTION("""COMPUTED_VALUE"""),"KEN")</f>
        <v>KEN</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5"/>
    </row>
    <row r="23" spans="1:7" ht="22.5" customHeight="1" x14ac:dyDescent="0.25">
      <c r="A23" s="283" t="str">
        <f ca="1">IFERROR(__xludf.DUMMYFUNCTION("""COMPUTED_VALUE"""),"ROUX")</f>
        <v>ROUX</v>
      </c>
      <c r="B23" s="284" t="str">
        <f ca="1">IFERROR(__xludf.DUMMYFUNCTION("""COMPUTED_VALUE"""),"CHRISTIAN")</f>
        <v>CHRISTIAN</v>
      </c>
      <c r="C23" s="285" t="str">
        <f ca="1">IFERROR(__xludf.DUMMYFUNCTION("""COMPUTED_VALUE"""),"G")</f>
        <v>G</v>
      </c>
      <c r="D23" s="286" t="str">
        <f ca="1">IFERROR(__xludf.DUMMYFUNCTION("""COMPUTED_VALUE"""),"Y")</f>
        <v>Y</v>
      </c>
      <c r="E23" s="286" t="str">
        <f ca="1">IFERROR(__xludf.DUMMYFUNCTION("""COMPUTED_VALUE"""),"Y")</f>
        <v>Y</v>
      </c>
      <c r="F23" s="286" t="str">
        <f ca="1">IFERROR(__xludf.DUMMYFUNCTION("""COMPUTED_VALUE"""),"Y")</f>
        <v>Y</v>
      </c>
      <c r="G23" s="265"/>
    </row>
    <row r="24" spans="1:7" ht="22.5" customHeight="1" x14ac:dyDescent="0.25">
      <c r="A24" s="283" t="str">
        <f ca="1">IFERROR(__xludf.DUMMYFUNCTION("""COMPUTED_VALUE"""),"WALTER")</f>
        <v>WALTER</v>
      </c>
      <c r="B24" s="284" t="str">
        <f ca="1">IFERROR(__xludf.DUMMYFUNCTION("""COMPUTED_VALUE"""),"NORM")</f>
        <v>NORM</v>
      </c>
      <c r="C24" s="285" t="str">
        <f ca="1">IFERROR(__xludf.DUMMYFUNCTION("""COMPUTED_VALUE"""),"F")</f>
        <v>F</v>
      </c>
      <c r="D24" s="286" t="str">
        <f ca="1">IFERROR(__xludf.DUMMYFUNCTION("""COMPUTED_VALUE"""),"Y")</f>
        <v>Y</v>
      </c>
      <c r="E24" s="286" t="str">
        <f ca="1">IFERROR(__xludf.DUMMYFUNCTION("""COMPUTED_VALUE"""),"Y")</f>
        <v>Y</v>
      </c>
      <c r="F24" s="286" t="str">
        <f ca="1">IFERROR(__xludf.DUMMYFUNCTION("""COMPUTED_VALUE"""),"Y")</f>
        <v>Y</v>
      </c>
      <c r="G24" s="265"/>
    </row>
    <row r="25" spans="1:7" ht="22.5" customHeight="1" x14ac:dyDescent="0.25">
      <c r="A25" s="283" t="str">
        <f ca="1">IFERROR(__xludf.DUMMYFUNCTION("""COMPUTED_VALUE"""),"YOUNG")</f>
        <v>YOUNG</v>
      </c>
      <c r="B25" s="284" t="str">
        <f ca="1">IFERROR(__xludf.DUMMYFUNCTION("""COMPUTED_VALUE"""),"JEFF")</f>
        <v>JEFF</v>
      </c>
      <c r="C25" s="285" t="str">
        <f ca="1">IFERROR(__xludf.DUMMYFUNCTION("""COMPUTED_VALUE"""),"F")</f>
        <v>F</v>
      </c>
      <c r="D25" s="286" t="str">
        <f ca="1">IFERROR(__xludf.DUMMYFUNCTION("""COMPUTED_VALUE"""),"Y")</f>
        <v>Y</v>
      </c>
      <c r="E25" s="286" t="str">
        <f ca="1">IFERROR(__xludf.DUMMYFUNCTION("""COMPUTED_VALUE"""),"Y")</f>
        <v>Y</v>
      </c>
      <c r="F25" s="286" t="str">
        <f ca="1">IFERROR(__xludf.DUMMYFUNCTION("""COMPUTED_VALUE"""),"Y")</f>
        <v>Y</v>
      </c>
      <c r="G25" s="265"/>
    </row>
    <row r="26" spans="1:7" ht="22.5" customHeight="1" x14ac:dyDescent="0.25">
      <c r="A26" s="283"/>
      <c r="B26" s="284"/>
      <c r="C26" s="285"/>
      <c r="D26" s="286"/>
      <c r="E26" s="286"/>
      <c r="F26" s="286"/>
      <c r="G26" s="265"/>
    </row>
    <row r="27" spans="1:7" ht="22.5" customHeight="1" x14ac:dyDescent="0.25">
      <c r="A27" s="283"/>
      <c r="B27" s="284"/>
      <c r="C27" s="285"/>
      <c r="D27" s="286"/>
      <c r="E27" s="286"/>
      <c r="F27" s="286"/>
      <c r="G27" s="265"/>
    </row>
    <row r="28" spans="1:7" ht="22.5" customHeight="1" x14ac:dyDescent="0.25">
      <c r="A28" s="283"/>
      <c r="B28" s="284"/>
      <c r="C28" s="285"/>
      <c r="D28" s="286"/>
      <c r="E28" s="286"/>
      <c r="F28" s="286"/>
      <c r="G28" s="265"/>
    </row>
    <row r="29" spans="1:7" ht="22.5" customHeight="1" x14ac:dyDescent="0.25">
      <c r="A29" s="283"/>
      <c r="B29" s="284"/>
      <c r="C29" s="285"/>
      <c r="D29" s="286"/>
      <c r="E29" s="286"/>
      <c r="F29" s="286"/>
      <c r="G29" s="265"/>
    </row>
    <row r="30" spans="1:7" ht="22.5" customHeight="1" x14ac:dyDescent="0.25">
      <c r="A30" s="283"/>
      <c r="B30" s="284"/>
      <c r="C30" s="285"/>
      <c r="D30" s="286"/>
      <c r="E30" s="286"/>
      <c r="F30" s="286"/>
      <c r="G30" s="265"/>
    </row>
    <row r="31" spans="1:7" ht="22.5" customHeight="1" x14ac:dyDescent="0.25">
      <c r="A31" s="283"/>
      <c r="B31" s="284"/>
      <c r="C31" s="285"/>
      <c r="D31" s="286"/>
      <c r="E31" s="286"/>
      <c r="F31" s="286"/>
      <c r="G31" s="265"/>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76" priority="5">
      <formula>LEN(TRIM(B7))&gt;0</formula>
    </cfRule>
  </conditionalFormatting>
  <conditionalFormatting sqref="C7:D9">
    <cfRule type="notContainsBlanks" dxfId="75" priority="4">
      <formula>LEN(TRIM(C7))&gt;0</formula>
    </cfRule>
  </conditionalFormatting>
  <conditionalFormatting sqref="D14:F31">
    <cfRule type="endsWith" dxfId="74" priority="1" operator="endsWith" text="M">
      <formula>RIGHT((D14),LEN("M"))=("M")</formula>
    </cfRule>
    <cfRule type="cellIs" dxfId="73" priority="2" operator="equal">
      <formula>"N"</formula>
    </cfRule>
    <cfRule type="cellIs" dxfId="72" priority="3" operator="equal">
      <formula>"Y"</formula>
    </cfRule>
  </conditionalFormatting>
  <conditionalFormatting sqref="E7:F9">
    <cfRule type="expression" dxfId="71" priority="6">
      <formula>B7=""</formula>
    </cfRule>
    <cfRule type="expression" dxfId="70" priority="7">
      <formula>C7=""</formula>
    </cfRule>
  </conditionalFormatting>
  <hyperlinks>
    <hyperlink ref="E4" location="LOOKUP!A1" display="Back to Lookup" xr:uid="{00000000-0004-0000-0700-000000000000}"/>
  </hyperlinks>
  <printOptions horizontalCentered="1" gridLines="1"/>
  <pageMargins left="0.7" right="0.7" top="0.75" bottom="0.75" header="0" footer="0"/>
  <pageSetup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outlinePr summaryBelow="0" summaryRight="0"/>
    <pageSetUpPr fitToPage="1"/>
  </sheetPr>
  <dimension ref="A1:G31"/>
  <sheetViews>
    <sheetView workbookViewId="0"/>
  </sheetViews>
  <sheetFormatPr defaultColWidth="12.5703125" defaultRowHeight="15.75" customHeight="1" x14ac:dyDescent="0.2"/>
  <cols>
    <col min="1" max="1" width="20.42578125" customWidth="1"/>
    <col min="2" max="2" width="23.42578125" customWidth="1"/>
    <col min="3" max="3" width="11.7109375" customWidth="1"/>
    <col min="4" max="4" width="10.140625" customWidth="1"/>
    <col min="5" max="5" width="8" customWidth="1"/>
    <col min="6" max="6" width="8.140625" customWidth="1"/>
    <col min="7" max="7" width="13" customWidth="1"/>
  </cols>
  <sheetData>
    <row r="1" spans="1:7" ht="28.5" customHeight="1" x14ac:dyDescent="0.2">
      <c r="A1" s="358" t="s">
        <v>6</v>
      </c>
      <c r="B1" s="351"/>
      <c r="C1" s="351"/>
      <c r="D1" s="351"/>
      <c r="E1" s="351"/>
      <c r="F1" s="351"/>
      <c r="G1" s="298"/>
    </row>
    <row r="2" spans="1:7" ht="22.5" customHeight="1" x14ac:dyDescent="0.2">
      <c r="A2" s="299"/>
      <c r="B2" s="352"/>
      <c r="C2" s="352"/>
      <c r="D2" s="352"/>
      <c r="E2" s="352"/>
      <c r="F2" s="352"/>
      <c r="G2" s="300"/>
    </row>
    <row r="3" spans="1:7" ht="22.5" customHeight="1" x14ac:dyDescent="0.25">
      <c r="A3" s="265"/>
      <c r="B3" s="266"/>
      <c r="C3" s="266"/>
      <c r="D3" s="266"/>
      <c r="E3" s="266"/>
      <c r="F3" s="266"/>
      <c r="G3" s="265"/>
    </row>
    <row r="4" spans="1:7" ht="22.5" customHeight="1" x14ac:dyDescent="0.25">
      <c r="A4" s="267" t="s">
        <v>58</v>
      </c>
      <c r="B4" s="353" t="str">
        <f ca="1">IFERROR(__xludf.DUMMYFUNCTION("IMPORTRANGE(""https://docs.google.com/spreadsheets/d/1ldE5MesCa2eBaR-LJ5T1U9LDDK99iepgD4XKD9i_8LY/edit?gid=1325443074#gid=1325443074"",CONCATENATE(A1,""!B5""))"),"Alan Barrett")</f>
        <v>Alan Barrett</v>
      </c>
      <c r="C4" s="315"/>
      <c r="D4" s="317"/>
      <c r="E4" s="354" t="s">
        <v>59</v>
      </c>
      <c r="F4" s="317"/>
      <c r="G4" s="268"/>
    </row>
    <row r="5" spans="1:7" ht="22.5" customHeight="1" x14ac:dyDescent="0.25">
      <c r="A5" s="265"/>
      <c r="B5" s="266"/>
      <c r="C5" s="266"/>
      <c r="D5" s="266"/>
      <c r="E5" s="266"/>
      <c r="F5" s="265"/>
      <c r="G5" s="265"/>
    </row>
    <row r="6" spans="1:7" ht="22.5" customHeight="1" x14ac:dyDescent="0.25">
      <c r="A6" s="269" t="s">
        <v>60</v>
      </c>
      <c r="B6" s="355" t="s">
        <v>61</v>
      </c>
      <c r="C6" s="351"/>
      <c r="D6" s="351"/>
      <c r="E6" s="356" t="s">
        <v>62</v>
      </c>
      <c r="F6" s="298"/>
      <c r="G6" s="269" t="s">
        <v>63</v>
      </c>
    </row>
    <row r="7" spans="1:7" ht="22.5" customHeight="1" x14ac:dyDescent="0.25">
      <c r="A7" s="270" t="s">
        <v>64</v>
      </c>
      <c r="B7" s="271" t="str">
        <f ca="1">IFERROR(__xludf.DUMMYFUNCTION("IMPORTRANGE(""https://docs.google.com/spreadsheets/d/1ldE5MesCa2eBaR-LJ5T1U9LDDK99iepgD4XKD9i_8LY/edit?gid=1325443074#gid=1325443074"",CONCATENATE(A1,""!H3:H5""))"),"10:30 – 11:45")</f>
        <v>10:30 – 11:45</v>
      </c>
      <c r="C7" s="357" t="str">
        <f ca="1">IFERROR(__xludf.DUMMYFUNCTION("IMPORTRANGE(""https://docs.google.com/spreadsheets/d/1ldE5MesCa2eBaR-LJ5T1U9LDDK99iepgD4XKD9i_8LY/edit?gid=1325443074#gid=1325443074"",CONCATENATE($A$1,""!I3:I5""))"),"")</f>
        <v/>
      </c>
      <c r="D7" s="317"/>
      <c r="E7" s="357" t="str">
        <f ca="1">IFERROR(__xludf.DUMMYFUNCTION("IMPORTRANGE(""https://docs.google.com/spreadsheets/d/1ldE5MesCa2eBaR-LJ5T1U9LDDK99iepgD4XKD9i_8LY/edit?gid=1325443074#gid=1325443074"",CONCATENATE($A$1,""!J3:J5""))"),"STARS")</f>
        <v>STARS</v>
      </c>
      <c r="F7" s="317"/>
      <c r="G7" s="272" t="str">
        <f ca="1">IFERROR(__xludf.DUMMYFUNCTION("IMPORTRANGE(""https://docs.google.com/spreadsheets/d/1ldE5MesCa2eBaR-LJ5T1U9LDDK99iepgD4XKD9i_8LY/edit?gid=1325443074#gid=1325443074"",CONCATENATE($A$1,""!K3:K5""))"),"RINK 3")</f>
        <v>RINK 3</v>
      </c>
    </row>
    <row r="8" spans="1:7" ht="22.5" customHeight="1" x14ac:dyDescent="0.25">
      <c r="A8" s="273" t="s">
        <v>65</v>
      </c>
      <c r="B8" s="274" t="str">
        <f ca="1">IFERROR(__xludf.DUMMYFUNCTION("""COMPUTED_VALUE"""),"")</f>
        <v/>
      </c>
      <c r="C8" s="348" t="str">
        <f ca="1">IFERROR(__xludf.DUMMYFUNCTION("""COMPUTED_VALUE"""),"11:45 – 1:00")</f>
        <v>11:45 – 1:00</v>
      </c>
      <c r="D8" s="315"/>
      <c r="E8" s="348" t="str">
        <f ca="1">IFERROR(__xludf.DUMMYFUNCTION("""COMPUTED_VALUE"""),"FLAMES")</f>
        <v>FLAMES</v>
      </c>
      <c r="F8" s="317"/>
      <c r="G8" s="273" t="str">
        <f ca="1">IFERROR(__xludf.DUMMYFUNCTION("""COMPUTED_VALUE"""),"RINK 2")</f>
        <v>RINK 2</v>
      </c>
    </row>
    <row r="9" spans="1:7" ht="22.5" customHeight="1" x14ac:dyDescent="0.25">
      <c r="A9" s="275" t="s">
        <v>66</v>
      </c>
      <c r="B9" s="274" t="str">
        <f ca="1">IFERROR(__xludf.DUMMYFUNCTION("""COMPUTED_VALUE"""),"")</f>
        <v/>
      </c>
      <c r="C9" s="347" t="str">
        <f ca="1">IFERROR(__xludf.DUMMYFUNCTION("""COMPUTED_VALUE"""),"12:15 – 1:30")</f>
        <v>12:15 – 1:30</v>
      </c>
      <c r="D9" s="315"/>
      <c r="E9" s="348" t="str">
        <f ca="1">IFERROR(__xludf.DUMMYFUNCTION("""COMPUTED_VALUE"""),"JETS")</f>
        <v>JETS</v>
      </c>
      <c r="F9" s="317"/>
      <c r="G9" s="272" t="str">
        <f ca="1">IFERROR(__xludf.DUMMYFUNCTION("""COMPUTED_VALUE"""),"RINK 4")</f>
        <v>RINK 4</v>
      </c>
    </row>
    <row r="10" spans="1:7" ht="22.5" customHeight="1" x14ac:dyDescent="0.25">
      <c r="A10" s="265"/>
      <c r="B10" s="265"/>
      <c r="C10" s="265"/>
      <c r="D10" s="265"/>
      <c r="E10" s="265"/>
      <c r="F10" s="265"/>
      <c r="G10" s="265"/>
    </row>
    <row r="11" spans="1:7" ht="22.5" customHeight="1" x14ac:dyDescent="0.25">
      <c r="A11" s="265"/>
      <c r="B11" s="265"/>
      <c r="C11" s="276"/>
      <c r="D11" s="349" t="s">
        <v>67</v>
      </c>
      <c r="E11" s="315"/>
      <c r="F11" s="317"/>
      <c r="G11" s="265"/>
    </row>
    <row r="12" spans="1:7" ht="28.5" customHeight="1" x14ac:dyDescent="0.25">
      <c r="A12" s="349" t="s">
        <v>68</v>
      </c>
      <c r="B12" s="317"/>
      <c r="C12" s="277" t="s">
        <v>69</v>
      </c>
      <c r="D12" s="278" t="s">
        <v>64</v>
      </c>
      <c r="E12" s="278" t="s">
        <v>65</v>
      </c>
      <c r="F12" s="278" t="s">
        <v>66</v>
      </c>
      <c r="G12" s="265"/>
    </row>
    <row r="13" spans="1:7" ht="5.25" customHeight="1" x14ac:dyDescent="0.25">
      <c r="A13" s="279"/>
      <c r="B13" s="280"/>
      <c r="C13" s="281"/>
      <c r="D13" s="280"/>
      <c r="E13" s="280"/>
      <c r="F13" s="282"/>
      <c r="G13" s="265"/>
    </row>
    <row r="14" spans="1:7" ht="22.5" customHeight="1" x14ac:dyDescent="0.25">
      <c r="A14" s="283" t="str">
        <f ca="1">IFERROR(__xludf.DUMMYFUNCTION("QUERY(IMPORTRANGE(""https://docs.google.com/spreadsheets/d/1ldE5MesCa2eBaR-LJ5T1U9LDDK99iepgD4XKD9i_8LY/edit?gid=20346383#gid=20346383"",""Div2A Roster!A6:I100""), ""SELECT Col1, Col2, Col4, Col5, Col6, Col7 WHERE Col3 = '""&amp;A1&amp;""'"")"),"ARONOVICH")</f>
        <v>ARONOVICH</v>
      </c>
      <c r="B14" s="284" t="str">
        <f ca="1">IFERROR(__xludf.DUMMYFUNCTION("""COMPUTED_VALUE"""),"HARVEY")</f>
        <v>HARVEY</v>
      </c>
      <c r="C14" s="285" t="str">
        <f ca="1">IFERROR(__xludf.DUMMYFUNCTION("""COMPUTED_VALUE"""),"D")</f>
        <v>D</v>
      </c>
      <c r="D14" s="286" t="str">
        <f ca="1">IFERROR(__xludf.DUMMYFUNCTION("""COMPUTED_VALUE"""),"Y")</f>
        <v>Y</v>
      </c>
      <c r="E14" s="286" t="str">
        <f ca="1">IFERROR(__xludf.DUMMYFUNCTION("""COMPUTED_VALUE"""),"Y")</f>
        <v>Y</v>
      </c>
      <c r="F14" s="286" t="str">
        <f ca="1">IFERROR(__xludf.DUMMYFUNCTION("""COMPUTED_VALUE"""),"Y")</f>
        <v>Y</v>
      </c>
      <c r="G14" s="265"/>
    </row>
    <row r="15" spans="1:7" ht="22.5" customHeight="1" x14ac:dyDescent="0.25">
      <c r="A15" s="283" t="str">
        <f ca="1">IFERROR(__xludf.DUMMYFUNCTION("""COMPUTED_VALUE"""),"BARRETT")</f>
        <v>BARRETT</v>
      </c>
      <c r="B15" s="284" t="str">
        <f ca="1">IFERROR(__xludf.DUMMYFUNCTION("""COMPUTED_VALUE"""),"ALAN")</f>
        <v>ALAN</v>
      </c>
      <c r="C15" s="285" t="str">
        <f ca="1">IFERROR(__xludf.DUMMYFUNCTION("""COMPUTED_VALUE"""),"F")</f>
        <v>F</v>
      </c>
      <c r="D15" s="286" t="str">
        <f ca="1">IFERROR(__xludf.DUMMYFUNCTION("""COMPUTED_VALUE"""),"Y")</f>
        <v>Y</v>
      </c>
      <c r="E15" s="286" t="str">
        <f ca="1">IFERROR(__xludf.DUMMYFUNCTION("""COMPUTED_VALUE"""),"Y")</f>
        <v>Y</v>
      </c>
      <c r="F15" s="286" t="str">
        <f ca="1">IFERROR(__xludf.DUMMYFUNCTION("""COMPUTED_VALUE"""),"Y")</f>
        <v>Y</v>
      </c>
      <c r="G15" s="265"/>
    </row>
    <row r="16" spans="1:7" ht="22.5" customHeight="1" x14ac:dyDescent="0.25">
      <c r="A16" s="283" t="str">
        <f ca="1">IFERROR(__xludf.DUMMYFUNCTION("""COMPUTED_VALUE"""),"BOWLES")</f>
        <v>BOWLES</v>
      </c>
      <c r="B16" s="284" t="str">
        <f ca="1">IFERROR(__xludf.DUMMYFUNCTION("""COMPUTED_VALUE"""),"KELLY")</f>
        <v>KELLY</v>
      </c>
      <c r="C16" s="285" t="str">
        <f ca="1">IFERROR(__xludf.DUMMYFUNCTION("""COMPUTED_VALUE"""),"F(LW)")</f>
        <v>F(LW)</v>
      </c>
      <c r="D16" s="286" t="str">
        <f ca="1">IFERROR(__xludf.DUMMYFUNCTION("""COMPUTED_VALUE"""),"Y")</f>
        <v>Y</v>
      </c>
      <c r="E16" s="286" t="str">
        <f ca="1">IFERROR(__xludf.DUMMYFUNCTION("""COMPUTED_VALUE"""),"Y")</f>
        <v>Y</v>
      </c>
      <c r="F16" s="286" t="str">
        <f ca="1">IFERROR(__xludf.DUMMYFUNCTION("""COMPUTED_VALUE"""),"Y")</f>
        <v>Y</v>
      </c>
      <c r="G16" s="265"/>
    </row>
    <row r="17" spans="1:7" ht="22.5" customHeight="1" x14ac:dyDescent="0.25">
      <c r="A17" s="283" t="str">
        <f ca="1">IFERROR(__xludf.DUMMYFUNCTION("""COMPUTED_VALUE"""),"CARDON")</f>
        <v>CARDON</v>
      </c>
      <c r="B17" s="284" t="str">
        <f ca="1">IFERROR(__xludf.DUMMYFUNCTION("""COMPUTED_VALUE"""),"RANDY")</f>
        <v>RANDY</v>
      </c>
      <c r="C17" s="285" t="str">
        <f ca="1">IFERROR(__xludf.DUMMYFUNCTION("""COMPUTED_VALUE"""),"F(LW)")</f>
        <v>F(LW)</v>
      </c>
      <c r="D17" s="286" t="str">
        <f ca="1">IFERROR(__xludf.DUMMYFUNCTION("""COMPUTED_VALUE"""),"Y")</f>
        <v>Y</v>
      </c>
      <c r="E17" s="286" t="str">
        <f ca="1">IFERROR(__xludf.DUMMYFUNCTION("""COMPUTED_VALUE"""),"Y")</f>
        <v>Y</v>
      </c>
      <c r="F17" s="286" t="str">
        <f ca="1">IFERROR(__xludf.DUMMYFUNCTION("""COMPUTED_VALUE"""),"Y")</f>
        <v>Y</v>
      </c>
      <c r="G17" s="265"/>
    </row>
    <row r="18" spans="1:7" ht="22.5" customHeight="1" x14ac:dyDescent="0.25">
      <c r="A18" s="283" t="str">
        <f ca="1">IFERROR(__xludf.DUMMYFUNCTION("""COMPUTED_VALUE"""),"COUSINEAU")</f>
        <v>COUSINEAU</v>
      </c>
      <c r="B18" s="284" t="str">
        <f ca="1">IFERROR(__xludf.DUMMYFUNCTION("""COMPUTED_VALUE"""),"JEFF")</f>
        <v>JEFF</v>
      </c>
      <c r="C18" s="285" t="str">
        <f ca="1">IFERROR(__xludf.DUMMYFUNCTION("""COMPUTED_VALUE"""),"G")</f>
        <v>G</v>
      </c>
      <c r="D18" s="286" t="str">
        <f ca="1">IFERROR(__xludf.DUMMYFUNCTION("""COMPUTED_VALUE"""),"Y")</f>
        <v>Y</v>
      </c>
      <c r="E18" s="286" t="str">
        <f ca="1">IFERROR(__xludf.DUMMYFUNCTION("""COMPUTED_VALUE"""),"Y")</f>
        <v>Y</v>
      </c>
      <c r="F18" s="286" t="str">
        <f ca="1">IFERROR(__xludf.DUMMYFUNCTION("""COMPUTED_VALUE"""),"Y")</f>
        <v>Y</v>
      </c>
      <c r="G18" s="265"/>
    </row>
    <row r="19" spans="1:7" ht="22.5" customHeight="1" x14ac:dyDescent="0.25">
      <c r="A19" s="283" t="str">
        <f ca="1">IFERROR(__xludf.DUMMYFUNCTION("""COMPUTED_VALUE"""),"DONAHOE")</f>
        <v>DONAHOE</v>
      </c>
      <c r="B19" s="284" t="str">
        <f ca="1">IFERROR(__xludf.DUMMYFUNCTION("""COMPUTED_VALUE"""),"PATRICK")</f>
        <v>PATRICK</v>
      </c>
      <c r="C19" s="285" t="str">
        <f ca="1">IFERROR(__xludf.DUMMYFUNCTION("""COMPUTED_VALUE"""),"F")</f>
        <v>F</v>
      </c>
      <c r="D19" s="286" t="str">
        <f ca="1">IFERROR(__xludf.DUMMYFUNCTION("""COMPUTED_VALUE"""),"Y")</f>
        <v>Y</v>
      </c>
      <c r="E19" s="286" t="str">
        <f ca="1">IFERROR(__xludf.DUMMYFUNCTION("""COMPUTED_VALUE"""),"Y")</f>
        <v>Y</v>
      </c>
      <c r="F19" s="286" t="str">
        <f ca="1">IFERROR(__xludf.DUMMYFUNCTION("""COMPUTED_VALUE"""),"Y")</f>
        <v>Y</v>
      </c>
      <c r="G19" s="265"/>
    </row>
    <row r="20" spans="1:7" ht="22.5" customHeight="1" x14ac:dyDescent="0.25">
      <c r="A20" s="283" t="str">
        <f ca="1">IFERROR(__xludf.DUMMYFUNCTION("""COMPUTED_VALUE"""),"GONIS")</f>
        <v>GONIS</v>
      </c>
      <c r="B20" s="284" t="str">
        <f ca="1">IFERROR(__xludf.DUMMYFUNCTION("""COMPUTED_VALUE"""),"GREG")</f>
        <v>GREG</v>
      </c>
      <c r="C20" s="285" t="str">
        <f ca="1">IFERROR(__xludf.DUMMYFUNCTION("""COMPUTED_VALUE"""),"F/C/W")</f>
        <v>F/C/W</v>
      </c>
      <c r="D20" s="286" t="str">
        <f ca="1">IFERROR(__xludf.DUMMYFUNCTION("""COMPUTED_VALUE"""),"Y")</f>
        <v>Y</v>
      </c>
      <c r="E20" s="286" t="str">
        <f ca="1">IFERROR(__xludf.DUMMYFUNCTION("""COMPUTED_VALUE"""),"Y")</f>
        <v>Y</v>
      </c>
      <c r="F20" s="286" t="str">
        <f ca="1">IFERROR(__xludf.DUMMYFUNCTION("""COMPUTED_VALUE"""),"Y")</f>
        <v>Y</v>
      </c>
      <c r="G20" s="265"/>
    </row>
    <row r="21" spans="1:7" ht="22.5" customHeight="1" x14ac:dyDescent="0.25">
      <c r="A21" s="283" t="str">
        <f ca="1">IFERROR(__xludf.DUMMYFUNCTION("""COMPUTED_VALUE"""),"HAFICHUK")</f>
        <v>HAFICHUK</v>
      </c>
      <c r="B21" s="284" t="str">
        <f ca="1">IFERROR(__xludf.DUMMYFUNCTION("""COMPUTED_VALUE"""),"GERRY")</f>
        <v>GERRY</v>
      </c>
      <c r="C21" s="285" t="str">
        <f ca="1">IFERROR(__xludf.DUMMYFUNCTION("""COMPUTED_VALUE"""),"F")</f>
        <v>F</v>
      </c>
      <c r="D21" s="286" t="str">
        <f ca="1">IFERROR(__xludf.DUMMYFUNCTION("""COMPUTED_VALUE"""),"Y")</f>
        <v>Y</v>
      </c>
      <c r="E21" s="286" t="str">
        <f ca="1">IFERROR(__xludf.DUMMYFUNCTION("""COMPUTED_VALUE"""),"Y")</f>
        <v>Y</v>
      </c>
      <c r="F21" s="286" t="str">
        <f ca="1">IFERROR(__xludf.DUMMYFUNCTION("""COMPUTED_VALUE"""),"Y")</f>
        <v>Y</v>
      </c>
      <c r="G21" s="265"/>
    </row>
    <row r="22" spans="1:7" ht="22.5" customHeight="1" x14ac:dyDescent="0.25">
      <c r="A22" s="283" t="str">
        <f ca="1">IFERROR(__xludf.DUMMYFUNCTION("""COMPUTED_VALUE"""),"HARDY")</f>
        <v>HARDY</v>
      </c>
      <c r="B22" s="284" t="str">
        <f ca="1">IFERROR(__xludf.DUMMYFUNCTION("""COMPUTED_VALUE"""),"DARREN")</f>
        <v>DARREN</v>
      </c>
      <c r="C22" s="285" t="str">
        <f ca="1">IFERROR(__xludf.DUMMYFUNCTION("""COMPUTED_VALUE"""),"F")</f>
        <v>F</v>
      </c>
      <c r="D22" s="286" t="str">
        <f ca="1">IFERROR(__xludf.DUMMYFUNCTION("""COMPUTED_VALUE"""),"Y")</f>
        <v>Y</v>
      </c>
      <c r="E22" s="286" t="str">
        <f ca="1">IFERROR(__xludf.DUMMYFUNCTION("""COMPUTED_VALUE"""),"Y")</f>
        <v>Y</v>
      </c>
      <c r="F22" s="286" t="str">
        <f ca="1">IFERROR(__xludf.DUMMYFUNCTION("""COMPUTED_VALUE"""),"Y")</f>
        <v>Y</v>
      </c>
      <c r="G22" s="265"/>
    </row>
    <row r="23" spans="1:7" ht="22.5" customHeight="1" x14ac:dyDescent="0.25">
      <c r="A23" s="283" t="str">
        <f ca="1">IFERROR(__xludf.DUMMYFUNCTION("""COMPUTED_VALUE"""),"HORVATH")</f>
        <v>HORVATH</v>
      </c>
      <c r="B23" s="284" t="str">
        <f ca="1">IFERROR(__xludf.DUMMYFUNCTION("""COMPUTED_VALUE"""),"LES")</f>
        <v>LES</v>
      </c>
      <c r="C23" s="285" t="str">
        <f ca="1">IFERROR(__xludf.DUMMYFUNCTION("""COMPUTED_VALUE"""),"D(L)/F(LW)")</f>
        <v>D(L)/F(LW)</v>
      </c>
      <c r="D23" s="286" t="str">
        <f ca="1">IFERROR(__xludf.DUMMYFUNCTION("""COMPUTED_VALUE"""),"Y")</f>
        <v>Y</v>
      </c>
      <c r="E23" s="286" t="str">
        <f ca="1">IFERROR(__xludf.DUMMYFUNCTION("""COMPUTED_VALUE"""),"Y")</f>
        <v>Y</v>
      </c>
      <c r="F23" s="286" t="str">
        <f ca="1">IFERROR(__xludf.DUMMYFUNCTION("""COMPUTED_VALUE"""),"Y")</f>
        <v>Y</v>
      </c>
      <c r="G23" s="265"/>
    </row>
    <row r="24" spans="1:7" ht="22.5" customHeight="1" x14ac:dyDescent="0.25">
      <c r="A24" s="283" t="str">
        <f ca="1">IFERROR(__xludf.DUMMYFUNCTION("""COMPUTED_VALUE"""),"HUTCHINSON")</f>
        <v>HUTCHINSON</v>
      </c>
      <c r="B24" s="284" t="str">
        <f ca="1">IFERROR(__xludf.DUMMYFUNCTION("""COMPUTED_VALUE"""),"BILL")</f>
        <v>BILL</v>
      </c>
      <c r="C24" s="285" t="str">
        <f ca="1">IFERROR(__xludf.DUMMYFUNCTION("""COMPUTED_VALUE"""),"C/D")</f>
        <v>C/D</v>
      </c>
      <c r="D24" s="286" t="str">
        <f ca="1">IFERROR(__xludf.DUMMYFUNCTION("""COMPUTED_VALUE"""),"N")</f>
        <v>N</v>
      </c>
      <c r="E24" s="286" t="str">
        <f ca="1">IFERROR(__xludf.DUMMYFUNCTION("""COMPUTED_VALUE"""),"Y")</f>
        <v>Y</v>
      </c>
      <c r="F24" s="286" t="str">
        <f ca="1">IFERROR(__xludf.DUMMYFUNCTION("""COMPUTED_VALUE"""),"N")</f>
        <v>N</v>
      </c>
      <c r="G24" s="265"/>
    </row>
    <row r="25" spans="1:7" ht="22.5" customHeight="1" x14ac:dyDescent="0.25">
      <c r="A25" s="283" t="str">
        <f ca="1">IFERROR(__xludf.DUMMYFUNCTION("""COMPUTED_VALUE"""),"MOORE")</f>
        <v>MOORE</v>
      </c>
      <c r="B25" s="284" t="str">
        <f ca="1">IFERROR(__xludf.DUMMYFUNCTION("""COMPUTED_VALUE"""),"BILL")</f>
        <v>BILL</v>
      </c>
      <c r="C25" s="285" t="str">
        <f ca="1">IFERROR(__xludf.DUMMYFUNCTION("""COMPUTED_VALUE"""),"D(R)")</f>
        <v>D(R)</v>
      </c>
      <c r="D25" s="286" t="str">
        <f ca="1">IFERROR(__xludf.DUMMYFUNCTION("""COMPUTED_VALUE"""),"Y")</f>
        <v>Y</v>
      </c>
      <c r="E25" s="286" t="str">
        <f ca="1">IFERROR(__xludf.DUMMYFUNCTION("""COMPUTED_VALUE"""),"Y")</f>
        <v>Y</v>
      </c>
      <c r="F25" s="286" t="str">
        <f ca="1">IFERROR(__xludf.DUMMYFUNCTION("""COMPUTED_VALUE"""),"Y")</f>
        <v>Y</v>
      </c>
      <c r="G25" s="265"/>
    </row>
    <row r="26" spans="1:7" ht="22.5" customHeight="1" x14ac:dyDescent="0.25">
      <c r="A26" s="283" t="str">
        <f ca="1">IFERROR(__xludf.DUMMYFUNCTION("""COMPUTED_VALUE"""),"MOSHONAS")</f>
        <v>MOSHONAS</v>
      </c>
      <c r="B26" s="284" t="str">
        <f ca="1">IFERROR(__xludf.DUMMYFUNCTION("""COMPUTED_VALUE"""),"STEVE")</f>
        <v>STEVE</v>
      </c>
      <c r="C26" s="285" t="str">
        <f ca="1">IFERROR(__xludf.DUMMYFUNCTION("""COMPUTED_VALUE"""),"D")</f>
        <v>D</v>
      </c>
      <c r="D26" s="286" t="str">
        <f ca="1">IFERROR(__xludf.DUMMYFUNCTION("""COMPUTED_VALUE"""),"Y")</f>
        <v>Y</v>
      </c>
      <c r="E26" s="286" t="str">
        <f ca="1">IFERROR(__xludf.DUMMYFUNCTION("""COMPUTED_VALUE"""),"Y")</f>
        <v>Y</v>
      </c>
      <c r="F26" s="286" t="str">
        <f ca="1">IFERROR(__xludf.DUMMYFUNCTION("""COMPUTED_VALUE"""),"Y")</f>
        <v>Y</v>
      </c>
      <c r="G26" s="265"/>
    </row>
    <row r="27" spans="1:7" ht="22.5" customHeight="1" x14ac:dyDescent="0.25">
      <c r="A27" s="283" t="str">
        <f ca="1">IFERROR(__xludf.DUMMYFUNCTION("""COMPUTED_VALUE"""),"THOMPSON")</f>
        <v>THOMPSON</v>
      </c>
      <c r="B27" s="284" t="str">
        <f ca="1">IFERROR(__xludf.DUMMYFUNCTION("""COMPUTED_VALUE"""),"RICK")</f>
        <v>RICK</v>
      </c>
      <c r="C27" s="285" t="str">
        <f ca="1">IFERROR(__xludf.DUMMYFUNCTION("""COMPUTED_VALUE"""),"F(LW)")</f>
        <v>F(LW)</v>
      </c>
      <c r="D27" s="286" t="str">
        <f ca="1">IFERROR(__xludf.DUMMYFUNCTION("""COMPUTED_VALUE"""),"Y")</f>
        <v>Y</v>
      </c>
      <c r="E27" s="286" t="str">
        <f ca="1">IFERROR(__xludf.DUMMYFUNCTION("""COMPUTED_VALUE"""),"Y")</f>
        <v>Y</v>
      </c>
      <c r="F27" s="286" t="str">
        <f ca="1">IFERROR(__xludf.DUMMYFUNCTION("""COMPUTED_VALUE"""),"Y")</f>
        <v>Y</v>
      </c>
      <c r="G27" s="265"/>
    </row>
    <row r="28" spans="1:7" ht="22.5" customHeight="1" x14ac:dyDescent="0.25">
      <c r="A28" s="283"/>
      <c r="B28" s="284"/>
      <c r="C28" s="285"/>
      <c r="D28" s="286"/>
      <c r="E28" s="286"/>
      <c r="F28" s="286"/>
      <c r="G28" s="265"/>
    </row>
    <row r="29" spans="1:7" ht="22.5" customHeight="1" x14ac:dyDescent="0.25">
      <c r="A29" s="283"/>
      <c r="B29" s="284"/>
      <c r="C29" s="285"/>
      <c r="D29" s="286"/>
      <c r="E29" s="286"/>
      <c r="F29" s="286"/>
      <c r="G29" s="265"/>
    </row>
    <row r="30" spans="1:7" ht="22.5" customHeight="1" x14ac:dyDescent="0.25">
      <c r="A30" s="283"/>
      <c r="B30" s="284"/>
      <c r="C30" s="285"/>
      <c r="D30" s="286"/>
      <c r="E30" s="286"/>
      <c r="F30" s="286"/>
      <c r="G30" s="265"/>
    </row>
    <row r="31" spans="1:7" ht="22.5" customHeight="1" x14ac:dyDescent="0.25">
      <c r="A31" s="283"/>
      <c r="B31" s="284"/>
      <c r="C31" s="285"/>
      <c r="D31" s="286"/>
      <c r="E31" s="286"/>
      <c r="F31" s="286"/>
      <c r="G31" s="265"/>
    </row>
  </sheetData>
  <mergeCells count="13">
    <mergeCell ref="A12:B12"/>
    <mergeCell ref="A1:G2"/>
    <mergeCell ref="B4:D4"/>
    <mergeCell ref="E4:F4"/>
    <mergeCell ref="B6:D6"/>
    <mergeCell ref="E6:F6"/>
    <mergeCell ref="C7:D7"/>
    <mergeCell ref="E7:F7"/>
    <mergeCell ref="C8:D8"/>
    <mergeCell ref="E8:F8"/>
    <mergeCell ref="C9:D9"/>
    <mergeCell ref="E9:F9"/>
    <mergeCell ref="D11:F11"/>
  </mergeCells>
  <conditionalFormatting sqref="B7:B9">
    <cfRule type="notContainsBlanks" dxfId="69" priority="5">
      <formula>LEN(TRIM(B7))&gt;0</formula>
    </cfRule>
  </conditionalFormatting>
  <conditionalFormatting sqref="C7:D9">
    <cfRule type="notContainsBlanks" dxfId="68" priority="4">
      <formula>LEN(TRIM(C7))&gt;0</formula>
    </cfRule>
  </conditionalFormatting>
  <conditionalFormatting sqref="D14:F31">
    <cfRule type="endsWith" dxfId="67" priority="1" operator="endsWith" text="M">
      <formula>RIGHT((D14),LEN("M"))=("M")</formula>
    </cfRule>
    <cfRule type="cellIs" dxfId="66" priority="2" operator="equal">
      <formula>"N"</formula>
    </cfRule>
    <cfRule type="cellIs" dxfId="65" priority="3" operator="equal">
      <formula>"Y"</formula>
    </cfRule>
  </conditionalFormatting>
  <conditionalFormatting sqref="E7:F9">
    <cfRule type="expression" dxfId="64" priority="6">
      <formula>B7=""</formula>
    </cfRule>
    <cfRule type="expression" dxfId="63" priority="7">
      <formula>C7=""</formula>
    </cfRule>
  </conditionalFormatting>
  <hyperlinks>
    <hyperlink ref="E4" location="LOOKUP!A1" display="Back to Lookup" xr:uid="{00000000-0004-0000-0800-000000000000}"/>
  </hyperlinks>
  <printOptions horizontalCentered="1" gridLines="1"/>
  <pageMargins left="0.7" right="0.7" top="0.75" bottom="0.75" header="0" footer="0"/>
  <pageSetup pageOrder="overThenDown" orientation="landscape" cellComments="atEnd"/>
</worksheet>
</file>

<file path=docMetadata/LabelInfo.xml><?xml version="1.0" encoding="utf-8"?>
<clbl:labelList xmlns:clbl="http://schemas.microsoft.com/office/2020/mipLabelMetadata">
  <clbl:label id="{2709a970-81b4-4def-bda1-d6eaeca57e6e}" enabled="1" method="Privileged" siteId="{d5f1622b-14a3-45a6-b069-003f8dc485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LOOKUP</vt:lpstr>
      <vt:lpstr>SCHEDULE</vt:lpstr>
      <vt:lpstr>AVALANCHE</vt:lpstr>
      <vt:lpstr>BRUINS</vt:lpstr>
      <vt:lpstr>FLYERS</vt:lpstr>
      <vt:lpstr>KNIGHTS</vt:lpstr>
      <vt:lpstr>RANGERS</vt:lpstr>
      <vt:lpstr>WINGS</vt:lpstr>
      <vt:lpstr>CANUCKS</vt:lpstr>
      <vt:lpstr>FLAMES</vt:lpstr>
      <vt:lpstr>JETS</vt:lpstr>
      <vt:lpstr>STARS</vt:lpstr>
      <vt:lpstr>KINGS</vt:lpstr>
      <vt:lpstr>WILD</vt:lpstr>
      <vt:lpstr>BLUES</vt:lpstr>
      <vt:lpstr>KRAKEN</vt:lpstr>
      <vt:lpstr>LEAFS</vt:lpstr>
      <vt:lpstr>OILERS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Princess Sarah B. Relox (BPO Worker)</cp:lastModifiedBy>
  <dcterms:created xsi:type="dcterms:W3CDTF">2025-11-14T15:23:18Z</dcterms:created>
  <dcterms:modified xsi:type="dcterms:W3CDTF">2025-11-14T15:23:18Z</dcterms:modified>
</cp:coreProperties>
</file>